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drawings/drawing5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2-Certaja\"/>
    </mc:Choice>
  </mc:AlternateContent>
  <xr:revisionPtr revIDLastSave="0" documentId="8_{BAB524ED-D1EB-4A6D-B532-1FC778AA4666}" xr6:coauthVersionLast="47" xr6:coauthVersionMax="47" xr10:uidLastSave="{00000000-0000-0000-0000-000000000000}"/>
  <bookViews>
    <workbookView xWindow="-120" yWindow="-120" windowWidth="29040" windowHeight="15840" tabRatio="725" firstSheet="3" activeTab="8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PIS_COFINS" sheetId="140" r:id="rId13"/>
    <sheet name="Rede Básica + Ajuste" sheetId="82" r:id="rId14"/>
    <sheet name="Conexão " sheetId="87" r:id="rId15"/>
    <sheet name="CUSD" sheetId="61" r:id="rId16"/>
    <sheet name="Encargos" sheetId="51" r:id="rId17"/>
    <sheet name="Financeiros" sheetId="50" r:id="rId18"/>
    <sheet name="ICMS" sheetId="137" r:id="rId19"/>
    <sheet name="Financeiros Mitigação" sheetId="139" r:id="rId20"/>
    <sheet name="CVE" sheetId="135" r:id="rId21"/>
    <sheet name="Conta covid" sheetId="131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BD-NET" sheetId="49" r:id="rId29"/>
    <sheet name="Sharepoint" sheetId="121" state="hidden" r:id="rId30"/>
    <sheet name="COEFICIENTES" sheetId="102" state="hidden" r:id="rId31"/>
    <sheet name="REN 473" sheetId="95" state="hidden" r:id="rId32"/>
    <sheet name="ERD" sheetId="94" state="hidden" r:id="rId33"/>
    <sheet name="Glossário Vínculos" sheetId="85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20" hidden="1">#REF!</definedName>
    <definedName name="__123Graph_APREVRCOM" localSheetId="8" hidden="1">#REF!</definedName>
    <definedName name="__123Graph_APREVRCOM" hidden="1">#REF!</definedName>
    <definedName name="__123Graph_APREVREALI" localSheetId="20" hidden="1">#REF!</definedName>
    <definedName name="__123Graph_APREVREALI" localSheetId="8" hidden="1">#REF!</definedName>
    <definedName name="__123Graph_APREVREALI" hidden="1">#REF!</definedName>
    <definedName name="__123Graph_APREVRIND" localSheetId="20" hidden="1">#REF!</definedName>
    <definedName name="__123Graph_APREVRIND" localSheetId="8" hidden="1">#REF!</definedName>
    <definedName name="__123Graph_APREVRIND" hidden="1">#REF!</definedName>
    <definedName name="__123Graph_APREVROUT" localSheetId="20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20" hidden="1">#REF!</definedName>
    <definedName name="__123Graph_APREVRRES" localSheetId="8" hidden="1">#REF!</definedName>
    <definedName name="__123Graph_APREVRRES" hidden="1">#REF!</definedName>
    <definedName name="__123Graph_APREVRTOT" localSheetId="20" hidden="1">#REF!</definedName>
    <definedName name="__123Graph_APREVRTOT" localSheetId="8" hidden="1">#REF!</definedName>
    <definedName name="__123Graph_APREVRTOT" hidden="1">#REF!</definedName>
    <definedName name="__123Graph_B" localSheetId="20" hidden="1">#REF!</definedName>
    <definedName name="__123Graph_B" localSheetId="8" hidden="1">#REF!</definedName>
    <definedName name="__123Graph_B" hidden="1">#REF!</definedName>
    <definedName name="__123Graph_BCOMPARA" localSheetId="20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20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20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20" hidden="1">#REF!</definedName>
    <definedName name="__123Graph_BPREVREALI" localSheetId="8" hidden="1">#REF!</definedName>
    <definedName name="__123Graph_BPREVREALI" hidden="1">#REF!</definedName>
    <definedName name="__123Graph_C" localSheetId="20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20" hidden="1">#REF!</definedName>
    <definedName name="__123Graph_CPREVREALI" localSheetId="8" hidden="1">#REF!</definedName>
    <definedName name="__123Graph_CPREVREALI" hidden="1">#REF!</definedName>
    <definedName name="__123Graph_D" localSheetId="20" hidden="1">#REF!</definedName>
    <definedName name="__123Graph_D" localSheetId="8" hidden="1">#REF!</definedName>
    <definedName name="__123Graph_D" hidden="1">#REF!</definedName>
    <definedName name="__123Graph_DCDI" localSheetId="20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20" hidden="1">#REF!</definedName>
    <definedName name="__123Graph_DCOMPARA" localSheetId="8" hidden="1">#REF!</definedName>
    <definedName name="__123Graph_DCOMPARA" hidden="1">#REF!</definedName>
    <definedName name="__123Graph_DGERAL" localSheetId="20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20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20" hidden="1">#REF!</definedName>
    <definedName name="__123Graph_EPREVREALI" localSheetId="8" hidden="1">#REF!</definedName>
    <definedName name="__123Graph_EPREVREALI" hidden="1">#REF!</definedName>
    <definedName name="__123Graph_F" localSheetId="20" hidden="1">#REF!</definedName>
    <definedName name="__123Graph_F" localSheetId="8" hidden="1">#REF!</definedName>
    <definedName name="__123Graph_F" hidden="1">#REF!</definedName>
    <definedName name="__123Graph_FCDI" localSheetId="20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20" hidden="1">#REF!</definedName>
    <definedName name="__123Graph_FCOMPARA" localSheetId="8" hidden="1">#REF!</definedName>
    <definedName name="__123Graph_FCOMPARA" hidden="1">#REF!</definedName>
    <definedName name="__123Graph_FGERAL" localSheetId="20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20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20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3" hidden="1">BDCOVID!$A$1:$AH$497</definedName>
    <definedName name="_xlnm._FilterDatabase" localSheetId="28" hidden="1">'BD-NET'!$A$1:$P$179</definedName>
    <definedName name="_xlnm._FilterDatabase" localSheetId="6" hidden="1">CAPA!$A:$H</definedName>
    <definedName name="_xlnm._FilterDatabase" localSheetId="30" hidden="1">COEFICIENTES!$D$20:$M$124</definedName>
    <definedName name="_xlnm._FilterDatabase" localSheetId="15" hidden="1">CUSD!$A:$H</definedName>
    <definedName name="_xlnm._FilterDatabase" localSheetId="20" hidden="1">#REF!</definedName>
    <definedName name="_xlnm._FilterDatabase" localSheetId="11" hidden="1">Energia!$A:$H</definedName>
    <definedName name="_xlnm._FilterDatabase" localSheetId="4" hidden="1">Faturas!$O$1:$V$1</definedName>
    <definedName name="_xlnm._FilterDatabase" localSheetId="27" hidden="1">Índices!$B$6:$F$500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20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0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20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0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20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0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0" hidden="1">#REF!</definedName>
    <definedName name="BANCO1" localSheetId="8" hidden="1">#REF!</definedName>
    <definedName name="BANCO1" hidden="1">#REF!</definedName>
    <definedName name="bb" localSheetId="20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0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20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20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20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20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20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20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0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20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0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5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5" hidden="1">CUSD!$M$13</definedName>
    <definedName name="solver_lhs10" localSheetId="15" hidden="1">CUSD!$M$13</definedName>
    <definedName name="solver_lhs11" localSheetId="15" hidden="1">CUSD!$M$15</definedName>
    <definedName name="solver_lhs12" localSheetId="15" hidden="1">CUSD!$M$13</definedName>
    <definedName name="solver_lhs13" localSheetId="15" hidden="1">CUSD!$M$13</definedName>
    <definedName name="solver_lhs14" localSheetId="15" hidden="1">CUSD!$M$15</definedName>
    <definedName name="solver_lhs15" localSheetId="15" hidden="1">CUSD!$M$13</definedName>
    <definedName name="solver_lhs2" localSheetId="15" hidden="1">CUSD!$M$15</definedName>
    <definedName name="solver_lhs3" localSheetId="15" hidden="1">CUSD!$M$13</definedName>
    <definedName name="solver_lhs4" localSheetId="15" hidden="1">CUSD!$M$13</definedName>
    <definedName name="solver_lhs5" localSheetId="15" hidden="1">CUSD!$M$15</definedName>
    <definedName name="solver_lhs6" localSheetId="15" hidden="1">CUSD!$M$13</definedName>
    <definedName name="solver_lhs7" localSheetId="15" hidden="1">CUSD!$M$13</definedName>
    <definedName name="solver_lhs8" localSheetId="15" hidden="1">CUSD!$M$15</definedName>
    <definedName name="solver_lhs9" localSheetId="15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5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20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20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0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20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" r:id="rId51"/>
    <pivotCache cacheId="3" r:id="rId5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244" i="89" l="1"/>
  <c r="AS246" i="89"/>
  <c r="AS254" i="89"/>
  <c r="AS255" i="89"/>
  <c r="AS256" i="89"/>
  <c r="AS257" i="89"/>
  <c r="AS258" i="89"/>
  <c r="AS259" i="89"/>
  <c r="AS260" i="89"/>
  <c r="AU260" i="89"/>
  <c r="F243" i="49" l="1"/>
  <c r="G243" i="49"/>
  <c r="H243" i="49"/>
  <c r="I243" i="49"/>
  <c r="J243" i="49"/>
  <c r="K243" i="49"/>
  <c r="F244" i="49"/>
  <c r="G244" i="49"/>
  <c r="H244" i="49"/>
  <c r="I244" i="49"/>
  <c r="J244" i="49"/>
  <c r="K244" i="49"/>
  <c r="F245" i="49"/>
  <c r="G245" i="49"/>
  <c r="H245" i="49"/>
  <c r="I245" i="49"/>
  <c r="J245" i="49"/>
  <c r="K245" i="49"/>
  <c r="F246" i="49"/>
  <c r="G246" i="49"/>
  <c r="H246" i="49"/>
  <c r="I246" i="49"/>
  <c r="J246" i="49"/>
  <c r="K246" i="49"/>
  <c r="F247" i="49"/>
  <c r="G247" i="49"/>
  <c r="H247" i="49"/>
  <c r="I247" i="49"/>
  <c r="J247" i="49"/>
  <c r="K247" i="49"/>
  <c r="D64" i="50"/>
  <c r="D63" i="50"/>
  <c r="D56" i="50"/>
  <c r="D50" i="50"/>
  <c r="D49" i="50"/>
  <c r="D48" i="50"/>
  <c r="M39" i="25" l="1"/>
  <c r="M40" i="25"/>
  <c r="M41" i="25"/>
  <c r="M42" i="25"/>
  <c r="M43" i="25"/>
  <c r="M44" i="25"/>
  <c r="M45" i="25"/>
  <c r="M46" i="25"/>
  <c r="M47" i="25"/>
  <c r="M48" i="25"/>
  <c r="M38" i="25"/>
  <c r="M37" i="25"/>
  <c r="M65" i="58" l="1"/>
  <c r="CE315" i="89"/>
  <c r="CE310" i="89"/>
  <c r="CE311" i="89"/>
  <c r="CF311" i="89"/>
  <c r="CG311" i="89"/>
  <c r="CE312" i="89"/>
  <c r="CE313" i="89"/>
  <c r="CD309" i="89"/>
  <c r="CE309" i="89"/>
  <c r="CF309" i="89"/>
  <c r="CG309" i="89"/>
  <c r="L14" i="58" l="1"/>
  <c r="E27" i="140" l="1"/>
  <c r="D27" i="140"/>
  <c r="C27" i="140"/>
  <c r="I4" i="140"/>
  <c r="H4" i="140"/>
  <c r="E82" i="58" l="1"/>
  <c r="F82" i="58" s="1"/>
  <c r="H82" i="58" s="1"/>
  <c r="E83" i="58"/>
  <c r="F83" i="58" s="1"/>
  <c r="H83" i="58" s="1"/>
  <c r="E84" i="58"/>
  <c r="F84" i="58" s="1"/>
  <c r="H84" i="58" s="1"/>
  <c r="E85" i="58"/>
  <c r="F85" i="58" s="1"/>
  <c r="H85" i="58" s="1"/>
  <c r="E86" i="58"/>
  <c r="F86" i="58" s="1"/>
  <c r="H86" i="58" s="1"/>
  <c r="E87" i="58"/>
  <c r="F87" i="58" s="1"/>
  <c r="H87" i="58" s="1"/>
  <c r="E88" i="58"/>
  <c r="F88" i="58" s="1"/>
  <c r="H88" i="58" s="1"/>
  <c r="E89" i="58"/>
  <c r="F89" i="58" s="1"/>
  <c r="H89" i="58" s="1"/>
  <c r="E90" i="58"/>
  <c r="F90" i="58" s="1"/>
  <c r="H90" i="58" s="1"/>
  <c r="E91" i="58"/>
  <c r="F91" i="58" s="1"/>
  <c r="H91" i="58" s="1"/>
  <c r="E92" i="58"/>
  <c r="F92" i="58" s="1"/>
  <c r="H92" i="58" s="1"/>
  <c r="E93" i="58"/>
  <c r="F93" i="58" s="1"/>
  <c r="H93" i="58" s="1"/>
  <c r="H94" i="58" l="1"/>
  <c r="J53" i="58" s="1"/>
  <c r="C89" i="58" l="1"/>
  <c r="C88" i="58"/>
  <c r="C87" i="58"/>
  <c r="C86" i="58"/>
  <c r="C85" i="58"/>
  <c r="C84" i="58"/>
  <c r="AM182" i="89"/>
  <c r="AS248" i="89" s="1"/>
  <c r="AM183" i="89"/>
  <c r="AS249" i="89" s="1"/>
  <c r="AM184" i="89"/>
  <c r="AS250" i="89" s="1"/>
  <c r="C90" i="58" l="1"/>
  <c r="J41" i="58" s="1"/>
  <c r="C18" i="50"/>
  <c r="K53" i="58"/>
  <c r="K54" i="58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N182" i="89"/>
  <c r="AU248" i="89" s="1"/>
  <c r="AN183" i="89"/>
  <c r="AU249" i="89" s="1"/>
  <c r="AN184" i="89"/>
  <c r="AM185" i="89"/>
  <c r="AS251" i="89" s="1"/>
  <c r="AN185" i="89"/>
  <c r="AM186" i="89"/>
  <c r="AS252" i="89" s="1"/>
  <c r="AN186" i="89"/>
  <c r="AM187" i="89"/>
  <c r="AS253" i="89" s="1"/>
  <c r="AN187" i="89"/>
  <c r="E43" i="50"/>
  <c r="Q149" i="49" s="1"/>
  <c r="P149" i="49" s="1"/>
  <c r="E42" i="50"/>
  <c r="Q148" i="49" s="1"/>
  <c r="P148" i="49" s="1"/>
  <c r="E44" i="50"/>
  <c r="AO187" i="89" l="1"/>
  <c r="AU253" i="89"/>
  <c r="AO186" i="89"/>
  <c r="AU252" i="89"/>
  <c r="AO185" i="89"/>
  <c r="AU251" i="89"/>
  <c r="AO184" i="89"/>
  <c r="AU250" i="89"/>
  <c r="AO183" i="89"/>
  <c r="AO182" i="89"/>
  <c r="AO194" i="89"/>
  <c r="AO195" i="89"/>
  <c r="AO196" i="89"/>
  <c r="M22" i="58"/>
  <c r="M23" i="58"/>
  <c r="N6" i="139" l="1"/>
  <c r="N7" i="139" s="1"/>
  <c r="N8" i="139" s="1"/>
  <c r="N9" i="139" s="1"/>
  <c r="N10" i="139" s="1"/>
  <c r="AO168" i="8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B64" i="64" s="1"/>
  <c r="L41" i="51"/>
  <c r="C19" i="50" s="1"/>
  <c r="B63" i="64" s="1"/>
  <c r="C126" i="49" l="1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AU213" i="89" s="1"/>
  <c r="AV213" i="89" s="1"/>
  <c r="Q273" i="49" l="1"/>
  <c r="P273" i="49" s="1"/>
  <c r="F47" i="58" l="1"/>
  <c r="E47" i="58"/>
  <c r="F46" i="58"/>
  <c r="E46" i="58"/>
  <c r="F45" i="58"/>
  <c r="E45" i="58"/>
  <c r="F44" i="58"/>
  <c r="E44" i="58"/>
  <c r="M6" i="58"/>
  <c r="L6" i="58" l="1"/>
  <c r="L47" i="58"/>
  <c r="L45" i="58"/>
  <c r="L44" i="58"/>
  <c r="J48" i="58"/>
  <c r="L43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D311" i="89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193" i="49" l="1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U247" i="89" s="1"/>
  <c r="AM181" i="89"/>
  <c r="AS247" i="89" s="1"/>
  <c r="AS240" i="89" l="1"/>
  <c r="AS242" i="89"/>
  <c r="AO181" i="89"/>
  <c r="AN180" i="89"/>
  <c r="AU246" i="89" s="1"/>
  <c r="B62" i="64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76" i="49"/>
  <c r="P275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AN189" i="89"/>
  <c r="AU255" i="89" s="1"/>
  <c r="AO189" i="89" l="1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8" i="58" l="1"/>
  <c r="E21" i="58"/>
  <c r="CF313" i="89" s="1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N65" i="135" a="1"/>
  <c r="Q65" i="135" a="1"/>
  <c r="V65" i="135" a="1"/>
  <c r="AA65" i="135" a="1"/>
  <c r="W65" i="135" a="1"/>
  <c r="H65" i="135" a="1"/>
  <c r="M65" i="135" a="1"/>
  <c r="I65" i="135" a="1"/>
  <c r="D65" i="135" a="1"/>
  <c r="K65" i="135" a="1"/>
  <c r="X65" i="135" a="1"/>
  <c r="L65" i="135" a="1"/>
  <c r="P65" i="135" a="1"/>
  <c r="S65" i="135" a="1"/>
  <c r="J65" i="135" a="1"/>
  <c r="E65" i="135" a="1"/>
  <c r="T65" i="135" a="1"/>
  <c r="Y65" i="135" a="1"/>
  <c r="AB65" i="135" a="1"/>
  <c r="U65" i="135" a="1"/>
  <c r="O65" i="135" a="1"/>
  <c r="Z65" i="135" a="1"/>
  <c r="F65" i="135" a="1"/>
  <c r="G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N64" i="135" a="1"/>
  <c r="I64" i="135" a="1"/>
  <c r="U64" i="135" a="1"/>
  <c r="Z64" i="135" a="1"/>
  <c r="L64" i="135" a="1"/>
  <c r="K64" i="135" a="1"/>
  <c r="V64" i="135" a="1"/>
  <c r="G64" i="135" a="1"/>
  <c r="S64" i="135" a="1"/>
  <c r="Y64" i="135" a="1"/>
  <c r="H64" i="135" a="1"/>
  <c r="T64" i="135" a="1"/>
  <c r="X64" i="135" a="1"/>
  <c r="AA64" i="135" a="1"/>
  <c r="P64" i="135" a="1"/>
  <c r="E64" i="135" a="1"/>
  <c r="O64" i="135" a="1"/>
  <c r="F64" i="135" a="1"/>
  <c r="J64" i="135" a="1"/>
  <c r="AB64" i="135" a="1"/>
  <c r="D64" i="135" a="1"/>
  <c r="Q64" i="135" a="1"/>
  <c r="M64" i="135" a="1"/>
  <c r="W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AA63" i="135" a="1"/>
  <c r="K63" i="135" a="1"/>
  <c r="N63" i="135" a="1"/>
  <c r="X63" i="135" a="1"/>
  <c r="J63" i="135" a="1"/>
  <c r="H63" i="135" a="1"/>
  <c r="P63" i="135" a="1"/>
  <c r="Q63" i="135" a="1"/>
  <c r="U63" i="135" a="1"/>
  <c r="Z63" i="135" a="1"/>
  <c r="Y63" i="135" a="1"/>
  <c r="V63" i="135" a="1"/>
  <c r="D63" i="135" a="1"/>
  <c r="E63" i="135" a="1"/>
  <c r="I63" i="135" a="1"/>
  <c r="O63" i="135" a="1"/>
  <c r="W63" i="135" a="1"/>
  <c r="T63" i="135" a="1"/>
  <c r="F63" i="135" a="1"/>
  <c r="G63" i="135" a="1"/>
  <c r="S63" i="135" a="1"/>
  <c r="M63" i="135" a="1"/>
  <c r="AB63" i="135" a="1"/>
  <c r="L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K62" i="135" a="1"/>
  <c r="H62" i="135" a="1"/>
  <c r="E62" i="135" a="1"/>
  <c r="J62" i="135" a="1"/>
  <c r="M62" i="135" a="1"/>
  <c r="S62" i="135" a="1"/>
  <c r="D62" i="135" a="1"/>
  <c r="O62" i="135" a="1"/>
  <c r="U62" i="135" a="1"/>
  <c r="Y62" i="135" a="1"/>
  <c r="AA62" i="135" a="1"/>
  <c r="V62" i="135" a="1"/>
  <c r="I62" i="135" a="1"/>
  <c r="Z62" i="135" a="1"/>
  <c r="G62" i="135" a="1"/>
  <c r="N62" i="135" a="1"/>
  <c r="AB62" i="135" a="1"/>
  <c r="P62" i="135" a="1"/>
  <c r="T62" i="135" a="1"/>
  <c r="W62" i="135" a="1"/>
  <c r="L62" i="135" a="1"/>
  <c r="X62" i="135" a="1"/>
  <c r="Q62" i="135" a="1"/>
  <c r="F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Y61" i="135" a="1"/>
  <c r="AA61" i="135" a="1"/>
  <c r="T61" i="135" a="1"/>
  <c r="P61" i="135" a="1"/>
  <c r="Z61" i="135" a="1"/>
  <c r="G61" i="135" a="1"/>
  <c r="Q61" i="135" a="1"/>
  <c r="U61" i="135" a="1"/>
  <c r="K61" i="135" a="1"/>
  <c r="W61" i="135" a="1"/>
  <c r="E61" i="135" a="1"/>
  <c r="S61" i="135" a="1"/>
  <c r="X61" i="135" a="1"/>
  <c r="AB61" i="135" a="1"/>
  <c r="O61" i="135" a="1"/>
  <c r="I61" i="135" a="1"/>
  <c r="J61" i="135" a="1"/>
  <c r="M61" i="135" a="1"/>
  <c r="H61" i="135" a="1"/>
  <c r="F61" i="135" a="1"/>
  <c r="D61" i="135" a="1"/>
  <c r="N61" i="135" a="1"/>
  <c r="V61" i="135" a="1"/>
  <c r="L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O60" i="135" a="1"/>
  <c r="Z60" i="135" a="1"/>
  <c r="D60" i="135" a="1"/>
  <c r="H60" i="135" a="1"/>
  <c r="E60" i="135" a="1"/>
  <c r="AB60" i="135" a="1"/>
  <c r="K60" i="135" a="1"/>
  <c r="N60" i="135" a="1"/>
  <c r="S60" i="135" a="1"/>
  <c r="U60" i="135" a="1"/>
  <c r="Q60" i="135" a="1"/>
  <c r="M60" i="135" a="1"/>
  <c r="P60" i="135" a="1"/>
  <c r="V60" i="135" a="1"/>
  <c r="AA60" i="135" a="1"/>
  <c r="J60" i="135" a="1"/>
  <c r="I60" i="135" a="1"/>
  <c r="L60" i="135" a="1"/>
  <c r="X60" i="135" a="1"/>
  <c r="Y60" i="135" a="1"/>
  <c r="T60" i="135" a="1"/>
  <c r="G60" i="135" a="1"/>
  <c r="W60" i="135" a="1"/>
  <c r="F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F59" i="135" a="1"/>
  <c r="G59" i="135" a="1"/>
  <c r="Z59" i="135" a="1"/>
  <c r="N59" i="135" a="1"/>
  <c r="T59" i="135" a="1"/>
  <c r="AA59" i="135" a="1"/>
  <c r="M59" i="135" a="1"/>
  <c r="AB59" i="135" a="1"/>
  <c r="S59" i="135" a="1"/>
  <c r="D59" i="135" a="1"/>
  <c r="J59" i="135" a="1"/>
  <c r="O59" i="135" a="1"/>
  <c r="Q59" i="135" a="1"/>
  <c r="Y59" i="135" a="1"/>
  <c r="V59" i="135" a="1"/>
  <c r="K59" i="135" a="1"/>
  <c r="X59" i="135" a="1"/>
  <c r="H59" i="135" a="1"/>
  <c r="U59" i="135" a="1"/>
  <c r="E59" i="135" a="1"/>
  <c r="W59" i="135" a="1"/>
  <c r="L59" i="135" a="1"/>
  <c r="P59" i="135" a="1"/>
  <c r="I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X58" i="135" a="1"/>
  <c r="N58" i="135" a="1"/>
  <c r="L58" i="135" a="1"/>
  <c r="F58" i="135" a="1"/>
  <c r="G58" i="135" a="1"/>
  <c r="S58" i="135" a="1"/>
  <c r="P58" i="135" a="1"/>
  <c r="Q58" i="135" a="1"/>
  <c r="T58" i="135" a="1"/>
  <c r="U58" i="135" a="1"/>
  <c r="W58" i="135" a="1"/>
  <c r="Y58" i="135" a="1"/>
  <c r="Z58" i="135" a="1"/>
  <c r="D58" i="135" a="1"/>
  <c r="O58" i="135" a="1"/>
  <c r="V58" i="135" a="1"/>
  <c r="AB58" i="135" a="1"/>
  <c r="I58" i="135" a="1"/>
  <c r="K58" i="135" a="1"/>
  <c r="H58" i="135" a="1"/>
  <c r="J58" i="135" a="1"/>
  <c r="M58" i="135" a="1"/>
  <c r="AA58" i="135" a="1"/>
  <c r="E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J57" i="135" a="1"/>
  <c r="N57" i="135" a="1"/>
  <c r="AB57" i="135" a="1"/>
  <c r="X57" i="135" a="1"/>
  <c r="I57" i="135" a="1"/>
  <c r="Z57" i="135" a="1"/>
  <c r="U57" i="135" a="1"/>
  <c r="S57" i="135" a="1"/>
  <c r="M57" i="135" a="1"/>
  <c r="V57" i="135" a="1"/>
  <c r="O57" i="135" a="1"/>
  <c r="K57" i="135" a="1"/>
  <c r="P57" i="135" a="1"/>
  <c r="L57" i="135" a="1"/>
  <c r="AA57" i="135" a="1"/>
  <c r="F57" i="135" a="1"/>
  <c r="H57" i="135" a="1"/>
  <c r="Q57" i="135" a="1"/>
  <c r="E57" i="135" a="1"/>
  <c r="G57" i="135" a="1"/>
  <c r="W57" i="135" a="1"/>
  <c r="Y57" i="135" a="1"/>
  <c r="T57" i="135" a="1"/>
  <c r="D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Q56" i="135" a="1"/>
  <c r="H56" i="135" a="1"/>
  <c r="N56" i="135" a="1"/>
  <c r="S56" i="135" a="1"/>
  <c r="P56" i="135" a="1"/>
  <c r="Y56" i="135" a="1"/>
  <c r="X56" i="135" a="1"/>
  <c r="L56" i="135" a="1"/>
  <c r="K56" i="135" a="1"/>
  <c r="V56" i="135" a="1"/>
  <c r="T56" i="135" a="1"/>
  <c r="W56" i="135" a="1"/>
  <c r="Z56" i="135" a="1"/>
  <c r="AB56" i="135" a="1"/>
  <c r="J56" i="135" a="1"/>
  <c r="O56" i="135" a="1"/>
  <c r="M56" i="135" a="1"/>
  <c r="G56" i="135" a="1"/>
  <c r="AA56" i="135" a="1"/>
  <c r="E56" i="135" a="1"/>
  <c r="I56" i="135" a="1"/>
  <c r="D56" i="135" a="1"/>
  <c r="U56" i="135" a="1"/>
  <c r="F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D55" i="135" a="1"/>
  <c r="I55" i="135" a="1"/>
  <c r="M55" i="135" a="1"/>
  <c r="L55" i="135" a="1"/>
  <c r="X55" i="135" a="1"/>
  <c r="H55" i="135" a="1"/>
  <c r="K55" i="135" a="1"/>
  <c r="AA55" i="135" a="1"/>
  <c r="S55" i="135" a="1"/>
  <c r="F55" i="135" a="1"/>
  <c r="O55" i="135" a="1"/>
  <c r="U55" i="135" a="1"/>
  <c r="W55" i="135" a="1"/>
  <c r="G55" i="135" a="1"/>
  <c r="V55" i="135" a="1"/>
  <c r="Q55" i="135" a="1"/>
  <c r="Z55" i="135" a="1"/>
  <c r="N55" i="135" a="1"/>
  <c r="E55" i="135" a="1"/>
  <c r="P55" i="135" a="1"/>
  <c r="J55" i="135" a="1"/>
  <c r="T55" i="135" a="1"/>
  <c r="Y55" i="135" a="1"/>
  <c r="AB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K54" i="135" a="1"/>
  <c r="L54" i="135" a="1"/>
  <c r="E54" i="135" a="1"/>
  <c r="U54" i="135" a="1"/>
  <c r="V54" i="135" a="1"/>
  <c r="Q54" i="135" a="1"/>
  <c r="N54" i="135" a="1"/>
  <c r="M54" i="135" a="1"/>
  <c r="P54" i="135" a="1"/>
  <c r="Y54" i="135" a="1"/>
  <c r="AA54" i="135" a="1"/>
  <c r="AB54" i="135" a="1"/>
  <c r="T54" i="135" a="1"/>
  <c r="O54" i="135" a="1"/>
  <c r="D54" i="135" a="1"/>
  <c r="X54" i="135" a="1"/>
  <c r="W54" i="135" a="1"/>
  <c r="F54" i="135" a="1"/>
  <c r="Z54" i="135" a="1"/>
  <c r="H54" i="135" a="1"/>
  <c r="I54" i="135" a="1"/>
  <c r="G54" i="135" a="1"/>
  <c r="J54" i="135" a="1"/>
  <c r="S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N104" i="89" l="1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F9" i="140" s="1"/>
  <c r="C16" i="39"/>
  <c r="G11" i="140" l="1"/>
  <c r="F14" i="140"/>
  <c r="H16" i="140"/>
  <c r="G19" i="140"/>
  <c r="F22" i="140"/>
  <c r="H24" i="140"/>
  <c r="H11" i="140"/>
  <c r="G14" i="140"/>
  <c r="F17" i="140"/>
  <c r="H19" i="140"/>
  <c r="G22" i="140"/>
  <c r="F25" i="140"/>
  <c r="N4" i="140"/>
  <c r="F12" i="140"/>
  <c r="H14" i="140"/>
  <c r="G17" i="140"/>
  <c r="F20" i="140"/>
  <c r="H22" i="140"/>
  <c r="G25" i="140"/>
  <c r="H26" i="140"/>
  <c r="F16" i="140"/>
  <c r="F11" i="140"/>
  <c r="F19" i="140"/>
  <c r="L4" i="140"/>
  <c r="G12" i="140"/>
  <c r="F15" i="140"/>
  <c r="H17" i="140"/>
  <c r="G20" i="140"/>
  <c r="F23" i="140"/>
  <c r="H25" i="140"/>
  <c r="G26" i="140"/>
  <c r="H18" i="140"/>
  <c r="F10" i="140"/>
  <c r="H12" i="140"/>
  <c r="G15" i="140"/>
  <c r="F18" i="140"/>
  <c r="H20" i="140"/>
  <c r="G23" i="140"/>
  <c r="H9" i="140"/>
  <c r="F26" i="140"/>
  <c r="G13" i="140"/>
  <c r="F24" i="140"/>
  <c r="H13" i="140"/>
  <c r="G10" i="140"/>
  <c r="F13" i="140"/>
  <c r="H15" i="140"/>
  <c r="G18" i="140"/>
  <c r="F21" i="140"/>
  <c r="H23" i="140"/>
  <c r="G9" i="140"/>
  <c r="H21" i="140"/>
  <c r="H10" i="140"/>
  <c r="G21" i="140"/>
  <c r="G16" i="140"/>
  <c r="G24" i="140"/>
  <c r="G10" i="13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F12" i="131"/>
  <c r="F13" i="131"/>
  <c r="F11" i="131"/>
  <c r="F15" i="131"/>
  <c r="H10" i="131" l="1"/>
  <c r="H27" i="140"/>
  <c r="F27" i="140"/>
  <c r="J4" i="140" s="1"/>
  <c r="G27" i="140"/>
  <c r="O4" i="140" s="1"/>
  <c r="D5" i="139"/>
  <c r="D7" i="139"/>
  <c r="D6" i="139"/>
  <c r="D70" i="50" s="1"/>
  <c r="AN191" i="89" s="1"/>
  <c r="AU257" i="89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P4" i="140" l="1"/>
  <c r="R4" i="140" s="1"/>
  <c r="D10" i="139" s="1"/>
  <c r="D38" i="50" s="1"/>
  <c r="AN176" i="89" s="1"/>
  <c r="AU242" i="89" s="1"/>
  <c r="D8" i="139"/>
  <c r="J9" i="131"/>
  <c r="J17" i="131" s="1"/>
  <c r="D35" i="50" s="1"/>
  <c r="AN174" i="89" s="1"/>
  <c r="AU240" i="89" s="1"/>
  <c r="H17" i="131"/>
  <c r="M7" i="123"/>
  <c r="O38" i="89" l="1"/>
  <c r="N38" i="89"/>
  <c r="M38" i="89"/>
  <c r="E18" i="58" l="1"/>
  <c r="CF310" i="89" s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F19" i="82" l="1"/>
  <c r="H19" i="82"/>
  <c r="F20" i="82"/>
  <c r="H20" i="82"/>
  <c r="F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H18" i="82"/>
  <c r="E20" i="58" l="1"/>
  <c r="CF312" i="89" s="1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U243" i="89" s="1"/>
  <c r="AO174" i="89"/>
  <c r="AO176" i="89"/>
  <c r="D119" i="78"/>
  <c r="C119" i="78"/>
  <c r="D117" i="78"/>
  <c r="D116" i="78"/>
  <c r="D114" i="78"/>
  <c r="C117" i="78"/>
  <c r="C114" i="78"/>
  <c r="D115" i="78"/>
  <c r="C115" i="78"/>
  <c r="C116" i="78"/>
  <c r="AO177" i="89" l="1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U245" i="89" s="1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9" i="89" l="1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1" i="49"/>
  <c r="Q188" i="49"/>
  <c r="Q180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J6" i="61"/>
  <c r="J22" i="61"/>
  <c r="J20" i="61"/>
  <c r="AJ160" i="89" s="1"/>
  <c r="AK160" i="89" s="1"/>
  <c r="J21" i="61"/>
  <c r="J16" i="61"/>
  <c r="AJ156" i="89" s="1"/>
  <c r="AK156" i="89" s="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82" i="78"/>
  <c r="C81" i="78"/>
  <c r="C84" i="78"/>
  <c r="G14" i="78"/>
  <c r="C80" i="78"/>
  <c r="C92" i="78"/>
  <c r="C13" i="78"/>
  <c r="D12" i="78"/>
  <c r="C95" i="78"/>
  <c r="C15" i="78"/>
  <c r="G10" i="78"/>
  <c r="C11" i="78"/>
  <c r="C79" i="78"/>
  <c r="C83" i="78"/>
  <c r="C91" i="78"/>
  <c r="C18" i="78"/>
  <c r="D14" i="78"/>
  <c r="D10" i="78"/>
  <c r="C16" i="78"/>
  <c r="D11" i="78"/>
  <c r="C97" i="78"/>
  <c r="D20" i="78"/>
  <c r="C17" i="78"/>
  <c r="G11" i="78"/>
  <c r="D9" i="78"/>
  <c r="C12" i="78"/>
  <c r="C94" i="78"/>
  <c r="C87" i="78"/>
  <c r="D16" i="78"/>
  <c r="C90" i="78"/>
  <c r="G12" i="78"/>
  <c r="C88" i="78"/>
  <c r="D13" i="78"/>
  <c r="D17" i="78"/>
  <c r="D19" i="78"/>
  <c r="D18" i="78"/>
  <c r="C93" i="78"/>
  <c r="D15" i="78"/>
  <c r="G13" i="78"/>
  <c r="C14" i="78"/>
  <c r="C89" i="78"/>
  <c r="D21" i="78"/>
  <c r="C19" i="78"/>
  <c r="G8" i="78"/>
  <c r="C20" i="78"/>
  <c r="G9" i="78"/>
  <c r="J24" i="61" l="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AU212" i="89" s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Q14" i="49"/>
  <c r="P214" i="49"/>
  <c r="N15" i="78"/>
  <c r="F70" i="89"/>
  <c r="G70" i="89"/>
  <c r="AT226" i="89"/>
  <c r="J97" i="89"/>
  <c r="AT220" i="89"/>
  <c r="AT219" i="89" s="1"/>
  <c r="L85" i="89"/>
  <c r="AW214" i="89" l="1"/>
  <c r="AY214" i="89" s="1"/>
  <c r="C7" i="51"/>
  <c r="D18" i="64" s="1"/>
  <c r="K76" i="89"/>
  <c r="K75" i="89"/>
  <c r="K85" i="89"/>
  <c r="K84" i="89" s="1"/>
  <c r="AW210" i="89"/>
  <c r="AY210" i="89" s="1"/>
  <c r="AW209" i="89"/>
  <c r="N103" i="89" l="1"/>
  <c r="AY209" i="89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0" i="85"/>
  <c r="C103" i="85"/>
  <c r="C4" i="85"/>
  <c r="C100" i="85"/>
  <c r="C143" i="85"/>
  <c r="C38" i="85"/>
  <c r="C112" i="85"/>
  <c r="C167" i="85"/>
  <c r="C144" i="85"/>
  <c r="C155" i="85"/>
  <c r="C21" i="85"/>
  <c r="C146" i="85"/>
  <c r="C102" i="85"/>
  <c r="C161" i="85"/>
  <c r="C165" i="85"/>
  <c r="C9" i="85"/>
  <c r="C12" i="85"/>
  <c r="C141" i="85"/>
  <c r="C18" i="85"/>
  <c r="C157" i="85"/>
  <c r="C24" i="85"/>
  <c r="C108" i="85"/>
  <c r="C121" i="85"/>
  <c r="C151" i="85"/>
  <c r="C104" i="85"/>
  <c r="C158" i="85"/>
  <c r="C96" i="85"/>
  <c r="C129" i="85"/>
  <c r="C26" i="85"/>
  <c r="C20" i="85"/>
  <c r="C130" i="85"/>
  <c r="C125" i="85"/>
  <c r="C45" i="85"/>
  <c r="C139" i="85"/>
  <c r="C162" i="85"/>
  <c r="C134" i="85"/>
  <c r="C95" i="85"/>
  <c r="C109" i="85"/>
  <c r="C77" i="85"/>
  <c r="C23" i="85"/>
  <c r="C140" i="85"/>
  <c r="C87" i="85"/>
  <c r="C133" i="85"/>
  <c r="C44" i="85"/>
  <c r="C37" i="85"/>
  <c r="C98" i="85"/>
  <c r="C107" i="85"/>
  <c r="C131" i="85"/>
  <c r="C32" i="85"/>
  <c r="C142" i="85"/>
  <c r="C19" i="85"/>
  <c r="C166" i="85"/>
  <c r="C156" i="85"/>
  <c r="C99" i="85"/>
  <c r="C119" i="85"/>
  <c r="C14" i="85"/>
  <c r="C17" i="85"/>
  <c r="C113" i="85"/>
  <c r="C164" i="85"/>
  <c r="C16" i="85"/>
  <c r="C123" i="85"/>
  <c r="C163" i="85"/>
  <c r="C3" i="85"/>
  <c r="C15" i="85"/>
  <c r="C90" i="85"/>
  <c r="C11" i="85"/>
  <c r="C111" i="85"/>
  <c r="C97" i="85"/>
  <c r="C115" i="85"/>
  <c r="C154" i="85"/>
  <c r="C114" i="85"/>
  <c r="C36" i="85"/>
  <c r="C138" i="85"/>
  <c r="C147" i="85"/>
  <c r="C160" i="85"/>
  <c r="C7" i="85"/>
  <c r="C110" i="85"/>
  <c r="C13" i="85"/>
  <c r="C105" i="85"/>
  <c r="C46" i="85"/>
  <c r="C73" i="85"/>
  <c r="C60" i="85"/>
  <c r="C145" i="85"/>
  <c r="C150" i="85"/>
  <c r="C8" i="85"/>
  <c r="C132" i="85"/>
  <c r="C71" i="85"/>
  <c r="C25" i="85"/>
  <c r="C101" i="85"/>
  <c r="C149" i="85"/>
  <c r="C106" i="85"/>
  <c r="C57" i="85"/>
  <c r="C152" i="85"/>
  <c r="C117" i="85"/>
  <c r="C6" i="85"/>
  <c r="C148" i="85"/>
  <c r="C127" i="85"/>
  <c r="C153" i="85"/>
  <c r="C39" i="85"/>
  <c r="C137" i="85"/>
  <c r="C159" i="85"/>
  <c r="C5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193" i="49"/>
  <c r="P188" i="49"/>
  <c r="P175" i="49"/>
  <c r="P174" i="49"/>
  <c r="P156" i="49"/>
  <c r="P155" i="49"/>
  <c r="P10" i="49"/>
  <c r="P9" i="49"/>
  <c r="M49" i="25" l="1"/>
  <c r="B48" i="25"/>
  <c r="C22" i="25"/>
  <c r="H14" i="25"/>
  <c r="I14" i="25" s="1"/>
  <c r="J14" i="25" s="1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88" i="85"/>
  <c r="C70" i="85"/>
  <c r="C136" i="85"/>
  <c r="C82" i="85"/>
  <c r="C22" i="85"/>
  <c r="C135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8" i="49"/>
  <c r="P1728" i="49" s="1"/>
  <c r="Q1729" i="49"/>
  <c r="P1729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O74" i="78"/>
  <c r="C72" i="85"/>
  <c r="H74" i="78"/>
  <c r="E74" i="78"/>
  <c r="M74" i="78"/>
  <c r="T74" i="78"/>
  <c r="U74" i="78"/>
  <c r="S74" i="78"/>
  <c r="F74" i="78"/>
  <c r="R74" i="78"/>
  <c r="G74" i="78"/>
  <c r="D74" i="78"/>
  <c r="P74" i="78"/>
  <c r="C30" i="85"/>
  <c r="Q74" i="78"/>
  <c r="N74" i="78"/>
  <c r="I74" i="78"/>
  <c r="J74" i="78"/>
  <c r="K74" i="78"/>
  <c r="L74" i="78"/>
  <c r="L53" i="58" l="1"/>
  <c r="K41" i="58"/>
  <c r="L41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L7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L9" i="58" s="1"/>
  <c r="L16" i="58" s="1"/>
  <c r="K17" i="39"/>
  <c r="E16" i="87"/>
  <c r="E21" i="87" s="1"/>
  <c r="D31" i="64" s="1"/>
  <c r="C21" i="87"/>
  <c r="I13" i="25"/>
  <c r="H15" i="25"/>
  <c r="H17" i="25" s="1"/>
  <c r="B46" i="25"/>
  <c r="E73" i="78"/>
  <c r="R73" i="78"/>
  <c r="P73" i="78"/>
  <c r="O73" i="78"/>
  <c r="N73" i="78"/>
  <c r="H73" i="78"/>
  <c r="J73" i="78"/>
  <c r="T73" i="78"/>
  <c r="K73" i="78"/>
  <c r="G73" i="78"/>
  <c r="F73" i="78"/>
  <c r="I73" i="78"/>
  <c r="Q73" i="78"/>
  <c r="L73" i="78"/>
  <c r="U73" i="78"/>
  <c r="S73" i="78"/>
  <c r="D73" i="78"/>
  <c r="M73" i="78"/>
  <c r="M24" i="58" l="1"/>
  <c r="M16" i="58"/>
  <c r="L54" i="58"/>
  <c r="L42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D72" i="78"/>
  <c r="F72" i="78"/>
  <c r="Q72" i="78"/>
  <c r="M72" i="78"/>
  <c r="E72" i="78"/>
  <c r="U72" i="78"/>
  <c r="I72" i="78"/>
  <c r="G72" i="78"/>
  <c r="H72" i="78"/>
  <c r="K72" i="78"/>
  <c r="O72" i="78"/>
  <c r="R72" i="78"/>
  <c r="P72" i="78"/>
  <c r="T72" i="78"/>
  <c r="S72" i="78"/>
  <c r="L72" i="78"/>
  <c r="N72" i="78"/>
  <c r="J72" i="78"/>
  <c r="L19" i="58" l="1"/>
  <c r="L18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M71" i="78"/>
  <c r="U71" i="78"/>
  <c r="F71" i="78"/>
  <c r="O71" i="78"/>
  <c r="J71" i="78"/>
  <c r="N71" i="78"/>
  <c r="R71" i="78"/>
  <c r="E71" i="78"/>
  <c r="S71" i="78"/>
  <c r="H71" i="78"/>
  <c r="I71" i="78"/>
  <c r="Q71" i="78"/>
  <c r="G71" i="78"/>
  <c r="K71" i="78"/>
  <c r="P71" i="78"/>
  <c r="L71" i="78"/>
  <c r="T71" i="78"/>
  <c r="D71" i="78"/>
  <c r="C55" i="85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76" i="49"/>
  <c r="P14" i="49"/>
  <c r="Q168" i="49"/>
  <c r="P168" i="49" s="1"/>
  <c r="C6" i="64"/>
  <c r="B43" i="25"/>
  <c r="N44" i="25"/>
  <c r="E70" i="78"/>
  <c r="D70" i="78"/>
  <c r="P70" i="78"/>
  <c r="I70" i="78"/>
  <c r="O70" i="78"/>
  <c r="U70" i="78"/>
  <c r="M70" i="78"/>
  <c r="R70" i="78"/>
  <c r="K70" i="78"/>
  <c r="N70" i="78"/>
  <c r="H70" i="78"/>
  <c r="S70" i="78"/>
  <c r="Q70" i="78"/>
  <c r="L70" i="78"/>
  <c r="F70" i="78"/>
  <c r="J70" i="78"/>
  <c r="G70" i="78"/>
  <c r="T70" i="78"/>
  <c r="L35" i="58" l="1"/>
  <c r="Q274" i="49" s="1"/>
  <c r="P274" i="49" s="1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U69" i="78"/>
  <c r="I69" i="78"/>
  <c r="G69" i="78"/>
  <c r="L69" i="78"/>
  <c r="J69" i="78"/>
  <c r="K69" i="78"/>
  <c r="M69" i="78"/>
  <c r="F69" i="78"/>
  <c r="O69" i="78"/>
  <c r="E69" i="78"/>
  <c r="S69" i="78"/>
  <c r="R69" i="78"/>
  <c r="P69" i="78"/>
  <c r="N69" i="78"/>
  <c r="T69" i="78"/>
  <c r="H69" i="78"/>
  <c r="D69" i="78"/>
  <c r="Q69" i="78"/>
  <c r="AW248" i="89" l="1"/>
  <c r="AY248" i="89" s="1"/>
  <c r="AW260" i="89"/>
  <c r="AY260" i="89" s="1"/>
  <c r="AW247" i="89"/>
  <c r="AY247" i="89" s="1"/>
  <c r="AW251" i="89"/>
  <c r="AY251" i="89" s="1"/>
  <c r="AW249" i="89"/>
  <c r="AY249" i="89" s="1"/>
  <c r="AW253" i="89"/>
  <c r="AW257" i="89"/>
  <c r="AW252" i="89"/>
  <c r="AY252" i="89" s="1"/>
  <c r="AW255" i="89"/>
  <c r="AW245" i="89"/>
  <c r="AW250" i="89"/>
  <c r="AW246" i="89"/>
  <c r="AW242" i="89"/>
  <c r="AW243" i="89"/>
  <c r="H68" i="51"/>
  <c r="H37" i="51" s="1"/>
  <c r="O74" i="25" s="1"/>
  <c r="P74" i="25" s="1"/>
  <c r="I68" i="51"/>
  <c r="I37" i="51" s="1"/>
  <c r="Q74" i="25" s="1"/>
  <c r="R74" i="25" s="1"/>
  <c r="C68" i="51"/>
  <c r="C37" i="51" s="1"/>
  <c r="E41" i="50"/>
  <c r="D80" i="64"/>
  <c r="E80" i="64" s="1"/>
  <c r="D73" i="64"/>
  <c r="E73" i="64" s="1"/>
  <c r="D67" i="64"/>
  <c r="E67" i="64" s="1"/>
  <c r="D81" i="64"/>
  <c r="E81" i="64" s="1"/>
  <c r="D65" i="64"/>
  <c r="E65" i="64" s="1"/>
  <c r="D66" i="64"/>
  <c r="E66" i="64" s="1"/>
  <c r="D61" i="64"/>
  <c r="E61" i="64" s="1"/>
  <c r="P12" i="78"/>
  <c r="AW240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E68" i="78"/>
  <c r="O68" i="78"/>
  <c r="J68" i="78"/>
  <c r="Q68" i="78"/>
  <c r="L68" i="78"/>
  <c r="F68" i="78"/>
  <c r="G68" i="78"/>
  <c r="R68" i="78"/>
  <c r="I68" i="78"/>
  <c r="U68" i="78"/>
  <c r="N68" i="78"/>
  <c r="S68" i="78"/>
  <c r="H68" i="78"/>
  <c r="M68" i="78"/>
  <c r="T68" i="78"/>
  <c r="P68" i="78"/>
  <c r="D68" i="78"/>
  <c r="K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I67" i="78"/>
  <c r="E67" i="78"/>
  <c r="S67" i="78"/>
  <c r="Q67" i="78"/>
  <c r="T67" i="78"/>
  <c r="L67" i="78"/>
  <c r="K67" i="78"/>
  <c r="G67" i="78"/>
  <c r="P67" i="78"/>
  <c r="R67" i="78"/>
  <c r="U67" i="78"/>
  <c r="O67" i="78"/>
  <c r="M67" i="78"/>
  <c r="F67" i="78"/>
  <c r="D67" i="78"/>
  <c r="H67" i="78"/>
  <c r="N67" i="78"/>
  <c r="J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F66" i="78"/>
  <c r="J66" i="78"/>
  <c r="U66" i="78"/>
  <c r="D66" i="78"/>
  <c r="N66" i="78"/>
  <c r="I66" i="78"/>
  <c r="E66" i="78"/>
  <c r="M66" i="78"/>
  <c r="P66" i="78"/>
  <c r="K66" i="78"/>
  <c r="S66" i="78"/>
  <c r="T66" i="78"/>
  <c r="G66" i="78"/>
  <c r="Q66" i="78"/>
  <c r="R66" i="78"/>
  <c r="L66" i="78"/>
  <c r="O66" i="78"/>
  <c r="H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M65" i="78"/>
  <c r="U65" i="78"/>
  <c r="G65" i="78"/>
  <c r="J65" i="78"/>
  <c r="E65" i="78"/>
  <c r="S65" i="78"/>
  <c r="N65" i="78"/>
  <c r="P65" i="78"/>
  <c r="K65" i="78"/>
  <c r="R65" i="78"/>
  <c r="T65" i="78"/>
  <c r="Q65" i="78"/>
  <c r="O65" i="78"/>
  <c r="I65" i="78"/>
  <c r="F65" i="78"/>
  <c r="D65" i="78"/>
  <c r="L65" i="78"/>
  <c r="H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N64" i="78"/>
  <c r="H64" i="78"/>
  <c r="D64" i="78"/>
  <c r="K64" i="78"/>
  <c r="I64" i="78"/>
  <c r="F64" i="78"/>
  <c r="U64" i="78"/>
  <c r="O64" i="78"/>
  <c r="E64" i="78"/>
  <c r="S64" i="78"/>
  <c r="R64" i="78"/>
  <c r="Q64" i="78"/>
  <c r="J64" i="78"/>
  <c r="T64" i="78"/>
  <c r="G64" i="78"/>
  <c r="M64" i="78"/>
  <c r="P64" i="78"/>
  <c r="L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S63" i="78"/>
  <c r="P63" i="78"/>
  <c r="F63" i="78"/>
  <c r="M63" i="78"/>
  <c r="Q63" i="78"/>
  <c r="J63" i="78"/>
  <c r="T63" i="78"/>
  <c r="R63" i="78"/>
  <c r="E63" i="78"/>
  <c r="G63" i="78"/>
  <c r="U63" i="78"/>
  <c r="K63" i="78"/>
  <c r="D63" i="78"/>
  <c r="O63" i="78"/>
  <c r="I63" i="78"/>
  <c r="H63" i="78"/>
  <c r="N63" i="78"/>
  <c r="L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AT213" i="89" s="1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C20" i="64" l="1"/>
  <c r="AT215" i="89"/>
  <c r="AV215" i="89" s="1"/>
  <c r="C19" i="64"/>
  <c r="R68" i="25"/>
  <c r="X67" i="25"/>
  <c r="R67" i="25"/>
  <c r="P67" i="25"/>
  <c r="P68" i="25"/>
  <c r="O80" i="25"/>
  <c r="C36" i="25"/>
  <c r="D36" i="25" s="1"/>
  <c r="G36" i="25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AW216" i="89" l="1"/>
  <c r="AY216" i="89" s="1"/>
  <c r="AV216" i="89"/>
  <c r="X66" i="25"/>
  <c r="R66" i="25"/>
  <c r="P66" i="25"/>
  <c r="C35" i="25"/>
  <c r="D35" i="25" s="1"/>
  <c r="E64" i="39"/>
  <c r="G35" i="25" s="1"/>
  <c r="H35" i="25" s="1"/>
  <c r="AW215" i="89"/>
  <c r="AY215" i="89" s="1"/>
  <c r="O35" i="25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H66" i="25"/>
  <c r="N66" i="25"/>
  <c r="F66" i="25"/>
  <c r="J66" i="25"/>
  <c r="B65" i="25"/>
  <c r="B63" i="39"/>
  <c r="B33" i="25"/>
  <c r="N34" i="25"/>
  <c r="X65" i="25" l="1"/>
  <c r="P65" i="25"/>
  <c r="R65" i="25"/>
  <c r="O34" i="25"/>
  <c r="P34" i="25" s="1"/>
  <c r="D63" i="39"/>
  <c r="Q34" i="25" s="1"/>
  <c r="C34" i="25"/>
  <c r="D34" i="25" s="1"/>
  <c r="D65" i="25"/>
  <c r="V65" i="25"/>
  <c r="T65" i="25"/>
  <c r="AW213" i="89"/>
  <c r="AY213" i="89" s="1"/>
  <c r="T33" i="25"/>
  <c r="E63" i="39"/>
  <c r="G34" i="25" s="1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AW222" i="89" l="1"/>
  <c r="AV222" i="89"/>
  <c r="X59" i="25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I15" i="135" s="1"/>
  <c r="D82" i="50" s="1"/>
  <c r="AN178" i="89" s="1"/>
  <c r="AU244" i="89" s="1"/>
  <c r="AW244" i="89" s="1"/>
  <c r="D25" i="25"/>
  <c r="D49" i="25" s="1"/>
  <c r="H25" i="25"/>
  <c r="H49" i="25" s="1"/>
  <c r="D27" i="50" s="1"/>
  <c r="AN171" i="89" s="1"/>
  <c r="AO178" i="89" l="1"/>
  <c r="AN172" i="89"/>
  <c r="AU238" i="89" s="1"/>
  <c r="AW238" i="89" s="1"/>
  <c r="X56" i="25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C51" i="64"/>
  <c r="D51" i="64" s="1"/>
  <c r="E51" i="64" s="1"/>
  <c r="D9" i="50"/>
  <c r="AY240" i="89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11" i="50" l="1"/>
  <c r="D10" i="50"/>
  <c r="E10" i="50" s="1"/>
  <c r="AO172" i="89"/>
  <c r="Q249" i="49"/>
  <c r="P249" i="49" s="1"/>
  <c r="C99" i="64"/>
  <c r="D99" i="64" s="1"/>
  <c r="E99" i="64" s="1"/>
  <c r="E82" i="50"/>
  <c r="X55" i="25"/>
  <c r="X80" i="25" s="1"/>
  <c r="G31" i="135" s="1"/>
  <c r="R55" i="25"/>
  <c r="R80" i="25" s="1"/>
  <c r="M42" i="51" s="1"/>
  <c r="D20" i="50" s="1"/>
  <c r="C64" i="64" s="1"/>
  <c r="D64" i="64" s="1"/>
  <c r="E64" i="64" s="1"/>
  <c r="P55" i="25"/>
  <c r="P80" i="25" s="1"/>
  <c r="M41" i="51" s="1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AY244" i="89" s="1"/>
  <c r="M36" i="51"/>
  <c r="D18" i="50" s="1"/>
  <c r="C62" i="64" s="1"/>
  <c r="D62" i="64" s="1"/>
  <c r="E62" i="64" s="1"/>
  <c r="AO191" i="89" l="1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M43" i="51"/>
  <c r="D19" i="50"/>
  <c r="Q93" i="49"/>
  <c r="P93" i="49" s="1"/>
  <c r="E20" i="50"/>
  <c r="Q127" i="49" s="1"/>
  <c r="P127" i="49" s="1"/>
  <c r="P114" i="49"/>
  <c r="Q117" i="49"/>
  <c r="Q91" i="49"/>
  <c r="P91" i="49" s="1"/>
  <c r="AY250" i="89"/>
  <c r="Q248" i="49"/>
  <c r="P248" i="49" s="1"/>
  <c r="AO180" i="89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N167" i="89" l="1"/>
  <c r="AU234" i="89" s="1"/>
  <c r="AW234" i="89" s="1"/>
  <c r="C63" i="64"/>
  <c r="D63" i="64" s="1"/>
  <c r="E63" i="64" s="1"/>
  <c r="Q92" i="49"/>
  <c r="P92" i="49" s="1"/>
  <c r="E19" i="50"/>
  <c r="Q126" i="49" s="1"/>
  <c r="P126" i="49" s="1"/>
  <c r="D13" i="50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N166" i="89" l="1"/>
  <c r="AO167" i="89"/>
  <c r="AY239" i="89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2" i="49" l="1"/>
  <c r="P1732" i="49" s="1"/>
  <c r="E9" i="82"/>
  <c r="C10" i="82"/>
  <c r="Q1733" i="49" s="1"/>
  <c r="P1733" i="49" s="1"/>
  <c r="E10" i="82"/>
  <c r="Q1731" i="49" s="1"/>
  <c r="P1731" i="49" s="1"/>
  <c r="Q1730" i="49" l="1"/>
  <c r="P1730" i="49" s="1"/>
  <c r="D26" i="64"/>
  <c r="C27" i="95"/>
  <c r="D52" i="50" l="1"/>
  <c r="D54" i="50"/>
  <c r="D53" i="50"/>
  <c r="D51" i="50"/>
  <c r="D55" i="50"/>
  <c r="D22" i="50"/>
  <c r="D21" i="50"/>
  <c r="F26" i="64"/>
  <c r="C104" i="39"/>
  <c r="BM278" i="89"/>
  <c r="BN278" i="89" s="1"/>
  <c r="AU223" i="89"/>
  <c r="Q24" i="49"/>
  <c r="P24" i="49" s="1"/>
  <c r="E26" i="64"/>
  <c r="C30" i="95"/>
  <c r="C21" i="95"/>
  <c r="AW223" i="89" l="1"/>
  <c r="AY223" i="89" s="1"/>
  <c r="AV223" i="89"/>
  <c r="Q218" i="49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AE149" i="89"/>
  <c r="AL149" i="89" s="1"/>
  <c r="AJ149" i="89"/>
  <c r="AK149" i="89" s="1"/>
  <c r="AK161" i="89" s="1"/>
  <c r="C103" i="39" l="1"/>
  <c r="AU225" i="89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D55" i="64"/>
  <c r="E55" i="64" s="1"/>
  <c r="AU241" i="89"/>
  <c r="AW241" i="89" l="1"/>
  <c r="AY241" i="89" l="1"/>
  <c r="Q237" i="49"/>
  <c r="P237" i="49" s="1"/>
  <c r="E70" i="50"/>
  <c r="C87" i="64"/>
  <c r="D87" i="64" s="1"/>
  <c r="E87" i="64" s="1"/>
  <c r="V32" i="58" l="1"/>
  <c r="V34" i="58" s="1"/>
  <c r="V52" i="58" s="1"/>
  <c r="V56" i="58" s="1"/>
  <c r="Q11" i="58" l="1"/>
  <c r="Q13" i="58" s="1"/>
  <c r="R13" i="58" s="1"/>
  <c r="R15" i="58" s="1"/>
  <c r="N13" i="58"/>
  <c r="Q37" i="49" s="1"/>
  <c r="P37" i="49" s="1"/>
  <c r="N16" i="58"/>
  <c r="N17" i="58"/>
  <c r="Q32" i="49" l="1"/>
  <c r="P32" i="49" s="1"/>
  <c r="K35" i="39"/>
  <c r="S15" i="58"/>
  <c r="N15" i="58"/>
  <c r="Q112" i="89" s="1"/>
  <c r="Q33" i="49"/>
  <c r="P33" i="49" s="1"/>
  <c r="N14" i="58"/>
  <c r="Q113" i="89" s="1"/>
  <c r="Q15" i="58"/>
  <c r="C10" i="58"/>
  <c r="T124" i="89" s="1"/>
  <c r="U124" i="89" s="1"/>
  <c r="Q114" i="89" l="1"/>
  <c r="Q38" i="49"/>
  <c r="P38" i="49" s="1"/>
  <c r="N19" i="58"/>
  <c r="Q165" i="49"/>
  <c r="P165" i="49" s="1"/>
  <c r="N18" i="58"/>
  <c r="Q16" i="58"/>
  <c r="R16" i="58" s="1"/>
  <c r="R17" i="58" s="1"/>
  <c r="Q18" i="58" s="1"/>
  <c r="Q36" i="49"/>
  <c r="P36" i="49" s="1"/>
  <c r="K36" i="39"/>
  <c r="C99" i="39" s="1"/>
  <c r="Q17" i="58" l="1"/>
  <c r="C12" i="58"/>
  <c r="Q35" i="49"/>
  <c r="P35" i="49" s="1"/>
  <c r="Q34" i="49"/>
  <c r="P34" i="49" s="1"/>
  <c r="Q166" i="49"/>
  <c r="P166" i="49" s="1"/>
  <c r="C11" i="58"/>
  <c r="T123" i="89" l="1"/>
  <c r="C9" i="58"/>
  <c r="U123" i="89" l="1"/>
  <c r="T122" i="89"/>
  <c r="T125" i="89" s="1"/>
  <c r="Q179" i="49"/>
  <c r="P179" i="49" s="1"/>
  <c r="L8" i="51"/>
  <c r="C5" i="58"/>
  <c r="D80" i="50" s="1"/>
  <c r="D78" i="50" l="1"/>
  <c r="D79" i="50"/>
  <c r="D76" i="50"/>
  <c r="D77" i="50"/>
  <c r="D61" i="50"/>
  <c r="D62" i="50"/>
  <c r="D59" i="50"/>
  <c r="D60" i="50"/>
  <c r="D57" i="50"/>
  <c r="D58" i="50"/>
  <c r="N30" i="58"/>
  <c r="O30" i="58" s="1"/>
  <c r="D66" i="50"/>
  <c r="D73" i="50"/>
  <c r="Q158" i="49"/>
  <c r="P158" i="49" s="1"/>
  <c r="Q177" i="49"/>
  <c r="P177" i="49" s="1"/>
  <c r="D67" i="50"/>
  <c r="D65" i="50"/>
  <c r="D72" i="50"/>
  <c r="Q31" i="49"/>
  <c r="P31" i="49" s="1"/>
  <c r="L6" i="51"/>
  <c r="L10" i="51" s="1"/>
  <c r="D71" i="50"/>
  <c r="D75" i="50"/>
  <c r="D74" i="50"/>
  <c r="D68" i="50"/>
  <c r="D69" i="50"/>
  <c r="E76" i="50" l="1"/>
  <c r="AN193" i="89"/>
  <c r="AU259" i="89" s="1"/>
  <c r="AW259" i="89" s="1"/>
  <c r="AY259" i="89" s="1"/>
  <c r="AN192" i="89"/>
  <c r="AU258" i="89" s="1"/>
  <c r="AW258" i="89" s="1"/>
  <c r="AN190" i="89"/>
  <c r="AU256" i="89" s="1"/>
  <c r="AW256" i="89" s="1"/>
  <c r="AY256" i="89" s="1"/>
  <c r="AN188" i="89"/>
  <c r="AU254" i="89" s="1"/>
  <c r="AW254" i="89" s="1"/>
  <c r="AY254" i="89" s="1"/>
  <c r="C93" i="64"/>
  <c r="D93" i="64" s="1"/>
  <c r="E93" i="64" s="1"/>
  <c r="Q243" i="49"/>
  <c r="P243" i="49" s="1"/>
  <c r="L9" i="51"/>
  <c r="Q236" i="49"/>
  <c r="P236" i="49" s="1"/>
  <c r="E69" i="50"/>
  <c r="C86" i="64"/>
  <c r="D86" i="64" s="1"/>
  <c r="E86" i="64" s="1"/>
  <c r="Q235" i="49"/>
  <c r="P235" i="49" s="1"/>
  <c r="E68" i="50"/>
  <c r="C85" i="64"/>
  <c r="D85" i="64" s="1"/>
  <c r="E85" i="64" s="1"/>
  <c r="Q240" i="49"/>
  <c r="P240" i="49" s="1"/>
  <c r="E73" i="50"/>
  <c r="C90" i="64"/>
  <c r="D90" i="64" s="1"/>
  <c r="E90" i="64" s="1"/>
  <c r="Q241" i="49"/>
  <c r="P241" i="49" s="1"/>
  <c r="E74" i="50"/>
  <c r="C91" i="64"/>
  <c r="D91" i="64" s="1"/>
  <c r="E91" i="64" s="1"/>
  <c r="Q238" i="49"/>
  <c r="P238" i="49" s="1"/>
  <c r="E71" i="50"/>
  <c r="C88" i="64"/>
  <c r="D88" i="64" s="1"/>
  <c r="E88" i="64" s="1"/>
  <c r="Q239" i="49"/>
  <c r="P239" i="49" s="1"/>
  <c r="E72" i="50"/>
  <c r="C89" i="64"/>
  <c r="D89" i="64" s="1"/>
  <c r="E89" i="64" s="1"/>
  <c r="Q234" i="49"/>
  <c r="P234" i="49" s="1"/>
  <c r="E67" i="50"/>
  <c r="C84" i="64"/>
  <c r="D84" i="64" s="1"/>
  <c r="E84" i="64" s="1"/>
  <c r="Q233" i="49"/>
  <c r="P233" i="49" s="1"/>
  <c r="E66" i="50"/>
  <c r="C83" i="64"/>
  <c r="D83" i="64" s="1"/>
  <c r="E83" i="64" s="1"/>
  <c r="Q242" i="49"/>
  <c r="P242" i="49" s="1"/>
  <c r="E75" i="50"/>
  <c r="C92" i="64"/>
  <c r="D92" i="64" s="1"/>
  <c r="E92" i="64" s="1"/>
  <c r="T29" i="58"/>
  <c r="AA141" i="89"/>
  <c r="Q232" i="49"/>
  <c r="P232" i="49" s="1"/>
  <c r="E65" i="50"/>
  <c r="C82" i="64"/>
  <c r="D82" i="64" s="1"/>
  <c r="E82" i="64" s="1"/>
  <c r="AO193" i="89" l="1"/>
  <c r="AY257" i="89"/>
  <c r="AO192" i="89"/>
  <c r="AO190" i="89"/>
  <c r="AY255" i="89"/>
  <c r="AC141" i="89"/>
  <c r="AD141" i="89"/>
  <c r="C21" i="58"/>
  <c r="M42" i="58"/>
  <c r="N42" i="58" s="1"/>
  <c r="M44" i="58"/>
  <c r="N44" i="58" s="1"/>
  <c r="M46" i="58"/>
  <c r="N46" i="58" s="1"/>
  <c r="C68" i="58"/>
  <c r="C18" i="58"/>
  <c r="M54" i="58"/>
  <c r="N54" i="58" s="1"/>
  <c r="M56" i="58"/>
  <c r="N56" i="58" s="1"/>
  <c r="M58" i="58"/>
  <c r="N58" i="58" s="1"/>
  <c r="C20" i="58"/>
  <c r="C22" i="58"/>
  <c r="M41" i="58"/>
  <c r="M43" i="58"/>
  <c r="N43" i="58" s="1"/>
  <c r="M45" i="58"/>
  <c r="N45" i="58" s="1"/>
  <c r="M47" i="58"/>
  <c r="N47" i="58" s="1"/>
  <c r="M53" i="58"/>
  <c r="M55" i="58"/>
  <c r="N55" i="58" s="1"/>
  <c r="M57" i="58"/>
  <c r="N57" i="58" s="1"/>
  <c r="M59" i="58"/>
  <c r="N59" i="58" s="1"/>
  <c r="U29" i="58"/>
  <c r="W29" i="58" s="1"/>
  <c r="T32" i="58"/>
  <c r="N53" i="58" l="1"/>
  <c r="N60" i="58" s="1"/>
  <c r="CG315" i="89" s="1"/>
  <c r="K60" i="58"/>
  <c r="M60" i="58"/>
  <c r="K48" i="58"/>
  <c r="M48" i="58"/>
  <c r="N41" i="58"/>
  <c r="N48" i="58" s="1"/>
  <c r="CG314" i="89" s="1"/>
  <c r="Q268" i="49"/>
  <c r="P268" i="49" s="1"/>
  <c r="F20" i="58"/>
  <c r="CD312" i="89"/>
  <c r="C23" i="58"/>
  <c r="E6" i="58" s="1"/>
  <c r="F18" i="58"/>
  <c r="Q44" i="49"/>
  <c r="P44" i="49" s="1"/>
  <c r="R11" i="58"/>
  <c r="AA139" i="89"/>
  <c r="CD310" i="89"/>
  <c r="Q42" i="49"/>
  <c r="P42" i="49" s="1"/>
  <c r="CD315" i="89"/>
  <c r="F21" i="58"/>
  <c r="Q270" i="49"/>
  <c r="P270" i="49" s="1"/>
  <c r="CD313" i="89"/>
  <c r="AY258" i="89" l="1"/>
  <c r="CD316" i="89"/>
  <c r="Q269" i="49"/>
  <c r="P269" i="49" s="1"/>
  <c r="CG312" i="89"/>
  <c r="AC139" i="89"/>
  <c r="AC142" i="89" s="1"/>
  <c r="AD139" i="89"/>
  <c r="AA142" i="89"/>
  <c r="E22" i="58"/>
  <c r="Q271" i="49"/>
  <c r="P271" i="49" s="1"/>
  <c r="CG313" i="89"/>
  <c r="L13" i="51"/>
  <c r="L14" i="51" s="1"/>
  <c r="C6" i="51" s="1"/>
  <c r="Q45" i="49"/>
  <c r="P45" i="49" s="1"/>
  <c r="CG310" i="89"/>
  <c r="C1531" i="85"/>
  <c r="C314" i="85"/>
  <c r="C1604" i="85"/>
  <c r="C1740" i="85"/>
  <c r="C480" i="85"/>
  <c r="C1887" i="85"/>
  <c r="C1760" i="85"/>
  <c r="C588" i="85"/>
  <c r="C196" i="85"/>
  <c r="C1405" i="85"/>
  <c r="C176" i="85"/>
  <c r="C1585" i="85"/>
  <c r="C560" i="85"/>
  <c r="C1259" i="85"/>
  <c r="C660" i="85"/>
  <c r="C1108" i="85"/>
  <c r="C1327" i="85"/>
  <c r="C1997" i="85"/>
  <c r="C605" i="85"/>
  <c r="C283" i="85"/>
  <c r="C1619" i="85"/>
  <c r="C582" i="85"/>
  <c r="C548" i="85"/>
  <c r="C1503" i="85"/>
  <c r="C1704" i="85"/>
  <c r="C1854" i="85"/>
  <c r="C388" i="85"/>
  <c r="C1836" i="85"/>
  <c r="C1994" i="85"/>
  <c r="C1988" i="85"/>
  <c r="C1860" i="85"/>
  <c r="C586" i="85"/>
  <c r="C348" i="85"/>
  <c r="C1077" i="85"/>
  <c r="C1025" i="85"/>
  <c r="C997" i="85"/>
  <c r="C248" i="85"/>
  <c r="C1900" i="85"/>
  <c r="C254" i="85"/>
  <c r="C1556" i="85"/>
  <c r="C1833" i="85"/>
  <c r="C946" i="85"/>
  <c r="C731" i="85"/>
  <c r="C1479" i="85"/>
  <c r="C937" i="85"/>
  <c r="C1838" i="85"/>
  <c r="C1336" i="85"/>
  <c r="C705" i="85"/>
  <c r="C1980" i="85"/>
  <c r="C1596" i="85"/>
  <c r="C502" i="85"/>
  <c r="C884" i="85"/>
  <c r="C733" i="85"/>
  <c r="C1258" i="85"/>
  <c r="C301" i="85"/>
  <c r="C616" i="85"/>
  <c r="C1773" i="85"/>
  <c r="C604" i="85"/>
  <c r="C1512" i="85"/>
  <c r="C719" i="85"/>
  <c r="C899" i="85"/>
  <c r="C1245" i="85"/>
  <c r="C1053" i="85"/>
  <c r="C908" i="85"/>
  <c r="C962" i="85"/>
  <c r="C458" i="85"/>
  <c r="C1583" i="85"/>
  <c r="C1702" i="85"/>
  <c r="C930" i="85"/>
  <c r="C289" i="85"/>
  <c r="C1490" i="85"/>
  <c r="C252" i="85"/>
  <c r="C840" i="85"/>
  <c r="C339" i="85"/>
  <c r="C1750" i="85"/>
  <c r="C572" i="85"/>
  <c r="C1625" i="85"/>
  <c r="C1972" i="85"/>
  <c r="C1879" i="85"/>
  <c r="C1163" i="85"/>
  <c r="C981" i="85"/>
  <c r="C1099" i="85"/>
  <c r="C1101" i="85"/>
  <c r="C1296" i="85"/>
  <c r="C255" i="85"/>
  <c r="C1051" i="85"/>
  <c r="C1480" i="85"/>
  <c r="C393" i="85"/>
  <c r="C1938" i="85"/>
  <c r="C1093" i="85"/>
  <c r="C933" i="85"/>
  <c r="C928" i="85"/>
  <c r="C430" i="85"/>
  <c r="C579" i="85"/>
  <c r="C1293" i="85"/>
  <c r="C1221" i="85"/>
  <c r="C1487" i="85"/>
  <c r="C1518" i="85"/>
  <c r="C1799" i="85"/>
  <c r="C635" i="85"/>
  <c r="C1335" i="85"/>
  <c r="C1284" i="85"/>
  <c r="C1542" i="85"/>
  <c r="C871" i="85"/>
  <c r="C1349" i="85"/>
  <c r="C1173" i="85"/>
  <c r="C920" i="85"/>
  <c r="C223" i="85"/>
  <c r="C551" i="85"/>
  <c r="C862" i="85"/>
  <c r="C826" i="85"/>
  <c r="C531" i="85"/>
  <c r="C1188" i="85"/>
  <c r="C1493" i="85"/>
  <c r="C1834" i="85"/>
  <c r="C825" i="85"/>
  <c r="C1852" i="85"/>
  <c r="C1914" i="85"/>
  <c r="C769" i="85"/>
  <c r="C246" i="85"/>
  <c r="C574" i="85"/>
  <c r="C959" i="85"/>
  <c r="C1274" i="85"/>
  <c r="C1837" i="85"/>
  <c r="C539" i="85"/>
  <c r="C1231" i="85"/>
  <c r="C1320" i="85"/>
  <c r="C759" i="85"/>
  <c r="C1138" i="85"/>
  <c r="C999" i="85"/>
  <c r="C1341" i="85"/>
  <c r="C1986" i="85"/>
  <c r="C519" i="85"/>
  <c r="C646" i="85"/>
  <c r="C461" i="85"/>
  <c r="C345" i="85"/>
  <c r="C1708" i="85"/>
  <c r="C205" i="85"/>
  <c r="C423" i="85"/>
  <c r="C1353" i="85"/>
  <c r="C1695" i="85"/>
  <c r="C1364" i="85"/>
  <c r="C369" i="85"/>
  <c r="C1753" i="85"/>
  <c r="C1859" i="85"/>
  <c r="C945" i="85"/>
  <c r="C636" i="85"/>
  <c r="C525" i="85"/>
  <c r="C67" i="85"/>
  <c r="C1363" i="85"/>
  <c r="C258" i="85"/>
  <c r="C1872" i="85"/>
  <c r="C1907" i="85"/>
  <c r="C1774" i="85"/>
  <c r="C429" i="85"/>
  <c r="C1974" i="85"/>
  <c r="C334" i="85"/>
  <c r="C1116" i="85"/>
  <c r="C1992" i="85"/>
  <c r="C1581" i="85"/>
  <c r="C782" i="85"/>
  <c r="C444" i="85"/>
  <c r="C1565" i="85"/>
  <c r="C653" i="85"/>
  <c r="C1299" i="85"/>
  <c r="C775" i="85"/>
  <c r="C483" i="85"/>
  <c r="C250" i="85"/>
  <c r="C1720" i="85"/>
  <c r="C1415" i="85"/>
  <c r="C365" i="85"/>
  <c r="C1969" i="85"/>
  <c r="C873" i="85"/>
  <c r="C1054" i="85"/>
  <c r="C1687" i="85"/>
  <c r="C262" i="85"/>
  <c r="C228" i="85"/>
  <c r="C992" i="85"/>
  <c r="C463" i="85"/>
  <c r="C1671" i="85"/>
  <c r="C1298" i="85"/>
  <c r="C361" i="85"/>
  <c r="C1369" i="85"/>
  <c r="C864" i="85"/>
  <c r="C1785" i="85"/>
  <c r="C1517" i="85"/>
  <c r="C1159" i="85"/>
  <c r="C520" i="85"/>
  <c r="C1569" i="85"/>
  <c r="C266" i="85"/>
  <c r="C1670" i="85"/>
  <c r="C896" i="85"/>
  <c r="C479" i="85"/>
  <c r="C532" i="85"/>
  <c r="C1251" i="85"/>
  <c r="C1253" i="85"/>
  <c r="C1140" i="85"/>
  <c r="C1665" i="85"/>
  <c r="C489" i="85"/>
  <c r="C568" i="85"/>
  <c r="C389" i="85"/>
  <c r="C406" i="85"/>
  <c r="C400" i="85"/>
  <c r="C591" i="85"/>
  <c r="C1346" i="85"/>
  <c r="C35" i="85"/>
  <c r="C915" i="85"/>
  <c r="C403" i="85"/>
  <c r="C251" i="85"/>
  <c r="C1578" i="85"/>
  <c r="C1113" i="85"/>
  <c r="C1648" i="85"/>
  <c r="C341" i="85"/>
  <c r="C404" i="85"/>
  <c r="C1840" i="85"/>
  <c r="C394" i="85"/>
  <c r="C1045" i="85"/>
  <c r="C1822" i="85"/>
  <c r="C1611" i="85"/>
  <c r="C1861" i="85"/>
  <c r="C747" i="85"/>
  <c r="C363" i="85"/>
  <c r="C1155" i="85"/>
  <c r="C1006" i="85"/>
  <c r="C540" i="85"/>
  <c r="C257" i="85"/>
  <c r="C965" i="85"/>
  <c r="C1993" i="85"/>
  <c r="C1892" i="85"/>
  <c r="C335" i="85"/>
  <c r="C1857" i="85"/>
  <c r="C903" i="85"/>
  <c r="C1699" i="85"/>
  <c r="C1007" i="85"/>
  <c r="C1815" i="85"/>
  <c r="C1330" i="85"/>
  <c r="C398" i="85"/>
  <c r="C1389" i="85"/>
  <c r="C317" i="85"/>
  <c r="C297" i="85"/>
  <c r="C1375" i="85"/>
  <c r="C651" i="85"/>
  <c r="C1653" i="85"/>
  <c r="C626" i="85"/>
  <c r="C1018" i="85"/>
  <c r="C1200" i="85"/>
  <c r="C1238" i="85"/>
  <c r="C1901" i="85"/>
  <c r="C1640" i="85"/>
  <c r="C222" i="85"/>
  <c r="C27" i="85"/>
  <c r="C1222" i="85"/>
  <c r="C206" i="85"/>
  <c r="C722" i="85"/>
  <c r="C1315" i="85"/>
  <c r="C904" i="85"/>
  <c r="C1396" i="85"/>
  <c r="C1812" i="85"/>
  <c r="C86" i="85"/>
  <c r="C405" i="85"/>
  <c r="C1448" i="85"/>
  <c r="C522" i="85"/>
  <c r="C712" i="85"/>
  <c r="C1779" i="85"/>
  <c r="C171" i="85"/>
  <c r="C47" i="85"/>
  <c r="C1899" i="85"/>
  <c r="C1783" i="85"/>
  <c r="C1905" i="85"/>
  <c r="C900" i="85"/>
  <c r="C1600" i="85"/>
  <c r="C343" i="85"/>
  <c r="C290" i="85"/>
  <c r="C441" i="85"/>
  <c r="C465" i="85"/>
  <c r="C647" i="85"/>
  <c r="C1156" i="85"/>
  <c r="C1494" i="85"/>
  <c r="C1194" i="85"/>
  <c r="C700" i="85"/>
  <c r="C607" i="85"/>
  <c r="C333" i="85"/>
  <c r="C1344" i="85"/>
  <c r="C1629" i="85"/>
  <c r="C1858" i="85"/>
  <c r="C1436" i="85"/>
  <c r="C1728" i="85"/>
  <c r="C638" i="85"/>
  <c r="C377" i="85"/>
  <c r="C1504" i="85"/>
  <c r="C40" i="85"/>
  <c r="C1119" i="85"/>
  <c r="C645" i="85"/>
  <c r="C1095" i="85"/>
  <c r="C812" i="85"/>
  <c r="C1727" i="85"/>
  <c r="C293" i="85"/>
  <c r="C1824" i="85"/>
  <c r="C242" i="85"/>
  <c r="C1509" i="85"/>
  <c r="C608" i="85"/>
  <c r="C1149" i="85"/>
  <c r="C806" i="85"/>
  <c r="C1803" i="85"/>
  <c r="C1153" i="85"/>
  <c r="C1106" i="85"/>
  <c r="C1139" i="85"/>
  <c r="C1688" i="85"/>
  <c r="C1104" i="85"/>
  <c r="C878" i="85"/>
  <c r="C1211" i="85"/>
  <c r="C418" i="85"/>
  <c r="C723" i="85"/>
  <c r="C842" i="85"/>
  <c r="C1733" i="85"/>
  <c r="C358" i="85"/>
  <c r="C1230" i="85"/>
  <c r="C1401" i="85"/>
  <c r="C675" i="85"/>
  <c r="C951" i="85"/>
  <c r="C1437" i="85"/>
  <c r="C1806" i="85"/>
  <c r="C1792" i="85"/>
  <c r="C1272" i="85"/>
  <c r="C1814" i="85"/>
  <c r="C1608" i="85"/>
  <c r="C822" i="85"/>
  <c r="C1409" i="85"/>
  <c r="C1851" i="85"/>
  <c r="C600" i="85"/>
  <c r="C332" i="85"/>
  <c r="C1311" i="85"/>
  <c r="C655" i="85"/>
  <c r="C830" i="85"/>
  <c r="C1780" i="85"/>
  <c r="C704" i="85"/>
  <c r="C1555" i="85"/>
  <c r="C566" i="85"/>
  <c r="C308" i="85"/>
  <c r="C1655" i="85"/>
  <c r="C994" i="85"/>
  <c r="C943" i="85"/>
  <c r="C596" i="85"/>
  <c r="C556" i="85"/>
  <c r="C501" i="85"/>
  <c r="C922" i="85"/>
  <c r="C488" i="85"/>
  <c r="C793" i="85"/>
  <c r="C1846" i="85"/>
  <c r="C500" i="85"/>
  <c r="C1698" i="85"/>
  <c r="C977" i="85"/>
  <c r="C320" i="85"/>
  <c r="C774" i="85"/>
  <c r="C801" i="85"/>
  <c r="C846" i="85"/>
  <c r="C211" i="85"/>
  <c r="C1234" i="85"/>
  <c r="C452" i="85"/>
  <c r="C847" i="85"/>
  <c r="C442" i="85"/>
  <c r="C230" i="85"/>
  <c r="C771" i="85"/>
  <c r="C589" i="85"/>
  <c r="C554" i="85"/>
  <c r="C188" i="85"/>
  <c r="C613" i="85"/>
  <c r="C1775" i="85"/>
  <c r="C1328" i="85"/>
  <c r="C1055" i="85"/>
  <c r="C973" i="85"/>
  <c r="C936" i="85"/>
  <c r="C1573" i="85"/>
  <c r="C1470" i="85"/>
  <c r="C69" i="85"/>
  <c r="C573" i="85"/>
  <c r="C1158" i="85"/>
  <c r="C706" i="85"/>
  <c r="C1601" i="85"/>
  <c r="C1659" i="85"/>
  <c r="C1434" i="85"/>
  <c r="C336" i="85"/>
  <c r="C1169" i="85"/>
  <c r="C1421" i="85"/>
  <c r="C750" i="85"/>
  <c r="C236" i="85"/>
  <c r="C1924" i="85"/>
  <c r="C1875" i="85"/>
  <c r="C492" i="85"/>
  <c r="C1348" i="85"/>
  <c r="C734" i="85"/>
  <c r="C557" i="85"/>
  <c r="C376" i="85"/>
  <c r="C1934" i="85"/>
  <c r="C1526" i="85"/>
  <c r="C819" i="85"/>
  <c r="C1605" i="85"/>
  <c r="C1587" i="85"/>
  <c r="C1689" i="85"/>
  <c r="C1511" i="85"/>
  <c r="C170" i="85"/>
  <c r="C1047" i="85"/>
  <c r="C1471" i="85"/>
  <c r="C259" i="85"/>
  <c r="C627" i="85"/>
  <c r="C1620" i="85"/>
  <c r="C427" i="85"/>
  <c r="C803" i="85"/>
  <c r="C766" i="85"/>
  <c r="C1957" i="85"/>
  <c r="C1150" i="85"/>
  <c r="C507" i="85"/>
  <c r="C1098" i="85"/>
  <c r="C1281" i="85"/>
  <c r="C550" i="85"/>
  <c r="C1036" i="85"/>
  <c r="C1498" i="85"/>
  <c r="C1379" i="85"/>
  <c r="C280" i="85"/>
  <c r="C350" i="85"/>
  <c r="C788" i="85"/>
  <c r="C1031" i="85"/>
  <c r="C1749" i="85"/>
  <c r="C386" i="85"/>
  <c r="C224" i="85"/>
  <c r="C179" i="85"/>
  <c r="C1734" i="85"/>
  <c r="C1510" i="85"/>
  <c r="C1513" i="85"/>
  <c r="C821" i="85"/>
  <c r="C312" i="85"/>
  <c r="C1528" i="85"/>
  <c r="C938" i="85"/>
  <c r="C657" i="85"/>
  <c r="C578" i="85"/>
  <c r="C207" i="85"/>
  <c r="C1956" i="85"/>
  <c r="C219" i="85"/>
  <c r="C1373" i="85"/>
  <c r="C1747" i="85"/>
  <c r="C307" i="85"/>
  <c r="C998" i="85"/>
  <c r="C648" i="85"/>
  <c r="C1254" i="85"/>
  <c r="C451" i="85"/>
  <c r="C1566" i="85"/>
  <c r="C1408" i="85"/>
  <c r="C1781" i="85"/>
  <c r="C1639" i="85"/>
  <c r="C194" i="85"/>
  <c r="C944" i="85"/>
  <c r="C1227" i="85"/>
  <c r="C851" i="85"/>
  <c r="C274" i="85"/>
  <c r="C674" i="85"/>
  <c r="C1948" i="85"/>
  <c r="C931" i="85"/>
  <c r="C356" i="85"/>
  <c r="C781" i="85"/>
  <c r="C1213" i="85"/>
  <c r="C1165" i="85"/>
  <c r="C1897" i="85"/>
  <c r="C1175" i="85"/>
  <c r="C193" i="85"/>
  <c r="C866" i="85"/>
  <c r="C1154" i="85"/>
  <c r="C1536" i="85"/>
  <c r="C1395" i="85"/>
  <c r="C390" i="85"/>
  <c r="C1876" i="85"/>
  <c r="C1603" i="85"/>
  <c r="C1037" i="85"/>
  <c r="C411" i="85"/>
  <c r="C1088" i="85"/>
  <c r="C1693" i="85"/>
  <c r="C1540" i="85"/>
  <c r="C956" i="85"/>
  <c r="C1453" i="85"/>
  <c r="C235" i="85"/>
  <c r="C1247" i="85"/>
  <c r="C1457" i="85"/>
  <c r="C1345" i="85"/>
  <c r="C559" i="85"/>
  <c r="C424" i="85"/>
  <c r="C1984" i="85"/>
  <c r="C1874" i="85"/>
  <c r="C1050" i="85"/>
  <c r="C649" i="85"/>
  <c r="C950" i="85"/>
  <c r="C1361" i="85"/>
  <c r="C186" i="85"/>
  <c r="C1895" i="85"/>
  <c r="C1589" i="85"/>
  <c r="C737" i="85"/>
  <c r="C1500" i="85"/>
  <c r="C897" i="85"/>
  <c r="C898" i="85"/>
  <c r="C1167" i="85"/>
  <c r="C1489" i="85"/>
  <c r="C799" i="85"/>
  <c r="C1324" i="85"/>
  <c r="C178" i="85"/>
  <c r="C1691" i="85"/>
  <c r="C837" i="85"/>
  <c r="C1226" i="85"/>
  <c r="C495" i="85"/>
  <c r="C695" i="85"/>
  <c r="C1706" i="85"/>
  <c r="C1580" i="85"/>
  <c r="C620" i="85"/>
  <c r="C1738" i="85"/>
  <c r="C1943" i="85"/>
  <c r="C614" i="85"/>
  <c r="C1443" i="85"/>
  <c r="C610" i="85"/>
  <c r="C687" i="85"/>
  <c r="C1413" i="85"/>
  <c r="C684" i="85"/>
  <c r="C294" i="85"/>
  <c r="C818" i="85"/>
  <c r="C1769" i="85"/>
  <c r="C1352" i="85"/>
  <c r="C33" i="85"/>
  <c r="C1577" i="85"/>
  <c r="C1264" i="85"/>
  <c r="C758" i="85"/>
  <c r="C1068" i="85"/>
  <c r="C421" i="85"/>
  <c r="C1745" i="85"/>
  <c r="C81" i="85"/>
  <c r="C509" i="85"/>
  <c r="C692" i="85"/>
  <c r="C1019" i="85"/>
  <c r="C1126" i="85"/>
  <c r="C1594" i="85"/>
  <c r="C1732" i="85"/>
  <c r="C1827" i="85"/>
  <c r="C764" i="85"/>
  <c r="C876" i="85"/>
  <c r="C1316" i="85"/>
  <c r="C184" i="85"/>
  <c r="C1476" i="85"/>
  <c r="C1376" i="85"/>
  <c r="C1576" i="85"/>
  <c r="C1420" i="85"/>
  <c r="C1176" i="85"/>
  <c r="C953" i="85"/>
  <c r="C1656" i="85"/>
  <c r="C599" i="85"/>
  <c r="C1383" i="85"/>
  <c r="C1975" i="85"/>
  <c r="C1501" i="85"/>
  <c r="C611" i="85"/>
  <c r="C1429" i="85"/>
  <c r="C1248" i="85"/>
  <c r="C1962" i="85"/>
  <c r="C1960" i="85"/>
  <c r="C1239" i="85"/>
  <c r="C975" i="85"/>
  <c r="C1765" i="85"/>
  <c r="C1558" i="85"/>
  <c r="C823" i="85"/>
  <c r="C1544" i="85"/>
  <c r="C538" i="85"/>
  <c r="C296" i="85"/>
  <c r="C989" i="85"/>
  <c r="C1397" i="85"/>
  <c r="C1080" i="85"/>
  <c r="C338" i="85"/>
  <c r="C347" i="85"/>
  <c r="C1955" i="85"/>
  <c r="C743" i="85"/>
  <c r="C1610" i="85"/>
  <c r="C1090" i="85"/>
  <c r="C1909" i="85"/>
  <c r="C1502" i="85"/>
  <c r="C1131" i="85"/>
  <c r="C697" i="85"/>
  <c r="C1009" i="85"/>
  <c r="C181" i="85"/>
  <c r="C1071" i="85"/>
  <c r="C209" i="85"/>
  <c r="C1724" i="85"/>
  <c r="C763" i="85"/>
  <c r="C834" i="85"/>
  <c r="C1866" i="85"/>
  <c r="C384" i="85"/>
  <c r="C1828" i="85"/>
  <c r="C1735" i="85"/>
  <c r="C506" i="85"/>
  <c r="C1825" i="85"/>
  <c r="C1669" i="85"/>
  <c r="C422" i="85"/>
  <c r="C1432" i="85"/>
  <c r="C328" i="85"/>
  <c r="C906" i="85"/>
  <c r="C682" i="85"/>
  <c r="C804" i="85"/>
  <c r="C1243" i="85"/>
  <c r="C64" i="85"/>
  <c r="C1394" i="85"/>
  <c r="C413" i="85"/>
  <c r="C1514" i="85"/>
  <c r="C310" i="85"/>
  <c r="C1758" i="85"/>
  <c r="C391" i="85"/>
  <c r="C715" i="85"/>
  <c r="C200" i="85"/>
  <c r="C450" i="85"/>
  <c r="C1929" i="85"/>
  <c r="C569" i="85"/>
  <c r="C1935" i="85"/>
  <c r="C1319" i="85"/>
  <c r="C263" i="85"/>
  <c r="C1351" i="85"/>
  <c r="C1679" i="85"/>
  <c r="C1166" i="85"/>
  <c r="C1024" i="85"/>
  <c r="C816" i="85"/>
  <c r="C633" i="85"/>
  <c r="C1987" i="85"/>
  <c r="C1559" i="85"/>
  <c r="C708" i="85"/>
  <c r="C217" i="85"/>
  <c r="C1570" i="85"/>
  <c r="C1402" i="85"/>
  <c r="C1029" i="85"/>
  <c r="C650" i="85"/>
  <c r="C1841" i="85"/>
  <c r="C1657" i="85"/>
  <c r="C1915" i="85"/>
  <c r="C434" i="85"/>
  <c r="C1598" i="85"/>
  <c r="C409" i="85"/>
  <c r="C66" i="85"/>
  <c r="C1847" i="85"/>
  <c r="C1759" i="85"/>
  <c r="C1820" i="85"/>
  <c r="C243" i="85"/>
  <c r="C1161" i="85"/>
  <c r="C1134" i="85"/>
  <c r="C326" i="85"/>
  <c r="C1761" i="85"/>
  <c r="C1787" i="85"/>
  <c r="C643" i="85"/>
  <c r="C1197" i="85"/>
  <c r="C1551" i="85"/>
  <c r="C1074" i="85"/>
  <c r="C716" i="85"/>
  <c r="C1001" i="85"/>
  <c r="C619" i="85"/>
  <c r="C760" i="85"/>
  <c r="C729" i="85"/>
  <c r="C726" i="85"/>
  <c r="C867" i="85"/>
  <c r="C964" i="85"/>
  <c r="C1579" i="85"/>
  <c r="C1634" i="85"/>
  <c r="C637" i="85"/>
  <c r="C435" i="85"/>
  <c r="C564" i="85"/>
  <c r="C1354" i="85"/>
  <c r="C1667" i="85"/>
  <c r="C530" i="85"/>
  <c r="C402" i="85"/>
  <c r="C203" i="85"/>
  <c r="C1049" i="85"/>
  <c r="C253" i="85"/>
  <c r="C1014" i="85"/>
  <c r="C974" i="85"/>
  <c r="C879" i="85"/>
  <c r="C91" i="85"/>
  <c r="C1571" i="85"/>
  <c r="C417" i="85"/>
  <c r="C466" i="85"/>
  <c r="C718" i="85"/>
  <c r="C1574" i="85"/>
  <c r="C1112" i="85"/>
  <c r="C1008" i="85"/>
  <c r="C1933" i="85"/>
  <c r="C1358" i="85"/>
  <c r="C1422" i="85"/>
  <c r="C1652" i="85"/>
  <c r="C914" i="85"/>
  <c r="C1754" i="85"/>
  <c r="C1823" i="85"/>
  <c r="C1893" i="85"/>
  <c r="C1945" i="85"/>
  <c r="C991" i="85"/>
  <c r="C1723" i="85"/>
  <c r="C270" i="85"/>
  <c r="C1771" i="85"/>
  <c r="C1505" i="85"/>
  <c r="C1786" i="85"/>
  <c r="C542" i="85"/>
  <c r="C202" i="85"/>
  <c r="C372" i="85"/>
  <c r="C1121" i="85"/>
  <c r="C935" i="85"/>
  <c r="C1362" i="85"/>
  <c r="C1042" i="85"/>
  <c r="C1947" i="85"/>
  <c r="C1643" i="85"/>
  <c r="C475" i="85"/>
  <c r="C1233" i="85"/>
  <c r="C1209" i="85"/>
  <c r="C1944" i="85"/>
  <c r="C1686" i="85"/>
  <c r="C516" i="85"/>
  <c r="C809" i="85"/>
  <c r="C1496" i="85"/>
  <c r="C680" i="85"/>
  <c r="C234" i="85"/>
  <c r="C1292" i="85"/>
  <c r="C357" i="85"/>
  <c r="C678" i="85"/>
  <c r="C895" i="85"/>
  <c r="C893" i="85"/>
  <c r="C232" i="85"/>
  <c r="C618" i="85"/>
  <c r="C642" i="85"/>
  <c r="C337" i="85"/>
  <c r="C1433" i="85"/>
  <c r="C412" i="85"/>
  <c r="C948" i="85"/>
  <c r="C1110" i="85"/>
  <c r="C353" i="85"/>
  <c r="C1762" i="85"/>
  <c r="C594" i="85"/>
  <c r="C76" i="85"/>
  <c r="C969" i="85"/>
  <c r="C694" i="85"/>
  <c r="C1755" i="85"/>
  <c r="C861" i="85"/>
  <c r="C921" i="85"/>
  <c r="C1701" i="85"/>
  <c r="C983" i="85"/>
  <c r="C370" i="85"/>
  <c r="C303" i="85"/>
  <c r="C831" i="85"/>
  <c r="C552" i="85"/>
  <c r="C941" i="85"/>
  <c r="C1312" i="85"/>
  <c r="C1926" i="85"/>
  <c r="C1164" i="85"/>
  <c r="C367" i="85"/>
  <c r="C1145" i="85"/>
  <c r="C664" i="85"/>
  <c r="C1410" i="85"/>
  <c r="C1146" i="85"/>
  <c r="C1599" i="85"/>
  <c r="C1568" i="85"/>
  <c r="C1891" i="85"/>
  <c r="C1414" i="85"/>
  <c r="C1793" i="85"/>
  <c r="C577" i="85"/>
  <c r="C1809" i="85"/>
  <c r="C725" i="85"/>
  <c r="C777" i="85"/>
  <c r="C623" i="85"/>
  <c r="C808" i="85"/>
  <c r="C498" i="85"/>
  <c r="C1366" i="85"/>
  <c r="C1174" i="85"/>
  <c r="C662" i="85"/>
  <c r="C368" i="85"/>
  <c r="C1456" i="85"/>
  <c r="C912" i="85"/>
  <c r="C1970" i="85"/>
  <c r="C625" i="85"/>
  <c r="C967" i="85"/>
  <c r="C1187" i="85"/>
  <c r="C529" i="85"/>
  <c r="C562" i="85"/>
  <c r="C1763" i="85"/>
  <c r="C1770" i="85"/>
  <c r="C1588" i="85"/>
  <c r="C1181" i="85"/>
  <c r="C1582" i="85"/>
  <c r="C773" i="85"/>
  <c r="C1210" i="85"/>
  <c r="C1678" i="85"/>
  <c r="C1462" i="85"/>
  <c r="C1289" i="85"/>
  <c r="C1516" i="85"/>
  <c r="C1903" i="85"/>
  <c r="C1624" i="85"/>
  <c r="C1911" i="85"/>
  <c r="C817" i="85"/>
  <c r="C553" i="85"/>
  <c r="C437" i="85"/>
  <c r="C797" i="85"/>
  <c r="C1940" i="85"/>
  <c r="C1203" i="85"/>
  <c r="C1821" i="85"/>
  <c r="C1427" i="85"/>
  <c r="C779" i="85"/>
  <c r="C1741" i="85"/>
  <c r="C321" i="85"/>
  <c r="C1575" i="85"/>
  <c r="C1830" i="85"/>
  <c r="C497" i="85"/>
  <c r="C1214" i="85"/>
  <c r="C745" i="85"/>
  <c r="C1904" i="85"/>
  <c r="C313" i="85"/>
  <c r="C535" i="85"/>
  <c r="C233" i="85"/>
  <c r="C1609" i="85"/>
  <c r="C1282" i="85"/>
  <c r="C1279" i="85"/>
  <c r="C1718" i="85"/>
  <c r="C1280" i="85"/>
  <c r="C1916" i="85"/>
  <c r="C757" i="85"/>
  <c r="C749" i="85"/>
  <c r="C1202" i="85"/>
  <c r="C772" i="85"/>
  <c r="C742" i="85"/>
  <c r="C1719" i="85"/>
  <c r="C459" i="85"/>
  <c r="C1027" i="85"/>
  <c r="C1337" i="85"/>
  <c r="C1360" i="85"/>
  <c r="C632" i="85"/>
  <c r="C1968" i="85"/>
  <c r="C1318" i="85"/>
  <c r="C1651" i="85"/>
  <c r="C366" i="85"/>
  <c r="C924" i="85"/>
  <c r="C754" i="85"/>
  <c r="C918" i="85"/>
  <c r="C958" i="85"/>
  <c r="C1717" i="85"/>
  <c r="C272" i="85"/>
  <c r="C1424" i="85"/>
  <c r="C1333" i="85"/>
  <c r="C1003" i="85"/>
  <c r="C1317" i="85"/>
  <c r="C28" i="85"/>
  <c r="C1534" i="85"/>
  <c r="C824" i="85"/>
  <c r="C449" i="85"/>
  <c r="C1062" i="85"/>
  <c r="C1094" i="85"/>
  <c r="C1343" i="85"/>
  <c r="C518" i="85"/>
  <c r="C1497" i="85"/>
  <c r="C1931" i="85"/>
  <c r="C1831" i="85"/>
  <c r="C1038" i="85"/>
  <c r="C1902" i="85"/>
  <c r="C362" i="85"/>
  <c r="C34" i="85"/>
  <c r="C917" i="85"/>
  <c r="C939" i="85"/>
  <c r="C324" i="85"/>
  <c r="C1206" i="85"/>
  <c r="C190" i="85"/>
  <c r="C1832" i="85"/>
  <c r="C1473" i="85"/>
  <c r="C1777" i="85"/>
  <c r="C732" i="85"/>
  <c r="C1329" i="85"/>
  <c r="C1162" i="85"/>
  <c r="C1215" i="85"/>
  <c r="C524" i="85"/>
  <c r="C1199" i="85"/>
  <c r="C672" i="85"/>
  <c r="C1546" i="85"/>
  <c r="C839" i="85"/>
  <c r="C1898" i="85"/>
  <c r="C932" i="85"/>
  <c r="C661" i="85"/>
  <c r="C1776" i="85"/>
  <c r="C1499" i="85"/>
  <c r="C1731" i="85"/>
  <c r="C330" i="85"/>
  <c r="C1267" i="85"/>
  <c r="C612" i="85"/>
  <c r="C85" i="85"/>
  <c r="C1999" i="85"/>
  <c r="C982" i="85"/>
  <c r="C1430" i="85"/>
  <c r="C856" i="85"/>
  <c r="C598" i="85"/>
  <c r="C168" i="85"/>
  <c r="C1778" i="85"/>
  <c r="C814" i="85"/>
  <c r="C415" i="85"/>
  <c r="C979" i="85"/>
  <c r="C880" i="85"/>
  <c r="C1208" i="85"/>
  <c r="C872" i="85"/>
  <c r="C416" i="85"/>
  <c r="C1989" i="85"/>
  <c r="C1712" i="85"/>
  <c r="C1549" i="85"/>
  <c r="C1937" i="85"/>
  <c r="C1918" i="85"/>
  <c r="C875" i="85"/>
  <c r="C195" i="85"/>
  <c r="C790" i="85"/>
  <c r="C1265" i="85"/>
  <c r="C1301" i="85"/>
  <c r="C59" i="85"/>
  <c r="C580" i="85"/>
  <c r="C852" i="85"/>
  <c r="C1873" i="85"/>
  <c r="C1273" i="85"/>
  <c r="C1225" i="85"/>
  <c r="C1928" i="85"/>
  <c r="C1439" i="85"/>
  <c r="C844" i="85"/>
  <c r="C971" i="85"/>
  <c r="C1132" i="85"/>
  <c r="C1973" i="85"/>
  <c r="C1953" i="85"/>
  <c r="C1043" i="85"/>
  <c r="C1627" i="85"/>
  <c r="C247" i="85"/>
  <c r="C798" i="85"/>
  <c r="C1081" i="85"/>
  <c r="C218" i="85"/>
  <c r="C1059" i="85"/>
  <c r="C468" i="85"/>
  <c r="C1532" i="85"/>
  <c r="C1663" i="85"/>
  <c r="C1906" i="85"/>
  <c r="C1028" i="85"/>
  <c r="C428" i="85"/>
  <c r="C1535" i="85"/>
  <c r="C1676" i="85"/>
  <c r="C1133" i="85"/>
  <c r="C683" i="85"/>
  <c r="C256" i="85"/>
  <c r="C1275" i="85"/>
  <c r="C1087" i="85"/>
  <c r="C789" i="85"/>
  <c r="C276" i="85"/>
  <c r="C349" i="85"/>
  <c r="C1633" i="85"/>
  <c r="C1262" i="85"/>
  <c r="C1715" i="85"/>
  <c r="C1673" i="85"/>
  <c r="C888" i="85"/>
  <c r="C1878" i="85"/>
  <c r="C1865" i="85"/>
  <c r="C1189" i="85"/>
  <c r="C1958" i="85"/>
  <c r="C634" i="85"/>
  <c r="C1867" i="85"/>
  <c r="C1103" i="85"/>
  <c r="C1853" i="85"/>
  <c r="C1357" i="85"/>
  <c r="C1102" i="85"/>
  <c r="C1922" i="85"/>
  <c r="C1291" i="85"/>
  <c r="C658" i="85"/>
  <c r="C1682" i="85"/>
  <c r="C1066" i="85"/>
  <c r="C1506" i="85"/>
  <c r="C514" i="85"/>
  <c r="C984" i="85"/>
  <c r="C1772" i="85"/>
  <c r="C288" i="85"/>
  <c r="C1069" i="85"/>
  <c r="C1425" i="85"/>
  <c r="C1626" i="85"/>
  <c r="C863" i="85"/>
  <c r="C1925" i="85"/>
  <c r="C1757" i="85"/>
  <c r="C713" i="85"/>
  <c r="C1060" i="85"/>
  <c r="C744" i="85"/>
  <c r="C1307" i="85"/>
  <c r="C1766" i="85"/>
  <c r="C927" i="85"/>
  <c r="C776" i="85"/>
  <c r="C285" i="85"/>
  <c r="C1115" i="85"/>
  <c r="C1447" i="85"/>
  <c r="C1391" i="85"/>
  <c r="C1123" i="85"/>
  <c r="C1862" i="85"/>
  <c r="C1223" i="85"/>
  <c r="C1011" i="85"/>
  <c r="C302" i="85"/>
  <c r="C1612" i="85"/>
  <c r="C124" i="85"/>
  <c r="C1684" i="85"/>
  <c r="C260" i="85"/>
  <c r="C395" i="85"/>
  <c r="C960" i="85"/>
  <c r="C1868" i="85"/>
  <c r="C268" i="85"/>
  <c r="C972" i="85"/>
  <c r="C517" i="85"/>
  <c r="C1183" i="85"/>
  <c r="C1089" i="85"/>
  <c r="C1287" i="85"/>
  <c r="C1623" i="85"/>
  <c r="C1325" i="85"/>
  <c r="C1483" i="85"/>
  <c r="C1237" i="85"/>
  <c r="C494" i="85"/>
  <c r="C1700" i="85"/>
  <c r="C1096" i="85"/>
  <c r="C215" i="85"/>
  <c r="C1685" i="85"/>
  <c r="C805" i="85"/>
  <c r="C916" i="85"/>
  <c r="C1592" i="85"/>
  <c r="C1662" i="85"/>
  <c r="C1266" i="85"/>
  <c r="C1482" i="85"/>
  <c r="C227" i="85"/>
  <c r="C1338" i="85"/>
  <c r="C1801" i="85"/>
  <c r="C602" i="85"/>
  <c r="C245" i="85"/>
  <c r="C1952" i="85"/>
  <c r="C1148" i="85"/>
  <c r="C1658" i="85"/>
  <c r="C445" i="85"/>
  <c r="C940" i="85"/>
  <c r="C1124" i="85"/>
  <c r="C175" i="85"/>
  <c r="C1241" i="85"/>
  <c r="C667" i="85"/>
  <c r="C1739" i="85"/>
  <c r="C380" i="85"/>
  <c r="C1646" i="85"/>
  <c r="C1127" i="85"/>
  <c r="C1082" i="85"/>
  <c r="C673" i="85"/>
  <c r="C978" i="85"/>
  <c r="C1039" i="85"/>
  <c r="C1767" i="85"/>
  <c r="C1977" i="85"/>
  <c r="C1736" i="85"/>
  <c r="C1458" i="85"/>
  <c r="C1255" i="85"/>
  <c r="C1881" i="85"/>
  <c r="C1788" i="85"/>
  <c r="C1013" i="85"/>
  <c r="C231" i="85"/>
  <c r="C1122" i="85"/>
  <c r="C843" i="85"/>
  <c r="C1070" i="85"/>
  <c r="C1303" i="85"/>
  <c r="C1404" i="85"/>
  <c r="C909" i="85"/>
  <c r="C1855" i="85"/>
  <c r="C433" i="85"/>
  <c r="C907" i="85"/>
  <c r="C686" i="85"/>
  <c r="C1219" i="85"/>
  <c r="C277" i="85"/>
  <c r="C714" i="85"/>
  <c r="C576" i="85"/>
  <c r="C1411" i="85"/>
  <c r="C1650" i="85"/>
  <c r="C471" i="85"/>
  <c r="C1332" i="85"/>
  <c r="C1428" i="85"/>
  <c r="C1256" i="85"/>
  <c r="C241" i="85"/>
  <c r="C1472" i="85"/>
  <c r="C240" i="85"/>
  <c r="C1543" i="85"/>
  <c r="C221" i="85"/>
  <c r="C392" i="85"/>
  <c r="C447" i="85"/>
  <c r="C1136" i="85"/>
  <c r="C1848" i="85"/>
  <c r="C813" i="85"/>
  <c r="C1590" i="85"/>
  <c r="C947" i="85"/>
  <c r="C371" i="85"/>
  <c r="C1033" i="85"/>
  <c r="C1829" i="85"/>
  <c r="C549" i="85"/>
  <c r="C1334" i="85"/>
  <c r="C1201" i="85"/>
  <c r="C1143" i="85"/>
  <c r="C287" i="85"/>
  <c r="C1288" i="85"/>
  <c r="C316" i="85"/>
  <c r="C1690" i="85"/>
  <c r="C1995" i="85"/>
  <c r="C617" i="85"/>
  <c r="C1508" i="85"/>
  <c r="C1721" i="85"/>
  <c r="C1850" i="85"/>
  <c r="C1869" i="85"/>
  <c r="C1249" i="85"/>
  <c r="C1170" i="85"/>
  <c r="C1455" i="85"/>
  <c r="C739" i="85"/>
  <c r="C677" i="85"/>
  <c r="C54" i="85"/>
  <c r="C693" i="85"/>
  <c r="C1748" i="85"/>
  <c r="C1120" i="85"/>
  <c r="C1067" i="85"/>
  <c r="C462" i="85"/>
  <c r="C1521" i="85"/>
  <c r="C1260" i="85"/>
  <c r="C547" i="85"/>
  <c r="C670" i="85"/>
  <c r="C1557" i="85"/>
  <c r="C1246" i="85"/>
  <c r="C621" i="85"/>
  <c r="C1073" i="85"/>
  <c r="C567" i="85"/>
  <c r="C278" i="85"/>
  <c r="C1751" i="85"/>
  <c r="C640" i="85"/>
  <c r="C2000" i="85"/>
  <c r="C1184" i="85"/>
  <c r="C1835" i="85"/>
  <c r="C795" i="85"/>
  <c r="C1261" i="85"/>
  <c r="C1105" i="85"/>
  <c r="C1276" i="85"/>
  <c r="C212" i="85"/>
  <c r="C503" i="85"/>
  <c r="C180" i="85"/>
  <c r="C1168" i="85"/>
  <c r="C654" i="85"/>
  <c r="C1178" i="85"/>
  <c r="C546" i="85"/>
  <c r="C1380" i="85"/>
  <c r="C379" i="85"/>
  <c r="C172" i="85"/>
  <c r="C1547" i="85"/>
  <c r="C986" i="85"/>
  <c r="C890" i="85"/>
  <c r="C730" i="85"/>
  <c r="C342" i="85"/>
  <c r="C1046" i="85"/>
  <c r="C173" i="85"/>
  <c r="C467" i="85"/>
  <c r="C128" i="85"/>
  <c r="C1607" i="85"/>
  <c r="C787" i="85"/>
  <c r="C796" i="85"/>
  <c r="C397" i="85"/>
  <c r="C187" i="85"/>
  <c r="C1435" i="85"/>
  <c r="C1388" i="85"/>
  <c r="C1390" i="85"/>
  <c r="C628" i="85"/>
  <c r="C225" i="85"/>
  <c r="C267" i="85"/>
  <c r="C401" i="85"/>
  <c r="C1478" i="85"/>
  <c r="C299" i="85"/>
  <c r="C1985" i="85"/>
  <c r="C905" i="85"/>
  <c r="C1236" i="85"/>
  <c r="C1839" i="85"/>
  <c r="C1794" i="85"/>
  <c r="C1630" i="85"/>
  <c r="C1463" i="85"/>
  <c r="C1398" i="85"/>
  <c r="C1250" i="85"/>
  <c r="C1257" i="85"/>
  <c r="C841" i="85"/>
  <c r="C311" i="85"/>
  <c r="C1464" i="85"/>
  <c r="C1976" i="85"/>
  <c r="C1562" i="85"/>
  <c r="C1791" i="85"/>
  <c r="C665" i="85"/>
  <c r="C767" i="85"/>
  <c r="C1959" i="85"/>
  <c r="C1212" i="85"/>
  <c r="C1697" i="85"/>
  <c r="C1305" i="85"/>
  <c r="C1302" i="85"/>
  <c r="C1072" i="85"/>
  <c r="C1152" i="85"/>
  <c r="C1919" i="85"/>
  <c r="C295" i="85"/>
  <c r="C352" i="85"/>
  <c r="C850" i="85"/>
  <c r="C1618" i="85"/>
  <c r="C1442" i="85"/>
  <c r="C709" i="85"/>
  <c r="C183" i="85"/>
  <c r="C1467" i="85"/>
  <c r="C668" i="85"/>
  <c r="C1323" i="85"/>
  <c r="C286" i="85"/>
  <c r="C1768" i="85"/>
  <c r="C740" i="85"/>
  <c r="C464" i="85"/>
  <c r="C1990" i="85"/>
  <c r="C1283" i="85"/>
  <c r="C1242" i="85"/>
  <c r="C887" i="85"/>
  <c r="C1342" i="85"/>
  <c r="C724" i="85"/>
  <c r="C438" i="85"/>
  <c r="C1710" i="85"/>
  <c r="C1477" i="85"/>
  <c r="C325" i="85"/>
  <c r="C177" i="85"/>
  <c r="C1304" i="85"/>
  <c r="C1539" i="85"/>
  <c r="C1441" i="85"/>
  <c r="C545" i="85"/>
  <c r="C558" i="85"/>
  <c r="C755" i="85"/>
  <c r="C1378" i="85"/>
  <c r="C511" i="85"/>
  <c r="C1641" i="85"/>
  <c r="C1252" i="85"/>
  <c r="C1635" i="85"/>
  <c r="C1798" i="85"/>
  <c r="C523" i="85"/>
  <c r="C807" i="85"/>
  <c r="C1300" i="85"/>
  <c r="C1294" i="85"/>
  <c r="C1714" i="85"/>
  <c r="C1628" i="85"/>
  <c r="C1883" i="85"/>
  <c r="C1034" i="85"/>
  <c r="C1675" i="85"/>
  <c r="C292" i="85"/>
  <c r="C49" i="85"/>
  <c r="C1277" i="85"/>
  <c r="C478" i="85"/>
  <c r="C1129" i="85"/>
  <c r="C1064" i="85"/>
  <c r="C717" i="85"/>
  <c r="C988" i="85"/>
  <c r="C1004" i="85"/>
  <c r="C1340" i="85"/>
  <c r="C1023" i="85"/>
  <c r="C1597" i="85"/>
  <c r="C1819" i="85"/>
  <c r="C1326" i="85"/>
  <c r="C1515" i="85"/>
  <c r="C1310" i="85"/>
  <c r="C985" i="85"/>
  <c r="C443" i="85"/>
  <c r="C1661" i="85"/>
  <c r="C476" i="85"/>
  <c r="C701" i="85"/>
  <c r="C1917" i="85"/>
  <c r="C1677" i="85"/>
  <c r="C191" i="85"/>
  <c r="C1417" i="85"/>
  <c r="C1195" i="85"/>
  <c r="C355" i="85"/>
  <c r="C51" i="85"/>
  <c r="C669" i="85"/>
  <c r="C691" i="85"/>
  <c r="C198" i="85"/>
  <c r="C1084" i="85"/>
  <c r="C778" i="85"/>
  <c r="C1193" i="85"/>
  <c r="C1951" i="85"/>
  <c r="C306" i="85"/>
  <c r="C1359" i="85"/>
  <c r="C1756" i="85"/>
  <c r="C1217" i="85"/>
  <c r="C785" i="85"/>
  <c r="C934" i="85"/>
  <c r="C685" i="85"/>
  <c r="C868" i="85"/>
  <c r="C1381" i="85"/>
  <c r="C374" i="85"/>
  <c r="C1790" i="85"/>
  <c r="C265" i="85"/>
  <c r="C197" i="85"/>
  <c r="C323" i="85"/>
  <c r="C116" i="85"/>
  <c r="C309" i="85"/>
  <c r="C504" i="85"/>
  <c r="C957" i="85"/>
  <c r="C1709" i="85"/>
  <c r="C1965" i="85"/>
  <c r="C1048" i="85"/>
  <c r="C1615" i="85"/>
  <c r="C351" i="85"/>
  <c r="C456" i="85"/>
  <c r="C1461" i="85"/>
  <c r="C1737" i="85"/>
  <c r="C1744" i="85"/>
  <c r="C448" i="85"/>
  <c r="C1308" i="85"/>
  <c r="C765" i="85"/>
  <c r="C1816" i="85"/>
  <c r="C1811" i="85"/>
  <c r="C1466" i="85"/>
  <c r="C1022" i="85"/>
  <c r="C1147" i="85"/>
  <c r="C1269" i="85"/>
  <c r="C1614" i="85"/>
  <c r="C1716" i="85"/>
  <c r="C1802" i="85"/>
  <c r="C1374" i="85"/>
  <c r="C381" i="85"/>
  <c r="C536" i="85"/>
  <c r="C784" i="85"/>
  <c r="C698" i="85"/>
  <c r="C189" i="85"/>
  <c r="C1637" i="85"/>
  <c r="C735" i="85"/>
  <c r="C1192" i="85"/>
  <c r="C703" i="85"/>
  <c r="C1218" i="85"/>
  <c r="C1696" i="85"/>
  <c r="C1350" i="85"/>
  <c r="C1530" i="85"/>
  <c r="C1730" i="85"/>
  <c r="C1527" i="85"/>
  <c r="C226" i="85"/>
  <c r="C659" i="85"/>
  <c r="C484" i="85"/>
  <c r="C886" i="85"/>
  <c r="C1996" i="85"/>
  <c r="C1622" i="85"/>
  <c r="C220" i="85"/>
  <c r="C460" i="85"/>
  <c r="C1713" i="85"/>
  <c r="C1485" i="85"/>
  <c r="C952" i="85"/>
  <c r="C828" i="85"/>
  <c r="C1908" i="85"/>
  <c r="C690" i="85"/>
  <c r="C346" i="85"/>
  <c r="C1322" i="85"/>
  <c r="C1083" i="85"/>
  <c r="C360" i="85"/>
  <c r="C800" i="85"/>
  <c r="C1789" i="85"/>
  <c r="C322" i="85"/>
  <c r="C857" i="85"/>
  <c r="C1746" i="85"/>
  <c r="C1191" i="85"/>
  <c r="C1631" i="85"/>
  <c r="C641" i="85"/>
  <c r="C1468" i="85"/>
  <c r="C644" i="85"/>
  <c r="C1297" i="85"/>
  <c r="C457" i="85"/>
  <c r="C913" i="85"/>
  <c r="C892" i="85"/>
  <c r="C1092" i="85"/>
  <c r="C606" i="85"/>
  <c r="C1950" i="85"/>
  <c r="C1939" i="85"/>
  <c r="C1365" i="85"/>
  <c r="C1263" i="85"/>
  <c r="C408" i="85"/>
  <c r="C1796" i="85"/>
  <c r="C1486" i="85"/>
  <c r="C80" i="85"/>
  <c r="C52" i="85"/>
  <c r="C1418" i="85"/>
  <c r="C919" i="85"/>
  <c r="C490" i="85"/>
  <c r="C1355" i="85"/>
  <c r="C1523" i="85"/>
  <c r="C543" i="85"/>
  <c r="C1016" i="85"/>
  <c r="C1198" i="85"/>
  <c r="C1368" i="85"/>
  <c r="C1484" i="85"/>
  <c r="C663" i="85"/>
  <c r="C1890" i="85"/>
  <c r="C1056" i="85"/>
  <c r="C666" i="85"/>
  <c r="C1407" i="85"/>
  <c r="C1567" i="85"/>
  <c r="C587" i="85"/>
  <c r="C721" i="85"/>
  <c r="C420" i="85"/>
  <c r="C440" i="85"/>
  <c r="C1595" i="85"/>
  <c r="C1870" i="85"/>
  <c r="C42" i="85"/>
  <c r="C515" i="85"/>
  <c r="C881" i="85"/>
  <c r="C1224" i="85"/>
  <c r="C1680" i="85"/>
  <c r="C1849" i="85"/>
  <c r="C902" i="85"/>
  <c r="C792" i="85"/>
  <c r="C584" i="85"/>
  <c r="C210" i="85"/>
  <c r="C849" i="85"/>
  <c r="C835" i="85"/>
  <c r="C1382" i="85"/>
  <c r="C1306" i="85"/>
  <c r="C414" i="85"/>
  <c r="C689" i="85"/>
  <c r="C575" i="85"/>
  <c r="C1232" i="85"/>
  <c r="C1553" i="85"/>
  <c r="C1117" i="85"/>
  <c r="C980" i="85"/>
  <c r="C815" i="85"/>
  <c r="C185" i="85"/>
  <c r="C378" i="85"/>
  <c r="C1692" i="85"/>
  <c r="C629" i="85"/>
  <c r="C860" i="85"/>
  <c r="C94" i="85"/>
  <c r="C810" i="85"/>
  <c r="C595" i="85"/>
  <c r="C639" i="85"/>
  <c r="C1912" i="85"/>
  <c r="C1886" i="85"/>
  <c r="C1703" i="85"/>
  <c r="C870" i="85"/>
  <c r="C1998" i="85"/>
  <c r="C1621" i="85"/>
  <c r="C481" i="85"/>
  <c r="C874" i="85"/>
  <c r="C1002" i="85"/>
  <c r="C56" i="85"/>
  <c r="C590" i="85"/>
  <c r="C1561" i="85"/>
  <c r="C746" i="85"/>
  <c r="C29" i="85"/>
  <c r="C1032" i="85"/>
  <c r="C929" i="85"/>
  <c r="C738" i="85"/>
  <c r="C249" i="85"/>
  <c r="C1412" i="85"/>
  <c r="C963" i="85"/>
  <c r="C1961" i="85"/>
  <c r="C410" i="85"/>
  <c r="C469" i="85"/>
  <c r="C688" i="85"/>
  <c r="C1075" i="85"/>
  <c r="C510" i="85"/>
  <c r="C470" i="85"/>
  <c r="C676" i="85"/>
  <c r="C961" i="85"/>
  <c r="C1591" i="85"/>
  <c r="C331" i="85"/>
  <c r="C865" i="85"/>
  <c r="C603" i="85"/>
  <c r="C1910" i="85"/>
  <c r="C453" i="85"/>
  <c r="C1711" i="85"/>
  <c r="C1541" i="85"/>
  <c r="C853" i="85"/>
  <c r="C1240" i="85"/>
  <c r="C1927" i="85"/>
  <c r="C237" i="85"/>
  <c r="C1529" i="85"/>
  <c r="C761" i="85"/>
  <c r="C1423" i="85"/>
  <c r="C1913" i="85"/>
  <c r="C1856" i="85"/>
  <c r="C1000" i="85"/>
  <c r="C1492" i="85"/>
  <c r="C1450" i="85"/>
  <c r="C1446" i="85"/>
  <c r="C1393" i="85"/>
  <c r="C1522" i="85"/>
  <c r="C848" i="85"/>
  <c r="C1205" i="85"/>
  <c r="C41" i="85"/>
  <c r="C1228" i="85"/>
  <c r="C955" i="85"/>
  <c r="C273" i="85"/>
  <c r="C454" i="85"/>
  <c r="C748" i="85"/>
  <c r="C1403" i="85"/>
  <c r="C319" i="85"/>
  <c r="C541" i="85"/>
  <c r="C925" i="85"/>
  <c r="C1920" i="85"/>
  <c r="C869" i="85"/>
  <c r="C1817" i="85"/>
  <c r="C1896" i="85"/>
  <c r="C656" i="85"/>
  <c r="C213" i="85"/>
  <c r="C1545" i="85"/>
  <c r="C882" i="85"/>
  <c r="C281" i="85"/>
  <c r="C385" i="85"/>
  <c r="C528" i="85"/>
  <c r="C1805" i="85"/>
  <c r="C1871" i="85"/>
  <c r="C533" i="85"/>
  <c r="C1125" i="85"/>
  <c r="C1339" i="85"/>
  <c r="C439" i="85"/>
  <c r="C300" i="85"/>
  <c r="C120" i="85"/>
  <c r="C432" i="85"/>
  <c r="C1584" i="85"/>
  <c r="C855" i="85"/>
  <c r="C1808" i="85"/>
  <c r="C204" i="85"/>
  <c r="C1372" i="85"/>
  <c r="C993" i="85"/>
  <c r="C208" i="85"/>
  <c r="C1617" i="85"/>
  <c r="C1981" i="85"/>
  <c r="C949" i="85"/>
  <c r="C1649" i="85"/>
  <c r="C1449" i="85"/>
  <c r="C1810" i="85"/>
  <c r="C1268" i="85"/>
  <c r="C199" i="85"/>
  <c r="C728" i="85"/>
  <c r="C472" i="85"/>
  <c r="C710" i="85"/>
  <c r="C1784" i="85"/>
  <c r="C1451" i="85"/>
  <c r="C707" i="85"/>
  <c r="C768" i="85"/>
  <c r="C561" i="85"/>
  <c r="C477" i="85"/>
  <c r="C1041" i="85"/>
  <c r="C624" i="85"/>
  <c r="C1930" i="85"/>
  <c r="C1888" i="85"/>
  <c r="C1385" i="85"/>
  <c r="C431" i="85"/>
  <c r="C1795" i="85"/>
  <c r="C1844" i="85"/>
  <c r="C1537" i="85"/>
  <c r="C1845" i="85"/>
  <c r="C359" i="85"/>
  <c r="C1445" i="85"/>
  <c r="C269" i="85"/>
  <c r="C1142" i="85"/>
  <c r="C1672" i="85"/>
  <c r="C1229" i="85"/>
  <c r="C1752" i="85"/>
  <c r="C923" i="85"/>
  <c r="C1017" i="85"/>
  <c r="C1286" i="85"/>
  <c r="C671" i="85"/>
  <c r="C399" i="85"/>
  <c r="C1012" i="85"/>
  <c r="C1040" i="85"/>
  <c r="C318" i="85"/>
  <c r="C1109" i="85"/>
  <c r="C1560" i="85"/>
  <c r="C1469" i="85"/>
  <c r="C315" i="85"/>
  <c r="C555" i="85"/>
  <c r="C1285" i="85"/>
  <c r="C1465" i="85"/>
  <c r="C1979" i="85"/>
  <c r="C1444" i="85"/>
  <c r="C1216" i="85"/>
  <c r="C1431" i="85"/>
  <c r="C1128" i="85"/>
  <c r="C1157" i="85"/>
  <c r="C1800" i="85"/>
  <c r="C1309" i="85"/>
  <c r="C1563" i="85"/>
  <c r="C1097" i="85"/>
  <c r="C1107" i="85"/>
  <c r="C622" i="85"/>
  <c r="C1674" i="85"/>
  <c r="C1782" i="85"/>
  <c r="C1807" i="85"/>
  <c r="C169" i="85"/>
  <c r="C615" i="85"/>
  <c r="C563" i="85"/>
  <c r="C859" i="85"/>
  <c r="C327" i="85"/>
  <c r="C383" i="85"/>
  <c r="C425" i="85"/>
  <c r="C630" i="85"/>
  <c r="C832" i="85"/>
  <c r="C473" i="85"/>
  <c r="C1889" i="85"/>
  <c r="C505" i="85"/>
  <c r="C1552" i="85"/>
  <c r="C192" i="85"/>
  <c r="C1636" i="85"/>
  <c r="C264" i="85"/>
  <c r="C990" i="85"/>
  <c r="C1664" i="85"/>
  <c r="C487" i="85"/>
  <c r="C1519" i="85"/>
  <c r="C1035" i="85"/>
  <c r="C581" i="85"/>
  <c r="C583" i="85"/>
  <c r="C1488" i="85"/>
  <c r="C1392" i="85"/>
  <c r="C1804" i="85"/>
  <c r="C512" i="85"/>
  <c r="C1347" i="85"/>
  <c r="C387" i="85"/>
  <c r="C1764" i="85"/>
  <c r="C1416" i="85"/>
  <c r="C926" i="85"/>
  <c r="C485" i="85"/>
  <c r="C996" i="85"/>
  <c r="C1026" i="85"/>
  <c r="C1271" i="85"/>
  <c r="C499" i="85"/>
  <c r="C910" i="85"/>
  <c r="C122" i="85"/>
  <c r="C1894" i="85"/>
  <c r="C521" i="85"/>
  <c r="C911" i="85"/>
  <c r="C1949" i="85"/>
  <c r="C679" i="85"/>
  <c r="C1507" i="85"/>
  <c r="C681" i="85"/>
  <c r="C1172" i="85"/>
  <c r="C901" i="85"/>
  <c r="C491" i="85"/>
  <c r="C1063" i="85"/>
  <c r="C833" i="85"/>
  <c r="C736" i="85"/>
  <c r="C1548" i="85"/>
  <c r="C58" i="85"/>
  <c r="C298" i="85"/>
  <c r="C1645" i="85"/>
  <c r="C1694" i="85"/>
  <c r="C544" i="85"/>
  <c r="C486" i="85"/>
  <c r="C1313" i="85"/>
  <c r="C1367" i="85"/>
  <c r="C493" i="85"/>
  <c r="C1400" i="85"/>
  <c r="C214" i="85"/>
  <c r="C592" i="85"/>
  <c r="C1190" i="85"/>
  <c r="C699" i="85"/>
  <c r="C1964" i="85"/>
  <c r="C585" i="85"/>
  <c r="C513" i="85"/>
  <c r="C1642" i="85"/>
  <c r="C1085" i="85"/>
  <c r="C1144" i="85"/>
  <c r="C741" i="85"/>
  <c r="C1438" i="85"/>
  <c r="C970" i="85"/>
  <c r="C1160" i="85"/>
  <c r="C891" i="85"/>
  <c r="C1942" i="85"/>
  <c r="C1932" i="85"/>
  <c r="C1177" i="85"/>
  <c r="C407" i="85"/>
  <c r="C1399" i="85"/>
  <c r="C482" i="85"/>
  <c r="C1135" i="85"/>
  <c r="C1842" i="85"/>
  <c r="C883" i="85"/>
  <c r="C275" i="85"/>
  <c r="C783" i="85"/>
  <c r="C1654" i="85"/>
  <c r="C1491" i="85"/>
  <c r="C282" i="85"/>
  <c r="C1681" i="85"/>
  <c r="C609" i="85"/>
  <c r="C436" i="85"/>
  <c r="C1419" i="85"/>
  <c r="C1474" i="85"/>
  <c r="C995" i="85"/>
  <c r="C811" i="85"/>
  <c r="C261" i="85"/>
  <c r="C1941" i="85"/>
  <c r="C601" i="85"/>
  <c r="C1114" i="85"/>
  <c r="C1593" i="85"/>
  <c r="C762" i="85"/>
  <c r="C78" i="85"/>
  <c r="C966" i="85"/>
  <c r="C1963" i="85"/>
  <c r="C1321" i="85"/>
  <c r="C229" i="85"/>
  <c r="C1371" i="85"/>
  <c r="C1459" i="85"/>
  <c r="C751" i="85"/>
  <c r="C1244" i="85"/>
  <c r="C1061" i="85"/>
  <c r="C753" i="85"/>
  <c r="C284" i="85"/>
  <c r="C885" i="85"/>
  <c r="C1954" i="85"/>
  <c r="C1314" i="85"/>
  <c r="C1978" i="85"/>
  <c r="C1880" i="85"/>
  <c r="C858" i="85"/>
  <c r="C304" i="85"/>
  <c r="C1632" i="85"/>
  <c r="C696" i="85"/>
  <c r="C1452" i="85"/>
  <c r="C1666" i="85"/>
  <c r="C537" i="85"/>
  <c r="C527" i="85"/>
  <c r="C1923" i="85"/>
  <c r="C375" i="85"/>
  <c r="C565" i="85"/>
  <c r="C1058" i="85"/>
  <c r="C419" i="85"/>
  <c r="C1966" i="85"/>
  <c r="C1921" i="85"/>
  <c r="C770" i="85"/>
  <c r="C201" i="85"/>
  <c r="C1638" i="85"/>
  <c r="C1884" i="85"/>
  <c r="C1091" i="85"/>
  <c r="C1440" i="85"/>
  <c r="C329" i="85"/>
  <c r="C791" i="85"/>
  <c r="C1564" i="85"/>
  <c r="C1683" i="85"/>
  <c r="C1606" i="85"/>
  <c r="C1705" i="85"/>
  <c r="C1660" i="85"/>
  <c r="C1946" i="85"/>
  <c r="C1010" i="85"/>
  <c r="C79" i="85"/>
  <c r="C1554" i="85"/>
  <c r="C244" i="85"/>
  <c r="C1151" i="85"/>
  <c r="C1843" i="85"/>
  <c r="C1813" i="85"/>
  <c r="C1726" i="85"/>
  <c r="C1707" i="85"/>
  <c r="C1524" i="85"/>
  <c r="C1356" i="85"/>
  <c r="C1196" i="85"/>
  <c r="C756" i="85"/>
  <c r="C1406" i="85"/>
  <c r="C1130" i="85"/>
  <c r="C455" i="85"/>
  <c r="C1882" i="85"/>
  <c r="C446" i="85"/>
  <c r="C1204" i="85"/>
  <c r="C1572" i="85"/>
  <c r="C1722" i="85"/>
  <c r="C702" i="85"/>
  <c r="C1186" i="85"/>
  <c r="C508" i="85"/>
  <c r="C727" i="85"/>
  <c r="C1207" i="85"/>
  <c r="C279" i="85"/>
  <c r="C1454" i="85"/>
  <c r="C1076" i="85"/>
  <c r="C496" i="85"/>
  <c r="C1495" i="85"/>
  <c r="C1826" i="85"/>
  <c r="C1936" i="85"/>
  <c r="C364" i="85"/>
  <c r="C53" i="85"/>
  <c r="C238" i="85"/>
  <c r="C1863" i="85"/>
  <c r="C396" i="85"/>
  <c r="C889" i="85"/>
  <c r="C1520" i="85"/>
  <c r="C271" i="85"/>
  <c r="C1377" i="85"/>
  <c r="C1021" i="85"/>
  <c r="C838" i="85"/>
  <c r="C1295" i="85"/>
  <c r="C987" i="85"/>
  <c r="C1481" i="85"/>
  <c r="C780" i="85"/>
  <c r="C1079" i="85"/>
  <c r="C1220" i="85"/>
  <c r="C597" i="85"/>
  <c r="C1460" i="85"/>
  <c r="C182" i="85"/>
  <c r="C1864" i="85"/>
  <c r="C1967" i="85"/>
  <c r="C1602" i="85"/>
  <c r="C1983" i="85"/>
  <c r="C1743" i="85"/>
  <c r="C1185" i="85"/>
  <c r="C1141" i="85"/>
  <c r="C1331" i="85"/>
  <c r="C216" i="85"/>
  <c r="C1725" i="85"/>
  <c r="C174" i="85"/>
  <c r="C1182" i="85"/>
  <c r="C593" i="85"/>
  <c r="C829" i="85"/>
  <c r="C854" i="85"/>
  <c r="C1052" i="85"/>
  <c r="C1387" i="85"/>
  <c r="C534" i="85"/>
  <c r="C976" i="85"/>
  <c r="C752" i="85"/>
  <c r="C1384" i="85"/>
  <c r="C118" i="85"/>
  <c r="C1005" i="85"/>
  <c r="C894" i="85"/>
  <c r="C1525" i="85"/>
  <c r="C426" i="85"/>
  <c r="C1475" i="85"/>
  <c r="C802" i="85"/>
  <c r="C1885" i="85"/>
  <c r="C382" i="85"/>
  <c r="C1668" i="85"/>
  <c r="C845" i="85"/>
  <c r="C83" i="85"/>
  <c r="C1111" i="85"/>
  <c r="C820" i="85"/>
  <c r="C1118" i="85"/>
  <c r="C43" i="85"/>
  <c r="C942" i="85"/>
  <c r="C827" i="85"/>
  <c r="C239" i="85"/>
  <c r="C1100" i="85"/>
  <c r="C836" i="85"/>
  <c r="C1235" i="85"/>
  <c r="C720" i="85"/>
  <c r="C1729" i="85"/>
  <c r="C1278" i="85"/>
  <c r="C1971" i="85"/>
  <c r="C1613" i="85"/>
  <c r="C631" i="85"/>
  <c r="C1538" i="85"/>
  <c r="C1647" i="85"/>
  <c r="C652" i="85"/>
  <c r="C786" i="85"/>
  <c r="C474" i="85"/>
  <c r="C1015" i="85"/>
  <c r="C526" i="85"/>
  <c r="C1426" i="85"/>
  <c r="C373" i="85"/>
  <c r="C291" i="85"/>
  <c r="C711" i="85"/>
  <c r="C1616" i="85"/>
  <c r="C954" i="85"/>
  <c r="C126" i="85"/>
  <c r="C1290" i="85"/>
  <c r="C1270" i="85"/>
  <c r="C84" i="85"/>
  <c r="C1818" i="85"/>
  <c r="C1137" i="85"/>
  <c r="C1179" i="85"/>
  <c r="C1742" i="85"/>
  <c r="C1586" i="85"/>
  <c r="C968" i="85"/>
  <c r="C794" i="85"/>
  <c r="C1370" i="85"/>
  <c r="C1065" i="85"/>
  <c r="C1044" i="85"/>
  <c r="C1982" i="85"/>
  <c r="C1533" i="85"/>
  <c r="C1171" i="85"/>
  <c r="C1991" i="85"/>
  <c r="C305" i="85"/>
  <c r="C354" i="85"/>
  <c r="C1644" i="85"/>
  <c r="C1030" i="85"/>
  <c r="C877" i="85"/>
  <c r="C1020" i="85"/>
  <c r="C571" i="85"/>
  <c r="C1078" i="85"/>
  <c r="C1550" i="85"/>
  <c r="C1797" i="85"/>
  <c r="C344" i="85"/>
  <c r="C340" i="85"/>
  <c r="C1180" i="85"/>
  <c r="C1086" i="85"/>
  <c r="C1057" i="85"/>
  <c r="C1877" i="85"/>
  <c r="C570" i="85"/>
  <c r="C1386" i="85"/>
  <c r="AB142" i="89" l="1"/>
  <c r="CG316" i="89"/>
  <c r="CH310" i="89" s="1"/>
  <c r="F22" i="58"/>
  <c r="CF315" i="89"/>
  <c r="O7" i="51"/>
  <c r="C13" i="51"/>
  <c r="D17" i="64"/>
  <c r="CH312" i="89" l="1"/>
  <c r="CH313" i="89"/>
  <c r="Q43" i="49"/>
  <c r="P43" i="49" s="1"/>
  <c r="E23" i="58"/>
  <c r="C13" i="58" s="1"/>
  <c r="F23" i="58"/>
  <c r="Q13" i="49"/>
  <c r="P13" i="49" s="1"/>
  <c r="D14" i="64"/>
  <c r="N102" i="89"/>
  <c r="E17" i="64"/>
  <c r="AU211" i="89"/>
  <c r="F17" i="64"/>
  <c r="K42" i="39" s="1"/>
  <c r="CH311" i="89"/>
  <c r="CH316" i="89"/>
  <c r="CH314" i="89"/>
  <c r="CH315" i="89"/>
  <c r="L73" i="39" l="1"/>
  <c r="M73" i="39"/>
  <c r="D33" i="64"/>
  <c r="AV211" i="89"/>
  <c r="AU208" i="89"/>
  <c r="AW211" i="89"/>
  <c r="O102" i="89"/>
  <c r="N109" i="89"/>
  <c r="Q40" i="49"/>
  <c r="P40" i="49" s="1"/>
  <c r="C14" i="58"/>
  <c r="Q162" i="49"/>
  <c r="P162" i="49" s="1"/>
  <c r="AG16" i="89"/>
  <c r="E14" i="64"/>
  <c r="L8" i="89" s="1"/>
  <c r="F14" i="64"/>
  <c r="Q39" i="49" l="1"/>
  <c r="P39" i="49" s="1"/>
  <c r="Q159" i="49"/>
  <c r="P159" i="49" s="1"/>
  <c r="Q178" i="49"/>
  <c r="P178" i="49" s="1"/>
  <c r="AW208" i="89"/>
  <c r="AY211" i="89"/>
  <c r="C102" i="39"/>
  <c r="O9" i="51"/>
  <c r="O11" i="51" s="1"/>
  <c r="C13" i="137"/>
  <c r="D34" i="64"/>
  <c r="E33" i="64"/>
  <c r="L10" i="89" s="1"/>
  <c r="F33" i="64"/>
  <c r="AU220" i="89"/>
  <c r="C14" i="137"/>
  <c r="AE16" i="89"/>
  <c r="AV208" i="89"/>
  <c r="U11" i="89"/>
  <c r="D42" i="71"/>
  <c r="D46" i="71"/>
  <c r="D50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C93" i="85"/>
  <c r="C48" i="85"/>
  <c r="C63" i="85"/>
  <c r="AW220" i="89" l="1"/>
  <c r="AW219" i="89" s="1"/>
  <c r="J73" i="39"/>
  <c r="AU219" i="89"/>
  <c r="AV220" i="89"/>
  <c r="D13" i="137"/>
  <c r="E13" i="137" s="1"/>
  <c r="D32" i="50" s="1"/>
  <c r="D14" i="137"/>
  <c r="E14" i="137" s="1"/>
  <c r="D33" i="50" s="1"/>
  <c r="Q160" i="49"/>
  <c r="P160" i="49" s="1"/>
  <c r="E34" i="64"/>
  <c r="C5" i="64"/>
  <c r="F34" i="64"/>
  <c r="Q105" i="49" l="1"/>
  <c r="P105" i="49" s="1"/>
  <c r="E33" i="50"/>
  <c r="Q139" i="49" s="1"/>
  <c r="P139" i="49" s="1"/>
  <c r="Q164" i="49"/>
  <c r="P164" i="49" s="1"/>
  <c r="C52" i="89"/>
  <c r="C54" i="89" s="1"/>
  <c r="C7" i="64"/>
  <c r="AV219" i="89"/>
  <c r="U9" i="89"/>
  <c r="AU226" i="89"/>
  <c r="AX219" i="89" s="1"/>
  <c r="T22" i="89" s="1"/>
  <c r="AU227" i="89"/>
  <c r="Q104" i="49"/>
  <c r="P104" i="49" s="1"/>
  <c r="E32" i="50"/>
  <c r="AY220" i="89"/>
  <c r="C61" i="85"/>
  <c r="C92" i="85"/>
  <c r="C62" i="85"/>
  <c r="Q138" i="49" l="1"/>
  <c r="P138" i="49" s="1"/>
  <c r="Q137" i="49"/>
  <c r="P137" i="49" s="1"/>
  <c r="AY219" i="89"/>
  <c r="CI313" i="89"/>
  <c r="CI312" i="89"/>
  <c r="CI310" i="89"/>
  <c r="CI316" i="89"/>
  <c r="CI311" i="89"/>
  <c r="CI314" i="89"/>
  <c r="CI315" i="89"/>
  <c r="AW227" i="89"/>
  <c r="AW229" i="89"/>
  <c r="AX227" i="89"/>
  <c r="AV227" i="89"/>
  <c r="AX210" i="89"/>
  <c r="T25" i="89" s="1"/>
  <c r="AX214" i="89"/>
  <c r="AX218" i="89"/>
  <c r="AX222" i="89"/>
  <c r="AX215" i="89"/>
  <c r="T29" i="89" s="1"/>
  <c r="AX223" i="89"/>
  <c r="AX226" i="89"/>
  <c r="AX212" i="89"/>
  <c r="AX216" i="89"/>
  <c r="T26" i="89" s="1"/>
  <c r="AX224" i="89"/>
  <c r="AX209" i="89"/>
  <c r="T24" i="89" s="1"/>
  <c r="AX213" i="89"/>
  <c r="AX217" i="89"/>
  <c r="T30" i="89" s="1"/>
  <c r="AX221" i="89"/>
  <c r="T23" i="89" s="1"/>
  <c r="AX225" i="89"/>
  <c r="AX228" i="89"/>
  <c r="AX211" i="89"/>
  <c r="AX208" i="89"/>
  <c r="AX220" i="89"/>
  <c r="U15" i="89"/>
  <c r="T9" i="89" s="1"/>
  <c r="H1" i="87"/>
  <c r="I1" i="51"/>
  <c r="F1" i="71"/>
  <c r="H1" i="50"/>
  <c r="H1" i="78"/>
  <c r="H1" i="61"/>
  <c r="Q6" i="49"/>
  <c r="P6" i="49" s="1"/>
  <c r="G1" i="58"/>
  <c r="H1" i="82"/>
  <c r="H1" i="25"/>
  <c r="C65" i="85"/>
  <c r="C74" i="85"/>
  <c r="C75" i="85"/>
  <c r="T27" i="89" l="1"/>
  <c r="T8" i="89"/>
  <c r="T10" i="89"/>
  <c r="U12" i="89"/>
  <c r="U13" i="89"/>
  <c r="T11" i="89"/>
  <c r="T28" i="89"/>
  <c r="AY227" i="89"/>
  <c r="T21" i="89"/>
  <c r="T31" i="89" l="1"/>
  <c r="U14" i="89"/>
  <c r="T15" i="89"/>
  <c r="E78" i="50" l="1"/>
  <c r="C95" i="64"/>
  <c r="D95" i="64" s="1"/>
  <c r="E95" i="64" s="1"/>
  <c r="Q245" i="49"/>
  <c r="P245" i="49" s="1"/>
  <c r="E77" i="50"/>
  <c r="C94" i="64"/>
  <c r="D94" i="64" s="1"/>
  <c r="E94" i="64" s="1"/>
  <c r="Q244" i="49"/>
  <c r="P244" i="49" s="1"/>
  <c r="E79" i="50" l="1"/>
  <c r="C96" i="64"/>
  <c r="D96" i="64" s="1"/>
  <c r="E96" i="64" s="1"/>
  <c r="Q246" i="49"/>
  <c r="P246" i="49" s="1"/>
  <c r="E80" i="50"/>
  <c r="Q247" i="49"/>
  <c r="P247" i="49" s="1"/>
  <c r="C97" i="64"/>
  <c r="D97" i="64" s="1"/>
  <c r="E97" i="64" s="1"/>
  <c r="Q229" i="49" l="1"/>
  <c r="P229" i="49" s="1"/>
  <c r="E62" i="50"/>
  <c r="C79" i="64"/>
  <c r="D79" i="64" s="1"/>
  <c r="E79" i="64" s="1"/>
  <c r="Q228" i="49"/>
  <c r="P228" i="49" s="1"/>
  <c r="E61" i="50"/>
  <c r="C78" i="64"/>
  <c r="D78" i="64" s="1"/>
  <c r="E78" i="64" s="1"/>
  <c r="C77" i="64"/>
  <c r="D77" i="64" s="1"/>
  <c r="E77" i="64" s="1"/>
  <c r="Q227" i="49"/>
  <c r="P227" i="49" s="1"/>
  <c r="E60" i="50"/>
  <c r="E58" i="50"/>
  <c r="C75" i="64"/>
  <c r="D75" i="64" s="1"/>
  <c r="E75" i="64" s="1"/>
  <c r="Q225" i="49"/>
  <c r="P225" i="49" s="1"/>
  <c r="Q226" i="49"/>
  <c r="P226" i="49" s="1"/>
  <c r="E59" i="50"/>
  <c r="C76" i="64"/>
  <c r="D76" i="64" s="1"/>
  <c r="E76" i="64" s="1"/>
  <c r="Q224" i="49"/>
  <c r="P224" i="49" s="1"/>
  <c r="E57" i="50"/>
  <c r="AN197" i="89"/>
  <c r="C74" i="64"/>
  <c r="D7" i="50"/>
  <c r="Q171" i="49" l="1"/>
  <c r="P171" i="49" s="1"/>
  <c r="AN199" i="89"/>
  <c r="D5" i="50"/>
  <c r="D10" i="64" s="1"/>
  <c r="Q169" i="49"/>
  <c r="P169" i="49" s="1"/>
  <c r="O12" i="51"/>
  <c r="O13" i="51" s="1"/>
  <c r="D74" i="64"/>
  <c r="E74" i="64" s="1"/>
  <c r="C44" i="64"/>
  <c r="D44" i="64" s="1"/>
  <c r="E44" i="64" s="1"/>
  <c r="AO188" i="89"/>
  <c r="E7" i="50"/>
  <c r="AU261" i="89" l="1"/>
  <c r="AN201" i="89"/>
  <c r="C8" i="64"/>
  <c r="Q170" i="49"/>
  <c r="P170" i="49" s="1"/>
  <c r="AY253" i="89" l="1"/>
  <c r="AW261" i="89"/>
  <c r="AW262" i="89" s="1"/>
  <c r="Q7" i="49"/>
  <c r="P7" i="49" s="1"/>
  <c r="C9" i="64"/>
  <c r="L12" i="89"/>
  <c r="C55" i="89"/>
  <c r="C56" i="89" s="1"/>
  <c r="C68" i="85"/>
  <c r="AW263" i="89" l="1"/>
  <c r="AC5" i="89"/>
  <c r="G2" i="58"/>
  <c r="H2" i="82"/>
  <c r="H2" i="25"/>
  <c r="Q8" i="49"/>
  <c r="P8" i="49" s="1"/>
  <c r="H2" i="87"/>
  <c r="C10" i="64"/>
  <c r="F2" i="71"/>
  <c r="H2" i="61"/>
  <c r="I2" i="51"/>
  <c r="H2" i="50"/>
  <c r="H2" i="78"/>
  <c r="C50" i="85"/>
  <c r="L13" i="8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<sst xmlns="http://schemas.openxmlformats.org/spreadsheetml/2006/main" count="25404" uniqueCount="2390">
  <si>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</si>
  <si>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</si>
  <si>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</si>
  <si>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</si>
  <si>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</si>
  <si>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</si>
  <si>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</si>
  <si>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</si>
  <si>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</si>
  <si>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</si>
  <si>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</si>
  <si>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</si>
  <si>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</si>
  <si>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</si>
  <si>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</si>
  <si>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</si>
  <si>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</si>
  <si>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</si>
  <si>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</si>
  <si>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</si>
  <si>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</si>
  <si>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</si>
  <si>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</si>
  <si>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</si>
  <si>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</si>
  <si>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</si>
  <si>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</si>
  <si>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</si>
  <si>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</si>
  <si>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</si>
  <si>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</si>
  <si>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</si>
  <si>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</si>
  <si>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</si>
  <si>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</si>
  <si>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</si>
  <si>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</si>
  <si>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</si>
  <si>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</si>
  <si>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</si>
  <si>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</si>
  <si>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</si>
  <si>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</si>
  <si>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</si>
  <si>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</si>
  <si>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</si>
  <si>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</si>
  <si>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</si>
  <si>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</si>
  <si>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</si>
  <si>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</si>
  <si>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</si>
  <si>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</si>
  <si>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</si>
  <si>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</si>
  <si>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</si>
  <si>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</si>
  <si>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</si>
  <si>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</si>
  <si>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</si>
  <si>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</si>
  <si>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</si>
  <si>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</si>
  <si>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</si>
  <si>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</si>
  <si>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</si>
  <si>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</si>
  <si>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</si>
  <si>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</si>
  <si>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</si>
  <si>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</si>
  <si>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</si>
  <si>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</si>
  <si>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</si>
  <si>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</si>
  <si>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</si>
  <si>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</si>
  <si>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</si>
  <si>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</si>
  <si>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</si>
  <si>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</si>
  <si>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</si>
  <si>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</si>
  <si>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</si>
  <si>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</si>
  <si>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</si>
  <si>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</si>
  <si>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</si>
  <si>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</si>
  <si>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</si>
  <si>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</si>
  <si>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</si>
  <si>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</si>
  <si>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</si>
  <si>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</si>
  <si>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</si>
  <si>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</si>
  <si>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</si>
  <si>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</si>
  <si>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</si>
  <si>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</si>
  <si>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</si>
  <si>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</si>
  <si>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</si>
  <si>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</si>
  <si>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</si>
  <si>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</si>
  <si>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</si>
  <si>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</si>
  <si>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</si>
  <si>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</si>
  <si>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</si>
  <si>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</si>
  <si>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</si>
  <si>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</si>
  <si>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</si>
  <si>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</si>
  <si>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</si>
  <si>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</si>
  <si>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</si>
  <si>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</si>
  <si>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</si>
  <si>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</si>
  <si>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</si>
  <si>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</si>
  <si>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</si>
  <si>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</si>
  <si>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</si>
  <si>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</si>
  <si>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</si>
  <si>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</si>
  <si>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</si>
  <si>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</si>
  <si>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</si>
  <si>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</si>
  <si>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</si>
  <si>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</si>
  <si>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</si>
  <si>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</si>
  <si>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</si>
  <si>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</si>
  <si>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</si>
  <si>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</si>
  <si>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</si>
  <si>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</si>
  <si>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</si>
  <si>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</si>
  <si>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</si>
  <si>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</si>
  <si>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</si>
  <si>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</si>
  <si>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</si>
  <si>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</si>
  <si>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</si>
  <si>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</si>
  <si>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</si>
  <si>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</si>
  <si>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</si>
  <si>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</si>
  <si>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</si>
  <si>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</si>
  <si>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</si>
  <si>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</si>
  <si>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</si>
  <si>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</si>
  <si>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</si>
  <si>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</si>
  <si>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</si>
  <si>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</si>
  <si>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</si>
  <si>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</si>
  <si>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</si>
  <si>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</si>
  <si>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</si>
  <si>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</si>
  <si>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</si>
  <si>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</si>
  <si>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</si>
  <si>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</si>
  <si>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</si>
  <si>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</si>
  <si>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</si>
  <si>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</si>
  <si>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</si>
  <si>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</si>
  <si>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</si>
  <si>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</si>
  <si>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</si>
  <si>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</si>
  <si>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</si>
  <si>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</si>
  <si>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</si>
  <si>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</si>
  <si>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</si>
  <si>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</si>
  <si>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</si>
  <si>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</si>
  <si>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</si>
  <si>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</si>
  <si>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</si>
  <si>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</si>
  <si>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</si>
  <si>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</si>
  <si>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</si>
  <si>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</si>
  <si>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</si>
  <si>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</si>
  <si>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</si>
  <si>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</si>
  <si>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</si>
  <si>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</si>
  <si>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</si>
  <si>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</si>
  <si>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</si>
  <si>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</si>
  <si>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</si>
  <si>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</si>
  <si>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</si>
  <si>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</si>
  <si>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</si>
  <si>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</si>
  <si>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</si>
  <si>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</si>
  <si>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</si>
  <si>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</si>
  <si>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</si>
  <si>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</si>
  <si>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</si>
  <si>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</si>
  <si>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</si>
  <si>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</si>
  <si>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</si>
  <si>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</si>
  <si>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</si>
  <si>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</si>
  <si>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</si>
  <si>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</si>
  <si>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</si>
  <si>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</si>
  <si>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</si>
  <si>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</si>
  <si>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</si>
  <si>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</si>
  <si>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</si>
  <si>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</si>
  <si>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</si>
  <si>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</si>
  <si>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</si>
  <si>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</si>
  <si>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</si>
  <si>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</si>
  <si>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</si>
  <si>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</si>
  <si>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</si>
  <si>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</si>
  <si>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</si>
  <si>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</si>
  <si>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</si>
  <si>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</si>
  <si>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</si>
  <si>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</si>
  <si>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</si>
  <si>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</si>
  <si>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</si>
  <si>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</si>
  <si>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</si>
  <si>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</si>
  <si>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</si>
  <si>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</si>
  <si>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</si>
  <si>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</si>
  <si>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</si>
  <si>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</si>
  <si>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</si>
  <si>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</si>
  <si>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</si>
  <si>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</si>
  <si>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</si>
  <si>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</si>
  <si>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</si>
  <si>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</si>
  <si>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</si>
  <si>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</si>
  <si>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</si>
  <si>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</si>
  <si>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</si>
  <si>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</si>
  <si>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</si>
  <si>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</si>
  <si>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</si>
  <si>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</si>
  <si>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</si>
  <si>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</si>
  <si>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</si>
  <si>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</si>
  <si>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</si>
  <si>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</si>
  <si>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</si>
  <si>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</si>
  <si>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</si>
  <si>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</si>
  <si>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</si>
  <si>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</si>
  <si>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</si>
  <si>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</si>
  <si>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</si>
  <si>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</si>
  <si>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</si>
  <si>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</si>
  <si>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</si>
  <si>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</si>
  <si>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</si>
  <si>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</si>
  <si>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</si>
  <si>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</si>
  <si>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</si>
  <si>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</si>
  <si>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</si>
  <si>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</si>
  <si>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</si>
  <si>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</si>
  <si>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</si>
  <si>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</si>
  <si>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</si>
  <si>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</si>
  <si>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</si>
  <si>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</si>
  <si>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</si>
  <si>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</si>
  <si>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</si>
  <si>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</si>
  <si>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</si>
  <si>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</si>
  <si>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</si>
  <si>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</si>
  <si>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</si>
  <si>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</si>
  <si>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</si>
  <si>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</si>
  <si>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</si>
  <si>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</si>
  <si>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</si>
  <si>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</si>
  <si>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</si>
  <si>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</si>
  <si>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</si>
  <si>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</si>
  <si>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</si>
  <si>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</si>
  <si>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</si>
  <si>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</si>
  <si>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</si>
  <si>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</si>
  <si>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</si>
  <si>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</si>
  <si>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</si>
  <si>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</si>
  <si>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</si>
  <si>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</si>
  <si>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</si>
  <si>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</si>
  <si>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</si>
  <si>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</si>
  <si>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</si>
  <si>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</si>
  <si>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</si>
  <si>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</si>
  <si>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</si>
  <si>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</si>
  <si>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</si>
  <si>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</si>
  <si>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</si>
  <si>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</si>
  <si>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</si>
  <si>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</si>
  <si>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</si>
  <si>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</si>
  <si>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</si>
  <si>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</si>
  <si>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</si>
  <si>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</si>
  <si>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</si>
  <si>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</si>
  <si>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</si>
  <si>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</si>
  <si>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</si>
  <si>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</si>
  <si>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</si>
  <si>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</si>
  <si>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</si>
  <si>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</si>
  <si>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</si>
  <si>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</si>
  <si>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</si>
  <si>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</si>
  <si>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</si>
  <si>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</si>
  <si>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</si>
  <si>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</si>
  <si>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</si>
  <si>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</si>
  <si>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</si>
  <si>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</si>
  <si>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</si>
  <si>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</si>
  <si>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</si>
  <si>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</si>
  <si>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</si>
  <si>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</si>
  <si>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</si>
  <si>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</si>
  <si>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</si>
  <si>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</si>
  <si>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</si>
  <si>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</si>
  <si>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</si>
  <si>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</si>
  <si>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</si>
  <si>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</si>
  <si>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</si>
  <si>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</si>
  <si>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</si>
  <si>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</si>
  <si>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</si>
  <si>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</si>
  <si>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</si>
  <si>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</si>
  <si>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</si>
  <si>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</si>
  <si>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</si>
  <si>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</si>
  <si>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</si>
  <si>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</si>
  <si>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</si>
  <si>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</si>
  <si>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</si>
  <si>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</si>
  <si>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</si>
  <si>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</si>
  <si>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</si>
  <si>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</si>
  <si>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</si>
  <si>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</si>
  <si>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</si>
  <si>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</si>
  <si>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</si>
  <si>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</si>
  <si>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</si>
  <si>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</si>
  <si>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</si>
  <si>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</si>
  <si>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</si>
  <si>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</si>
  <si>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</si>
  <si>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</si>
  <si>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</si>
  <si>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</si>
  <si>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</si>
  <si>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</si>
  <si>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</si>
  <si>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</si>
  <si>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</si>
  <si>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</si>
  <si>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</si>
  <si>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</si>
  <si>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</si>
  <si>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</si>
  <si>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</si>
  <si>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</si>
  <si>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</si>
  <si>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</si>
  <si>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</si>
  <si>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</si>
  <si>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</si>
  <si>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</si>
  <si>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</si>
  <si>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</si>
  <si>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</si>
  <si>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</si>
  <si>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</si>
  <si>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</si>
  <si>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</si>
  <si>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</si>
  <si>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</si>
  <si>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</si>
  <si>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</si>
  <si>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</si>
  <si>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</si>
  <si>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</si>
  <si>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</si>
  <si>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</si>
  <si>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</si>
  <si>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</si>
  <si>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</si>
  <si>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</si>
  <si>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</si>
  <si>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</si>
  <si>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</si>
  <si>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</si>
  <si>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</si>
  <si>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</si>
  <si>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</si>
  <si>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</si>
  <si>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</si>
  <si>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</si>
  <si>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</si>
  <si>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</si>
  <si>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</si>
  <si>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</si>
  <si>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</si>
  <si>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</si>
  <si>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</si>
  <si>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</si>
  <si>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</si>
  <si>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</si>
  <si>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</si>
  <si>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</si>
  <si>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</si>
  <si>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</si>
  <si>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</si>
  <si>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</si>
  <si>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</si>
  <si>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</si>
  <si>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</si>
  <si>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</si>
  <si>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</si>
  <si>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</si>
  <si>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</si>
  <si>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</si>
  <si>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</si>
  <si>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</si>
  <si>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</si>
  <si>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</si>
  <si>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</si>
  <si>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</si>
  <si>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</si>
  <si>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</si>
  <si>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</si>
  <si>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</si>
  <si>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</si>
  <si>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</si>
  <si>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</si>
  <si>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</si>
  <si>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</si>
  <si>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</si>
  <si>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</si>
  <si>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</si>
  <si>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</si>
  <si>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</si>
  <si>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</si>
  <si>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</si>
  <si>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</si>
  <si>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</si>
  <si>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</si>
  <si>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</si>
  <si>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</si>
  <si>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</si>
  <si>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</si>
  <si>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</si>
  <si>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</si>
  <si>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</si>
  <si>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</si>
  <si>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</si>
  <si>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</si>
  <si>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</si>
  <si>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</si>
  <si>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</si>
  <si>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</si>
  <si>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</si>
  <si>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</si>
  <si>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</si>
  <si>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</si>
  <si>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</si>
  <si>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</si>
  <si>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</si>
  <si>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</si>
  <si>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</si>
  <si>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</si>
  <si>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</si>
  <si>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</si>
  <si>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</si>
  <si>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</si>
  <si>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</si>
  <si>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</si>
  <si>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</si>
  <si>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</si>
  <si>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</si>
  <si>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</si>
  <si>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</si>
  <si>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</si>
  <si>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</si>
  <si>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</si>
  <si>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</si>
  <si>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</si>
  <si>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</si>
  <si>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</si>
  <si>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</si>
  <si>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</si>
  <si>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</si>
  <si>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</si>
  <si>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</si>
  <si>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</si>
  <si>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</si>
  <si>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</si>
  <si>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</si>
  <si>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</si>
  <si>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</si>
  <si>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</si>
  <si>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</si>
  <si>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</si>
  <si>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</si>
  <si>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</si>
  <si>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</si>
  <si>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</si>
  <si>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</si>
  <si>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</si>
  <si>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</si>
  <si>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</si>
  <si>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</si>
  <si>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</si>
  <si>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</si>
  <si>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</si>
  <si>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</si>
  <si>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</si>
  <si>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</si>
  <si>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</si>
  <si>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</si>
  <si>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</si>
  <si>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</si>
  <si>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</si>
  <si>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</si>
  <si>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</si>
  <si>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</si>
  <si>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</si>
  <si>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</si>
  <si>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</si>
  <si>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</si>
  <si>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</si>
  <si>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</si>
  <si>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</si>
  <si>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</si>
  <si>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</si>
  <si>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</si>
  <si>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</si>
  <si>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</si>
  <si>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</si>
  <si>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</si>
  <si>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</si>
  <si>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</si>
  <si>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</si>
  <si>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</si>
  <si>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</si>
  <si>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</si>
  <si>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</si>
  <si>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</si>
  <si>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</si>
  <si>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</si>
  <si>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</si>
  <si>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</si>
  <si>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</si>
  <si>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</si>
  <si>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</si>
  <si>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</si>
  <si>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</si>
  <si>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</si>
  <si>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</si>
  <si>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</si>
  <si>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</si>
  <si>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</si>
  <si>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</si>
  <si>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</si>
  <si>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</si>
  <si>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</si>
  <si>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</si>
  <si>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</si>
  <si>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</si>
  <si>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</si>
  <si>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</si>
  <si>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</si>
  <si>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</si>
  <si>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</si>
  <si>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</si>
  <si>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</si>
  <si>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</si>
  <si>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</si>
  <si>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</si>
  <si>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</si>
  <si>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</si>
  <si>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</si>
  <si>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</si>
  <si>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</si>
  <si>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</si>
  <si>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</si>
  <si>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</si>
  <si>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</si>
  <si>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</si>
  <si>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</si>
  <si>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</si>
  <si>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</si>
  <si>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</si>
  <si>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</si>
  <si>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</si>
  <si>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</si>
  <si>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</si>
  <si>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</si>
  <si>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</si>
  <si>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</si>
  <si>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</si>
  <si>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</si>
  <si>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</si>
  <si>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</si>
  <si>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</si>
  <si>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</si>
  <si>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</si>
  <si>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</si>
  <si>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</si>
  <si>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</si>
  <si>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</si>
  <si>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</si>
  <si>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</si>
  <si>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</si>
  <si>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</si>
  <si>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</si>
  <si>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</si>
  <si>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</si>
  <si>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</si>
  <si>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</si>
  <si>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</si>
  <si>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</si>
  <si>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</si>
  <si>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</si>
  <si>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</si>
  <si>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</si>
  <si>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</si>
  <si>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</si>
  <si>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</si>
  <si>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</si>
  <si>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</si>
  <si>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</si>
  <si>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</si>
  <si>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</si>
  <si>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</si>
  <si>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</si>
  <si>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</si>
  <si>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</si>
  <si>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</si>
  <si>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</si>
  <si>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</si>
  <si>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</si>
  <si>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</si>
  <si>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</si>
  <si>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</si>
  <si>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</si>
  <si>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</si>
  <si>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</si>
  <si>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</si>
  <si>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</si>
  <si>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</si>
  <si>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</si>
  <si>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</si>
  <si>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</si>
  <si>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</si>
  <si>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</si>
  <si>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</si>
  <si>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</si>
  <si>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</si>
  <si>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</si>
  <si>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</si>
  <si>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</si>
  <si>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</si>
  <si>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</si>
  <si>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</si>
  <si>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</si>
  <si>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</si>
  <si>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</si>
  <si>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</si>
  <si>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</si>
  <si>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</si>
  <si>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</si>
  <si>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</si>
  <si>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</si>
  <si>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</si>
  <si>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</si>
  <si>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</si>
  <si>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</si>
  <si>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</si>
  <si>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</si>
  <si>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</si>
  <si>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</si>
  <si>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</si>
  <si>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</si>
  <si>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</si>
  <si>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</si>
  <si>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</si>
  <si>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</si>
  <si>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</si>
  <si>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</si>
  <si>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</si>
  <si>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</si>
  <si>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</si>
  <si>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</si>
  <si>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</si>
  <si>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</si>
  <si>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</si>
  <si>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</si>
  <si>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</si>
  <si>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</si>
  <si>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</si>
  <si>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</si>
  <si>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</si>
  <si>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</si>
  <si>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</si>
  <si>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</si>
  <si>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</si>
  <si>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</si>
  <si>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</si>
  <si>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</si>
  <si>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</si>
  <si>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</si>
  <si>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</si>
  <si>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</si>
  <si>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</si>
  <si>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</si>
  <si>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</si>
  <si>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</si>
  <si>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</si>
  <si>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</si>
  <si>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</si>
  <si>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</si>
  <si>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</si>
  <si>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</si>
  <si>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</si>
  <si>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</si>
  <si>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</si>
  <si>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</si>
  <si>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</si>
  <si>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</si>
  <si>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</si>
  <si>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</si>
  <si>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</si>
  <si>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</si>
  <si>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</si>
  <si>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</si>
  <si>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</si>
  <si>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</si>
  <si>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</si>
  <si>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</si>
  <si>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</si>
  <si>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</si>
  <si>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</si>
  <si>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</si>
  <si>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</si>
  <si>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</si>
  <si>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</si>
  <si>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</si>
  <si>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</si>
  <si>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</si>
  <si>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</si>
  <si>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</si>
  <si>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</si>
  <si>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</si>
  <si>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</si>
  <si>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</si>
  <si>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</si>
  <si>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</si>
  <si>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</si>
  <si>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</si>
  <si>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</si>
  <si>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</si>
  <si>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</si>
  <si>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</si>
  <si>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</si>
  <si>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</si>
  <si>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</si>
  <si>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</si>
  <si>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</si>
  <si>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</si>
  <si>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</si>
  <si>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</si>
  <si>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</si>
  <si>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</si>
  <si>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</si>
  <si>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</si>
  <si>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</si>
  <si>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</si>
  <si>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</si>
  <si>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</si>
  <si>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</si>
  <si>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</si>
  <si>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</si>
  <si>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</si>
  <si>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</si>
  <si>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</si>
  <si>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</si>
  <si>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</si>
  <si>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</si>
  <si>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</si>
  <si>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</si>
  <si>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</si>
  <si>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</si>
  <si>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</si>
  <si>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</si>
  <si>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</si>
  <si>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</si>
  <si>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</si>
  <si>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</si>
  <si>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</si>
  <si>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</si>
  <si>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</si>
  <si>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</si>
  <si>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</si>
  <si>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</si>
  <si>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</si>
  <si>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</si>
  <si>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</si>
  <si>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</si>
  <si>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</si>
  <si>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</si>
  <si>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</si>
  <si>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</si>
  <si>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</si>
  <si>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</si>
  <si>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</si>
  <si>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</si>
  <si>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</si>
  <si>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</si>
  <si>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</si>
  <si>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</si>
  <si>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</si>
  <si>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</si>
  <si>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</si>
  <si>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</si>
  <si>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</si>
  <si>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</si>
  <si>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</si>
  <si>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</si>
  <si>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</si>
  <si>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</si>
  <si>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</si>
  <si>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</si>
  <si>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</si>
  <si>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</si>
  <si>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</si>
  <si>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</si>
  <si>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</si>
  <si>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</si>
  <si>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</si>
  <si>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</si>
  <si>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</si>
  <si>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</si>
  <si>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</si>
  <si>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</si>
  <si>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</si>
  <si>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</si>
  <si>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</si>
  <si>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</si>
  <si>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</si>
  <si>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</si>
  <si>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</si>
  <si>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</si>
  <si>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</si>
  <si>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</si>
  <si>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</si>
  <si>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</si>
  <si>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</si>
  <si>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</si>
  <si>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</si>
  <si>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</si>
  <si>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</si>
  <si>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</si>
  <si>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</si>
  <si>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</si>
  <si>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</si>
  <si>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</si>
  <si>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</si>
  <si>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</si>
  <si>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</si>
  <si>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</si>
  <si>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</si>
  <si>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</si>
  <si>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</si>
  <si>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</si>
  <si>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</si>
  <si>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</si>
  <si>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</si>
  <si>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</si>
  <si>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</si>
  <si>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</si>
  <si>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</si>
  <si>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</si>
  <si>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</si>
  <si>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</si>
  <si>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</si>
  <si>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</si>
  <si>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</si>
  <si>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</si>
  <si>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</si>
  <si>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</si>
  <si>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</si>
  <si>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</si>
  <si>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</si>
  <si>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</si>
  <si>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</si>
  <si>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</si>
  <si>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</si>
  <si>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</si>
  <si>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</si>
  <si>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</si>
  <si>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</si>
  <si>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</si>
  <si>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</si>
  <si>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</si>
  <si>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</si>
  <si>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</si>
  <si>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</si>
  <si>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</si>
  <si>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</si>
  <si>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</si>
  <si>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</si>
  <si>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</si>
  <si>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</si>
  <si>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</si>
  <si>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</si>
  <si>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</si>
  <si>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</si>
  <si>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</si>
  <si>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</si>
  <si>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</si>
  <si>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</si>
  <si>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</si>
  <si>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</si>
  <si>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</si>
  <si>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</si>
  <si>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</si>
  <si>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</si>
  <si>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</si>
  <si>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</si>
  <si>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</si>
  <si>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</si>
  <si>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</si>
  <si>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</si>
  <si>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</si>
  <si>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</si>
  <si>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</si>
  <si>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</si>
  <si>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</si>
  <si>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</si>
  <si>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</si>
  <si>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</si>
  <si>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</si>
  <si>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</si>
  <si>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</si>
  <si>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</si>
  <si>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</si>
  <si>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</si>
  <si>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</si>
  <si>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</si>
  <si>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</si>
  <si>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</si>
  <si>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</si>
  <si>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</si>
  <si>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</si>
  <si>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</si>
  <si>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</si>
  <si>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</si>
  <si>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</si>
  <si>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</si>
  <si>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</si>
  <si>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</si>
  <si>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</si>
  <si>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</si>
  <si>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</si>
  <si>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</si>
  <si>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</si>
  <si>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</si>
  <si>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</si>
  <si>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</si>
  <si>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</si>
  <si>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</si>
  <si>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</si>
  <si>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</si>
  <si>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</si>
  <si>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</si>
  <si>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</si>
  <si>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</si>
  <si>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</si>
  <si>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</si>
  <si>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</si>
  <si>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</si>
  <si>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</si>
  <si>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</si>
  <si>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</si>
  <si>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</si>
  <si>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</si>
  <si>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</si>
  <si>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</si>
  <si>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</si>
  <si>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</si>
  <si>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</si>
  <si>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</si>
  <si>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</si>
  <si>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</si>
  <si>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</si>
  <si>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</si>
  <si>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</si>
  <si>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</si>
  <si>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</si>
  <si>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</si>
  <si>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</si>
  <si>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</si>
  <si>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</si>
  <si>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</si>
  <si>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</si>
  <si>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</si>
  <si>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</si>
  <si>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</si>
  <si>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</si>
  <si>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</si>
  <si>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</si>
  <si>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</si>
  <si>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</si>
  <si>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</si>
  <si>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</si>
  <si>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</si>
  <si>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</si>
  <si>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</si>
  <si>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</si>
  <si>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</si>
  <si>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</si>
  <si>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</si>
  <si>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</si>
  <si>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</si>
  <si>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</si>
  <si>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</si>
  <si>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</si>
  <si>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</si>
  <si>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</si>
  <si>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</si>
  <si>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</si>
  <si>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</si>
  <si>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</si>
  <si>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</si>
  <si>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</si>
  <si>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</si>
  <si>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</si>
  <si>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</si>
  <si>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</si>
  <si>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</si>
  <si>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</si>
  <si>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</si>
  <si>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</si>
  <si>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</si>
  <si>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</si>
  <si>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</si>
  <si>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</si>
  <si>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</si>
  <si>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</si>
  <si>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</si>
  <si>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</si>
  <si>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</si>
  <si>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</si>
  <si>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</si>
  <si>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</si>
  <si>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</si>
  <si>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</si>
  <si>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</si>
  <si>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</si>
  <si>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</si>
  <si>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</si>
  <si>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</si>
  <si>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</si>
  <si>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</si>
  <si>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</si>
  <si>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</si>
  <si>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</si>
  <si>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</si>
  <si>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</si>
  <si>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</si>
  <si>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</si>
  <si>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</si>
  <si>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</si>
  <si>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</si>
  <si>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</si>
  <si>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</si>
  <si>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</si>
  <si>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</si>
  <si>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</si>
  <si>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</si>
  <si>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</si>
  <si>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</si>
  <si>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</si>
  <si>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</si>
  <si>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</si>
  <si>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</si>
  <si>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</si>
  <si>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</si>
  <si>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</si>
  <si>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</si>
  <si>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</si>
  <si>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</si>
  <si>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</si>
  <si>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</si>
  <si>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</si>
  <si>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</si>
  <si>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</si>
  <si>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</si>
  <si>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</si>
  <si>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</si>
  <si>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</si>
  <si>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</si>
  <si>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</si>
  <si>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</si>
  <si>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</si>
  <si>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</si>
  <si>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</si>
  <si>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</si>
  <si>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</si>
  <si>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</si>
  <si>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</si>
  <si>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</si>
  <si>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</si>
  <si>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</si>
  <si>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</si>
  <si>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</si>
  <si>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</si>
  <si>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</si>
  <si>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</si>
  <si>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</si>
  <si>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</si>
  <si>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</si>
  <si>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</si>
  <si>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</si>
  <si>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</si>
  <si>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</si>
  <si>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</si>
  <si>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</si>
  <si>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</si>
  <si>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</si>
  <si>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</si>
  <si>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</si>
  <si>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</si>
  <si>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</si>
  <si>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</si>
  <si>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</si>
  <si>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</si>
  <si>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</si>
  <si>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</si>
  <si>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</si>
  <si>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</si>
  <si>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</si>
  <si>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</si>
  <si>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</si>
  <si>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</si>
  <si>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</si>
  <si>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</si>
  <si>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</si>
  <si>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</si>
  <si>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</si>
  <si>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</si>
  <si>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</si>
  <si>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</si>
  <si>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</si>
  <si>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</si>
  <si>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</si>
  <si>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</si>
  <si>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</si>
  <si>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</si>
  <si>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</si>
  <si>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</si>
  <si>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</si>
  <si>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</si>
  <si>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</si>
  <si>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</si>
  <si>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</si>
  <si>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</si>
  <si>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</si>
  <si>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</si>
  <si>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</si>
  <si>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</si>
  <si>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</si>
  <si>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</si>
  <si>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</si>
  <si>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</si>
  <si>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</si>
  <si>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</si>
  <si>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</si>
  <si>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</si>
  <si>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</si>
  <si>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</si>
  <si>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</si>
  <si>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</si>
  <si>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</si>
  <si>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</si>
  <si>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</si>
  <si>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</si>
  <si>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</si>
  <si>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</si>
  <si>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</si>
  <si>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</si>
  <si>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</si>
  <si>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</si>
  <si>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</si>
  <si>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</si>
  <si>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</si>
  <si>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</si>
  <si>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</si>
  <si>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</si>
  <si>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</si>
  <si>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</si>
  <si>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</si>
  <si>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</si>
  <si>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</si>
  <si>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</si>
  <si>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</si>
  <si>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</si>
  <si>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</si>
  <si>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</si>
  <si>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</si>
  <si>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</si>
  <si>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</si>
  <si>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</si>
  <si>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</si>
  <si>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</si>
  <si>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</si>
  <si>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</si>
  <si>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</si>
  <si>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</si>
  <si>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</si>
  <si>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</si>
  <si>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</si>
  <si>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</si>
  <si>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</si>
  <si>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</si>
  <si>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</si>
  <si>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</si>
  <si>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</si>
  <si>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</si>
  <si>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</si>
  <si>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</si>
  <si>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</si>
  <si>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</si>
  <si>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</si>
  <si>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</si>
  <si>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</si>
  <si>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</si>
  <si>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</si>
  <si>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</si>
  <si>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</si>
  <si>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</si>
  <si>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</si>
  <si>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</si>
  <si>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</si>
  <si>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</si>
  <si>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</si>
  <si>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</si>
  <si>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</si>
  <si>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</si>
  <si>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</si>
  <si>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</si>
  <si>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</si>
  <si>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</si>
  <si>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</si>
  <si>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</si>
  <si>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</si>
  <si>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</si>
  <si>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</si>
  <si>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</si>
  <si>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</si>
  <si>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</si>
  <si>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</si>
  <si>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</si>
  <si>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</si>
  <si>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</si>
  <si>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</si>
  <si>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</si>
  <si>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</si>
  <si>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</si>
  <si>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</si>
  <si>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</si>
  <si>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</si>
  <si>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</si>
  <si>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</si>
  <si>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</si>
  <si>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</si>
  <si>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</si>
  <si>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</si>
  <si>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</si>
  <si>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</si>
  <si>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</si>
  <si>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</si>
  <si>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</si>
  <si>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</si>
  <si>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</si>
  <si>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</si>
  <si>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</si>
  <si>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</si>
  <si>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</si>
  <si>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</si>
  <si>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</si>
  <si>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</si>
  <si>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</si>
  <si>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</si>
  <si>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</si>
  <si>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</si>
  <si>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</si>
  <si>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</si>
  <si>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</si>
  <si>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</si>
  <si>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</si>
  <si>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</si>
  <si>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</si>
  <si>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</si>
  <si>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</si>
  <si>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</si>
  <si>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</si>
  <si>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</si>
  <si>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</si>
  <si>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</si>
  <si>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</si>
  <si>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</si>
  <si>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</si>
  <si>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</si>
  <si>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</si>
  <si>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</si>
  <si>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</si>
  <si>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</si>
  <si>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</si>
  <si>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</si>
  <si>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</si>
  <si>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</si>
  <si>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</si>
  <si>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</si>
  <si>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</si>
  <si>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</si>
  <si>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</si>
  <si>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</si>
  <si>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</si>
  <si>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</si>
  <si>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</si>
  <si>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</si>
  <si>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</si>
  <si>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</si>
  <si>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</si>
  <si>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</si>
  <si>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</si>
  <si>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</si>
  <si>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</si>
  <si>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</si>
  <si>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</si>
  <si>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</si>
  <si>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</si>
  <si>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</si>
  <si>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</si>
  <si>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</si>
  <si>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</si>
  <si>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</si>
  <si>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</si>
  <si>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</si>
  <si>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</si>
  <si>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</si>
  <si>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</si>
  <si>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</si>
  <si>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</si>
  <si>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</si>
  <si>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</si>
  <si>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</si>
  <si>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</si>
  <si>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</si>
  <si>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</si>
  <si>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</si>
  <si>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</si>
  <si>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</si>
  <si>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</si>
  <si>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</si>
  <si>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</si>
  <si>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</si>
  <si>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</si>
  <si>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</si>
  <si>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</si>
  <si>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</si>
  <si>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</si>
  <si>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</si>
  <si>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</si>
  <si>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</si>
  <si>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</si>
  <si>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</si>
  <si>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</si>
  <si>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</si>
  <si>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</si>
  <si>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</si>
  <si>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</si>
  <si>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</si>
  <si>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</si>
  <si>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</si>
  <si>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</si>
  <si>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</si>
  <si>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</si>
  <si>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</si>
  <si>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</si>
  <si>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</si>
  <si>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</si>
  <si>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</si>
  <si>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</si>
  <si>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</si>
  <si>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</si>
  <si>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</si>
  <si>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</si>
  <si>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</si>
  <si>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</si>
  <si>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</si>
  <si>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</si>
  <si>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</si>
  <si>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</si>
  <si>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</si>
  <si>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</si>
  <si>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</si>
  <si>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</si>
  <si>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</si>
  <si>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</si>
  <si>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</si>
  <si>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</si>
  <si>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</si>
  <si>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</si>
  <si>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</si>
  <si>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</si>
  <si>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</si>
  <si>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</si>
  <si>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</si>
  <si>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</si>
  <si>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</si>
  <si>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</si>
  <si>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</si>
  <si>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</si>
  <si>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</si>
  <si>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</si>
  <si>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</si>
  <si>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</si>
  <si>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</si>
  <si>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</si>
  <si>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</si>
  <si>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</si>
  <si>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</si>
  <si>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</si>
  <si>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</si>
  <si>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</si>
  <si>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</si>
  <si>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</si>
  <si>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</si>
  <si>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</si>
  <si>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</si>
  <si>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</si>
  <si>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</si>
  <si>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</si>
  <si>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</si>
  <si>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</si>
  <si>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</si>
  <si>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</si>
  <si>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</si>
  <si>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</si>
  <si>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</si>
  <si>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</si>
  <si>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</si>
  <si>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</si>
  <si>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</si>
  <si>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</si>
  <si>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</si>
  <si>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</si>
  <si>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</si>
  <si>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</si>
  <si>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</si>
  <si>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</si>
  <si>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</si>
  <si>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</si>
  <si>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</si>
  <si>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</si>
  <si>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</si>
  <si>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</si>
  <si>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</si>
  <si>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</si>
  <si>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</si>
  <si>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</si>
  <si>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</si>
  <si>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</si>
  <si>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</si>
  <si>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</si>
  <si>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</si>
  <si>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</si>
  <si>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</si>
  <si>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</si>
  <si>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</si>
  <si>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</si>
  <si>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</si>
  <si>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</si>
  <si>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</si>
  <si>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</si>
  <si>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</si>
  <si>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</si>
  <si>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</si>
  <si>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</si>
  <si>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</si>
  <si>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</si>
  <si>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</si>
  <si>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</si>
  <si>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</si>
  <si>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</si>
  <si>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</si>
  <si>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</si>
  <si>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</si>
  <si>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</si>
  <si>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</si>
  <si>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</si>
  <si>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</si>
  <si>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</si>
  <si>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</si>
  <si>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</si>
  <si>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</si>
  <si>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</si>
  <si>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</si>
  <si>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</si>
  <si>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</si>
  <si>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</si>
  <si>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</si>
  <si>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</si>
  <si>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</si>
  <si>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</si>
  <si>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</si>
  <si>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</si>
  <si>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</si>
  <si>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</si>
  <si>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</si>
  <si>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</si>
  <si>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</si>
  <si>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</si>
  <si>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</si>
  <si>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</si>
  <si>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</si>
  <si>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</si>
  <si>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</si>
  <si>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</si>
  <si>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</si>
  <si>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</si>
  <si>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</si>
  <si>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</si>
  <si>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</si>
  <si>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</si>
  <si>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</si>
  <si>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</si>
  <si>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</si>
  <si>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</si>
  <si>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</si>
  <si>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</si>
  <si>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</si>
  <si>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</si>
  <si>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</si>
  <si>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</si>
  <si>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</si>
  <si>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</si>
  <si>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</si>
  <si>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</si>
  <si>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</si>
  <si>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</si>
  <si>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</si>
  <si>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</si>
  <si>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</si>
  <si>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</si>
  <si>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</si>
  <si>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</si>
  <si>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</si>
  <si>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</si>
  <si>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</si>
  <si>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</si>
  <si>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</si>
  <si>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</si>
  <si>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</si>
  <si>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</si>
  <si>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</si>
  <si>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</si>
  <si>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</si>
  <si>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</si>
  <si>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</si>
  <si>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</si>
  <si>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</si>
  <si>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</si>
  <si>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</si>
  <si>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</si>
  <si>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</si>
  <si>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</si>
  <si>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</si>
  <si>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</si>
  <si>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</si>
  <si>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</si>
  <si>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</si>
  <si>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</si>
  <si>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</si>
  <si>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</si>
  <si>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</si>
  <si>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</si>
  <si>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</si>
  <si>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</si>
  <si>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</si>
  <si>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</si>
  <si>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</si>
  <si>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</si>
  <si>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</si>
  <si>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</si>
  <si>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</si>
  <si>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</si>
  <si>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</si>
  <si>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</si>
  <si>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</si>
  <si>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</si>
  <si>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</si>
  <si>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</si>
  <si>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</si>
  <si>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</si>
  <si>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</si>
  <si>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</si>
  <si>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</si>
  <si>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</si>
  <si>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</si>
  <si>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</si>
  <si>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</si>
  <si>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</si>
  <si>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</si>
  <si>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</si>
  <si>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</si>
  <si>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</si>
  <si>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</si>
  <si>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</si>
  <si>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</si>
  <si>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</si>
  <si>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</si>
  <si>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</si>
  <si>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</si>
  <si>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</si>
  <si>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</si>
  <si>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</si>
  <si>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</si>
  <si>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</si>
  <si>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</si>
  <si>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</si>
  <si>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</si>
  <si>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</si>
  <si>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</si>
  <si>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</si>
  <si>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</si>
  <si>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</si>
  <si>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</si>
  <si>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</si>
  <si>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</si>
  <si>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</si>
  <si>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</si>
  <si>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</si>
  <si>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</si>
  <si>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</si>
  <si>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</si>
  <si>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</si>
  <si>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</si>
  <si>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</si>
  <si>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</si>
  <si>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</si>
  <si>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</si>
  <si>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</si>
  <si>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</si>
  <si>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</si>
  <si>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</si>
  <si>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</si>
  <si>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</si>
  <si>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</si>
  <si>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</si>
  <si>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</si>
  <si>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</si>
  <si>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</si>
  <si>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</si>
  <si>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</si>
  <si>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</si>
  <si>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</si>
  <si>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</si>
  <si>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</si>
  <si>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</si>
  <si>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</si>
  <si>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</si>
  <si>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</si>
  <si>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</si>
  <si>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</si>
  <si>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</si>
  <si>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</si>
  <si>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</si>
  <si>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</si>
  <si>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</si>
  <si>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</si>
  <si>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</si>
  <si>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</si>
  <si>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</si>
  <si>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</si>
  <si>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</si>
  <si>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</si>
  <si>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</si>
  <si>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</si>
  <si>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</si>
  <si>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</si>
  <si>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</si>
  <si>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</si>
  <si>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</si>
  <si>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</si>
  <si>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</si>
  <si>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</si>
  <si>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</si>
  <si>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</si>
  <si>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</si>
  <si>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</si>
  <si>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</si>
  <si>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</si>
  <si>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</si>
  <si>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</si>
  <si>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</si>
  <si>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</si>
  <si>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</si>
  <si>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</si>
  <si>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</si>
  <si>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</si>
  <si>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</si>
  <si>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</si>
  <si>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</si>
  <si>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</si>
  <si>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</si>
  <si>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</si>
  <si>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</si>
  <si>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</si>
  <si>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</si>
  <si>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</si>
  <si>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</si>
  <si>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</si>
  <si>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</si>
  <si>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</si>
  <si>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</si>
  <si>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</si>
  <si>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</si>
  <si>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</si>
  <si>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</si>
  <si>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</si>
  <si>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</si>
  <si>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</si>
  <si>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</si>
  <si>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</si>
  <si>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</si>
  <si>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</si>
  <si>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</si>
  <si>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</si>
  <si>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</si>
  <si>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</si>
  <si>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</si>
  <si>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</si>
  <si>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</si>
  <si>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</si>
  <si>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</si>
  <si>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</si>
  <si>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</si>
  <si>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</si>
  <si>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</si>
  <si>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</si>
  <si>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</si>
  <si>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</si>
  <si>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</si>
  <si>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</si>
  <si>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</si>
  <si>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</si>
  <si>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</si>
  <si>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</si>
  <si>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</si>
  <si>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</si>
  <si>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</si>
  <si>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</si>
  <si>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</si>
  <si>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</si>
  <si>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</si>
  <si>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</si>
  <si>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</si>
  <si>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</si>
  <si>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</si>
  <si>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</si>
  <si>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</si>
  <si>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</si>
  <si>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</si>
  <si>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</si>
  <si>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</si>
  <si>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</si>
  <si>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</si>
  <si>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</si>
  <si>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</si>
  <si>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</si>
  <si>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</si>
  <si>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</si>
  <si>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</si>
  <si>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</si>
  <si>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</si>
  <si>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</si>
  <si>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</si>
  <si>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</si>
  <si>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</si>
  <si>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</si>
  <si>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</si>
  <si>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</si>
  <si>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</si>
  <si>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</si>
  <si>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</si>
  <si>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</si>
  <si>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</si>
  <si>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</si>
  <si>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</si>
  <si>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</si>
  <si>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</si>
  <si>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</si>
  <si>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</si>
  <si>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</si>
  <si>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</si>
  <si>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</si>
  <si>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</si>
  <si>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</si>
  <si>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</si>
  <si>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</si>
  <si>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</si>
  <si>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</si>
  <si>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</si>
  <si>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</si>
  <si>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</si>
  <si>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</si>
  <si>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</si>
  <si>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</si>
  <si>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</si>
  <si>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</si>
  <si>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</si>
  <si>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</si>
  <si>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</si>
  <si>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</si>
  <si>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</si>
  <si>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</si>
  <si>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</si>
  <si>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</si>
  <si>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</si>
  <si>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</si>
  <si>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</si>
  <si>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</si>
  <si>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</si>
  <si>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</si>
  <si>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</si>
  <si>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</si>
  <si>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</si>
  <si>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</si>
  <si>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</si>
  <si>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</si>
  <si>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</si>
  <si>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</si>
  <si>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</si>
  <si>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</si>
  <si>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</si>
  <si>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</si>
  <si>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</si>
  <si>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</si>
  <si>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</si>
  <si>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</si>
  <si>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</si>
  <si>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</si>
  <si>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</si>
  <si>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</si>
  <si>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</si>
  <si>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</si>
  <si>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</si>
  <si>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</si>
  <si>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</si>
  <si>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</si>
  <si>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</si>
  <si>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</si>
  <si>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</si>
  <si>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</si>
  <si>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</si>
  <si>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</si>
  <si>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</si>
  <si>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</si>
  <si>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</si>
  <si>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</si>
  <si>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</si>
  <si>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</si>
  <si>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</si>
  <si>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</si>
  <si>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</si>
  <si>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</si>
  <si>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</si>
  <si>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</si>
  <si>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</si>
  <si>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</si>
  <si>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</si>
  <si>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</si>
  <si>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</si>
  <si>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</si>
  <si>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</si>
  <si>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</si>
  <si>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</si>
  <si>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</si>
  <si>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</si>
  <si>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</si>
  <si>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</si>
  <si>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</si>
  <si>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</si>
  <si>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</si>
  <si>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</si>
  <si>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</si>
  <si>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</si>
  <si>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</si>
  <si>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</si>
  <si>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</si>
  <si>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</si>
  <si>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</si>
  <si>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</si>
  <si>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</si>
  <si>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</si>
  <si>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</si>
  <si>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</si>
  <si>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</si>
  <si>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</si>
  <si>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</si>
  <si>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</si>
  <si>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</si>
  <si>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</si>
  <si>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</si>
  <si>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</si>
  <si>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</si>
  <si>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</si>
  <si>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</si>
  <si>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</si>
  <si>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</si>
  <si>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</si>
  <si>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</si>
  <si>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</si>
  <si>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</si>
  <si>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</si>
  <si>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</si>
  <si>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</si>
  <si>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</si>
  <si>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</si>
  <si>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</si>
  <si>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</si>
  <si>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</si>
  <si>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</si>
  <si>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</si>
  <si>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</si>
  <si>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</si>
  <si>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</si>
  <si>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</si>
  <si>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</si>
  <si>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</si>
  <si>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</si>
  <si>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</si>
  <si>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</si>
  <si>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</si>
  <si>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</si>
  <si>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</si>
  <si>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</si>
  <si>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</si>
  <si>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</si>
  <si>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</si>
  <si>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</si>
  <si>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</si>
  <si>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</si>
  <si>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</si>
  <si>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</si>
  <si>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</si>
  <si>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</si>
  <si>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</si>
  <si>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</si>
  <si>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</si>
  <si>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</si>
  <si>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</si>
  <si>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</si>
  <si>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</si>
  <si>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</si>
  <si>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</si>
  <si>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</si>
  <si>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</si>
  <si>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</si>
  <si>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</si>
  <si>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</si>
  <si>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</si>
  <si>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</si>
  <si>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</si>
  <si>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</si>
  <si>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</si>
  <si>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</si>
  <si>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</si>
  <si>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</si>
  <si>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</si>
  <si>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</si>
  <si>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</si>
  <si>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</si>
  <si>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</si>
  <si>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</si>
  <si>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</si>
  <si>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</si>
  <si>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</si>
  <si>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</si>
  <si>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</si>
  <si>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</si>
  <si>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</si>
  <si>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</si>
  <si>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</si>
  <si>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</si>
  <si>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</si>
  <si>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</si>
  <si>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</si>
  <si>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</si>
  <si>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</si>
  <si>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</si>
  <si>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</si>
  <si>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</si>
  <si>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</si>
  <si>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</si>
  <si>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</si>
  <si>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</si>
  <si>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</si>
  <si>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</si>
  <si>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</si>
  <si>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</si>
  <si>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</si>
  <si>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</si>
  <si>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</si>
  <si>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</si>
  <si>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</si>
  <si>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</si>
  <si>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</si>
  <si>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</si>
  <si>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</si>
  <si>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</si>
  <si>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</si>
  <si>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</si>
  <si>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</si>
  <si>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</si>
  <si>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</si>
  <si>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</si>
  <si>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</si>
  <si>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</si>
  <si>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</si>
  <si>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</si>
  <si>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</si>
  <si>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</si>
  <si>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</si>
  <si>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</si>
  <si>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</si>
  <si>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</si>
  <si>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</si>
  <si>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</si>
  <si>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</si>
  <si>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</si>
  <si>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</si>
  <si>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</si>
  <si>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</si>
  <si>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</si>
  <si>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</si>
  <si>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</si>
  <si>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</si>
  <si>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</si>
  <si>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</si>
  <si>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</si>
  <si>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</si>
  <si>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</si>
  <si>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</si>
  <si>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</si>
  <si>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</si>
  <si>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</si>
  <si>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</si>
  <si>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</si>
  <si>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</si>
  <si>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</si>
  <si>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</si>
  <si>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</si>
  <si>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</si>
  <si>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</si>
  <si>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</si>
  <si>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</si>
  <si>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</si>
  <si>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</si>
  <si>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</si>
  <si>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</si>
  <si>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</si>
  <si>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</si>
  <si>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</si>
  <si>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</si>
  <si>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</si>
  <si>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</si>
  <si>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</si>
  <si>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</si>
  <si>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</si>
  <si>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</si>
  <si>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</si>
  <si>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</si>
  <si>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</si>
  <si>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</si>
  <si>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</si>
  <si>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</si>
  <si>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</si>
  <si>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DSP 1.708/2022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</si>
  <si>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</si>
  <si>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</si>
  <si>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</si>
  <si>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</si>
  <si>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</si>
  <si>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</si>
  <si>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</si>
  <si>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</si>
  <si>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</si>
  <si>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</si>
  <si>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</si>
  <si>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</si>
  <si>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</si>
  <si>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</si>
  <si>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</si>
  <si>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</si>
  <si>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</si>
  <si>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Previsão-SGT-2022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</si>
  <si>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</si>
  <si>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</si>
  <si>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</si>
  <si>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</si>
  <si>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</si>
  <si>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</si>
  <si>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</si>
  <si>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</si>
  <si>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</si>
  <si>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</si>
  <si>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</si>
  <si>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</si>
  <si>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</si>
  <si>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</si>
  <si>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</si>
  <si>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</si>
  <si>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</si>
  <si>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</si>
  <si>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</si>
  <si>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</si>
  <si>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</si>
  <si>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</si>
  <si>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</si>
  <si>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</si>
  <si>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</si>
  <si>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</si>
  <si>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</si>
  <si>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Azul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</si>
  <si>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</si>
  <si>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</si>
  <si>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</si>
  <si>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</si>
  <si>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</si>
  <si>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</si>
  <si>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</si>
  <si>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</si>
  <si>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</si>
  <si>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GERAÇÃO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</si>
  <si>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</si>
  <si>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</si>
  <si>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</si>
  <si>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</si>
  <si>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</si>
  <si>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</si>
  <si>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</si>
  <si>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</si>
  <si>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</si>
  <si>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</si>
  <si>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</si>
  <si>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</si>
  <si>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</si>
  <si>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</si>
  <si>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</si>
  <si>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</si>
  <si>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</si>
  <si>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</si>
  <si>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</si>
  <si>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</si>
  <si>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</si>
  <si>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</si>
  <si>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</si>
  <si>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</si>
  <si>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</si>
  <si>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</si>
  <si>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</si>
  <si>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</si>
  <si>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</si>
  <si>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</si>
  <si>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</si>
  <si>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</si>
  <si>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</si>
  <si>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</si>
  <si>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</si>
  <si>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</si>
  <si>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</si>
  <si>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</si>
  <si>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</si>
  <si>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</si>
  <si>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</si>
  <si>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</si>
  <si>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</si>
  <si>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</si>
  <si>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</si>
  <si>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</si>
  <si>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</si>
  <si>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</si>
  <si>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</si>
  <si>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</si>
  <si>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</si>
  <si>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</si>
  <si>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</si>
  <si>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</si>
  <si>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</si>
  <si>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EUST - FR</t>
  </si>
  <si>
    <t>EUST - RB</t>
  </si>
  <si>
    <t>RESOLUÇÃO HOMOLOGATÓRIA Nº 2.972, DE 16 DE NOVEMBRO DE 2021</t>
  </si>
  <si>
    <t>RGE Uni</t>
  </si>
  <si>
    <t>RESOLUÇÃO HOMOLOGATÓRIA Nº 3.045, DE 21 DE JUNHO DE 2022</t>
  </si>
  <si>
    <t>Energia suprimento permissionária</t>
  </si>
  <si>
    <t>3223</t>
  </si>
  <si>
    <t>COOPERATIVA REGIONAL DE ENERGIA TAQUARI JACUI</t>
  </si>
  <si>
    <t>396</t>
  </si>
  <si>
    <t>RGE SUL DISTRIBUIDORA DE ENERGIA S.A.</t>
  </si>
  <si>
    <t>5707</t>
  </si>
  <si>
    <t>Cia. Estadual de Distribuição de Energia Elétrica - Ceee-D</t>
  </si>
  <si>
    <t>Fonte incentivada</t>
  </si>
  <si>
    <t>LIVRE</t>
  </si>
  <si>
    <t>PCH MORRINHOS</t>
  </si>
  <si>
    <t>P.PETROQUIMIC - 69 kV (A)</t>
  </si>
  <si>
    <t>69</t>
  </si>
  <si>
    <t>V.AIRES - 69 kV (A)</t>
  </si>
  <si>
    <t>CEEE-T</t>
  </si>
  <si>
    <t>055/2001</t>
  </si>
  <si>
    <t xml:space="preserve"> 48500.004968/2021-33</t>
  </si>
  <si>
    <t>RGE SUL</t>
  </si>
  <si>
    <t>Efrain Pereira da Cruz</t>
  </si>
  <si>
    <t>ainda não incluido nos financeiros</t>
  </si>
  <si>
    <t>DESPACHO Nº 379, DE 17 DE MARÇO DE 2022 - Montantes de Suprimento RGE</t>
  </si>
  <si>
    <t>Comercializadora Electra</t>
  </si>
  <si>
    <t>Qtde. Dias</t>
  </si>
  <si>
    <t>MWm</t>
  </si>
  <si>
    <t>3° T.A. CONTRATO EE-CCVEE Nº 001/2020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</si>
  <si>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</si>
  <si>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</si>
  <si>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</si>
  <si>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</si>
  <si>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</si>
  <si>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</si>
  <si>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</si>
  <si>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</si>
  <si>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</si>
  <si>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</si>
  <si>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</si>
  <si>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</si>
  <si>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</si>
  <si>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</si>
  <si>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</si>
  <si>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</si>
  <si>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</si>
  <si>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</si>
  <si>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</si>
  <si>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</si>
  <si>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</si>
  <si>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</si>
  <si>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</si>
  <si>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Informações para o cálculo da Sobrecontratação</t>
  </si>
  <si>
    <t>Perdas DRA realizadas</t>
  </si>
  <si>
    <t>Valores dos Subsídios a serem repassados pela CCEE</t>
  </si>
  <si>
    <t>participação</t>
  </si>
  <si>
    <t>impacto</t>
  </si>
  <si>
    <t>Participação por tipo de contrato</t>
  </si>
  <si>
    <t>Contratos de Suprimento</t>
  </si>
  <si>
    <t>Soma de TE_E</t>
  </si>
  <si>
    <t>Risco Hidrológico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</si>
  <si>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</si>
  <si>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</si>
  <si>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</si>
  <si>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</si>
  <si>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</si>
  <si>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</si>
  <si>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</si>
  <si>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</si>
  <si>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</si>
  <si>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</si>
  <si>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</si>
  <si>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</si>
  <si>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</si>
  <si>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</si>
  <si>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>OF.RM.Id 31/2022, de 19/07/2022</t>
  </si>
  <si>
    <t xml:space="preserve">Conta Escassez H. - Importação julho- agosto/2021 - RTA 2022 </t>
  </si>
  <si>
    <t>Conta Escassez H. - Diferimento de energia - RTA 2022</t>
  </si>
  <si>
    <t>Sobrecontratação/Reversão de Energia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</si>
</sst>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3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  <numFmt numFmtId="282" formatCode="0.00000"/>
    <numFmt numFmtId="283" formatCode="mmm/yyyy"/>
  </numFmts>
  <fonts count="32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42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darkGray">
        <bgColor indexed="9"/>
      </patternFill>
    </fill>
    <fill>
      <patternFill patternType="darkGray">
        <bgColor theme="4" tint="-0.499984740745262"/>
      </patternFill>
    </fill>
    <fill>
      <patternFill patternType="darkGray"/>
    </fill>
    <fill>
      <patternFill patternType="darkGray">
        <bgColor theme="0"/>
      </patternFill>
    </fill>
    <fill>
      <patternFill patternType="darkGray">
        <bgColor indexed="22"/>
      </patternFill>
    </fill>
    <fill>
      <patternFill patternType="darkGray">
        <bgColor theme="3" tint="0.79998168889431442"/>
      </patternFill>
    </fill>
    <fill>
      <patternFill patternType="darkGray">
        <bgColor indexed="56"/>
      </patternFill>
    </fill>
    <fill>
      <patternFill patternType="darkGray">
        <bgColor theme="8" tint="0.59996337778862885"/>
      </patternFill>
    </fill>
    <fill>
      <patternFill patternType="darkGray">
        <bgColor theme="0" tint="-0.249977111117893"/>
      </patternFill>
    </fill>
  </fills>
  <borders count="2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3442">
    <xf numFmtId="0" fontId="0" fillId="0" borderId="0"/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2" fillId="0" borderId="0"/>
    <xf numFmtId="0" fontId="32" fillId="0" borderId="0"/>
    <xf numFmtId="0" fontId="3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2" fillId="0" borderId="0"/>
    <xf numFmtId="0" fontId="32" fillId="0" borderId="0"/>
    <xf numFmtId="0" fontId="32" fillId="0" borderId="0"/>
    <xf numFmtId="3" fontId="49" fillId="2" borderId="0">
      <alignment horizontal="left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3" fontId="51" fillId="9" borderId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3" fillId="0" borderId="0"/>
    <xf numFmtId="0" fontId="54" fillId="0" borderId="0"/>
    <xf numFmtId="0" fontId="54" fillId="0" borderId="0"/>
    <xf numFmtId="37" fontId="55" fillId="0" borderId="0"/>
    <xf numFmtId="0" fontId="55" fillId="0" borderId="1" applyBorder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7" fontId="33" fillId="22" borderId="2">
      <alignment horizontal="center" vertical="center"/>
    </xf>
    <xf numFmtId="0" fontId="42" fillId="0" borderId="0"/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3" fontId="56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59" fillId="0" borderId="0" applyNumberFormat="0" applyFill="0" applyBorder="0" applyAlignment="0" applyProtection="0"/>
    <xf numFmtId="0" fontId="32" fillId="0" borderId="0" applyNumberFormat="0" applyFill="0" applyBorder="0" applyAlignment="0"/>
    <xf numFmtId="178" fontId="60" fillId="0" borderId="0">
      <alignment vertical="top"/>
    </xf>
    <xf numFmtId="179" fontId="61" fillId="0" borderId="3"/>
    <xf numFmtId="0" fontId="62" fillId="5" borderId="0" applyNumberFormat="0" applyBorder="0" applyAlignment="0" applyProtection="0"/>
    <xf numFmtId="0" fontId="63" fillId="0" borderId="0">
      <protection locked="0"/>
    </xf>
    <xf numFmtId="0" fontId="63" fillId="0" borderId="0">
      <protection locked="0"/>
    </xf>
    <xf numFmtId="14" fontId="64" fillId="24" borderId="4" applyBorder="0" applyAlignment="0">
      <alignment horizontal="center" vertical="center"/>
    </xf>
    <xf numFmtId="0" fontId="64" fillId="25" borderId="4" applyNumberFormat="0" applyBorder="0" applyAlignment="0">
      <alignment horizontal="center" vertical="center"/>
    </xf>
    <xf numFmtId="180" fontId="42" fillId="0" borderId="0" applyFill="0" applyBorder="0" applyAlignment="0"/>
    <xf numFmtId="178" fontId="65" fillId="0" borderId="0" applyFill="0" applyBorder="0" applyAlignment="0"/>
    <xf numFmtId="174" fontId="65" fillId="0" borderId="0" applyFill="0" applyBorder="0" applyAlignment="0"/>
    <xf numFmtId="175" fontId="47" fillId="0" borderId="0" applyFill="0" applyBorder="0" applyAlignment="0"/>
    <xf numFmtId="181" fontId="32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6" fillId="26" borderId="5" applyNumberFormat="0" applyAlignment="0" applyProtection="0"/>
    <xf numFmtId="0" fontId="66" fillId="26" borderId="5" applyNumberFormat="0" applyAlignment="0" applyProtection="0"/>
    <xf numFmtId="40" fontId="65" fillId="23" borderId="6">
      <alignment vertical="center"/>
    </xf>
    <xf numFmtId="0" fontId="67" fillId="27" borderId="7" applyNumberFormat="0" applyAlignment="0" applyProtection="0"/>
    <xf numFmtId="0" fontId="68" fillId="0" borderId="8" applyNumberFormat="0" applyFill="0" applyAlignment="0" applyProtection="0"/>
    <xf numFmtId="0" fontId="67" fillId="27" borderId="7" applyNumberFormat="0" applyAlignment="0" applyProtection="0"/>
    <xf numFmtId="0" fontId="69" fillId="28" borderId="9" applyFont="0" applyFill="0" applyBorder="0"/>
    <xf numFmtId="0" fontId="44" fillId="0" borderId="10"/>
    <xf numFmtId="0" fontId="70" fillId="0" borderId="11"/>
    <xf numFmtId="41" fontId="114" fillId="0" borderId="0" applyFont="0" applyFill="0" applyBorder="0" applyAlignment="0" applyProtection="0"/>
    <xf numFmtId="180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43" fontId="114" fillId="0" borderId="0" applyFont="0" applyFill="0" applyBorder="0" applyAlignment="0" applyProtection="0"/>
    <xf numFmtId="3" fontId="71" fillId="0" borderId="0" applyFont="0" applyFill="0" applyBorder="0" applyAlignment="0" applyProtection="0"/>
    <xf numFmtId="168" fontId="32" fillId="29" borderId="0" applyNumberFormat="0" applyFont="0" applyBorder="0" applyAlignment="0" applyProtection="0"/>
    <xf numFmtId="0" fontId="70" fillId="0" borderId="11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198" fontId="114" fillId="0" borderId="0" applyFont="0" applyFill="0" applyBorder="0" applyAlignment="0" applyProtection="0"/>
    <xf numFmtId="178" fontId="65" fillId="0" borderId="0" applyFont="0" applyFill="0" applyBorder="0" applyAlignment="0" applyProtection="0"/>
    <xf numFmtId="199" fontId="114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63" fillId="0" borderId="0">
      <protection locked="0"/>
    </xf>
    <xf numFmtId="169" fontId="73" fillId="0" borderId="0">
      <protection locked="0"/>
    </xf>
    <xf numFmtId="14" fontId="41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39" fontId="70" fillId="0" borderId="0" applyFont="0" applyFill="0" applyBorder="0" applyAlignment="0" applyProtection="0"/>
    <xf numFmtId="0" fontId="72" fillId="0" borderId="0" applyFont="0" applyFill="0" applyBorder="0" applyAlignment="0"/>
    <xf numFmtId="183" fontId="4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74" fillId="8" borderId="5" applyNumberFormat="0" applyAlignment="0" applyProtection="0"/>
    <xf numFmtId="0" fontId="46" fillId="0" borderId="0">
      <alignment vertical="center"/>
    </xf>
    <xf numFmtId="184" fontId="32" fillId="0" borderId="0" applyFont="0" applyFill="0" applyBorder="0" applyAlignment="0" applyProtection="0"/>
    <xf numFmtId="3" fontId="40" fillId="0" borderId="13" applyFill="0" applyBorder="0"/>
    <xf numFmtId="0" fontId="75" fillId="0" borderId="0" applyNumberFormat="0" applyFill="0" applyBorder="0" applyAlignment="0" applyProtection="0"/>
    <xf numFmtId="37" fontId="76" fillId="0" borderId="0" applyBorder="0" applyAlignment="0"/>
    <xf numFmtId="185" fontId="32" fillId="0" borderId="0">
      <protection locked="0"/>
    </xf>
    <xf numFmtId="186" fontId="63" fillId="0" borderId="0"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77" fillId="23" borderId="0" applyNumberFormat="0" applyFont="0" applyBorder="0" applyAlignment="0" applyProtection="0">
      <alignment horizontal="centerContinuous"/>
    </xf>
    <xf numFmtId="0" fontId="77" fillId="30" borderId="0" applyNumberFormat="0" applyFont="0" applyBorder="0" applyAlignment="0" applyProtection="0">
      <alignment horizontal="centerContinuous"/>
    </xf>
    <xf numFmtId="0" fontId="78" fillId="9" borderId="14" applyNumberFormat="0" applyFont="0" applyBorder="0" applyAlignment="0"/>
    <xf numFmtId="0" fontId="42" fillId="23" borderId="15" applyNumberFormat="0" applyFont="0" applyBorder="0" applyAlignment="0" applyProtection="0"/>
    <xf numFmtId="10" fontId="32" fillId="23" borderId="0" applyNumberFormat="0" applyFont="0" applyBorder="0" applyAlignment="0"/>
    <xf numFmtId="0" fontId="62" fillId="5" borderId="0" applyNumberFormat="0" applyBorder="0" applyAlignment="0" applyProtection="0"/>
    <xf numFmtId="38" fontId="79" fillId="9" borderId="0" applyNumberFormat="0" applyBorder="0" applyAlignment="0" applyProtection="0"/>
    <xf numFmtId="0" fontId="80" fillId="0" borderId="0" applyNumberFormat="0" applyFill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7">
      <alignment horizontal="left" vertical="center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0" fontId="85" fillId="0" borderId="19" applyNumberFormat="0" applyFill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46" fillId="0" borderId="0"/>
    <xf numFmtId="37" fontId="86" fillId="0" borderId="0" applyFill="0" applyBorder="0" applyAlignment="0">
      <protection locked="0"/>
    </xf>
    <xf numFmtId="0" fontId="86" fillId="0" borderId="20" applyFill="0" applyBorder="0" applyAlignment="0">
      <alignment horizontal="center"/>
      <protection locked="0"/>
    </xf>
    <xf numFmtId="10" fontId="79" fillId="23" borderId="6" applyNumberFormat="0" applyBorder="0" applyAlignment="0" applyProtection="0"/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8" fillId="0" borderId="8" applyNumberFormat="0" applyFill="0" applyAlignment="0" applyProtection="0"/>
    <xf numFmtId="167" fontId="30" fillId="0" borderId="0" applyFont="0" applyFill="0" applyBorder="0" applyAlignment="0" applyProtection="0"/>
    <xf numFmtId="188" fontId="63" fillId="0" borderId="0">
      <protection locked="0"/>
    </xf>
    <xf numFmtId="0" fontId="32" fillId="0" borderId="0" applyFont="0" applyFill="0" applyBorder="0" applyAlignment="0" applyProtection="0"/>
    <xf numFmtId="3" fontId="87" fillId="2" borderId="1">
      <alignment horizontal="center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37" fontId="89" fillId="0" borderId="0"/>
    <xf numFmtId="189" fontId="90" fillId="0" borderId="0"/>
    <xf numFmtId="190" fontId="91" fillId="0" borderId="0"/>
    <xf numFmtId="191" fontId="91" fillId="0" borderId="0"/>
    <xf numFmtId="0" fontId="32" fillId="0" borderId="0" applyFill="0" applyBorder="0" applyAlignment="0"/>
    <xf numFmtId="0" fontId="32" fillId="0" borderId="0">
      <alignment vertical="top"/>
    </xf>
    <xf numFmtId="0" fontId="42" fillId="0" borderId="0"/>
    <xf numFmtId="0" fontId="42" fillId="0" borderId="0"/>
    <xf numFmtId="0" fontId="3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2" fillId="0" borderId="0" applyProtection="0"/>
    <xf numFmtId="0" fontId="42" fillId="32" borderId="21" applyNumberFormat="0" applyFont="0" applyAlignment="0" applyProtection="0"/>
    <xf numFmtId="0" fontId="32" fillId="32" borderId="21" applyNumberFormat="0" applyFont="0" applyAlignment="0" applyProtection="0"/>
    <xf numFmtId="0" fontId="92" fillId="26" borderId="22" applyNumberFormat="0" applyAlignment="0" applyProtection="0"/>
    <xf numFmtId="0" fontId="93" fillId="33" borderId="0"/>
    <xf numFmtId="0" fontId="32" fillId="0" borderId="23" applyFont="0" applyFill="0" applyBorder="0" applyAlignment="0" applyProtection="0">
      <alignment horizontal="right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0" fillId="22" borderId="24" applyNumberFormat="0" applyFon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14" fontId="64" fillId="34" borderId="19" applyNumberFormat="0" applyFont="0" applyBorder="0" applyAlignment="0" applyProtection="0">
      <alignment horizontal="center" vertical="center"/>
    </xf>
    <xf numFmtId="3" fontId="94" fillId="0" borderId="0" applyFill="0" applyBorder="0" applyAlignment="0" applyProtection="0"/>
    <xf numFmtId="3" fontId="45" fillId="0" borderId="0" applyFill="0" applyBorder="0" applyAlignment="0" applyProtection="0"/>
    <xf numFmtId="3" fontId="94" fillId="0" borderId="0" applyFill="0" applyBorder="0" applyAlignment="0" applyProtection="0"/>
    <xf numFmtId="0" fontId="92" fillId="26" borderId="22" applyNumberFormat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68" fontId="3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4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3" fontId="96" fillId="36" borderId="0">
      <alignment horizontal="left"/>
    </xf>
    <xf numFmtId="0" fontId="48" fillId="0" borderId="0">
      <alignment vertical="top"/>
    </xf>
    <xf numFmtId="0" fontId="97" fillId="0" borderId="0"/>
    <xf numFmtId="0" fontId="97" fillId="0" borderId="0"/>
    <xf numFmtId="0" fontId="97" fillId="0" borderId="0"/>
    <xf numFmtId="0" fontId="97" fillId="0" borderId="0"/>
    <xf numFmtId="38" fontId="98" fillId="0" borderId="0" applyFill="0" applyBorder="0" applyAlignment="0" applyProtection="0"/>
    <xf numFmtId="0" fontId="32" fillId="0" borderId="0" applyFill="0" applyBorder="0" applyAlignment="0" applyProtection="0"/>
    <xf numFmtId="49" fontId="41" fillId="0" borderId="0" applyFill="0" applyBorder="0" applyAlignment="0"/>
    <xf numFmtId="0" fontId="42" fillId="0" borderId="0" applyFill="0" applyBorder="0" applyAlignment="0"/>
    <xf numFmtId="0" fontId="4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" fontId="100" fillId="0" borderId="0" applyFont="0" applyFill="0" applyBorder="0" applyAlignment="0" applyProtection="0">
      <alignment horizontal="left"/>
    </xf>
    <xf numFmtId="0" fontId="101" fillId="0" borderId="0" applyNumberFormat="0" applyFill="0" applyBorder="0" applyAlignment="0" applyProtection="0"/>
    <xf numFmtId="3" fontId="102" fillId="36" borderId="0">
      <alignment horizontal="center"/>
    </xf>
    <xf numFmtId="0" fontId="101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" fontId="106" fillId="36" borderId="0">
      <alignment horizontal="left"/>
    </xf>
    <xf numFmtId="187" fontId="32" fillId="0" borderId="27">
      <protection locked="0"/>
    </xf>
    <xf numFmtId="3" fontId="51" fillId="37" borderId="0">
      <alignment horizontal="right"/>
    </xf>
    <xf numFmtId="10" fontId="107" fillId="0" borderId="28" applyNumberFormat="0" applyFont="0" applyFill="0" applyAlignment="0" applyProtection="0"/>
    <xf numFmtId="37" fontId="79" fillId="29" borderId="0" applyNumberFormat="0" applyBorder="0" applyAlignment="0" applyProtection="0"/>
    <xf numFmtId="37" fontId="44" fillId="0" borderId="0"/>
    <xf numFmtId="3" fontId="108" fillId="0" borderId="19" applyProtection="0"/>
    <xf numFmtId="193" fontId="63" fillId="0" borderId="0">
      <protection locked="0"/>
    </xf>
    <xf numFmtId="194" fontId="63" fillId="0" borderId="0">
      <protection locked="0"/>
    </xf>
    <xf numFmtId="0" fontId="99" fillId="0" borderId="0" applyNumberFormat="0" applyFill="0" applyBorder="0" applyAlignment="0" applyProtection="0"/>
    <xf numFmtId="0" fontId="32" fillId="0" borderId="17" applyFont="0" applyFill="0" applyBorder="0" applyAlignment="0" applyProtection="0"/>
    <xf numFmtId="167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0" fontId="37" fillId="0" borderId="0">
      <alignment vertical="top"/>
    </xf>
    <xf numFmtId="0" fontId="32" fillId="0" borderId="0"/>
    <xf numFmtId="9" fontId="32" fillId="0" borderId="0" applyFont="0" applyFill="0" applyBorder="0" applyAlignment="0" applyProtection="0"/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5" fillId="0" borderId="30" applyBorder="0"/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0" fontId="32" fillId="0" borderId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31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80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84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31" applyNumberFormat="0" applyAlignment="0" applyProtection="0"/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0" fontId="32" fillId="23" borderId="33" applyNumberFormat="0" applyFon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3" fontId="87" fillId="2" borderId="30">
      <alignment horizontal="center"/>
    </xf>
    <xf numFmtId="0" fontId="88" fillId="31" borderId="0" applyNumberFormat="0" applyBorder="0" applyAlignment="0" applyProtection="0"/>
    <xf numFmtId="203" fontId="32" fillId="0" borderId="0"/>
    <xf numFmtId="203" fontId="32" fillId="0" borderId="0"/>
    <xf numFmtId="203" fontId="32" fillId="0" borderId="0"/>
    <xf numFmtId="203" fontId="32" fillId="0" borderId="0"/>
    <xf numFmtId="190" fontId="118" fillId="0" borderId="0"/>
    <xf numFmtId="191" fontId="118" fillId="0" borderId="0"/>
    <xf numFmtId="0" fontId="72" fillId="0" borderId="0"/>
    <xf numFmtId="0" fontId="37" fillId="0" borderId="0"/>
    <xf numFmtId="0" fontId="32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9" fillId="0" borderId="0"/>
    <xf numFmtId="0" fontId="119" fillId="0" borderId="0"/>
    <xf numFmtId="0" fontId="119" fillId="0" borderId="0"/>
    <xf numFmtId="0" fontId="119" fillId="0" borderId="0"/>
    <xf numFmtId="0" fontId="32" fillId="0" borderId="0"/>
    <xf numFmtId="0" fontId="32" fillId="0" borderId="0"/>
    <xf numFmtId="184" fontId="72" fillId="0" borderId="0"/>
    <xf numFmtId="184" fontId="7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0" fontId="32" fillId="0" borderId="0"/>
    <xf numFmtId="0" fontId="120" fillId="0" borderId="0"/>
    <xf numFmtId="0" fontId="32" fillId="0" borderId="0"/>
    <xf numFmtId="0" fontId="29" fillId="0" borderId="0"/>
    <xf numFmtId="17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50" fillId="0" borderId="0"/>
    <xf numFmtId="0" fontId="50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0" borderId="23" applyFont="0" applyFill="0" applyBorder="0" applyAlignment="0" applyProtection="0">
      <alignment horizontal="right"/>
    </xf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21" fillId="0" borderId="0" applyNumberFormat="0" applyFill="0" applyBorder="0" applyAlignment="0" applyProtection="0"/>
    <xf numFmtId="0" fontId="92" fillId="26" borderId="37" applyNumberFormat="0" applyAlignment="0" applyProtection="0"/>
    <xf numFmtId="0" fontId="92" fillId="26" borderId="37" applyNumberFormat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72" fillId="0" borderId="0" applyFont="0" applyFill="0" applyBorder="0" applyAlignment="0" applyProtection="0"/>
    <xf numFmtId="0" fontId="122" fillId="0" borderId="38" applyProtection="0">
      <alignment horizontal="centerContinuous"/>
    </xf>
    <xf numFmtId="0" fontId="45" fillId="0" borderId="0"/>
    <xf numFmtId="0" fontId="45" fillId="0" borderId="0"/>
    <xf numFmtId="0" fontId="45" fillId="0" borderId="0"/>
    <xf numFmtId="0" fontId="45" fillId="0" borderId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39" applyNumberFormat="0" applyFill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53" fillId="0" borderId="0"/>
    <xf numFmtId="0" fontId="53" fillId="0" borderId="0"/>
    <xf numFmtId="0" fontId="28" fillId="0" borderId="0"/>
    <xf numFmtId="168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206" fontId="126" fillId="0" borderId="0" applyFill="0" applyBorder="0" applyProtection="0">
      <alignment horizontal="right"/>
      <protection locked="0"/>
    </xf>
    <xf numFmtId="207" fontId="126" fillId="0" borderId="0" applyFill="0" applyBorder="0" applyProtection="0">
      <alignment horizontal="right"/>
      <protection locked="0"/>
    </xf>
    <xf numFmtId="208" fontId="126" fillId="0" borderId="0" applyFill="0" applyBorder="0" applyProtection="0">
      <alignment horizontal="right"/>
      <protection locked="0"/>
    </xf>
    <xf numFmtId="207" fontId="126" fillId="0" borderId="0" applyFont="0" applyFill="0" applyBorder="0" applyAlignment="0"/>
    <xf numFmtId="208" fontId="126" fillId="0" borderId="0" applyFont="0" applyFill="0" applyBorder="0" applyAlignment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209" fontId="118" fillId="0" borderId="0" applyFill="0" applyBorder="0" applyProtection="0">
      <alignment horizontal="right"/>
      <protection locked="0"/>
    </xf>
    <xf numFmtId="210" fontId="126" fillId="0" borderId="41" applyFont="0" applyFill="0" applyBorder="0" applyAlignment="0"/>
    <xf numFmtId="211" fontId="126" fillId="0" borderId="0" applyFill="0" applyBorder="0" applyProtection="0">
      <alignment horizontal="right"/>
      <protection locked="0"/>
    </xf>
    <xf numFmtId="212" fontId="118" fillId="0" borderId="0" applyFill="0" applyBorder="0" applyProtection="0">
      <alignment horizontal="right"/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2" fillId="0" borderId="0"/>
    <xf numFmtId="168" fontId="32" fillId="0" borderId="0" applyFont="0" applyFill="0" applyBorder="0" applyAlignment="0" applyProtection="0">
      <alignment wrapText="1"/>
    </xf>
    <xf numFmtId="17" fontId="69" fillId="0" borderId="0" applyFill="0" applyBorder="0">
      <alignment horizontal="right"/>
    </xf>
    <xf numFmtId="169" fontId="73" fillId="0" borderId="0">
      <protection locked="0"/>
    </xf>
    <xf numFmtId="0" fontId="127" fillId="47" borderId="0" applyNumberFormat="0" applyBorder="0" applyProtection="0">
      <alignment horizontal="center"/>
      <protection locked="0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3" fontId="129" fillId="0" borderId="42" applyFill="0" applyBorder="0" applyAlignment="0">
      <alignment horizontal="center"/>
    </xf>
    <xf numFmtId="167" fontId="27" fillId="0" borderId="0" applyFont="0" applyFill="0" applyBorder="0" applyAlignment="0" applyProtection="0"/>
    <xf numFmtId="0" fontId="46" fillId="0" borderId="0"/>
    <xf numFmtId="0" fontId="32" fillId="0" borderId="0"/>
    <xf numFmtId="0" fontId="32" fillId="0" borderId="0"/>
    <xf numFmtId="0" fontId="32" fillId="0" borderId="0">
      <alignment vertical="top"/>
    </xf>
    <xf numFmtId="0" fontId="32" fillId="0" borderId="0"/>
    <xf numFmtId="0" fontId="32" fillId="0" borderId="0"/>
    <xf numFmtId="0" fontId="32" fillId="0" borderId="0"/>
    <xf numFmtId="0" fontId="27" fillId="0" borderId="0">
      <alignment vertical="center"/>
    </xf>
    <xf numFmtId="213" fontId="69" fillId="0" borderId="0" applyNumberFormat="0" applyFill="0" applyBorder="0" applyAlignment="0" applyProtection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0" fillId="40" borderId="43">
      <alignment horizontal="left"/>
    </xf>
    <xf numFmtId="4" fontId="51" fillId="0" borderId="44" applyNumberFormat="0" applyProtection="0">
      <alignment vertical="center"/>
    </xf>
    <xf numFmtId="4" fontId="131" fillId="29" borderId="44" applyNumberFormat="0" applyProtection="0">
      <alignment vertical="center"/>
    </xf>
    <xf numFmtId="4" fontId="51" fillId="0" borderId="44" applyNumberFormat="0" applyProtection="0">
      <alignment horizontal="left" vertical="center" indent="1"/>
    </xf>
    <xf numFmtId="0" fontId="51" fillId="0" borderId="44" applyNumberFormat="0" applyProtection="0">
      <alignment horizontal="left" vertical="top" indent="1"/>
    </xf>
    <xf numFmtId="4" fontId="51" fillId="0" borderId="0" applyNumberFormat="0" applyProtection="0">
      <alignment horizontal="left" vertical="center" indent="1"/>
    </xf>
    <xf numFmtId="4" fontId="37" fillId="4" borderId="44" applyNumberFormat="0" applyProtection="0">
      <alignment horizontal="right" vertical="center"/>
    </xf>
    <xf numFmtId="4" fontId="37" fillId="11" borderId="44" applyNumberFormat="0" applyProtection="0">
      <alignment horizontal="right" vertical="center"/>
    </xf>
    <xf numFmtId="4" fontId="37" fillId="19" borderId="44" applyNumberFormat="0" applyProtection="0">
      <alignment horizontal="right" vertical="center"/>
    </xf>
    <xf numFmtId="4" fontId="37" fillId="13" borderId="44" applyNumberFormat="0" applyProtection="0">
      <alignment horizontal="right" vertical="center"/>
    </xf>
    <xf numFmtId="4" fontId="37" fillId="17" borderId="44" applyNumberFormat="0" applyProtection="0">
      <alignment horizontal="right" vertical="center"/>
    </xf>
    <xf numFmtId="4" fontId="37" fillId="21" borderId="44" applyNumberFormat="0" applyProtection="0">
      <alignment horizontal="right" vertical="center"/>
    </xf>
    <xf numFmtId="4" fontId="37" fillId="20" borderId="44" applyNumberFormat="0" applyProtection="0">
      <alignment horizontal="right" vertical="center"/>
    </xf>
    <xf numFmtId="4" fontId="37" fillId="48" borderId="44" applyNumberFormat="0" applyProtection="0">
      <alignment horizontal="right" vertical="center"/>
    </xf>
    <xf numFmtId="4" fontId="37" fillId="12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49" borderId="0" applyNumberFormat="0" applyProtection="0">
      <alignment horizontal="left" vertical="center" indent="1"/>
    </xf>
    <xf numFmtId="4" fontId="37" fillId="50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0" borderId="41" applyNumberFormat="0" applyProtection="0">
      <alignment horizontal="left" vertical="center" indent="1"/>
    </xf>
    <xf numFmtId="0" fontId="32" fillId="49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51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22" borderId="44" applyNumberFormat="0" applyProtection="0">
      <alignment horizontal="left" vertical="top" indent="1"/>
    </xf>
    <xf numFmtId="0" fontId="32" fillId="52" borderId="44" applyNumberFormat="0" applyProtection="0">
      <alignment horizontal="left" vertical="center" indent="1"/>
    </xf>
    <xf numFmtId="0" fontId="32" fillId="52" borderId="44" applyNumberFormat="0" applyProtection="0">
      <alignment horizontal="left" vertical="top" indent="1"/>
    </xf>
    <xf numFmtId="4" fontId="37" fillId="23" borderId="44" applyNumberFormat="0" applyProtection="0">
      <alignment vertical="center"/>
    </xf>
    <xf numFmtId="4" fontId="133" fillId="23" borderId="44" applyNumberFormat="0" applyProtection="0">
      <alignment vertical="center"/>
    </xf>
    <xf numFmtId="4" fontId="37" fillId="23" borderId="44" applyNumberFormat="0" applyProtection="0">
      <alignment horizontal="left" vertical="center" indent="1"/>
    </xf>
    <xf numFmtId="0" fontId="37" fillId="23" borderId="44" applyNumberFormat="0" applyProtection="0">
      <alignment horizontal="left" vertical="top" indent="1"/>
    </xf>
    <xf numFmtId="4" fontId="37" fillId="0" borderId="41" applyNumberFormat="0" applyProtection="0">
      <alignment horizontal="right" vertical="center"/>
    </xf>
    <xf numFmtId="4" fontId="133" fillId="0" borderId="44" applyNumberFormat="0" applyProtection="0">
      <alignment horizontal="right" vertical="center"/>
    </xf>
    <xf numFmtId="4" fontId="37" fillId="0" borderId="45" applyNumberFormat="0" applyProtection="0">
      <alignment horizontal="left" vertical="center" indent="1"/>
    </xf>
    <xf numFmtId="0" fontId="51" fillId="0" borderId="41" applyNumberFormat="0" applyProtection="0">
      <alignment horizontal="left" vertical="top" indent="1"/>
    </xf>
    <xf numFmtId="4" fontId="122" fillId="0" borderId="0" applyNumberFormat="0" applyProtection="0">
      <alignment horizontal="left" vertical="center" indent="1"/>
    </xf>
    <xf numFmtId="4" fontId="32" fillId="0" borderId="44" applyNumberFormat="0" applyProtection="0">
      <alignment horizontal="right" vertical="center"/>
    </xf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213" fontId="44" fillId="53" borderId="0" applyNumberFormat="0" applyFont="0" applyBorder="0" applyAlignment="0">
      <protection hidden="1"/>
    </xf>
    <xf numFmtId="0" fontId="134" fillId="0" borderId="0" applyFill="0" applyBorder="0" applyAlignment="0" applyProtection="0">
      <protection locked="0"/>
    </xf>
    <xf numFmtId="0" fontId="135" fillId="0" borderId="0" applyBorder="0" applyAlignment="0" applyProtection="0">
      <protection locked="0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26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6" fillId="0" borderId="0">
      <alignment vertical="center"/>
    </xf>
    <xf numFmtId="168" fontId="30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46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46" applyNumberFormat="0" applyAlignment="0" applyProtection="0"/>
    <xf numFmtId="0" fontId="74" fillId="8" borderId="46" applyNumberFormat="0" applyAlignment="0" applyProtection="0"/>
    <xf numFmtId="0" fontId="58" fillId="4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7" fontId="26" fillId="0" borderId="0" applyFont="0" applyFill="0" applyBorder="0" applyAlignment="0" applyProtection="0"/>
    <xf numFmtId="0" fontId="88" fillId="31" borderId="0" applyNumberFormat="0" applyBorder="0" applyAlignment="0" applyProtection="0"/>
    <xf numFmtId="190" fontId="118" fillId="0" borderId="0"/>
    <xf numFmtId="190" fontId="118" fillId="0" borderId="0"/>
    <xf numFmtId="191" fontId="118" fillId="0" borderId="0"/>
    <xf numFmtId="191" fontId="118" fillId="0" borderId="0"/>
    <xf numFmtId="0" fontId="32" fillId="0" borderId="0">
      <alignment vertical="top"/>
    </xf>
    <xf numFmtId="0" fontId="32" fillId="0" borderId="0">
      <alignment vertical="top"/>
    </xf>
    <xf numFmtId="0" fontId="30" fillId="0" borderId="0"/>
    <xf numFmtId="0" fontId="50" fillId="32" borderId="47" applyNumberFormat="0" applyFon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92" fillId="26" borderId="48" applyNumberFormat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49" applyNumberFormat="0" applyFill="0" applyAlignment="0" applyProtection="0"/>
    <xf numFmtId="0" fontId="123" fillId="0" borderId="4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2" fillId="0" borderId="0"/>
    <xf numFmtId="0" fontId="37" fillId="0" borderId="0">
      <alignment vertical="top"/>
    </xf>
    <xf numFmtId="0" fontId="140" fillId="0" borderId="0" applyNumberFormat="0" applyFill="0" applyBorder="0" applyAlignment="0" applyProtection="0"/>
    <xf numFmtId="0" fontId="74" fillId="8" borderId="31" applyNumberFormat="0" applyAlignment="0" applyProtection="0"/>
    <xf numFmtId="0" fontId="66" fillId="26" borderId="31" applyNumberFormat="0" applyAlignment="0" applyProtection="0"/>
    <xf numFmtId="0" fontId="67" fillId="27" borderId="32" applyNumberFormat="0" applyAlignment="0" applyProtection="0"/>
    <xf numFmtId="218" fontId="44" fillId="0" borderId="0" applyFont="0" applyFill="0" applyBorder="0" applyAlignment="0" applyProtection="0"/>
    <xf numFmtId="0" fontId="141" fillId="0" borderId="0" applyNumberFormat="0" applyFill="0" applyBorder="0" applyAlignment="0" applyProtection="0">
      <alignment vertical="top"/>
      <protection locked="0"/>
    </xf>
    <xf numFmtId="0" fontId="74" fillId="8" borderId="31" applyNumberFormat="0" applyAlignment="0" applyProtection="0"/>
    <xf numFmtId="0" fontId="142" fillId="32" borderId="35" applyNumberFormat="0" applyFont="0" applyAlignment="0" applyProtection="0"/>
    <xf numFmtId="0" fontId="92" fillId="26" borderId="48" applyNumberFormat="0" applyAlignment="0" applyProtection="0"/>
    <xf numFmtId="0" fontId="25" fillId="0" borderId="0"/>
    <xf numFmtId="0" fontId="74" fillId="8" borderId="31" applyNumberFormat="0" applyAlignment="0" applyProtection="0"/>
    <xf numFmtId="0" fontId="74" fillId="8" borderId="31" applyNumberFormat="0" applyAlignment="0" applyProtection="0"/>
    <xf numFmtId="0" fontId="25" fillId="0" borderId="0"/>
    <xf numFmtId="0" fontId="25" fillId="0" borderId="0"/>
    <xf numFmtId="0" fontId="30" fillId="0" borderId="0"/>
    <xf numFmtId="0" fontId="55" fillId="0" borderId="55" applyBorder="0"/>
    <xf numFmtId="0" fontId="66" fillId="26" borderId="46" applyNumberFormat="0" applyAlignment="0" applyProtection="0"/>
    <xf numFmtId="40" fontId="65" fillId="23" borderId="56">
      <alignment vertical="center"/>
    </xf>
    <xf numFmtId="0" fontId="81" fillId="0" borderId="52">
      <alignment horizontal="left" vertical="center"/>
    </xf>
    <xf numFmtId="10" fontId="44" fillId="23" borderId="56" applyNumberFormat="0" applyBorder="0" applyAlignment="0" applyProtection="0"/>
    <xf numFmtId="3" fontId="87" fillId="2" borderId="55">
      <alignment horizontal="center"/>
    </xf>
    <xf numFmtId="0" fontId="32" fillId="32" borderId="35" applyNumberFormat="0" applyFont="0" applyAlignment="0" applyProtection="0"/>
    <xf numFmtId="0" fontId="32" fillId="0" borderId="54" applyFont="0" applyFill="0" applyBorder="0" applyAlignment="0" applyProtection="0">
      <alignment horizontal="right"/>
    </xf>
    <xf numFmtId="9" fontId="32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187" fontId="32" fillId="0" borderId="51">
      <protection locked="0"/>
    </xf>
    <xf numFmtId="0" fontId="32" fillId="0" borderId="52" applyFont="0" applyFill="0" applyBorder="0" applyAlignment="0" applyProtection="0"/>
    <xf numFmtId="0" fontId="55" fillId="0" borderId="55" applyBorder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3" fontId="87" fillId="2" borderId="55">
      <alignment horizontal="center"/>
    </xf>
    <xf numFmtId="0" fontId="24" fillId="0" borderId="0"/>
    <xf numFmtId="0" fontId="24" fillId="0" borderId="0"/>
    <xf numFmtId="0" fontId="32" fillId="0" borderId="54" applyFont="0" applyFill="0" applyBorder="0" applyAlignment="0" applyProtection="0">
      <alignment horizontal="right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0" fontId="92" fillId="26" borderId="48" applyNumberFormat="0" applyAlignment="0" applyProtection="0"/>
    <xf numFmtId="0" fontId="92" fillId="26" borderId="4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2" fillId="0" borderId="50" applyProtection="0">
      <alignment horizontal="centerContinuous"/>
    </xf>
    <xf numFmtId="0" fontId="123" fillId="0" borderId="49" applyNumberFormat="0" applyFill="0" applyAlignment="0" applyProtection="0"/>
    <xf numFmtId="0" fontId="24" fillId="0" borderId="0"/>
    <xf numFmtId="210" fontId="126" fillId="0" borderId="56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4" fontId="37" fillId="0" borderId="56" applyNumberFormat="0" applyProtection="0">
      <alignment horizontal="right" vertical="center"/>
    </xf>
    <xf numFmtId="4" fontId="37" fillId="0" borderId="58" applyNumberFormat="0" applyProtection="0">
      <alignment horizontal="left" vertical="center" indent="1"/>
    </xf>
    <xf numFmtId="0" fontId="51" fillId="0" borderId="56" applyNumberFormat="0" applyProtection="0">
      <alignment horizontal="left" vertical="top" indent="1"/>
    </xf>
    <xf numFmtId="0" fontId="24" fillId="0" borderId="0"/>
    <xf numFmtId="0" fontId="67" fillId="27" borderId="57" applyNumberFormat="0" applyAlignment="0" applyProtection="0"/>
    <xf numFmtId="167" fontId="24" fillId="0" borderId="0" applyFont="0" applyFill="0" applyBorder="0" applyAlignment="0" applyProtection="0"/>
    <xf numFmtId="0" fontId="50" fillId="32" borderId="35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4" fillId="8" borderId="46" applyNumberFormat="0" applyAlignment="0" applyProtection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0" fontId="24" fillId="0" borderId="0"/>
    <xf numFmtId="0" fontId="74" fillId="8" borderId="46" applyNumberFormat="0" applyAlignment="0" applyProtection="0"/>
    <xf numFmtId="0" fontId="74" fillId="8" borderId="46" applyNumberFormat="0" applyAlignment="0" applyProtection="0"/>
    <xf numFmtId="0" fontId="24" fillId="0" borderId="0"/>
    <xf numFmtId="0" fontId="24" fillId="0" borderId="0"/>
    <xf numFmtId="0" fontId="30" fillId="0" borderId="0"/>
    <xf numFmtId="9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0" fillId="0" borderId="0"/>
    <xf numFmtId="0" fontId="30" fillId="0" borderId="0"/>
    <xf numFmtId="4" fontId="32" fillId="0" borderId="72" applyNumberFormat="0" applyProtection="0">
      <alignment horizontal="right" vertical="center"/>
    </xf>
    <xf numFmtId="4" fontId="133" fillId="0" borderId="72" applyNumberFormat="0" applyProtection="0">
      <alignment horizontal="right" vertical="center"/>
    </xf>
    <xf numFmtId="4" fontId="37" fillId="23" borderId="72" applyNumberFormat="0" applyProtection="0">
      <alignment horizontal="left" vertical="center" indent="1"/>
    </xf>
    <xf numFmtId="4" fontId="37" fillId="23" borderId="72" applyNumberFormat="0" applyProtection="0">
      <alignment vertical="center"/>
    </xf>
    <xf numFmtId="0" fontId="32" fillId="52" borderId="72" applyNumberFormat="0" applyProtection="0">
      <alignment horizontal="left" vertical="top" indent="1"/>
    </xf>
    <xf numFmtId="0" fontId="32" fillId="49" borderId="72" applyNumberFormat="0" applyProtection="0">
      <alignment horizontal="left" vertical="top" indent="1"/>
    </xf>
    <xf numFmtId="4" fontId="37" fillId="12" borderId="72" applyNumberFormat="0" applyProtection="0">
      <alignment horizontal="right" vertical="center"/>
    </xf>
    <xf numFmtId="4" fontId="37" fillId="20" borderId="72" applyNumberFormat="0" applyProtection="0">
      <alignment horizontal="right" vertical="center"/>
    </xf>
    <xf numFmtId="4" fontId="37" fillId="17" borderId="72" applyNumberFormat="0" applyProtection="0">
      <alignment horizontal="right" vertical="center"/>
    </xf>
    <xf numFmtId="4" fontId="37" fillId="13" borderId="72" applyNumberFormat="0" applyProtection="0">
      <alignment horizontal="right" vertical="center"/>
    </xf>
    <xf numFmtId="0" fontId="51" fillId="0" borderId="72" applyNumberFormat="0" applyProtection="0">
      <alignment horizontal="left" vertical="top" indent="1"/>
    </xf>
    <xf numFmtId="4" fontId="51" fillId="0" borderId="72" applyNumberFormat="0" applyProtection="0">
      <alignment horizontal="left" vertical="center" indent="1"/>
    </xf>
    <xf numFmtId="4" fontId="51" fillId="0" borderId="72" applyNumberFormat="0" applyProtection="0">
      <alignment vertical="center"/>
    </xf>
    <xf numFmtId="0" fontId="66" fillId="26" borderId="65" applyNumberFormat="0" applyAlignment="0" applyProtection="0"/>
    <xf numFmtId="0" fontId="66" fillId="26" borderId="65" applyNumberFormat="0" applyAlignment="0" applyProtection="0"/>
    <xf numFmtId="40" fontId="65" fillId="23" borderId="62">
      <alignment vertical="center"/>
    </xf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0" fontId="81" fillId="0" borderId="59">
      <alignment horizontal="left" vertical="center"/>
    </xf>
    <xf numFmtId="10" fontId="44" fillId="23" borderId="62" applyNumberFormat="0" applyBorder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0" fontId="30" fillId="0" borderId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50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4" fontId="37" fillId="0" borderId="73" applyNumberFormat="0" applyProtection="0">
      <alignment horizontal="left" vertical="center" indent="1"/>
    </xf>
    <xf numFmtId="4" fontId="133" fillId="23" borderId="72" applyNumberFormat="0" applyProtection="0">
      <alignment vertical="center"/>
    </xf>
    <xf numFmtId="4" fontId="37" fillId="50" borderId="72" applyNumberFormat="0" applyProtection="0">
      <alignment horizontal="right" vertical="center"/>
    </xf>
    <xf numFmtId="4" fontId="37" fillId="21" borderId="72" applyNumberFormat="0" applyProtection="0">
      <alignment horizontal="right" vertical="center"/>
    </xf>
    <xf numFmtId="4" fontId="131" fillId="29" borderId="72" applyNumberFormat="0" applyProtection="0">
      <alignment vertical="center"/>
    </xf>
    <xf numFmtId="0" fontId="23" fillId="0" borderId="0"/>
    <xf numFmtId="0" fontId="37" fillId="23" borderId="72" applyNumberFormat="0" applyProtection="0">
      <alignment horizontal="left" vertical="top" indent="1"/>
    </xf>
    <xf numFmtId="0" fontId="32" fillId="52" borderId="72" applyNumberFormat="0" applyProtection="0">
      <alignment horizontal="left" vertical="center" indent="1"/>
    </xf>
    <xf numFmtId="0" fontId="32" fillId="22" borderId="72" applyNumberFormat="0" applyProtection="0">
      <alignment horizontal="left" vertical="top" indent="1"/>
    </xf>
    <xf numFmtId="0" fontId="32" fillId="51" borderId="72" applyNumberFormat="0" applyProtection="0">
      <alignment horizontal="left" vertical="top" indent="1"/>
    </xf>
    <xf numFmtId="4" fontId="37" fillId="48" borderId="72" applyNumberFormat="0" applyProtection="0">
      <alignment horizontal="right" vertical="center"/>
    </xf>
    <xf numFmtId="4" fontId="37" fillId="19" borderId="72" applyNumberFormat="0" applyProtection="0">
      <alignment horizontal="right" vertical="center"/>
    </xf>
    <xf numFmtId="4" fontId="37" fillId="11" borderId="72" applyNumberFormat="0" applyProtection="0">
      <alignment horizontal="right" vertical="center"/>
    </xf>
    <xf numFmtId="4" fontId="37" fillId="4" borderId="72" applyNumberFormat="0" applyProtection="0">
      <alignment horizontal="right" vertical="center"/>
    </xf>
    <xf numFmtId="210" fontId="126" fillId="0" borderId="62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51" fillId="0" borderId="70" applyNumberFormat="0" applyProtection="0">
      <alignment vertical="center"/>
    </xf>
    <xf numFmtId="4" fontId="131" fillId="29" borderId="70" applyNumberFormat="0" applyProtection="0">
      <alignment vertical="center"/>
    </xf>
    <xf numFmtId="4" fontId="51" fillId="0" borderId="70" applyNumberFormat="0" applyProtection="0">
      <alignment horizontal="left" vertical="center" indent="1"/>
    </xf>
    <xf numFmtId="0" fontId="51" fillId="0" borderId="70" applyNumberFormat="0" applyProtection="0">
      <alignment horizontal="left" vertical="top" indent="1"/>
    </xf>
    <xf numFmtId="4" fontId="37" fillId="4" borderId="70" applyNumberFormat="0" applyProtection="0">
      <alignment horizontal="right" vertical="center"/>
    </xf>
    <xf numFmtId="4" fontId="37" fillId="11" borderId="70" applyNumberFormat="0" applyProtection="0">
      <alignment horizontal="right" vertical="center"/>
    </xf>
    <xf numFmtId="4" fontId="37" fillId="19" borderId="70" applyNumberFormat="0" applyProtection="0">
      <alignment horizontal="right" vertical="center"/>
    </xf>
    <xf numFmtId="4" fontId="37" fillId="13" borderId="70" applyNumberFormat="0" applyProtection="0">
      <alignment horizontal="right" vertical="center"/>
    </xf>
    <xf numFmtId="4" fontId="37" fillId="17" borderId="70" applyNumberFormat="0" applyProtection="0">
      <alignment horizontal="right" vertical="center"/>
    </xf>
    <xf numFmtId="4" fontId="37" fillId="21" borderId="70" applyNumberFormat="0" applyProtection="0">
      <alignment horizontal="right" vertical="center"/>
    </xf>
    <xf numFmtId="4" fontId="37" fillId="20" borderId="70" applyNumberFormat="0" applyProtection="0">
      <alignment horizontal="right" vertical="center"/>
    </xf>
    <xf numFmtId="4" fontId="37" fillId="48" borderId="70" applyNumberFormat="0" applyProtection="0">
      <alignment horizontal="right" vertical="center"/>
    </xf>
    <xf numFmtId="4" fontId="37" fillId="12" borderId="70" applyNumberFormat="0" applyProtection="0">
      <alignment horizontal="right" vertical="center"/>
    </xf>
    <xf numFmtId="4" fontId="37" fillId="50" borderId="70" applyNumberFormat="0" applyProtection="0">
      <alignment horizontal="right" vertical="center"/>
    </xf>
    <xf numFmtId="0" fontId="32" fillId="0" borderId="62" applyNumberFormat="0" applyProtection="0">
      <alignment horizontal="left" vertical="center" indent="1"/>
    </xf>
    <xf numFmtId="0" fontId="32" fillId="49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51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22" borderId="70" applyNumberFormat="0" applyProtection="0">
      <alignment horizontal="left" vertical="top" indent="1"/>
    </xf>
    <xf numFmtId="0" fontId="32" fillId="52" borderId="70" applyNumberFormat="0" applyProtection="0">
      <alignment horizontal="left" vertical="center" indent="1"/>
    </xf>
    <xf numFmtId="0" fontId="32" fillId="52" borderId="70" applyNumberFormat="0" applyProtection="0">
      <alignment horizontal="left" vertical="top" indent="1"/>
    </xf>
    <xf numFmtId="4" fontId="37" fillId="23" borderId="70" applyNumberFormat="0" applyProtection="0">
      <alignment vertical="center"/>
    </xf>
    <xf numFmtId="4" fontId="133" fillId="23" borderId="70" applyNumberFormat="0" applyProtection="0">
      <alignment vertical="center"/>
    </xf>
    <xf numFmtId="4" fontId="37" fillId="23" borderId="70" applyNumberFormat="0" applyProtection="0">
      <alignment horizontal="left" vertical="center" indent="1"/>
    </xf>
    <xf numFmtId="0" fontId="37" fillId="23" borderId="70" applyNumberFormat="0" applyProtection="0">
      <alignment horizontal="left" vertical="top" indent="1"/>
    </xf>
    <xf numFmtId="4" fontId="37" fillId="0" borderId="62" applyNumberFormat="0" applyProtection="0">
      <alignment horizontal="right" vertical="center"/>
    </xf>
    <xf numFmtId="4" fontId="133" fillId="0" borderId="70" applyNumberFormat="0" applyProtection="0">
      <alignment horizontal="right" vertical="center"/>
    </xf>
    <xf numFmtId="4" fontId="37" fillId="0" borderId="71" applyNumberFormat="0" applyProtection="0">
      <alignment horizontal="left" vertical="center" indent="1"/>
    </xf>
    <xf numFmtId="0" fontId="51" fillId="0" borderId="62" applyNumberFormat="0" applyProtection="0">
      <alignment horizontal="left" vertical="top" indent="1"/>
    </xf>
    <xf numFmtId="4" fontId="32" fillId="0" borderId="70" applyNumberFormat="0" applyProtection="0">
      <alignment horizontal="right" vertical="center"/>
    </xf>
    <xf numFmtId="0" fontId="23" fillId="0" borderId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92" fillId="26" borderId="68" applyNumberFormat="0" applyAlignment="0" applyProtection="0"/>
    <xf numFmtId="0" fontId="123" fillId="0" borderId="69" applyNumberFormat="0" applyFill="0" applyAlignment="0" applyProtection="0"/>
    <xf numFmtId="0" fontId="123" fillId="0" borderId="69" applyNumberFormat="0" applyFill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142" fillId="32" borderId="67" applyNumberFormat="0" applyFont="0" applyAlignment="0" applyProtection="0"/>
    <xf numFmtId="0" fontId="92" fillId="26" borderId="68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65" applyNumberFormat="0" applyAlignment="0" applyProtection="0"/>
    <xf numFmtId="0" fontId="81" fillId="0" borderId="59">
      <alignment horizontal="left" vertical="center"/>
    </xf>
    <xf numFmtId="0" fontId="32" fillId="32" borderId="67" applyNumberFormat="0" applyFont="0" applyAlignment="0" applyProtection="0"/>
    <xf numFmtId="0" fontId="33" fillId="22" borderId="36" applyNumberFormat="0" applyFont="0" applyBorder="0" applyAlignment="0" applyProtection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7" fillId="0" borderId="71" applyNumberFormat="0" applyProtection="0">
      <alignment horizontal="left" vertical="center" indent="1"/>
    </xf>
    <xf numFmtId="0" fontId="23" fillId="0" borderId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50" fillId="32" borderId="76" applyNumberFormat="0" applyFont="0" applyAlignment="0" applyProtection="0"/>
    <xf numFmtId="0" fontId="92" fillId="26" borderId="77" applyNumberFormat="0" applyAlignment="0" applyProtection="0"/>
    <xf numFmtId="0" fontId="123" fillId="0" borderId="78" applyNumberFormat="0" applyFill="0" applyAlignment="0" applyProtection="0"/>
    <xf numFmtId="0" fontId="123" fillId="0" borderId="78" applyNumberFormat="0" applyFill="0" applyAlignment="0" applyProtection="0"/>
    <xf numFmtId="0" fontId="92" fillId="26" borderId="77" applyNumberFormat="0" applyAlignment="0" applyProtection="0"/>
    <xf numFmtId="0" fontId="66" fillId="26" borderId="75" applyNumberFormat="0" applyAlignment="0" applyProtection="0"/>
    <xf numFmtId="40" fontId="65" fillId="23" borderId="74">
      <alignment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87" fontId="32" fillId="0" borderId="80">
      <protection locked="0"/>
    </xf>
    <xf numFmtId="0" fontId="32" fillId="0" borderId="81" applyFont="0" applyFill="0" applyBorder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92" fillId="26" borderId="77" applyNumberFormat="0" applyAlignment="0" applyProtection="0"/>
    <xf numFmtId="0" fontId="92" fillId="26" borderId="77" applyNumberFormat="0" applyAlignment="0" applyProtection="0"/>
    <xf numFmtId="0" fontId="122" fillId="0" borderId="79" applyProtection="0">
      <alignment horizontal="centerContinuous"/>
    </xf>
    <xf numFmtId="0" fontId="123" fillId="0" borderId="78" applyNumberFormat="0" applyFill="0" applyAlignment="0" applyProtection="0"/>
    <xf numFmtId="210" fontId="126" fillId="0" borderId="74" applyFont="0" applyFill="0" applyBorder="0" applyAlignment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4" fontId="37" fillId="0" borderId="73" applyNumberFormat="0" applyProtection="0">
      <alignment horizontal="left" vertical="center" indent="1"/>
    </xf>
    <xf numFmtId="0" fontId="51" fillId="0" borderId="74" applyNumberFormat="0" applyProtection="0">
      <alignment horizontal="left" vertical="top" indent="1"/>
    </xf>
    <xf numFmtId="0" fontId="67" fillId="27" borderId="82" applyNumberFormat="0" applyAlignment="0" applyProtection="0"/>
    <xf numFmtId="0" fontId="74" fillId="8" borderId="75" applyNumberFormat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30" fillId="0" borderId="0"/>
    <xf numFmtId="0" fontId="74" fillId="8" borderId="86" applyNumberFormat="0" applyAlignment="0" applyProtection="0"/>
    <xf numFmtId="0" fontId="66" fillId="26" borderId="86" applyNumberFormat="0" applyAlignment="0" applyProtection="0"/>
    <xf numFmtId="0" fontId="32" fillId="0" borderId="92" applyFont="0" applyFill="0" applyBorder="0" applyAlignment="0" applyProtection="0"/>
    <xf numFmtId="10" fontId="44" fillId="23" borderId="85" applyNumberFormat="0" applyBorder="0" applyAlignment="0" applyProtection="0"/>
    <xf numFmtId="0" fontId="81" fillId="0" borderId="92">
      <alignment horizontal="left" vertical="center"/>
    </xf>
    <xf numFmtId="0" fontId="51" fillId="0" borderId="94" applyNumberFormat="0" applyProtection="0">
      <alignment horizontal="left" vertical="top" indent="1"/>
    </xf>
    <xf numFmtId="0" fontId="123" fillId="0" borderId="89" applyNumberFormat="0" applyFill="0" applyAlignment="0" applyProtection="0"/>
    <xf numFmtId="0" fontId="123" fillId="0" borderId="89" applyNumberFormat="0" applyFill="0" applyAlignment="0" applyProtection="0"/>
    <xf numFmtId="0" fontId="92" fillId="26" borderId="88" applyNumberFormat="0" applyAlignment="0" applyProtection="0"/>
    <xf numFmtId="0" fontId="50" fillId="32" borderId="87" applyNumberFormat="0" applyFont="0" applyAlignment="0" applyProtection="0"/>
    <xf numFmtId="0" fontId="74" fillId="8" borderId="86" applyNumberFormat="0" applyAlignment="0" applyProtection="0"/>
    <xf numFmtId="0" fontId="92" fillId="26" borderId="98" applyNumberFormat="0" applyAlignment="0" applyProtection="0"/>
    <xf numFmtId="4" fontId="37" fillId="23" borderId="83" applyNumberFormat="0" applyProtection="0">
      <alignment horizontal="left" vertical="center" indent="1"/>
    </xf>
    <xf numFmtId="4" fontId="133" fillId="23" borderId="83" applyNumberFormat="0" applyProtection="0">
      <alignment vertical="center"/>
    </xf>
    <xf numFmtId="4" fontId="37" fillId="23" borderId="83" applyNumberFormat="0" applyProtection="0">
      <alignment vertical="center"/>
    </xf>
    <xf numFmtId="0" fontId="32" fillId="52" borderId="83" applyNumberFormat="0" applyProtection="0">
      <alignment horizontal="left" vertical="center" indent="1"/>
    </xf>
    <xf numFmtId="0" fontId="32" fillId="51" borderId="83" applyNumberFormat="0" applyProtection="0">
      <alignment horizontal="left" vertical="top" indent="1"/>
    </xf>
    <xf numFmtId="0" fontId="32" fillId="49" borderId="83" applyNumberFormat="0" applyProtection="0">
      <alignment horizontal="left" vertical="top" indent="1"/>
    </xf>
    <xf numFmtId="4" fontId="37" fillId="50" borderId="83" applyNumberFormat="0" applyProtection="0">
      <alignment horizontal="right" vertical="center"/>
    </xf>
    <xf numFmtId="4" fontId="37" fillId="12" borderId="83" applyNumberFormat="0" applyProtection="0">
      <alignment horizontal="right" vertical="center"/>
    </xf>
    <xf numFmtId="4" fontId="37" fillId="48" borderId="83" applyNumberFormat="0" applyProtection="0">
      <alignment horizontal="right" vertical="center"/>
    </xf>
    <xf numFmtId="4" fontId="37" fillId="21" borderId="83" applyNumberFormat="0" applyProtection="0">
      <alignment horizontal="right" vertical="center"/>
    </xf>
    <xf numFmtId="4" fontId="37" fillId="17" borderId="83" applyNumberFormat="0" applyProtection="0">
      <alignment horizontal="right" vertical="center"/>
    </xf>
    <xf numFmtId="4" fontId="37" fillId="13" borderId="83" applyNumberFormat="0" applyProtection="0">
      <alignment horizontal="right" vertical="center"/>
    </xf>
    <xf numFmtId="4" fontId="37" fillId="11" borderId="83" applyNumberFormat="0" applyProtection="0">
      <alignment horizontal="right" vertical="center"/>
    </xf>
    <xf numFmtId="4" fontId="37" fillId="4" borderId="83" applyNumberFormat="0" applyProtection="0">
      <alignment horizontal="right" vertical="center"/>
    </xf>
    <xf numFmtId="4" fontId="51" fillId="0" borderId="83" applyNumberFormat="0" applyProtection="0">
      <alignment horizontal="left" vertical="center" indent="1"/>
    </xf>
    <xf numFmtId="4" fontId="131" fillId="29" borderId="83" applyNumberFormat="0" applyProtection="0">
      <alignment vertical="center"/>
    </xf>
    <xf numFmtId="4" fontId="51" fillId="0" borderId="83" applyNumberFormat="0" applyProtection="0">
      <alignment vertical="center"/>
    </xf>
    <xf numFmtId="0" fontId="92" fillId="26" borderId="98" applyNumberFormat="0" applyAlignment="0" applyProtection="0"/>
    <xf numFmtId="4" fontId="37" fillId="13" borderId="102" applyNumberFormat="0" applyProtection="0">
      <alignment horizontal="right" vertical="center"/>
    </xf>
    <xf numFmtId="0" fontId="66" fillId="26" borderId="93" applyNumberFormat="0" applyAlignment="0" applyProtection="0"/>
    <xf numFmtId="0" fontId="74" fillId="8" borderId="93" applyNumberFormat="0" applyAlignment="0" applyProtection="0"/>
    <xf numFmtId="0" fontId="122" fillId="0" borderId="100" applyProtection="0">
      <alignment horizontal="centerContinuous"/>
    </xf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32" fillId="32" borderId="97" applyNumberFormat="0" applyFont="0" applyAlignment="0" applyProtection="0"/>
    <xf numFmtId="0" fontId="122" fillId="0" borderId="100" applyProtection="0">
      <alignment horizontal="centerContinuous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32" fillId="0" borderId="94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7" fillId="23" borderId="102" applyNumberFormat="0" applyProtection="0">
      <alignment horizontal="left" vertical="top" indent="1"/>
    </xf>
    <xf numFmtId="0" fontId="51" fillId="0" borderId="94" applyNumberFormat="0" applyProtection="0">
      <alignment horizontal="left" vertical="top" indent="1"/>
    </xf>
    <xf numFmtId="0" fontId="74" fillId="8" borderId="93" applyNumberFormat="0" applyAlignment="0" applyProtection="0"/>
    <xf numFmtId="0" fontId="92" fillId="26" borderId="98" applyNumberFormat="0" applyAlignment="0" applyProtection="0"/>
    <xf numFmtId="0" fontId="123" fillId="0" borderId="101" applyNumberFormat="0" applyFill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74" fillId="8" borderId="93" applyNumberFormat="0" applyAlignment="0" applyProtection="0"/>
    <xf numFmtId="10" fontId="44" fillId="23" borderId="94" applyNumberFormat="0" applyBorder="0" applyAlignment="0" applyProtection="0"/>
    <xf numFmtId="187" fontId="32" fillId="0" borderId="99">
      <protection locked="0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0" fillId="0" borderId="0"/>
    <xf numFmtId="40" fontId="65" fillId="23" borderId="94">
      <alignment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4" fontId="51" fillId="0" borderId="102" applyNumberFormat="0" applyProtection="0">
      <alignment horizontal="left" vertical="center" indent="1"/>
    </xf>
    <xf numFmtId="4" fontId="37" fillId="19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0" fontId="32" fillId="0" borderId="94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0" borderId="94" applyNumberFormat="0" applyProtection="0">
      <alignment horizontal="left" vertical="center" indent="1"/>
    </xf>
    <xf numFmtId="4" fontId="37" fillId="23" borderId="102" applyNumberFormat="0" applyProtection="0">
      <alignment vertical="center"/>
    </xf>
    <xf numFmtId="0" fontId="32" fillId="0" borderId="94" applyNumberFormat="0" applyProtection="0">
      <alignment horizontal="left" vertical="center" indent="1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66" fillId="26" borderId="93" applyNumberFormat="0" applyAlignment="0" applyProtection="0"/>
    <xf numFmtId="210" fontId="126" fillId="0" borderId="94" applyFont="0" applyFill="0" applyBorder="0" applyAlignment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122" fillId="0" borderId="100" applyProtection="0">
      <alignment horizontal="centerContinuous"/>
    </xf>
    <xf numFmtId="0" fontId="74" fillId="8" borderId="93" applyNumberFormat="0" applyAlignment="0" applyProtection="0"/>
    <xf numFmtId="0" fontId="66" fillId="26" borderId="93" applyNumberFormat="0" applyAlignment="0" applyProtection="0"/>
    <xf numFmtId="187" fontId="32" fillId="0" borderId="99">
      <protection locked="0"/>
    </xf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22" fillId="0" borderId="0"/>
    <xf numFmtId="0" fontId="22" fillId="0" borderId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210" fontId="126" fillId="0" borderId="94" applyFont="0" applyFill="0" applyBorder="0" applyAlignment="0"/>
    <xf numFmtId="9" fontId="22" fillId="0" borderId="0" applyFont="0" applyFill="0" applyBorder="0" applyAlignment="0" applyProtection="0"/>
    <xf numFmtId="0" fontId="51" fillId="0" borderId="102" applyNumberFormat="0" applyProtection="0">
      <alignment horizontal="left" vertical="top" indent="1"/>
    </xf>
    <xf numFmtId="4" fontId="37" fillId="21" borderId="102" applyNumberFormat="0" applyProtection="0">
      <alignment horizontal="right" vertical="center"/>
    </xf>
    <xf numFmtId="0" fontId="32" fillId="52" borderId="102" applyNumberFormat="0" applyProtection="0">
      <alignment horizontal="left" vertical="center" indent="1"/>
    </xf>
    <xf numFmtId="4" fontId="133" fillId="23" borderId="102" applyNumberFormat="0" applyProtection="0">
      <alignment vertical="center"/>
    </xf>
    <xf numFmtId="4" fontId="133" fillId="0" borderId="102" applyNumberFormat="0" applyProtection="0">
      <alignment horizontal="right" vertical="center"/>
    </xf>
    <xf numFmtId="0" fontId="123" fillId="0" borderId="101" applyNumberFormat="0" applyFill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74" fillId="8" borderId="93" applyNumberFormat="0" applyAlignment="0" applyProtection="0"/>
    <xf numFmtId="0" fontId="142" fillId="32" borderId="97" applyNumberFormat="0" applyFont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0" borderId="103" applyNumberFormat="0" applyProtection="0">
      <alignment horizontal="left" vertical="center" indent="1"/>
    </xf>
    <xf numFmtId="0" fontId="74" fillId="8" borderId="93" applyNumberFormat="0" applyAlignment="0" applyProtection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1">
      <protection locked="0"/>
    </xf>
    <xf numFmtId="0" fontId="92" fillId="26" borderId="88" applyNumberFormat="0" applyAlignment="0" applyProtection="0"/>
    <xf numFmtId="0" fontId="74" fillId="8" borderId="86" applyNumberFormat="0" applyAlignment="0" applyProtection="0"/>
    <xf numFmtId="0" fontId="32" fillId="32" borderId="97" applyNumberFormat="0" applyFont="0" applyAlignment="0" applyProtection="0"/>
    <xf numFmtId="4" fontId="32" fillId="0" borderId="83" applyNumberFormat="0" applyProtection="0">
      <alignment horizontal="right" vertical="center"/>
    </xf>
    <xf numFmtId="0" fontId="37" fillId="23" borderId="83" applyNumberFormat="0" applyProtection="0">
      <alignment horizontal="left" vertical="top" indent="1"/>
    </xf>
    <xf numFmtId="0" fontId="32" fillId="52" borderId="83" applyNumberFormat="0" applyProtection="0">
      <alignment horizontal="left" vertical="top" indent="1"/>
    </xf>
    <xf numFmtId="0" fontId="32" fillId="22" borderId="83" applyNumberFormat="0" applyProtection="0">
      <alignment horizontal="left" vertical="top" indent="1"/>
    </xf>
    <xf numFmtId="4" fontId="37" fillId="20" borderId="83" applyNumberFormat="0" applyProtection="0">
      <alignment horizontal="right" vertical="center"/>
    </xf>
    <xf numFmtId="4" fontId="37" fillId="19" borderId="83" applyNumberFormat="0" applyProtection="0">
      <alignment horizontal="right" vertical="center"/>
    </xf>
    <xf numFmtId="0" fontId="51" fillId="0" borderId="83" applyNumberFormat="0" applyProtection="0">
      <alignment horizontal="left" vertical="top" indent="1"/>
    </xf>
    <xf numFmtId="210" fontId="126" fillId="0" borderId="94" applyFont="0" applyFill="0" applyBorder="0" applyAlignment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11" borderId="102" applyNumberFormat="0" applyProtection="0">
      <alignment horizontal="right" vertical="center"/>
    </xf>
    <xf numFmtId="0" fontId="32" fillId="22" borderId="102" applyNumberFormat="0" applyProtection="0">
      <alignment horizontal="left" vertical="top" indent="1"/>
    </xf>
    <xf numFmtId="0" fontId="66" fillId="26" borderId="93" applyNumberFormat="0" applyAlignment="0" applyProtection="0"/>
    <xf numFmtId="0" fontId="32" fillId="32" borderId="97" applyNumberFormat="0" applyFon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210" fontId="126" fillId="0" borderId="94" applyFont="0" applyFill="0" applyBorder="0" applyAlignment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22" fillId="0" borderId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74" fillId="8" borderId="86" applyNumberFormat="0" applyAlignment="0" applyProtection="0"/>
    <xf numFmtId="40" fontId="65" fillId="23" borderId="85">
      <alignment vertical="center"/>
    </xf>
    <xf numFmtId="0" fontId="66" fillId="26" borderId="86" applyNumberFormat="0" applyAlignment="0" applyProtection="0"/>
    <xf numFmtId="0" fontId="66" fillId="26" borderId="86" applyNumberFormat="0" applyAlignment="0" applyProtection="0"/>
    <xf numFmtId="4" fontId="37" fillId="0" borderId="84" applyNumberFormat="0" applyProtection="0">
      <alignment horizontal="left" vertical="center" indent="1"/>
    </xf>
    <xf numFmtId="4" fontId="133" fillId="0" borderId="83" applyNumberFormat="0" applyProtection="0">
      <alignment horizontal="right" vertical="center"/>
    </xf>
    <xf numFmtId="0" fontId="50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0" fontId="66" fillId="26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4" fontId="131" fillId="29" borderId="102" applyNumberFormat="0" applyProtection="0">
      <alignment vertical="center"/>
    </xf>
    <xf numFmtId="4" fontId="37" fillId="20" borderId="102" applyNumberFormat="0" applyProtection="0">
      <alignment horizontal="right" vertical="center"/>
    </xf>
    <xf numFmtId="0" fontId="32" fillId="23" borderId="95" applyNumberFormat="0" applyFont="0" applyBorder="0" applyAlignment="0" applyProtection="0"/>
    <xf numFmtId="0" fontId="32" fillId="32" borderId="97" applyNumberFormat="0" applyFont="0" applyAlignment="0" applyProtection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2" fillId="0" borderId="102" applyNumberFormat="0" applyProtection="0">
      <alignment horizontal="right"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22" fillId="0" borderId="0"/>
    <xf numFmtId="0" fontId="66" fillId="26" borderId="93" applyNumberFormat="0" applyAlignment="0" applyProtection="0"/>
    <xf numFmtId="0" fontId="66" fillId="26" borderId="93" applyNumberFormat="0" applyAlignment="0" applyProtection="0"/>
    <xf numFmtId="0" fontId="32" fillId="23" borderId="95" applyNumberFormat="0" applyFont="0" applyBorder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122" fillId="0" borderId="100" applyProtection="0">
      <alignment horizontal="centerContinuous"/>
    </xf>
    <xf numFmtId="167" fontId="22" fillId="0" borderId="0" applyFont="0" applyFill="0" applyBorder="0" applyAlignment="0" applyProtection="0"/>
    <xf numFmtId="4" fontId="37" fillId="4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50" borderId="102" applyNumberFormat="0" applyProtection="0">
      <alignment horizontal="right" vertical="center"/>
    </xf>
    <xf numFmtId="4" fontId="37" fillId="0" borderId="94" applyNumberFormat="0" applyProtection="0">
      <alignment horizontal="right" vertical="center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0" borderId="94" applyNumberFormat="0" applyProtection="0">
      <alignment horizontal="left" vertical="center" indent="1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42" fillId="32" borderId="76" applyNumberFormat="0" applyFont="0" applyAlignment="0" applyProtection="0"/>
    <xf numFmtId="0" fontId="22" fillId="0" borderId="0"/>
    <xf numFmtId="0" fontId="22" fillId="0" borderId="0"/>
    <xf numFmtId="0" fontId="22" fillId="0" borderId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32" fillId="32" borderId="76" applyNumberFormat="0" applyFont="0" applyAlignment="0" applyProtection="0"/>
    <xf numFmtId="0" fontId="50" fillId="32" borderId="97" applyNumberFormat="0" applyFont="0" applyAlignment="0" applyProtection="0"/>
    <xf numFmtId="0" fontId="30" fillId="0" borderId="0"/>
    <xf numFmtId="0" fontId="74" fillId="8" borderId="93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" fontId="37" fillId="23" borderId="102" applyNumberFormat="0" applyProtection="0">
      <alignment horizontal="left" vertical="center" indent="1"/>
    </xf>
    <xf numFmtId="4" fontId="37" fillId="0" borderId="103" applyNumberFormat="0" applyProtection="0">
      <alignment horizontal="left" vertical="center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0" fontId="65" fillId="23" borderId="94">
      <alignment vertical="center"/>
    </xf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0" fontId="66" fillId="26" borderId="93" applyNumberFormat="0" applyAlignment="0" applyProtection="0"/>
    <xf numFmtId="0" fontId="50" fillId="32" borderId="97" applyNumberFormat="0" applyFont="0" applyAlignment="0" applyProtection="0"/>
    <xf numFmtId="0" fontId="22" fillId="0" borderId="0"/>
    <xf numFmtId="167" fontId="22" fillId="0" borderId="0" applyFont="0" applyFill="0" applyBorder="0" applyAlignment="0" applyProtection="0"/>
    <xf numFmtId="0" fontId="50" fillId="32" borderId="76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0" fontId="44" fillId="23" borderId="94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210" fontId="126" fillId="0" borderId="74" applyFont="0" applyFill="0" applyBorder="0" applyAlignment="0"/>
    <xf numFmtId="40" fontId="65" fillId="23" borderId="74">
      <alignment vertical="center"/>
    </xf>
    <xf numFmtId="0" fontId="74" fillId="8" borderId="93" applyNumberFormat="0" applyAlignment="0" applyProtection="0"/>
    <xf numFmtId="0" fontId="81" fillId="0" borderId="81">
      <alignment horizontal="left"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0" fontId="51" fillId="0" borderId="74" applyNumberFormat="0" applyProtection="0">
      <alignment horizontal="left" vertical="top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2" fillId="0" borderId="79" applyProtection="0">
      <alignment horizontal="centerContinuous"/>
    </xf>
    <xf numFmtId="0" fontId="122" fillId="0" borderId="79" applyProtection="0">
      <alignment horizontal="centerContinuous"/>
    </xf>
    <xf numFmtId="0" fontId="32" fillId="0" borderId="81" applyFont="0" applyFill="0" applyBorder="0" applyAlignment="0" applyProtection="0"/>
    <xf numFmtId="0" fontId="32" fillId="0" borderId="81" applyFont="0" applyFill="0" applyBorder="0" applyAlignment="0" applyProtection="0"/>
    <xf numFmtId="209" fontId="91" fillId="0" borderId="0" applyFill="0" applyBorder="0" applyProtection="0">
      <alignment horizontal="right"/>
      <protection locked="0"/>
    </xf>
    <xf numFmtId="212" fontId="91" fillId="0" borderId="0" applyFill="0" applyBorder="0" applyProtection="0">
      <alignment horizontal="right"/>
      <protection locked="0"/>
    </xf>
    <xf numFmtId="0" fontId="55" fillId="0" borderId="55" applyBorder="0"/>
    <xf numFmtId="0" fontId="55" fillId="0" borderId="55" applyBorder="0"/>
    <xf numFmtId="0" fontId="55" fillId="0" borderId="55" applyBorder="0"/>
    <xf numFmtId="0" fontId="55" fillId="0" borderId="55" applyBorder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167" fontId="3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0" fontId="43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0" fillId="0" borderId="0"/>
    <xf numFmtId="0" fontId="30" fillId="0" borderId="0"/>
    <xf numFmtId="0" fontId="3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2" fillId="0" borderId="0"/>
    <xf numFmtId="0" fontId="32" fillId="0" borderId="0">
      <alignment vertical="top"/>
    </xf>
    <xf numFmtId="0" fontId="22" fillId="0" borderId="0"/>
    <xf numFmtId="0" fontId="3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32" fillId="0" borderId="0">
      <alignment vertical="top"/>
    </xf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4" fontId="51" fillId="0" borderId="102" applyNumberForma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87" fontId="32" fillId="0" borderId="80">
      <protection locked="0"/>
    </xf>
    <xf numFmtId="0" fontId="92" fillId="26" borderId="88" applyNumberFormat="0" applyAlignment="0" applyProtection="0"/>
    <xf numFmtId="0" fontId="92" fillId="26" borderId="88" applyNumberFormat="0" applyAlignment="0" applyProtection="0"/>
    <xf numFmtId="0" fontId="122" fillId="0" borderId="90" applyProtection="0">
      <alignment horizontal="centerContinuous"/>
    </xf>
    <xf numFmtId="0" fontId="123" fillId="0" borderId="89" applyNumberFormat="0" applyFill="0" applyAlignment="0" applyProtection="0"/>
    <xf numFmtId="210" fontId="126" fillId="0" borderId="85" applyFont="0" applyFill="0" applyBorder="0" applyAlignment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4" applyNumberFormat="0" applyProtection="0">
      <alignment horizontal="left" vertical="center" indent="1"/>
    </xf>
    <xf numFmtId="0" fontId="51" fillId="0" borderId="85" applyNumberFormat="0" applyProtection="0">
      <alignment horizontal="left" vertical="top" indent="1"/>
    </xf>
    <xf numFmtId="0" fontId="74" fillId="8" borderId="86" applyNumberFormat="0" applyAlignment="0" applyProtection="0"/>
    <xf numFmtId="0" fontId="66" fillId="26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210" fontId="126" fillId="0" borderId="85" applyFont="0" applyFill="0" applyBorder="0" applyAlignment="0"/>
    <xf numFmtId="210" fontId="126" fillId="0" borderId="85" applyFont="0" applyFill="0" applyBorder="0" applyAlignment="0"/>
    <xf numFmtId="40" fontId="65" fillId="23" borderId="85">
      <alignment vertical="center"/>
    </xf>
    <xf numFmtId="40" fontId="65" fillId="23" borderId="85">
      <alignment vertical="center"/>
    </xf>
    <xf numFmtId="0" fontId="81" fillId="0" borderId="92">
      <alignment horizontal="left" vertical="center"/>
    </xf>
    <xf numFmtId="0" fontId="81" fillId="0" borderId="92">
      <alignment horizontal="left" vertical="center"/>
    </xf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5" applyNumberFormat="0" applyProtection="0">
      <alignment horizontal="right" vertical="center"/>
    </xf>
    <xf numFmtId="0" fontId="51" fillId="0" borderId="85" applyNumberFormat="0" applyProtection="0">
      <alignment horizontal="left" vertical="top" indent="1"/>
    </xf>
    <xf numFmtId="0" fontId="51" fillId="0" borderId="85" applyNumberFormat="0" applyProtection="0">
      <alignment horizontal="left" vertical="top" indent="1"/>
    </xf>
    <xf numFmtId="0" fontId="122" fillId="0" borderId="90" applyProtection="0">
      <alignment horizontal="centerContinuous"/>
    </xf>
    <xf numFmtId="0" fontId="122" fillId="0" borderId="90" applyProtection="0">
      <alignment horizontal="centerContinuous"/>
    </xf>
    <xf numFmtId="0" fontId="32" fillId="0" borderId="92" applyFont="0" applyFill="0" applyBorder="0" applyAlignment="0" applyProtection="0"/>
    <xf numFmtId="0" fontId="32" fillId="0" borderId="92" applyFont="0" applyFill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32" borderId="87" applyNumberFormat="0" applyFont="0" applyAlignment="0" applyProtection="0"/>
    <xf numFmtId="187" fontId="32" fillId="0" borderId="91">
      <protection locked="0"/>
    </xf>
    <xf numFmtId="0" fontId="50" fillId="32" borderId="97" applyNumberFormat="0" applyFon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9">
      <protection locked="0"/>
    </xf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47" fillId="0" borderId="0" applyNumberForma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37" fontId="55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70" fillId="0" borderId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7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9" fontId="32" fillId="53" borderId="0"/>
    <xf numFmtId="9" fontId="32" fillId="53" borderId="0"/>
    <xf numFmtId="9" fontId="32" fillId="53" borderId="0"/>
    <xf numFmtId="9" fontId="32" fillId="53" borderId="0"/>
    <xf numFmtId="192" fontId="63" fillId="0" borderId="0">
      <protection locked="0"/>
    </xf>
    <xf numFmtId="192" fontId="63" fillId="0" borderId="0">
      <protection locked="0"/>
    </xf>
    <xf numFmtId="192" fontId="63" fillId="0" borderId="0">
      <protection locked="0"/>
    </xf>
    <xf numFmtId="0" fontId="32" fillId="0" borderId="0"/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149" fillId="0" borderId="0">
      <alignment horizontal="left"/>
    </xf>
    <xf numFmtId="3" fontId="49" fillId="2" borderId="0">
      <alignment horizontal="left"/>
    </xf>
    <xf numFmtId="3" fontId="49" fillId="2" borderId="0">
      <alignment horizontal="left"/>
    </xf>
    <xf numFmtId="0" fontId="150" fillId="3" borderId="0" applyNumberFormat="0" applyBorder="0" applyAlignment="0" applyProtection="0"/>
    <xf numFmtId="0" fontId="150" fillId="4" borderId="0" applyNumberFormat="0" applyBorder="0" applyAlignment="0" applyProtection="0"/>
    <xf numFmtId="0" fontId="150" fillId="5" borderId="0" applyNumberFormat="0" applyBorder="0" applyAlignment="0" applyProtection="0"/>
    <xf numFmtId="0" fontId="150" fillId="6" borderId="0" applyNumberFormat="0" applyBorder="0" applyAlignment="0" applyProtection="0"/>
    <xf numFmtId="0" fontId="150" fillId="7" borderId="0" applyNumberFormat="0" applyBorder="0" applyAlignment="0" applyProtection="0"/>
    <xf numFmtId="0" fontId="150" fillId="8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0" fontId="150" fillId="10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6" borderId="0" applyNumberFormat="0" applyBorder="0" applyAlignment="0" applyProtection="0"/>
    <xf numFmtId="0" fontId="150" fillId="10" borderId="0" applyNumberFormat="0" applyBorder="0" applyAlignment="0" applyProtection="0"/>
    <xf numFmtId="0" fontId="150" fillId="13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0" fontId="151" fillId="14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5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4" borderId="0" applyNumberFormat="0" applyBorder="0" applyAlignment="0" applyProtection="0"/>
    <xf numFmtId="221" fontId="52" fillId="11" borderId="0" applyNumberFormat="0" applyBorder="0" applyAlignment="0" applyProtection="0"/>
    <xf numFmtId="221" fontId="52" fillId="12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17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5" borderId="0" applyNumberFormat="0" applyBorder="0" applyAlignment="0" applyProtection="0"/>
    <xf numFmtId="0" fontId="151" fillId="18" borderId="0" applyNumberFormat="0" applyBorder="0" applyAlignment="0" applyProtection="0"/>
    <xf numFmtId="0" fontId="52" fillId="66" borderId="0" applyNumberFormat="0" applyBorder="0" applyAlignment="0" applyProtection="0"/>
    <xf numFmtId="0" fontId="50" fillId="67" borderId="0" applyNumberFormat="0" applyBorder="0" applyAlignment="0" applyProtection="0"/>
    <xf numFmtId="0" fontId="50" fillId="68" borderId="0" applyNumberFormat="0" applyBorder="0" applyAlignment="0" applyProtection="0"/>
    <xf numFmtId="0" fontId="52" fillId="69" borderId="0" applyNumberFormat="0" applyBorder="0" applyAlignment="0" applyProtection="0"/>
    <xf numFmtId="184" fontId="138" fillId="70" borderId="0" applyNumberFormat="0" applyBorder="0" applyAlignment="0" applyProtection="0"/>
    <xf numFmtId="0" fontId="151" fillId="19" borderId="0" applyNumberFormat="0" applyBorder="0" applyAlignment="0" applyProtection="0"/>
    <xf numFmtId="0" fontId="52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2" fillId="74" borderId="0" applyNumberFormat="0" applyBorder="0" applyAlignment="0" applyProtection="0"/>
    <xf numFmtId="184" fontId="138" fillId="75" borderId="0" applyNumberFormat="0" applyBorder="0" applyAlignment="0" applyProtection="0"/>
    <xf numFmtId="0" fontId="151" fillId="20" borderId="0" applyNumberFormat="0" applyBorder="0" applyAlignment="0" applyProtection="0"/>
    <xf numFmtId="0" fontId="52" fillId="69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2" fillId="74" borderId="0" applyNumberFormat="0" applyBorder="0" applyAlignment="0" applyProtection="0"/>
    <xf numFmtId="0" fontId="151" fillId="15" borderId="0" applyNumberFormat="0" applyBorder="0" applyAlignment="0" applyProtection="0"/>
    <xf numFmtId="0" fontId="52" fillId="76" borderId="0" applyNumberFormat="0" applyBorder="0" applyAlignment="0" applyProtection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4" borderId="0" applyNumberFormat="0" applyBorder="0" applyAlignment="0" applyProtection="0"/>
    <xf numFmtId="0" fontId="151" fillId="16" borderId="0" applyNumberFormat="0" applyBorder="0" applyAlignment="0" applyProtection="0"/>
    <xf numFmtId="0" fontId="52" fillId="77" borderId="0" applyNumberFormat="0" applyBorder="0" applyAlignment="0" applyProtection="0"/>
    <xf numFmtId="0" fontId="50" fillId="78" borderId="0" applyNumberFormat="0" applyBorder="0" applyAlignment="0" applyProtection="0"/>
    <xf numFmtId="0" fontId="50" fillId="68" borderId="0" applyNumberFormat="0" applyBorder="0" applyAlignment="0" applyProtection="0"/>
    <xf numFmtId="0" fontId="52" fillId="79" borderId="0" applyNumberFormat="0" applyBorder="0" applyAlignment="0" applyProtection="0"/>
    <xf numFmtId="0" fontId="151" fillId="21" borderId="0" applyNumberFormat="0" applyBorder="0" applyAlignment="0" applyProtection="0"/>
    <xf numFmtId="0" fontId="52" fillId="80" borderId="0" applyNumberFormat="0" applyBorder="0" applyAlignment="0" applyProtection="0"/>
    <xf numFmtId="177" fontId="33" fillId="22" borderId="2">
      <alignment horizontal="center"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4" fontId="32" fillId="0" borderId="0"/>
    <xf numFmtId="181" fontId="32" fillId="0" borderId="0"/>
    <xf numFmtId="0" fontId="32" fillId="0" borderId="0"/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3" fontId="49" fillId="0" borderId="0" applyNumberFormat="0" applyFill="0" applyBorder="0" applyAlignment="0" applyProtection="0"/>
    <xf numFmtId="0" fontId="152" fillId="0" borderId="10">
      <protection hidden="1"/>
    </xf>
    <xf numFmtId="0" fontId="149" fillId="26" borderId="10" applyNumberFormat="0" applyFont="0" applyBorder="0" applyAlignment="0" applyProtection="0">
      <protection hidden="1"/>
    </xf>
    <xf numFmtId="0" fontId="152" fillId="0" borderId="10">
      <protection hidden="1"/>
    </xf>
    <xf numFmtId="0" fontId="153" fillId="81" borderId="0"/>
    <xf numFmtId="0" fontId="154" fillId="4" borderId="0" applyNumberFormat="0" applyBorder="0" applyAlignment="0" applyProtection="0"/>
    <xf numFmtId="0" fontId="155" fillId="0" borderId="0" applyFont="0" applyFill="0" applyBorder="0" applyAlignment="0" applyProtection="0">
      <alignment horizontal="right"/>
    </xf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156" fillId="0" borderId="55" applyNumberFormat="0" applyFill="0" applyAlignment="0" applyProtection="0"/>
    <xf numFmtId="178" fontId="157" fillId="0" borderId="0">
      <alignment horizontal="right"/>
    </xf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2" fontId="121" fillId="0" borderId="63" applyAlignment="0" applyProtection="0"/>
    <xf numFmtId="221" fontId="62" fillId="5" borderId="0" applyNumberFormat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220" fontId="66" fillId="26" borderId="93" applyNumberFormat="0" applyAlignment="0" applyProtection="0"/>
    <xf numFmtId="221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3" fontId="32" fillId="0" borderId="0" applyFont="0" applyFill="0" applyBorder="0" applyAlignment="0" applyProtection="0"/>
    <xf numFmtId="224" fontId="32" fillId="0" borderId="0" applyFont="0" applyFill="0" applyBorder="0" applyAlignment="0" applyProtection="0"/>
    <xf numFmtId="0" fontId="67" fillId="27" borderId="82" applyNumberFormat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37" fontId="158" fillId="29" borderId="94" applyProtection="0">
      <alignment horizontal="center"/>
    </xf>
    <xf numFmtId="0" fontId="67" fillId="69" borderId="82" applyNumberFormat="0" applyAlignment="0" applyProtection="0"/>
    <xf numFmtId="0" fontId="69" fillId="28" borderId="9" applyFont="0" applyFill="0" applyBorder="0"/>
    <xf numFmtId="0" fontId="44" fillId="0" borderId="10"/>
    <xf numFmtId="0" fontId="44" fillId="0" borderId="10"/>
    <xf numFmtId="0" fontId="44" fillId="0" borderId="10"/>
    <xf numFmtId="0" fontId="31" fillId="0" borderId="0" applyNumberFormat="0" applyFill="0" applyBorder="0" applyAlignment="0" applyProtection="0">
      <alignment vertical="top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225" fontId="160" fillId="0" borderId="0"/>
    <xf numFmtId="225" fontId="160" fillId="0" borderId="0"/>
    <xf numFmtId="213" fontId="126" fillId="0" borderId="0" applyFill="0" applyBorder="0" applyAlignment="0" applyProtection="0"/>
    <xf numFmtId="40" fontId="126" fillId="0" borderId="0" applyFill="0" applyBorder="0" applyAlignment="0" applyProtection="0"/>
    <xf numFmtId="226" fontId="126" fillId="82" borderId="0" applyFill="0" applyBorder="0" applyAlignment="0">
      <alignment vertical="top"/>
    </xf>
    <xf numFmtId="227" fontId="126" fillId="0" borderId="0" applyFill="0" applyBorder="0" applyAlignment="0" applyProtection="0"/>
    <xf numFmtId="18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6" fontId="37" fillId="0" borderId="0" applyProtection="0"/>
    <xf numFmtId="223" fontId="37" fillId="0" borderId="0" applyProtection="0"/>
    <xf numFmtId="168" fontId="37" fillId="0" borderId="0" applyProtection="0"/>
    <xf numFmtId="166" fontId="85" fillId="0" borderId="0" applyProtection="0"/>
    <xf numFmtId="223" fontId="85" fillId="0" borderId="0" applyProtection="0"/>
    <xf numFmtId="168" fontId="85" fillId="0" borderId="0" applyProtection="0"/>
    <xf numFmtId="0" fontId="70" fillId="0" borderId="0"/>
    <xf numFmtId="0" fontId="55" fillId="0" borderId="0"/>
    <xf numFmtId="0" fontId="162" fillId="0" borderId="0"/>
    <xf numFmtId="0" fontId="70" fillId="0" borderId="0"/>
    <xf numFmtId="3" fontId="71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55" fillId="0" borderId="0"/>
    <xf numFmtId="0" fontId="162" fillId="0" borderId="0"/>
    <xf numFmtId="0" fontId="70" fillId="0" borderId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228" fontId="126" fillId="82" borderId="99" applyFill="0" applyBorder="0" applyAlignment="0">
      <alignment horizontal="right"/>
    </xf>
    <xf numFmtId="0" fontId="161" fillId="0" borderId="0" applyFont="0" applyFill="0" applyBorder="0" applyAlignment="0" applyProtection="0">
      <alignment horizontal="right"/>
    </xf>
    <xf numFmtId="0" fontId="161" fillId="0" borderId="0" applyFont="0" applyFill="0" applyBorder="0" applyAlignment="0" applyProtection="0">
      <alignment horizontal="right"/>
    </xf>
    <xf numFmtId="182" fontId="71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161" fillId="0" borderId="0" applyFont="0" applyFill="0" applyBorder="0" applyAlignment="0" applyProtection="0"/>
    <xf numFmtId="14" fontId="37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72" fillId="0" borderId="0" applyFont="0" applyFill="0" applyBorder="0" applyAlignment="0"/>
    <xf numFmtId="183" fontId="32" fillId="0" borderId="12">
      <alignment vertical="center"/>
    </xf>
    <xf numFmtId="0" fontId="163" fillId="9" borderId="64" applyNumberFormat="0" applyBorder="0" applyAlignment="0">
      <alignment horizontal="center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0" fontId="63" fillId="0" borderId="0">
      <protection locked="0"/>
    </xf>
    <xf numFmtId="0" fontId="161" fillId="0" borderId="105" applyNumberFormat="0" applyFont="0" applyFill="0" applyAlignment="0" applyProtection="0"/>
    <xf numFmtId="0" fontId="126" fillId="0" borderId="0" applyNumberFormat="0" applyFill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5" borderId="0" applyNumberFormat="0" applyBorder="0" applyAlignment="0" applyProtection="0"/>
    <xf numFmtId="0" fontId="164" fillId="0" borderId="0">
      <protection locked="0"/>
    </xf>
    <xf numFmtId="0" fontId="164" fillId="0" borderId="0">
      <protection locked="0"/>
    </xf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18" borderId="0" applyNumberFormat="0" applyBorder="0" applyAlignment="0" applyProtection="0"/>
    <xf numFmtId="221" fontId="52" fillId="19" borderId="0" applyNumberFormat="0" applyBorder="0" applyAlignment="0" applyProtection="0"/>
    <xf numFmtId="221" fontId="52" fillId="20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184" fontId="32" fillId="0" borderId="0" applyFont="0" applyFill="0" applyBorder="0" applyAlignment="0" applyProtection="0"/>
    <xf numFmtId="220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229" fontId="32" fillId="0" borderId="0" applyFill="0" applyBorder="0" applyAlignment="0" applyProtection="0"/>
    <xf numFmtId="0" fontId="165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7" fontId="76" fillId="0" borderId="0" applyBorder="0" applyAlignment="0"/>
    <xf numFmtId="37" fontId="76" fillId="0" borderId="0" applyBorder="0" applyAlignment="0"/>
    <xf numFmtId="0" fontId="63" fillId="0" borderId="0">
      <protection locked="0"/>
    </xf>
    <xf numFmtId="3" fontId="71" fillId="0" borderId="0" applyFont="0" applyFill="0" applyBorder="0" applyAlignment="0" applyProtection="0"/>
    <xf numFmtId="0" fontId="63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6" fontId="63" fillId="0" borderId="0">
      <protection locked="0"/>
    </xf>
    <xf numFmtId="186" fontId="63" fillId="0" borderId="0">
      <protection locked="0"/>
    </xf>
    <xf numFmtId="0" fontId="166" fillId="0" borderId="0" applyFill="0" applyBorder="0" applyProtection="0">
      <alignment horizontal="left"/>
    </xf>
    <xf numFmtId="0" fontId="139" fillId="0" borderId="0"/>
    <xf numFmtId="38" fontId="163" fillId="0" borderId="10" applyBorder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2" fontId="32" fillId="0" borderId="0"/>
    <xf numFmtId="2" fontId="32" fillId="0" borderId="0"/>
    <xf numFmtId="2" fontId="32" fillId="0" borderId="0"/>
    <xf numFmtId="2" fontId="32" fillId="0" borderId="0"/>
    <xf numFmtId="0" fontId="167" fillId="5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61" fillId="0" borderId="0" applyFont="0" applyFill="0" applyBorder="0" applyAlignment="0" applyProtection="0">
      <alignment horizontal="right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68" fillId="0" borderId="0" applyProtection="0">
      <alignment horizontal="left"/>
    </xf>
    <xf numFmtId="184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230" fontId="126" fillId="0" borderId="0" applyFill="0" applyBorder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169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46" fillId="0" borderId="0"/>
    <xf numFmtId="231" fontId="32" fillId="0" borderId="0" applyNumberFormat="0" applyFill="0" applyBorder="0" applyAlignment="0" applyProtection="0"/>
    <xf numFmtId="231" fontId="32" fillId="0" borderId="0" applyNumberFormat="0" applyFill="0" applyBorder="0" applyAlignment="0" applyProtection="0"/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232" fontId="140" fillId="0" borderId="0"/>
    <xf numFmtId="232" fontId="140" fillId="0" borderId="0"/>
    <xf numFmtId="232" fontId="140" fillId="0" borderId="0"/>
    <xf numFmtId="233" fontId="140" fillId="0" borderId="0"/>
    <xf numFmtId="233" fontId="140" fillId="0" borderId="0"/>
    <xf numFmtId="233" fontId="140" fillId="0" borderId="0"/>
    <xf numFmtId="234" fontId="140" fillId="0" borderId="0"/>
    <xf numFmtId="234" fontId="140" fillId="0" borderId="0"/>
    <xf numFmtId="234" fontId="140" fillId="0" borderId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0" fontId="170" fillId="86" borderId="0" applyNumberFormat="0" applyBorder="0" applyAlignment="0">
      <protection locked="0"/>
    </xf>
    <xf numFmtId="0" fontId="74" fillId="8" borderId="93" applyNumberFormat="0" applyAlignment="0" applyProtection="0"/>
    <xf numFmtId="235" fontId="171" fillId="0" borderId="0"/>
    <xf numFmtId="0" fontId="31" fillId="0" borderId="0" applyNumberFormat="0" applyFill="0" applyBorder="0" applyAlignment="0" applyProtection="0">
      <alignment vertical="top"/>
      <protection locked="0"/>
    </xf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72" fillId="0" borderId="8" applyNumberFormat="0" applyFill="0" applyAlignment="0" applyProtection="0"/>
    <xf numFmtId="0" fontId="173" fillId="0" borderId="10">
      <alignment horizontal="left"/>
      <protection locked="0"/>
    </xf>
    <xf numFmtId="236" fontId="174" fillId="0" borderId="0" applyFont="0" applyFill="0" applyBorder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0" fontId="175" fillId="0" borderId="0" applyBorder="0"/>
    <xf numFmtId="237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88" fontId="63" fillId="0" borderId="0">
      <protection locked="0"/>
    </xf>
    <xf numFmtId="188" fontId="63" fillId="0" borderId="0">
      <protection locked="0"/>
    </xf>
    <xf numFmtId="239" fontId="32" fillId="0" borderId="0" applyFont="0" applyFill="0" applyBorder="0" applyAlignment="0" applyProtection="0"/>
    <xf numFmtId="24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3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9" fontId="146" fillId="0" borderId="0" applyProtection="0"/>
    <xf numFmtId="241" fontId="146" fillId="0" borderId="0" applyProtection="0"/>
    <xf numFmtId="242" fontId="146" fillId="0" borderId="0" applyProtection="0"/>
    <xf numFmtId="169" fontId="146" fillId="0" borderId="0" applyProtection="0"/>
    <xf numFmtId="241" fontId="146" fillId="0" borderId="0" applyProtection="0"/>
    <xf numFmtId="242" fontId="146" fillId="0" borderId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0" fontId="176" fillId="31" borderId="0" applyNumberFormat="0" applyBorder="0" applyAlignment="0" applyProtection="0"/>
    <xf numFmtId="0" fontId="32" fillId="0" borderId="0" applyNumberFormat="0" applyFill="0" applyBorder="0" applyAlignment="0" applyProtection="0"/>
    <xf numFmtId="37" fontId="89" fillId="0" borderId="0"/>
    <xf numFmtId="37" fontId="89" fillId="0" borderId="0"/>
    <xf numFmtId="0" fontId="46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33" fontId="140" fillId="0" borderId="0"/>
    <xf numFmtId="233" fontId="140" fillId="0" borderId="0"/>
    <xf numFmtId="233" fontId="140" fillId="0" borderId="0"/>
    <xf numFmtId="244" fontId="140" fillId="0" borderId="0">
      <alignment horizontal="right"/>
    </xf>
    <xf numFmtId="244" fontId="140" fillId="0" borderId="0">
      <alignment horizontal="right"/>
    </xf>
    <xf numFmtId="244" fontId="140" fillId="0" borderId="0">
      <alignment horizontal="right"/>
    </xf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0" fontId="30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 applyFill="0" applyBorder="0" applyAlignment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32" fillId="0" borderId="0"/>
    <xf numFmtId="221" fontId="32" fillId="0" borderId="0"/>
    <xf numFmtId="221" fontId="32" fillId="0" borderId="0"/>
    <xf numFmtId="221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32" fillId="0" borderId="0"/>
    <xf numFmtId="0" fontId="32" fillId="0" borderId="0"/>
    <xf numFmtId="221" fontId="32" fillId="0" borderId="0"/>
    <xf numFmtId="0" fontId="32" fillId="0" borderId="0"/>
    <xf numFmtId="0" fontId="32" fillId="0" borderId="0"/>
    <xf numFmtId="220" fontId="32" fillId="0" borderId="0"/>
    <xf numFmtId="221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top"/>
    </xf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72" fillId="0" borderId="0"/>
    <xf numFmtId="221" fontId="72" fillId="0" borderId="0"/>
    <xf numFmtId="220" fontId="32" fillId="0" borderId="0"/>
    <xf numFmtId="0" fontId="32" fillId="0" borderId="0"/>
    <xf numFmtId="221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184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8" fillId="0" borderId="0"/>
    <xf numFmtId="0" fontId="146" fillId="0" borderId="0"/>
    <xf numFmtId="0" fontId="174" fillId="0" borderId="0"/>
    <xf numFmtId="0" fontId="148" fillId="0" borderId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1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0" fontId="179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0" fillId="33" borderId="29"/>
    <xf numFmtId="1" fontId="181" fillId="0" borderId="0" applyProtection="0">
      <alignment horizontal="right" vertical="center"/>
    </xf>
    <xf numFmtId="178" fontId="182" fillId="0" borderId="55">
      <alignment vertical="center"/>
    </xf>
    <xf numFmtId="0" fontId="70" fillId="0" borderId="0"/>
    <xf numFmtId="0" fontId="55" fillId="0" borderId="0"/>
    <xf numFmtId="0" fontId="32" fillId="0" borderId="54" applyFont="0" applyFill="0" applyBorder="0" applyAlignment="0" applyProtection="0">
      <alignment horizontal="right"/>
    </xf>
    <xf numFmtId="245" fontId="126" fillId="82" borderId="0" applyFill="0" applyBorder="0" applyAlignment="0" applyProtection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46" fontId="126" fillId="82" borderId="0" applyFill="0" applyBorder="0" applyAlignment="0" applyProtection="0">
      <alignment vertical="top"/>
    </xf>
    <xf numFmtId="247" fontId="126" fillId="0" borderId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10" fontId="71" fillId="0" borderId="0" applyFont="0" applyFill="0" applyBorder="0" applyAlignment="0" applyProtection="0"/>
    <xf numFmtId="250" fontId="63" fillId="0" borderId="0">
      <protection locked="0"/>
    </xf>
    <xf numFmtId="193" fontId="63" fillId="0" borderId="0">
      <protection locked="0"/>
    </xf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3" fillId="0" borderId="0">
      <protection locked="0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71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83" fillId="0" borderId="0" applyNumberFormat="0">
      <alignment horizontal="left"/>
    </xf>
    <xf numFmtId="231" fontId="32" fillId="0" borderId="0" applyNumberFormat="0" applyAlignment="0">
      <alignment horizontal="left"/>
    </xf>
    <xf numFmtId="0" fontId="72" fillId="0" borderId="0" applyNumberFormat="0" applyFont="0" applyFill="0" applyBorder="0" applyAlignment="0" applyProtection="0">
      <alignment horizontal="left"/>
    </xf>
    <xf numFmtId="15" fontId="72" fillId="0" borderId="0" applyFont="0" applyFill="0" applyBorder="0" applyAlignment="0" applyProtection="0"/>
    <xf numFmtId="4" fontId="72" fillId="0" borderId="0" applyFont="0" applyFill="0" applyBorder="0" applyAlignment="0" applyProtection="0"/>
    <xf numFmtId="0" fontId="121" fillId="0" borderId="106">
      <alignment horizontal="center"/>
    </xf>
    <xf numFmtId="3" fontId="72" fillId="0" borderId="0" applyFont="0" applyFill="0" applyBorder="0" applyAlignment="0" applyProtection="0"/>
    <xf numFmtId="0" fontId="72" fillId="28" borderId="0" applyNumberFormat="0" applyFont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0" fontId="184" fillId="0" borderId="94">
      <alignment horizontal="center" vertical="center"/>
    </xf>
    <xf numFmtId="0" fontId="185" fillId="0" borderId="107" applyBorder="0">
      <alignment vertical="top"/>
      <protection locked="0"/>
    </xf>
    <xf numFmtId="3" fontId="45" fillId="0" borderId="0" applyFill="0" applyBorder="0" applyAlignment="0" applyProtection="0"/>
    <xf numFmtId="3" fontId="45" fillId="0" borderId="0" applyFill="0" applyBorder="0" applyAlignment="0" applyProtection="0"/>
    <xf numFmtId="0" fontId="186" fillId="0" borderId="10" applyNumberFormat="0" applyFill="0" applyBorder="0" applyAlignment="0" applyProtection="0">
      <protection hidden="1"/>
    </xf>
    <xf numFmtId="38" fontId="183" fillId="0" borderId="0"/>
    <xf numFmtId="220" fontId="92" fillId="26" borderId="98" applyNumberFormat="0" applyAlignment="0" applyProtection="0"/>
    <xf numFmtId="221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4" fontId="51" fillId="0" borderId="102" applyNumberFormat="0" applyProtection="0">
      <alignment vertical="center"/>
    </xf>
    <xf numFmtId="4" fontId="131" fillId="29" borderId="102" applyNumberFormat="0" applyProtection="0">
      <alignment vertical="center"/>
    </xf>
    <xf numFmtId="4" fontId="51" fillId="0" borderId="102" applyNumberFormat="0" applyProtection="0">
      <alignment horizontal="left" vertical="center" indent="1"/>
    </xf>
    <xf numFmtId="0" fontId="51" fillId="0" borderId="102" applyNumberFormat="0" applyProtection="0">
      <alignment horizontal="left" vertical="top" indent="1"/>
    </xf>
    <xf numFmtId="0" fontId="32" fillId="87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4" fontId="51" fillId="50" borderId="0" applyNumberFormat="0" applyProtection="0">
      <alignment horizontal="left" vertical="center" indent="1"/>
    </xf>
    <xf numFmtId="4" fontId="37" fillId="4" borderId="102" applyNumberFormat="0" applyProtection="0">
      <alignment horizontal="right" vertical="center"/>
    </xf>
    <xf numFmtId="4" fontId="37" fillId="11" borderId="102" applyNumberFormat="0" applyProtection="0">
      <alignment horizontal="right" vertical="center"/>
    </xf>
    <xf numFmtId="4" fontId="37" fillId="19" borderId="102" applyNumberFormat="0" applyProtection="0">
      <alignment horizontal="right" vertical="center"/>
    </xf>
    <xf numFmtId="4" fontId="37" fillId="13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21" borderId="102" applyNumberFormat="0" applyProtection="0">
      <alignment horizontal="right" vertical="center"/>
    </xf>
    <xf numFmtId="4" fontId="37" fillId="20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88" borderId="0" applyNumberFormat="0" applyProtection="0">
      <alignment horizontal="left" vertical="center" indent="1"/>
    </xf>
    <xf numFmtId="4" fontId="37" fillId="50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89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22" borderId="102" applyNumberFormat="0" applyProtection="0">
      <alignment horizontal="left" vertical="top" indent="1"/>
    </xf>
    <xf numFmtId="0" fontId="32" fillId="52" borderId="102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2" fillId="82" borderId="94" applyNumberFormat="0">
      <protection locked="0"/>
    </xf>
    <xf numFmtId="4" fontId="37" fillId="23" borderId="102" applyNumberFormat="0" applyProtection="0">
      <alignment vertical="center"/>
    </xf>
    <xf numFmtId="4" fontId="133" fillId="23" borderId="102" applyNumberFormat="0" applyProtection="0">
      <alignment vertical="center"/>
    </xf>
    <xf numFmtId="4" fontId="37" fillId="23" borderId="102" applyNumberFormat="0" applyProtection="0">
      <alignment horizontal="left" vertical="center" indent="1"/>
    </xf>
    <xf numFmtId="0" fontId="37" fillId="23" borderId="102" applyNumberFormat="0" applyProtection="0">
      <alignment horizontal="left" vertical="top" indent="1"/>
    </xf>
    <xf numFmtId="4" fontId="133" fillId="0" borderId="102" applyNumberFormat="0" applyProtection="0">
      <alignment horizontal="right" vertical="center"/>
    </xf>
    <xf numFmtId="0" fontId="187" fillId="0" borderId="0"/>
    <xf numFmtId="4" fontId="122" fillId="0" borderId="0" applyNumberFormat="0" applyProtection="0">
      <alignment horizontal="left" vertical="center" indent="1"/>
    </xf>
    <xf numFmtId="4" fontId="188" fillId="90" borderId="98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188" fillId="90" borderId="98" applyNumberFormat="0" applyProtection="0">
      <alignment horizontal="right" vertical="center"/>
    </xf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92" fontId="95" fillId="0" borderId="0">
      <protection locked="0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119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0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0" fontId="105" fillId="0" borderId="0" applyNumberFormat="0" applyFill="0" applyBorder="0" applyAlignment="0" applyProtection="0"/>
    <xf numFmtId="0" fontId="32" fillId="0" borderId="108"/>
    <xf numFmtId="0" fontId="37" fillId="0" borderId="0">
      <alignment vertical="top"/>
    </xf>
    <xf numFmtId="0" fontId="37" fillId="0" borderId="0">
      <alignment vertical="top"/>
    </xf>
    <xf numFmtId="0" fontId="32" fillId="0" borderId="94" applyNumberFormat="0" applyFont="0" applyFill="0" applyProtection="0">
      <alignment horizontal="center"/>
    </xf>
    <xf numFmtId="22" fontId="32" fillId="0" borderId="94" applyFont="0" applyFill="0" applyProtection="0">
      <alignment horizontal="center"/>
    </xf>
    <xf numFmtId="0" fontId="33" fillId="9" borderId="94" applyNumberFormat="0" applyProtection="0">
      <alignment horizontal="center"/>
    </xf>
    <xf numFmtId="0" fontId="189" fillId="38" borderId="94" applyNumberFormat="0" applyProtection="0">
      <alignment horizontal="right"/>
    </xf>
    <xf numFmtId="4" fontId="32" fillId="0" borderId="94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91" borderId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166" fontId="32" fillId="0" borderId="0"/>
    <xf numFmtId="0" fontId="32" fillId="0" borderId="109"/>
    <xf numFmtId="0" fontId="190" fillId="0" borderId="0" applyBorder="0" applyProtection="0">
      <alignment vertical="center"/>
    </xf>
    <xf numFmtId="0" fontId="146" fillId="0" borderId="53" applyBorder="0" applyProtection="0">
      <alignment horizontal="right" vertical="center"/>
    </xf>
    <xf numFmtId="0" fontId="191" fillId="92" borderId="0" applyBorder="0" applyProtection="0">
      <alignment horizontal="centerContinuous" vertical="center"/>
    </xf>
    <xf numFmtId="0" fontId="191" fillId="93" borderId="53" applyBorder="0" applyProtection="0">
      <alignment horizontal="centerContinuous" vertical="center"/>
    </xf>
    <xf numFmtId="0" fontId="192" fillId="0" borderId="0" applyFill="0" applyBorder="0" applyProtection="0">
      <alignment horizontal="left"/>
    </xf>
    <xf numFmtId="0" fontId="166" fillId="0" borderId="20" applyFill="0" applyBorder="0" applyProtection="0">
      <alignment horizontal="left" vertical="top"/>
    </xf>
    <xf numFmtId="0" fontId="193" fillId="0" borderId="0"/>
    <xf numFmtId="0" fontId="46" fillId="0" borderId="0"/>
    <xf numFmtId="0" fontId="194" fillId="0" borderId="0" applyNumberFormat="0" applyFill="0" applyBorder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195" fillId="0" borderId="0"/>
    <xf numFmtId="184" fontId="101" fillId="0" borderId="0" applyNumberFormat="0" applyFill="0" applyBorder="0" applyAlignment="0" applyProtection="0"/>
    <xf numFmtId="220" fontId="103" fillId="0" borderId="25" applyNumberFormat="0" applyFill="0" applyAlignment="0" applyProtection="0"/>
    <xf numFmtId="221" fontId="103" fillId="0" borderId="25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5" applyNumberFormat="0" applyFill="0" applyAlignment="0" applyProtection="0"/>
    <xf numFmtId="221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4" fillId="0" borderId="26" applyNumberFormat="0" applyFill="0" applyAlignment="0" applyProtection="0"/>
    <xf numFmtId="221" fontId="104" fillId="0" borderId="26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6" applyNumberFormat="0" applyFill="0" applyAlignment="0" applyProtection="0"/>
    <xf numFmtId="221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192" fontId="164" fillId="0" borderId="0">
      <protection locked="0"/>
    </xf>
    <xf numFmtId="192" fontId="164" fillId="0" borderId="0">
      <protection locked="0"/>
    </xf>
    <xf numFmtId="0" fontId="32" fillId="91" borderId="0"/>
    <xf numFmtId="0" fontId="183" fillId="26" borderId="10"/>
    <xf numFmtId="178" fontId="196" fillId="0" borderId="0">
      <alignment horizontal="left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3" fontId="33" fillId="0" borderId="63" applyFont="0" applyFill="0" applyBorder="0" applyProtection="0">
      <alignment horizontal="center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0" borderId="0"/>
    <xf numFmtId="37" fontId="44" fillId="0" borderId="0"/>
    <xf numFmtId="37" fontId="44" fillId="0" borderId="0"/>
    <xf numFmtId="37" fontId="44" fillId="29" borderId="0" applyNumberFormat="0" applyBorder="0" applyAlignment="0" applyProtection="0"/>
    <xf numFmtId="0" fontId="197" fillId="0" borderId="0">
      <alignment vertical="top"/>
    </xf>
    <xf numFmtId="37" fontId="198" fillId="0" borderId="0">
      <protection locked="0"/>
    </xf>
    <xf numFmtId="193" fontId="63" fillId="0" borderId="0">
      <protection locked="0"/>
    </xf>
    <xf numFmtId="193" fontId="63" fillId="0" borderId="0">
      <protection locked="0"/>
    </xf>
    <xf numFmtId="194" fontId="63" fillId="0" borderId="0">
      <protection locked="0"/>
    </xf>
    <xf numFmtId="194" fontId="63" fillId="0" borderId="0">
      <protection locked="0"/>
    </xf>
    <xf numFmtId="189" fontId="146" fillId="0" borderId="0" applyFont="0" applyFill="0" applyBorder="0" applyAlignment="0" applyProtection="0"/>
    <xf numFmtId="189" fontId="146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50" fillId="0" borderId="0" applyFont="0" applyFill="0" applyBorder="0" applyAlignment="0" applyProtection="0"/>
    <xf numFmtId="3" fontId="32" fillId="0" borderId="0" applyFont="0" applyFill="0" applyBorder="0" applyAlignment="0" applyProtection="0"/>
    <xf numFmtId="2" fontId="71" fillId="0" borderId="0" applyFont="0" applyFill="0" applyBorder="0" applyAlignment="0" applyProtection="0"/>
    <xf numFmtId="235" fontId="118" fillId="0" borderId="0" applyFill="0"/>
    <xf numFmtId="0" fontId="199" fillId="0" borderId="0" applyNumberForma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1" fillId="0" borderId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202" fillId="0" borderId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2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04" fillId="0" borderId="0"/>
    <xf numFmtId="0" fontId="19" fillId="0" borderId="0"/>
    <xf numFmtId="0" fontId="113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7" fillId="0" borderId="0"/>
    <xf numFmtId="0" fontId="30" fillId="0" borderId="0"/>
    <xf numFmtId="0" fontId="16" fillId="0" borderId="0"/>
    <xf numFmtId="210" fontId="126" fillId="0" borderId="110" applyFont="0" applyFill="0" applyBorder="0" applyAlignment="0"/>
    <xf numFmtId="210" fontId="126" fillId="0" borderId="110" applyFont="0" applyFill="0" applyBorder="0" applyAlignment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40" fontId="65" fillId="23" borderId="110">
      <alignment vertical="center"/>
    </xf>
    <xf numFmtId="40" fontId="65" fillId="23" borderId="110">
      <alignment vertical="center"/>
    </xf>
    <xf numFmtId="43" fontId="32" fillId="0" borderId="0" applyFont="0" applyFill="0" applyBorder="0" applyAlignment="0" applyProtection="0">
      <alignment wrapText="1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29" borderId="0" applyNumberFormat="0" applyFont="0" applyBorder="0" applyAlignment="0" applyProtection="0"/>
    <xf numFmtId="0" fontId="81" fillId="0" borderId="112">
      <alignment horizontal="left" vertical="center"/>
    </xf>
    <xf numFmtId="0" fontId="81" fillId="0" borderId="112">
      <alignment horizontal="left" vertical="center"/>
    </xf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43" fontId="3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4" fontId="37" fillId="0" borderId="110" applyNumberFormat="0" applyProtection="0">
      <alignment horizontal="right" vertical="center"/>
    </xf>
    <xf numFmtId="4" fontId="37" fillId="0" borderId="110" applyNumberFormat="0" applyProtection="0">
      <alignment horizontal="right" vertical="center"/>
    </xf>
    <xf numFmtId="0" fontId="51" fillId="0" borderId="110" applyNumberFormat="0" applyProtection="0">
      <alignment horizontal="left" vertical="top" indent="1"/>
    </xf>
    <xf numFmtId="0" fontId="51" fillId="0" borderId="110" applyNumberFormat="0" applyProtection="0">
      <alignment horizontal="left" vertical="top" indent="1"/>
    </xf>
    <xf numFmtId="43" fontId="3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22" fillId="0" borderId="111" applyProtection="0">
      <alignment horizontal="centerContinuous"/>
    </xf>
    <xf numFmtId="0" fontId="122" fillId="0" borderId="111" applyProtection="0">
      <alignment horizontal="centerContinuous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0" fillId="0" borderId="0"/>
    <xf numFmtId="0" fontId="32" fillId="0" borderId="112" applyFont="0" applyFill="0" applyBorder="0" applyAlignment="0" applyProtection="0"/>
    <xf numFmtId="0" fontId="32" fillId="0" borderId="112" applyFont="0" applyFill="0" applyBorder="0" applyAlignment="0" applyProtection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30" fillId="0" borderId="0" applyFont="0" applyFill="0" applyBorder="0" applyAlignment="0" applyProtection="0"/>
    <xf numFmtId="0" fontId="13" fillId="0" borderId="0"/>
    <xf numFmtId="0" fontId="12" fillId="0" borderId="0"/>
    <xf numFmtId="0" fontId="266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70" fillId="112" borderId="158" applyNumberFormat="0" applyAlignment="0" applyProtection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2" fillId="0" borderId="0"/>
    <xf numFmtId="0" fontId="32" fillId="0" borderId="0"/>
    <xf numFmtId="168" fontId="3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867">
    <xf numFmtId="0" fontId="0" fillId="0" borderId="0" xfId="0"/>
    <xf numFmtId="0" fontId="32" fillId="0" borderId="0" xfId="831"/>
    <xf numFmtId="0" fontId="32" fillId="33" borderId="0" xfId="831" applyFill="1"/>
    <xf numFmtId="0" fontId="31" fillId="33" borderId="0" xfId="801" applyFill="1" applyBorder="1" applyAlignment="1" applyProtection="1">
      <alignment horizontal="right"/>
    </xf>
    <xf numFmtId="14" fontId="32" fillId="0" borderId="0" xfId="831" applyNumberFormat="1"/>
    <xf numFmtId="0" fontId="35" fillId="33" borderId="0" xfId="831" applyFont="1" applyFill="1" applyAlignment="1">
      <alignment horizontal="left"/>
    </xf>
    <xf numFmtId="0" fontId="39" fillId="39" borderId="29" xfId="831" applyFont="1" applyFill="1" applyBorder="1" applyAlignment="1">
      <alignment horizontal="center" vertical="center"/>
    </xf>
    <xf numFmtId="14" fontId="109" fillId="0" borderId="0" xfId="831" applyNumberFormat="1" applyFont="1"/>
    <xf numFmtId="14" fontId="0" fillId="0" borderId="0" xfId="0" applyNumberFormat="1"/>
    <xf numFmtId="0" fontId="30" fillId="0" borderId="0" xfId="0" applyFont="1"/>
    <xf numFmtId="168" fontId="32" fillId="0" borderId="0" xfId="863" applyFont="1"/>
    <xf numFmtId="10" fontId="32" fillId="0" borderId="0" xfId="847" applyNumberFormat="1" applyFont="1"/>
    <xf numFmtId="0" fontId="0" fillId="41" borderId="0" xfId="0" applyFill="1"/>
    <xf numFmtId="0" fontId="43" fillId="0" borderId="0" xfId="0" applyFont="1" applyAlignment="1">
      <alignment vertical="center"/>
    </xf>
    <xf numFmtId="0" fontId="125" fillId="0" borderId="0" xfId="0" applyFont="1"/>
    <xf numFmtId="0" fontId="116" fillId="41" borderId="0" xfId="0" applyFont="1" applyFill="1"/>
    <xf numFmtId="0" fontId="30" fillId="0" borderId="0" xfId="1891" applyAlignment="1">
      <alignment vertical="top"/>
    </xf>
    <xf numFmtId="14" fontId="30" fillId="0" borderId="0" xfId="0" applyNumberFormat="1" applyFont="1"/>
    <xf numFmtId="0" fontId="30" fillId="0" borderId="0" xfId="2697"/>
    <xf numFmtId="10" fontId="43" fillId="41" borderId="0" xfId="847" applyNumberFormat="1" applyFont="1" applyFill="1" applyBorder="1"/>
    <xf numFmtId="10" fontId="43" fillId="0" borderId="0" xfId="847" applyNumberFormat="1" applyFont="1"/>
    <xf numFmtId="10" fontId="144" fillId="41" borderId="0" xfId="847" applyNumberFormat="1" applyFont="1" applyFill="1" applyBorder="1" applyAlignment="1">
      <alignment horizontal="center" vertical="center"/>
    </xf>
    <xf numFmtId="3" fontId="43" fillId="41" borderId="0" xfId="907" applyNumberFormat="1" applyFont="1" applyFill="1" applyAlignment="1">
      <alignment horizontal="center"/>
    </xf>
    <xf numFmtId="0" fontId="43" fillId="41" borderId="0" xfId="907" applyFont="1" applyFill="1"/>
    <xf numFmtId="4" fontId="43" fillId="41" borderId="0" xfId="907" applyNumberFormat="1" applyFont="1" applyFill="1"/>
    <xf numFmtId="10" fontId="43" fillId="41" borderId="0" xfId="907" applyNumberFormat="1" applyFont="1" applyFill="1"/>
    <xf numFmtId="167" fontId="43" fillId="41" borderId="0" xfId="907" applyNumberFormat="1" applyFont="1" applyFill="1"/>
    <xf numFmtId="167" fontId="137" fillId="41" borderId="0" xfId="1033" applyFont="1" applyFill="1" applyBorder="1"/>
    <xf numFmtId="167" fontId="43" fillId="41" borderId="0" xfId="815" applyFont="1" applyFill="1" applyBorder="1"/>
    <xf numFmtId="0" fontId="143" fillId="41" borderId="0" xfId="907" applyFont="1" applyFill="1"/>
    <xf numFmtId="0" fontId="110" fillId="41" borderId="0" xfId="907" applyFont="1" applyFill="1"/>
    <xf numFmtId="167" fontId="43" fillId="41" borderId="0" xfId="815" applyFont="1" applyFill="1" applyBorder="1" applyAlignment="1" applyProtection="1"/>
    <xf numFmtId="167" fontId="38" fillId="41" borderId="0" xfId="907" applyNumberFormat="1" applyFont="1" applyFill="1" applyProtection="1">
      <protection hidden="1"/>
    </xf>
    <xf numFmtId="167" fontId="38" fillId="41" borderId="0" xfId="907" applyNumberFormat="1" applyFont="1" applyFill="1" applyAlignment="1" applyProtection="1">
      <alignment horizontal="center"/>
      <protection hidden="1"/>
    </xf>
    <xf numFmtId="10" fontId="38" fillId="41" borderId="0" xfId="847" applyNumberFormat="1" applyFont="1" applyFill="1" applyBorder="1" applyAlignment="1" applyProtection="1">
      <alignment horizontal="center"/>
      <protection hidden="1"/>
    </xf>
    <xf numFmtId="0" fontId="43" fillId="41" borderId="0" xfId="43187" quotePrefix="1" applyFont="1" applyFill="1" applyAlignment="1">
      <alignment horizontal="left"/>
    </xf>
    <xf numFmtId="10" fontId="43" fillId="41" borderId="0" xfId="847" applyNumberFormat="1" applyFont="1" applyFill="1" applyBorder="1" applyAlignment="1" applyProtection="1">
      <alignment horizontal="center"/>
    </xf>
    <xf numFmtId="0" fontId="43" fillId="41" borderId="0" xfId="43187" applyFont="1" applyFill="1" applyAlignment="1">
      <alignment horizontal="left"/>
    </xf>
    <xf numFmtId="0" fontId="117" fillId="41" borderId="0" xfId="907" applyFont="1" applyFill="1" applyAlignment="1">
      <alignment horizontal="center"/>
    </xf>
    <xf numFmtId="167" fontId="143" fillId="41" borderId="0" xfId="815" applyFont="1" applyFill="1" applyBorder="1"/>
    <xf numFmtId="0" fontId="203" fillId="41" borderId="0" xfId="907" applyFont="1" applyFill="1"/>
    <xf numFmtId="10" fontId="203" fillId="41" borderId="0" xfId="847" applyNumberFormat="1" applyFont="1" applyFill="1" applyBorder="1" applyAlignment="1" applyProtection="1">
      <alignment horizontal="center"/>
      <protection hidden="1"/>
    </xf>
    <xf numFmtId="167" fontId="43" fillId="41" borderId="0" xfId="815" applyFont="1" applyFill="1" applyBorder="1" applyAlignment="1">
      <alignment horizontal="left"/>
    </xf>
    <xf numFmtId="10" fontId="110" fillId="41" borderId="0" xfId="847" applyNumberFormat="1" applyFont="1" applyFill="1" applyBorder="1" applyAlignment="1">
      <alignment horizontal="center"/>
    </xf>
    <xf numFmtId="0" fontId="43" fillId="41" borderId="0" xfId="43187" applyFont="1" applyFill="1"/>
    <xf numFmtId="10" fontId="43" fillId="41" borderId="0" xfId="847" applyNumberFormat="1" applyFont="1" applyFill="1" applyBorder="1" applyAlignment="1">
      <alignment horizontal="right"/>
    </xf>
    <xf numFmtId="167" fontId="43" fillId="41" borderId="0" xfId="815" applyFont="1" applyFill="1" applyBorder="1" applyAlignment="1">
      <alignment horizontal="left" indent="1"/>
    </xf>
    <xf numFmtId="0" fontId="43" fillId="33" borderId="0" xfId="776" applyFont="1" applyFill="1" applyAlignment="1">
      <alignment wrapText="1"/>
    </xf>
    <xf numFmtId="10" fontId="43" fillId="33" borderId="0" xfId="847" applyNumberFormat="1" applyFont="1" applyFill="1" applyBorder="1" applyAlignment="1">
      <alignment horizontal="center" wrapText="1"/>
    </xf>
    <xf numFmtId="0" fontId="43" fillId="0" borderId="0" xfId="907" applyFont="1"/>
    <xf numFmtId="0" fontId="110" fillId="0" borderId="0" xfId="907" applyFont="1" applyAlignment="1">
      <alignment horizontal="center"/>
    </xf>
    <xf numFmtId="9" fontId="38" fillId="0" borderId="0" xfId="1823" applyFont="1" applyFill="1" applyBorder="1" applyAlignment="1">
      <alignment horizontal="center" vertical="center" wrapText="1"/>
    </xf>
    <xf numFmtId="9" fontId="43" fillId="41" borderId="0" xfId="1823" applyFont="1" applyFill="1" applyBorder="1" applyAlignment="1">
      <alignment horizontal="left" vertical="center" wrapText="1"/>
    </xf>
    <xf numFmtId="37" fontId="43" fillId="41" borderId="0" xfId="905" applyNumberFormat="1" applyFont="1" applyFill="1" applyAlignment="1">
      <alignment horizontal="left"/>
    </xf>
    <xf numFmtId="167" fontId="110" fillId="41" borderId="0" xfId="815" applyFont="1" applyFill="1" applyBorder="1"/>
    <xf numFmtId="217" fontId="43" fillId="33" borderId="0" xfId="1095" applyNumberFormat="1" applyFont="1" applyFill="1" applyBorder="1" applyAlignment="1">
      <alignment horizontal="center"/>
    </xf>
    <xf numFmtId="167" fontId="43" fillId="33" borderId="0" xfId="815" applyFont="1" applyFill="1" applyBorder="1"/>
    <xf numFmtId="217" fontId="43" fillId="33" borderId="0" xfId="1718" applyNumberFormat="1" applyFont="1" applyFill="1" applyBorder="1" applyAlignment="1">
      <alignment horizontal="center"/>
    </xf>
    <xf numFmtId="10" fontId="43" fillId="33" borderId="0" xfId="1718" applyNumberFormat="1" applyFont="1" applyFill="1" applyBorder="1" applyAlignment="1">
      <alignment horizontal="center"/>
    </xf>
    <xf numFmtId="0" fontId="43" fillId="0" borderId="0" xfId="2544" applyFont="1"/>
    <xf numFmtId="167" fontId="38" fillId="38" borderId="0" xfId="815" applyFont="1" applyFill="1" applyBorder="1" applyAlignment="1">
      <alignment horizontal="center" vertical="center" wrapText="1"/>
    </xf>
    <xf numFmtId="0" fontId="43" fillId="0" borderId="0" xfId="776" applyFont="1" applyAlignment="1">
      <alignment wrapText="1"/>
    </xf>
    <xf numFmtId="217" fontId="43" fillId="0" borderId="0" xfId="1718" applyNumberFormat="1" applyFont="1" applyFill="1" applyBorder="1" applyAlignment="1">
      <alignment horizontal="center"/>
    </xf>
    <xf numFmtId="0" fontId="31" fillId="0" borderId="0" xfId="801" applyAlignment="1" applyProtection="1"/>
    <xf numFmtId="0" fontId="31" fillId="0" borderId="0" xfId="801" quotePrefix="1" applyAlignment="1" applyProtection="1"/>
    <xf numFmtId="0" fontId="43" fillId="0" borderId="0" xfId="2697" applyFont="1" applyAlignment="1">
      <alignment vertical="center"/>
    </xf>
    <xf numFmtId="172" fontId="32" fillId="0" borderId="0" xfId="863" applyNumberFormat="1" applyFont="1"/>
    <xf numFmtId="255" fontId="32" fillId="0" borderId="0" xfId="863" applyNumberFormat="1" applyFont="1"/>
    <xf numFmtId="0" fontId="205" fillId="0" borderId="0" xfId="0" applyFont="1"/>
    <xf numFmtId="168" fontId="205" fillId="0" borderId="0" xfId="863" applyFont="1"/>
    <xf numFmtId="0" fontId="205" fillId="33" borderId="0" xfId="829" applyFont="1" applyFill="1"/>
    <xf numFmtId="0" fontId="208" fillId="0" borderId="0" xfId="0" applyFont="1"/>
    <xf numFmtId="0" fontId="205" fillId="41" borderId="0" xfId="0" applyFont="1" applyFill="1"/>
    <xf numFmtId="0" fontId="209" fillId="0" borderId="0" xfId="0" applyFont="1" applyAlignment="1">
      <alignment horizontal="center"/>
    </xf>
    <xf numFmtId="0" fontId="209" fillId="0" borderId="0" xfId="0" applyFont="1"/>
    <xf numFmtId="0" fontId="211" fillId="0" borderId="0" xfId="0" applyFont="1" applyAlignment="1">
      <alignment horizontal="right" vertical="center"/>
    </xf>
    <xf numFmtId="0" fontId="205" fillId="60" borderId="0" xfId="0" applyFont="1" applyFill="1" applyAlignment="1" applyProtection="1">
      <alignment horizontal="left" wrapText="1"/>
      <protection hidden="1"/>
    </xf>
    <xf numFmtId="167" fontId="205" fillId="0" borderId="0" xfId="815" applyFont="1" applyBorder="1"/>
    <xf numFmtId="0" fontId="205" fillId="0" borderId="0" xfId="0" applyFont="1" applyAlignment="1">
      <alignment horizontal="left" indent="1"/>
    </xf>
    <xf numFmtId="10" fontId="205" fillId="0" borderId="0" xfId="847" applyNumberFormat="1" applyFont="1"/>
    <xf numFmtId="167" fontId="205" fillId="0" borderId="0" xfId="815" applyFont="1" applyFill="1" applyBorder="1"/>
    <xf numFmtId="0" fontId="205" fillId="0" borderId="0" xfId="907" applyFont="1" applyAlignment="1">
      <alignment horizontal="left" indent="1"/>
    </xf>
    <xf numFmtId="37" fontId="205" fillId="0" borderId="0" xfId="0" applyNumberFormat="1" applyFont="1"/>
    <xf numFmtId="37" fontId="205" fillId="0" borderId="0" xfId="0" applyNumberFormat="1" applyFont="1" applyAlignment="1">
      <alignment horizontal="left"/>
    </xf>
    <xf numFmtId="0" fontId="206" fillId="33" borderId="0" xfId="829" applyFont="1" applyFill="1" applyAlignment="1">
      <alignment vertical="top"/>
    </xf>
    <xf numFmtId="10" fontId="211" fillId="0" borderId="0" xfId="0" applyNumberFormat="1" applyFont="1" applyAlignment="1">
      <alignment horizontal="right" vertical="top"/>
    </xf>
    <xf numFmtId="174" fontId="211" fillId="0" borderId="0" xfId="0" applyNumberFormat="1" applyFont="1" applyAlignment="1">
      <alignment horizontal="right"/>
    </xf>
    <xf numFmtId="10" fontId="211" fillId="0" borderId="0" xfId="0" applyNumberFormat="1" applyFont="1" applyAlignment="1">
      <alignment horizontal="right"/>
    </xf>
    <xf numFmtId="168" fontId="205" fillId="45" borderId="0" xfId="863" applyFont="1" applyFill="1" applyBorder="1"/>
    <xf numFmtId="168" fontId="205" fillId="41" borderId="0" xfId="863" applyFont="1" applyFill="1" applyBorder="1"/>
    <xf numFmtId="168" fontId="205" fillId="41" borderId="0" xfId="863" applyFont="1" applyFill="1" applyBorder="1" applyAlignment="1">
      <alignment horizontal="center"/>
    </xf>
    <xf numFmtId="0" fontId="209" fillId="41" borderId="0" xfId="0" applyFont="1" applyFill="1"/>
    <xf numFmtId="0" fontId="205" fillId="41" borderId="0" xfId="0" applyFont="1" applyFill="1" applyAlignment="1">
      <alignment horizontal="center"/>
    </xf>
    <xf numFmtId="168" fontId="205" fillId="0" borderId="0" xfId="0" applyNumberFormat="1" applyFont="1"/>
    <xf numFmtId="0" fontId="205" fillId="41" borderId="0" xfId="0" applyFont="1" applyFill="1" applyAlignment="1" applyProtection="1">
      <alignment horizontal="left"/>
      <protection hidden="1"/>
    </xf>
    <xf numFmtId="0" fontId="205" fillId="0" borderId="0" xfId="2697" applyFont="1"/>
    <xf numFmtId="0" fontId="214" fillId="0" borderId="0" xfId="801" applyFont="1" applyAlignment="1" applyProtection="1"/>
    <xf numFmtId="0" fontId="205" fillId="41" borderId="0" xfId="2697" applyFont="1" applyFill="1"/>
    <xf numFmtId="0" fontId="205" fillId="33" borderId="0" xfId="2697" applyFont="1" applyFill="1"/>
    <xf numFmtId="168" fontId="205" fillId="41" borderId="0" xfId="43185" applyNumberFormat="1" applyFont="1" applyFill="1" applyBorder="1" applyAlignment="1" applyProtection="1">
      <alignment horizontal="right"/>
      <protection locked="0"/>
    </xf>
    <xf numFmtId="167" fontId="205" fillId="41" borderId="29" xfId="815" applyFont="1" applyFill="1" applyBorder="1"/>
    <xf numFmtId="0" fontId="205" fillId="0" borderId="0" xfId="907" applyFont="1"/>
    <xf numFmtId="0" fontId="208" fillId="58" borderId="20" xfId="834" applyFont="1" applyFill="1" applyBorder="1" applyAlignment="1" applyProtection="1">
      <alignment horizontal="left" vertical="center"/>
    </xf>
    <xf numFmtId="0" fontId="208" fillId="58" borderId="29" xfId="834" applyFont="1" applyFill="1" applyBorder="1" applyAlignment="1" applyProtection="1">
      <alignment horizontal="left" vertical="center"/>
    </xf>
    <xf numFmtId="165" fontId="205" fillId="0" borderId="0" xfId="43184" applyFont="1" applyBorder="1"/>
    <xf numFmtId="43" fontId="205" fillId="0" borderId="0" xfId="2697" applyNumberFormat="1" applyFont="1"/>
    <xf numFmtId="165" fontId="205" fillId="0" borderId="0" xfId="2697" applyNumberFormat="1" applyFont="1"/>
    <xf numFmtId="165" fontId="209" fillId="0" borderId="0" xfId="2697" applyNumberFormat="1" applyFont="1"/>
    <xf numFmtId="167" fontId="205" fillId="0" borderId="0" xfId="815" applyFont="1"/>
    <xf numFmtId="167" fontId="205" fillId="0" borderId="0" xfId="815" applyFont="1" applyAlignment="1">
      <alignment horizontal="right"/>
    </xf>
    <xf numFmtId="10" fontId="205" fillId="0" borderId="0" xfId="847" applyNumberFormat="1" applyFont="1" applyAlignment="1">
      <alignment horizontal="right"/>
    </xf>
    <xf numFmtId="167" fontId="205" fillId="0" borderId="0" xfId="2697" applyNumberFormat="1" applyFont="1"/>
    <xf numFmtId="0" fontId="208" fillId="0" borderId="0" xfId="907" applyFont="1" applyAlignment="1">
      <alignment horizontal="left"/>
    </xf>
    <xf numFmtId="0" fontId="205" fillId="41" borderId="0" xfId="834" applyFont="1" applyFill="1" applyAlignment="1" applyProtection="1">
      <alignment horizontal="left" vertical="center" indent="2"/>
    </xf>
    <xf numFmtId="165" fontId="205" fillId="41" borderId="0" xfId="43184" applyFont="1" applyFill="1" applyBorder="1" applyAlignment="1" applyProtection="1">
      <alignment horizontal="right"/>
      <protection locked="0"/>
    </xf>
    <xf numFmtId="0" fontId="215" fillId="41" borderId="0" xfId="834" applyFont="1" applyFill="1" applyAlignment="1" applyProtection="1">
      <alignment horizontal="left" vertical="center" indent="1"/>
    </xf>
    <xf numFmtId="167" fontId="205" fillId="41" borderId="0" xfId="815" applyFont="1" applyFill="1" applyBorder="1"/>
    <xf numFmtId="10" fontId="205" fillId="0" borderId="0" xfId="847" applyNumberFormat="1" applyFont="1" applyFill="1" applyBorder="1"/>
    <xf numFmtId="0" fontId="205" fillId="97" borderId="0" xfId="0" applyFont="1" applyFill="1" applyAlignment="1" applyProtection="1">
      <alignment horizontal="left"/>
      <protection hidden="1"/>
    </xf>
    <xf numFmtId="14" fontId="205" fillId="0" borderId="0" xfId="2697" applyNumberFormat="1" applyFont="1" applyAlignment="1">
      <alignment horizontal="left"/>
    </xf>
    <xf numFmtId="165" fontId="205" fillId="45" borderId="0" xfId="863" applyNumberFormat="1" applyFont="1" applyFill="1" applyBorder="1"/>
    <xf numFmtId="0" fontId="206" fillId="33" borderId="0" xfId="829" applyFont="1" applyFill="1" applyAlignment="1">
      <alignment horizontal="right" vertical="top"/>
    </xf>
    <xf numFmtId="10" fontId="211" fillId="0" borderId="0" xfId="0" applyNumberFormat="1" applyFont="1" applyAlignment="1">
      <alignment horizontal="left" vertical="top"/>
    </xf>
    <xf numFmtId="43" fontId="205" fillId="41" borderId="0" xfId="863" applyNumberFormat="1" applyFont="1" applyFill="1" applyBorder="1" applyAlignment="1">
      <alignment horizontal="right"/>
    </xf>
    <xf numFmtId="0" fontId="205" fillId="0" borderId="0" xfId="0" applyFont="1" applyAlignment="1">
      <alignment horizontal="right"/>
    </xf>
    <xf numFmtId="0" fontId="219" fillId="0" borderId="0" xfId="0" applyFont="1"/>
    <xf numFmtId="9" fontId="207" fillId="0" borderId="0" xfId="847" applyFont="1" applyFill="1" applyBorder="1" applyAlignment="1">
      <alignment horizontal="right"/>
    </xf>
    <xf numFmtId="0" fontId="219" fillId="41" borderId="0" xfId="0" applyFont="1" applyFill="1"/>
    <xf numFmtId="43" fontId="205" fillId="41" borderId="0" xfId="0" applyNumberFormat="1" applyFont="1" applyFill="1" applyAlignment="1">
      <alignment horizontal="center"/>
    </xf>
    <xf numFmtId="10" fontId="205" fillId="41" borderId="0" xfId="847" applyNumberFormat="1" applyFont="1" applyFill="1" applyAlignment="1">
      <alignment horizontal="center"/>
    </xf>
    <xf numFmtId="0" fontId="208" fillId="0" borderId="0" xfId="907" applyFont="1"/>
    <xf numFmtId="170" fontId="205" fillId="0" borderId="0" xfId="863" applyNumberFormat="1" applyFont="1" applyBorder="1"/>
    <xf numFmtId="43" fontId="205" fillId="57" borderId="0" xfId="863" applyNumberFormat="1" applyFont="1" applyFill="1" applyBorder="1"/>
    <xf numFmtId="167" fontId="205" fillId="0" borderId="29" xfId="815" applyFont="1" applyBorder="1"/>
    <xf numFmtId="2" fontId="208" fillId="0" borderId="0" xfId="0" applyNumberFormat="1" applyFont="1"/>
    <xf numFmtId="9" fontId="205" fillId="41" borderId="0" xfId="847" applyFont="1" applyFill="1"/>
    <xf numFmtId="256" fontId="208" fillId="0" borderId="0" xfId="907" applyNumberFormat="1" applyFont="1"/>
    <xf numFmtId="168" fontId="219" fillId="0" borderId="0" xfId="0" applyNumberFormat="1" applyFont="1"/>
    <xf numFmtId="0" fontId="208" fillId="33" borderId="0" xfId="829" applyFont="1" applyFill="1" applyAlignment="1">
      <alignment horizontal="left" vertical="top"/>
    </xf>
    <xf numFmtId="0" fontId="208" fillId="0" borderId="0" xfId="0" applyFont="1" applyAlignment="1">
      <alignment horizontal="left" indent="1"/>
    </xf>
    <xf numFmtId="0" fontId="211" fillId="41" borderId="0" xfId="0" applyFont="1" applyFill="1" applyAlignment="1">
      <alignment horizontal="right" vertical="center"/>
    </xf>
    <xf numFmtId="168" fontId="205" fillId="0" borderId="0" xfId="863" applyFont="1" applyBorder="1"/>
    <xf numFmtId="43" fontId="205" fillId="0" borderId="0" xfId="0" applyNumberFormat="1" applyFont="1"/>
    <xf numFmtId="165" fontId="205" fillId="0" borderId="0" xfId="0" applyNumberFormat="1" applyFont="1"/>
    <xf numFmtId="167" fontId="205" fillId="0" borderId="0" xfId="0" applyNumberFormat="1" applyFont="1"/>
    <xf numFmtId="0" fontId="205" fillId="0" borderId="0" xfId="907" applyFont="1" applyAlignment="1">
      <alignment horizontal="left" indent="2"/>
    </xf>
    <xf numFmtId="219" fontId="218" fillId="41" borderId="0" xfId="863" applyNumberFormat="1" applyFont="1" applyFill="1" applyBorder="1"/>
    <xf numFmtId="0" fontId="210" fillId="43" borderId="0" xfId="0" applyFont="1" applyFill="1"/>
    <xf numFmtId="10" fontId="211" fillId="0" borderId="0" xfId="0" applyNumberFormat="1" applyFont="1" applyAlignment="1">
      <alignment horizontal="center" vertical="top"/>
    </xf>
    <xf numFmtId="168" fontId="205" fillId="45" borderId="0" xfId="863" applyFont="1" applyFill="1" applyBorder="1" applyAlignment="1"/>
    <xf numFmtId="10" fontId="205" fillId="41" borderId="0" xfId="847" applyNumberFormat="1" applyFont="1" applyFill="1" applyBorder="1" applyAlignment="1">
      <alignment horizontal="center"/>
    </xf>
    <xf numFmtId="0" fontId="205" fillId="33" borderId="0" xfId="831" applyFont="1" applyFill="1" applyAlignment="1">
      <alignment vertical="center"/>
    </xf>
    <xf numFmtId="10" fontId="211" fillId="0" borderId="0" xfId="2697" applyNumberFormat="1" applyFont="1" applyAlignment="1">
      <alignment horizontal="right" vertical="top"/>
    </xf>
    <xf numFmtId="0" fontId="206" fillId="33" borderId="0" xfId="831" applyFont="1" applyFill="1" applyAlignment="1">
      <alignment horizontal="left" vertical="center"/>
    </xf>
    <xf numFmtId="170" fontId="205" fillId="33" borderId="0" xfId="863" applyNumberFormat="1" applyFont="1" applyFill="1" applyAlignment="1">
      <alignment vertical="center"/>
    </xf>
    <xf numFmtId="170" fontId="205" fillId="33" borderId="0" xfId="863" applyNumberFormat="1" applyFont="1" applyFill="1" applyBorder="1" applyAlignment="1">
      <alignment vertical="center"/>
    </xf>
    <xf numFmtId="0" fontId="223" fillId="33" borderId="0" xfId="831" applyFont="1" applyFill="1" applyAlignment="1">
      <alignment horizontal="left" vertical="center"/>
    </xf>
    <xf numFmtId="0" fontId="205" fillId="33" borderId="0" xfId="831" applyFont="1" applyFill="1" applyAlignment="1">
      <alignment vertical="center" wrapText="1"/>
    </xf>
    <xf numFmtId="0" fontId="205" fillId="0" borderId="0" xfId="831" applyFont="1" applyAlignment="1">
      <alignment vertical="center"/>
    </xf>
    <xf numFmtId="176" fontId="205" fillId="0" borderId="0" xfId="863" applyNumberFormat="1" applyFont="1" applyFill="1" applyBorder="1" applyAlignment="1">
      <alignment vertical="center"/>
    </xf>
    <xf numFmtId="168" fontId="208" fillId="33" borderId="0" xfId="831" applyNumberFormat="1" applyFont="1" applyFill="1" applyAlignment="1">
      <alignment vertical="center"/>
    </xf>
    <xf numFmtId="170" fontId="208" fillId="33" borderId="0" xfId="863" applyNumberFormat="1" applyFont="1" applyFill="1" applyBorder="1" applyAlignment="1">
      <alignment vertical="center"/>
    </xf>
    <xf numFmtId="168" fontId="208" fillId="33" borderId="0" xfId="863" applyFont="1" applyFill="1" applyBorder="1" applyAlignment="1">
      <alignment vertical="center"/>
    </xf>
    <xf numFmtId="176" fontId="205" fillId="33" borderId="0" xfId="831" applyNumberFormat="1" applyFont="1" applyFill="1" applyAlignment="1">
      <alignment vertical="center"/>
    </xf>
    <xf numFmtId="0" fontId="223" fillId="0" borderId="0" xfId="831" applyFont="1" applyAlignment="1">
      <alignment horizontal="left" vertical="center"/>
    </xf>
    <xf numFmtId="0" fontId="208" fillId="0" borderId="0" xfId="831" applyFont="1" applyAlignment="1">
      <alignment horizontal="center" vertical="center"/>
    </xf>
    <xf numFmtId="4" fontId="208" fillId="0" borderId="0" xfId="831" applyNumberFormat="1" applyFont="1" applyAlignment="1">
      <alignment horizontal="right" vertical="center"/>
    </xf>
    <xf numFmtId="0" fontId="205" fillId="41" borderId="0" xfId="831" applyFont="1" applyFill="1" applyAlignment="1">
      <alignment vertical="center"/>
    </xf>
    <xf numFmtId="170" fontId="205" fillId="41" borderId="0" xfId="863" applyNumberFormat="1" applyFont="1" applyFill="1" applyBorder="1" applyAlignment="1">
      <alignment vertical="center"/>
    </xf>
    <xf numFmtId="0" fontId="205" fillId="61" borderId="0" xfId="831" applyFont="1" applyFill="1" applyAlignment="1">
      <alignment vertical="center"/>
    </xf>
    <xf numFmtId="0" fontId="224" fillId="95" borderId="113" xfId="2697" applyFont="1" applyFill="1" applyBorder="1" applyAlignment="1">
      <alignment vertical="top"/>
    </xf>
    <xf numFmtId="0" fontId="224" fillId="95" borderId="114" xfId="2697" applyFont="1" applyFill="1" applyBorder="1" applyAlignment="1">
      <alignment horizontal="right" vertical="top"/>
    </xf>
    <xf numFmtId="0" fontId="224" fillId="95" borderId="115" xfId="2697" applyFont="1" applyFill="1" applyBorder="1" applyAlignment="1">
      <alignment vertical="top"/>
    </xf>
    <xf numFmtId="0" fontId="224" fillId="95" borderId="116" xfId="2697" applyFont="1" applyFill="1" applyBorder="1" applyAlignment="1">
      <alignment vertical="top"/>
    </xf>
    <xf numFmtId="0" fontId="224" fillId="95" borderId="117" xfId="2697" applyFont="1" applyFill="1" applyBorder="1" applyAlignment="1">
      <alignment horizontal="right" vertical="top"/>
    </xf>
    <xf numFmtId="0" fontId="224" fillId="95" borderId="118" xfId="2697" applyFont="1" applyFill="1" applyBorder="1" applyAlignment="1">
      <alignment vertical="top"/>
    </xf>
    <xf numFmtId="0" fontId="208" fillId="41" borderId="0" xfId="2697" applyFont="1" applyFill="1"/>
    <xf numFmtId="2" fontId="205" fillId="41" borderId="0" xfId="0" applyNumberFormat="1" applyFont="1" applyFill="1"/>
    <xf numFmtId="170" fontId="205" fillId="41" borderId="0" xfId="863" applyNumberFormat="1" applyFont="1" applyFill="1" applyBorder="1"/>
    <xf numFmtId="0" fontId="205" fillId="41" borderId="0" xfId="0" applyFont="1" applyFill="1" applyAlignment="1">
      <alignment vertical="center"/>
    </xf>
    <xf numFmtId="168" fontId="208" fillId="41" borderId="0" xfId="863" applyFont="1" applyFill="1" applyBorder="1"/>
    <xf numFmtId="168" fontId="205" fillId="33" borderId="0" xfId="863" applyFont="1" applyFill="1" applyBorder="1" applyAlignment="1" applyProtection="1">
      <alignment horizontal="center" vertical="center"/>
      <protection locked="0"/>
    </xf>
    <xf numFmtId="0" fontId="205" fillId="0" borderId="0" xfId="831" applyFont="1"/>
    <xf numFmtId="170" fontId="225" fillId="0" borderId="0" xfId="863" applyNumberFormat="1" applyFont="1" applyAlignment="1">
      <alignment horizontal="right"/>
    </xf>
    <xf numFmtId="0" fontId="224" fillId="95" borderId="0" xfId="2697" applyFont="1" applyFill="1" applyAlignment="1">
      <alignment vertical="top"/>
    </xf>
    <xf numFmtId="0" fontId="224" fillId="95" borderId="0" xfId="2697" applyFont="1" applyFill="1" applyAlignment="1">
      <alignment horizontal="right" vertical="top"/>
    </xf>
    <xf numFmtId="0" fontId="224" fillId="95" borderId="119" xfId="2697" applyFont="1" applyFill="1" applyBorder="1" applyAlignment="1">
      <alignment vertical="top"/>
    </xf>
    <xf numFmtId="0" fontId="224" fillId="95" borderId="120" xfId="2697" applyFont="1" applyFill="1" applyBorder="1" applyAlignment="1">
      <alignment horizontal="right" vertical="top"/>
    </xf>
    <xf numFmtId="0" fontId="224" fillId="95" borderId="121" xfId="2697" applyFont="1" applyFill="1" applyBorder="1" applyAlignment="1">
      <alignment vertical="top"/>
    </xf>
    <xf numFmtId="14" fontId="205" fillId="33" borderId="0" xfId="831" applyNumberFormat="1" applyFont="1" applyFill="1" applyAlignment="1">
      <alignment vertical="center"/>
    </xf>
    <xf numFmtId="168" fontId="208" fillId="33" borderId="0" xfId="863" applyFont="1" applyFill="1" applyBorder="1" applyAlignment="1">
      <alignment horizontal="center" vertical="center"/>
    </xf>
    <xf numFmtId="4" fontId="205" fillId="33" borderId="0" xfId="831" applyNumberFormat="1" applyFont="1" applyFill="1" applyAlignment="1">
      <alignment horizontal="center" vertical="center"/>
    </xf>
    <xf numFmtId="4" fontId="205" fillId="46" borderId="0" xfId="831" applyNumberFormat="1" applyFont="1" applyFill="1" applyAlignment="1">
      <alignment horizontal="center" vertical="center"/>
    </xf>
    <xf numFmtId="168" fontId="208" fillId="54" borderId="0" xfId="903" applyFont="1" applyFill="1" applyBorder="1" applyAlignment="1">
      <alignment horizontal="right"/>
    </xf>
    <xf numFmtId="168" fontId="208" fillId="54" borderId="0" xfId="903" applyFont="1" applyFill="1" applyBorder="1" applyAlignment="1">
      <alignment horizontal="left" vertical="top" wrapText="1"/>
    </xf>
    <xf numFmtId="0" fontId="214" fillId="0" borderId="0" xfId="801" applyFont="1" applyFill="1" applyBorder="1" applyAlignment="1" applyProtection="1">
      <alignment horizontal="right" vertical="center"/>
    </xf>
    <xf numFmtId="0" fontId="214" fillId="33" borderId="0" xfId="801" applyFont="1" applyFill="1" applyBorder="1" applyAlignment="1" applyProtection="1">
      <alignment horizontal="right" vertical="center"/>
    </xf>
    <xf numFmtId="0" fontId="205" fillId="33" borderId="0" xfId="0" applyFont="1" applyFill="1" applyAlignment="1">
      <alignment vertical="center"/>
    </xf>
    <xf numFmtId="14" fontId="205" fillId="0" borderId="0" xfId="0" applyNumberFormat="1" applyFont="1"/>
    <xf numFmtId="0" fontId="205" fillId="0" borderId="20" xfId="0" applyFont="1" applyBorder="1"/>
    <xf numFmtId="167" fontId="205" fillId="0" borderId="0" xfId="815" applyFont="1" applyFill="1"/>
    <xf numFmtId="168" fontId="205" fillId="54" borderId="0" xfId="903" applyFont="1" applyFill="1" applyBorder="1" applyAlignment="1">
      <alignment horizontal="left" vertical="top"/>
    </xf>
    <xf numFmtId="215" fontId="205" fillId="54" borderId="0" xfId="903" applyNumberFormat="1" applyFont="1" applyFill="1" applyBorder="1" applyAlignment="1">
      <alignment horizontal="right"/>
    </xf>
    <xf numFmtId="168" fontId="205" fillId="41" borderId="0" xfId="903" applyFont="1" applyFill="1" applyBorder="1" applyAlignment="1">
      <alignment horizontal="left" vertical="top" wrapText="1"/>
    </xf>
    <xf numFmtId="167" fontId="205" fillId="0" borderId="0" xfId="815" applyFont="1" applyFill="1" applyBorder="1" applyAlignment="1">
      <alignment horizontal="right"/>
    </xf>
    <xf numFmtId="167" fontId="205" fillId="41" borderId="0" xfId="815" applyFont="1" applyFill="1" applyBorder="1" applyAlignment="1">
      <alignment horizontal="right"/>
    </xf>
    <xf numFmtId="0" fontId="205" fillId="0" borderId="0" xfId="832" applyFont="1"/>
    <xf numFmtId="0" fontId="206" fillId="33" borderId="0" xfId="0" applyFont="1" applyFill="1" applyAlignment="1">
      <alignment horizontal="left"/>
    </xf>
    <xf numFmtId="167" fontId="205" fillId="0" borderId="0" xfId="815" applyFont="1" applyAlignment="1">
      <alignment vertical="center"/>
    </xf>
    <xf numFmtId="167" fontId="205" fillId="41" borderId="20" xfId="815" applyFont="1" applyFill="1" applyBorder="1"/>
    <xf numFmtId="197" fontId="205" fillId="0" borderId="0" xfId="0" applyNumberFormat="1" applyFont="1"/>
    <xf numFmtId="0" fontId="211" fillId="33" borderId="0" xfId="0" applyFont="1" applyFill="1" applyAlignment="1">
      <alignment horizontal="right"/>
    </xf>
    <xf numFmtId="9" fontId="205" fillId="0" borderId="0" xfId="847" applyFont="1"/>
    <xf numFmtId="0" fontId="205" fillId="33" borderId="0" xfId="0" applyFont="1" applyFill="1"/>
    <xf numFmtId="0" fontId="205" fillId="33" borderId="20" xfId="789" applyFont="1" applyFill="1" applyBorder="1"/>
    <xf numFmtId="0" fontId="205" fillId="33" borderId="29" xfId="789" applyFont="1" applyFill="1" applyBorder="1"/>
    <xf numFmtId="10" fontId="205" fillId="33" borderId="29" xfId="847" applyNumberFormat="1" applyFont="1" applyFill="1" applyBorder="1"/>
    <xf numFmtId="17" fontId="205" fillId="0" borderId="29" xfId="0" applyNumberFormat="1" applyFont="1" applyBorder="1"/>
    <xf numFmtId="0" fontId="211" fillId="0" borderId="0" xfId="0" applyFont="1" applyAlignment="1">
      <alignment horizontal="right"/>
    </xf>
    <xf numFmtId="168" fontId="205" fillId="41" borderId="0" xfId="863" applyFont="1" applyFill="1"/>
    <xf numFmtId="168" fontId="205" fillId="41" borderId="0" xfId="863" applyFont="1" applyFill="1" applyAlignment="1">
      <alignment vertical="center"/>
    </xf>
    <xf numFmtId="167" fontId="205" fillId="41" borderId="0" xfId="815" applyFont="1" applyFill="1"/>
    <xf numFmtId="43" fontId="205" fillId="41" borderId="0" xfId="0" applyNumberFormat="1" applyFont="1" applyFill="1"/>
    <xf numFmtId="10" fontId="205" fillId="0" borderId="20" xfId="847" applyNumberFormat="1" applyFont="1" applyBorder="1" applyAlignment="1">
      <alignment horizontal="right"/>
    </xf>
    <xf numFmtId="10" fontId="205" fillId="0" borderId="20" xfId="847" applyNumberFormat="1" applyFont="1" applyFill="1" applyBorder="1" applyAlignment="1">
      <alignment horizontal="right"/>
    </xf>
    <xf numFmtId="167" fontId="205" fillId="0" borderId="20" xfId="815" applyFont="1" applyBorder="1"/>
    <xf numFmtId="167" fontId="205" fillId="0" borderId="20" xfId="815" applyFont="1" applyFill="1" applyBorder="1"/>
    <xf numFmtId="167" fontId="205" fillId="0" borderId="29" xfId="815" applyFont="1" applyFill="1" applyBorder="1"/>
    <xf numFmtId="0" fontId="208" fillId="0" borderId="0" xfId="2697" applyFont="1"/>
    <xf numFmtId="0" fontId="229" fillId="0" borderId="0" xfId="2697" applyFont="1"/>
    <xf numFmtId="10" fontId="43" fillId="41" borderId="0" xfId="847" applyNumberFormat="1" applyFont="1" applyFill="1" applyBorder="1" applyAlignment="1">
      <alignment horizontal="center"/>
    </xf>
    <xf numFmtId="0" fontId="38" fillId="55" borderId="0" xfId="834" applyFont="1" applyFill="1" applyAlignment="1" applyProtection="1">
      <alignment horizontal="center" vertical="center"/>
    </xf>
    <xf numFmtId="0" fontId="205" fillId="46" borderId="0" xfId="2697" applyFont="1" applyFill="1"/>
    <xf numFmtId="165" fontId="205" fillId="46" borderId="0" xfId="2697" applyNumberFormat="1" applyFont="1" applyFill="1"/>
    <xf numFmtId="168" fontId="0" fillId="0" borderId="0" xfId="863" applyFont="1"/>
    <xf numFmtId="168" fontId="30" fillId="0" borderId="0" xfId="863" applyFont="1"/>
    <xf numFmtId="168" fontId="231" fillId="0" borderId="0" xfId="863" applyFont="1"/>
    <xf numFmtId="0" fontId="232" fillId="0" borderId="122" xfId="0" applyFont="1" applyBorder="1"/>
    <xf numFmtId="168" fontId="232" fillId="0" borderId="122" xfId="863" applyFont="1" applyBorder="1"/>
    <xf numFmtId="14" fontId="232" fillId="0" borderId="122" xfId="0" applyNumberFormat="1" applyFont="1" applyBorder="1"/>
    <xf numFmtId="0" fontId="232" fillId="62" borderId="122" xfId="0" applyFont="1" applyFill="1" applyBorder="1"/>
    <xf numFmtId="168" fontId="232" fillId="62" borderId="122" xfId="863" applyFont="1" applyFill="1" applyBorder="1"/>
    <xf numFmtId="14" fontId="232" fillId="62" borderId="122" xfId="0" applyNumberFormat="1" applyFont="1" applyFill="1" applyBorder="1"/>
    <xf numFmtId="168" fontId="233" fillId="0" borderId="0" xfId="863" applyFont="1"/>
    <xf numFmtId="0" fontId="233" fillId="0" borderId="0" xfId="0" applyFont="1"/>
    <xf numFmtId="0" fontId="233" fillId="41" borderId="0" xfId="0" applyFont="1" applyFill="1"/>
    <xf numFmtId="0" fontId="234" fillId="41" borderId="0" xfId="0" applyFont="1" applyFill="1"/>
    <xf numFmtId="168" fontId="233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5" fillId="0" borderId="0" xfId="847" applyNumberFormat="1" applyFont="1" applyAlignment="1">
      <alignment horizontal="left"/>
    </xf>
    <xf numFmtId="257" fontId="205" fillId="0" borderId="0" xfId="847" applyNumberFormat="1" applyFont="1" applyAlignment="1">
      <alignment horizontal="left"/>
    </xf>
    <xf numFmtId="170" fontId="205" fillId="0" borderId="0" xfId="863" applyNumberFormat="1" applyFont="1" applyAlignment="1">
      <alignment horizontal="left" vertical="top"/>
    </xf>
    <xf numFmtId="167" fontId="208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5" fillId="41" borderId="0" xfId="863" applyNumberFormat="1" applyFont="1" applyFill="1" applyBorder="1" applyAlignment="1">
      <alignment horizontal="right"/>
    </xf>
    <xf numFmtId="262" fontId="205" fillId="0" borderId="0" xfId="847" applyNumberFormat="1" applyFont="1" applyBorder="1"/>
    <xf numFmtId="262" fontId="205" fillId="0" borderId="0" xfId="847" applyNumberFormat="1" applyFont="1" applyFill="1" applyBorder="1" applyAlignment="1">
      <alignment horizontal="right"/>
    </xf>
    <xf numFmtId="262" fontId="205" fillId="0" borderId="0" xfId="847" applyNumberFormat="1" applyFont="1" applyBorder="1" applyAlignment="1">
      <alignment horizontal="right"/>
    </xf>
    <xf numFmtId="0" fontId="30" fillId="0" borderId="0" xfId="0" applyFont="1" applyAlignment="1">
      <alignment horizontal="right" vertical="center"/>
    </xf>
    <xf numFmtId="0" fontId="237" fillId="0" borderId="0" xfId="0" applyFont="1" applyAlignment="1">
      <alignment horizontal="right" vertical="center"/>
    </xf>
    <xf numFmtId="0" fontId="205" fillId="0" borderId="0" xfId="0" applyFont="1" applyAlignment="1">
      <alignment horizontal="left"/>
    </xf>
    <xf numFmtId="0" fontId="229" fillId="0" borderId="0" xfId="832" applyFont="1"/>
    <xf numFmtId="253" fontId="116" fillId="0" borderId="0" xfId="0" applyNumberFormat="1" applyFont="1"/>
    <xf numFmtId="4" fontId="116" fillId="0" borderId="0" xfId="0" applyNumberFormat="1" applyFont="1"/>
    <xf numFmtId="0" fontId="116" fillId="0" borderId="0" xfId="0" applyFont="1"/>
    <xf numFmtId="167" fontId="205" fillId="0" borderId="0" xfId="801" applyNumberFormat="1" applyFont="1" applyBorder="1" applyAlignment="1" applyProtection="1"/>
    <xf numFmtId="167" fontId="205" fillId="0" borderId="0" xfId="815" applyFont="1" applyFill="1" applyBorder="1" applyAlignment="1">
      <alignment horizontal="right" indent="2"/>
    </xf>
    <xf numFmtId="167" fontId="205" fillId="0" borderId="0" xfId="815" applyFont="1" applyFill="1" applyBorder="1" applyAlignment="1">
      <alignment horizontal="right" indent="5"/>
    </xf>
    <xf numFmtId="167" fontId="205" fillId="0" borderId="0" xfId="801" applyNumberFormat="1" applyFont="1" applyFill="1" applyBorder="1" applyAlignment="1" applyProtection="1"/>
    <xf numFmtId="0" fontId="208" fillId="0" borderId="0" xfId="0" applyFont="1" applyAlignment="1">
      <alignment horizontal="center"/>
    </xf>
    <xf numFmtId="171" fontId="205" fillId="0" borderId="0" xfId="0" applyNumberFormat="1" applyFont="1"/>
    <xf numFmtId="0" fontId="212" fillId="0" borderId="0" xfId="0" applyFont="1" applyAlignment="1">
      <alignment horizontal="center" vertical="center" wrapText="1"/>
    </xf>
    <xf numFmtId="167" fontId="208" fillId="0" borderId="0" xfId="0" applyNumberFormat="1" applyFont="1"/>
    <xf numFmtId="0" fontId="30" fillId="0" borderId="0" xfId="907"/>
    <xf numFmtId="171" fontId="30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9" fillId="0" borderId="0" xfId="905" applyNumberFormat="1" applyFont="1" applyAlignment="1">
      <alignment horizontal="center" vertical="center" wrapText="1"/>
    </xf>
    <xf numFmtId="0" fontId="33" fillId="0" borderId="0" xfId="907" applyFont="1"/>
    <xf numFmtId="167" fontId="33" fillId="0" borderId="0" xfId="815" applyFont="1" applyFill="1" applyBorder="1" applyAlignment="1">
      <alignment horizontal="right"/>
    </xf>
    <xf numFmtId="17" fontId="39" fillId="0" borderId="0" xfId="905" applyNumberFormat="1" applyFont="1" applyAlignment="1">
      <alignment horizontal="left" vertical="center" indent="6"/>
    </xf>
    <xf numFmtId="17" fontId="39" fillId="38" borderId="29" xfId="905" applyNumberFormat="1" applyFont="1" applyFill="1" applyBorder="1" applyAlignment="1">
      <alignment horizontal="center" vertical="center" wrapText="1"/>
    </xf>
    <xf numFmtId="0" fontId="36" fillId="0" borderId="0" xfId="907" applyFont="1"/>
    <xf numFmtId="168" fontId="30" fillId="0" borderId="10" xfId="863" applyBorder="1"/>
    <xf numFmtId="0" fontId="224" fillId="0" borderId="0" xfId="2697" applyFont="1" applyAlignment="1">
      <alignment vertical="top"/>
    </xf>
    <xf numFmtId="0" fontId="224" fillId="0" borderId="0" xfId="2697" applyFont="1" applyAlignment="1">
      <alignment horizontal="right" vertical="top"/>
    </xf>
    <xf numFmtId="17" fontId="39" fillId="0" borderId="0" xfId="905" applyNumberFormat="1" applyFont="1" applyAlignment="1">
      <alignment horizontal="left" vertical="center" indent="11"/>
    </xf>
    <xf numFmtId="167" fontId="33" fillId="0" borderId="0" xfId="815" applyFont="1" applyFill="1" applyBorder="1"/>
    <xf numFmtId="171" fontId="33" fillId="0" borderId="0" xfId="907" applyNumberFormat="1" applyFont="1"/>
    <xf numFmtId="0" fontId="146" fillId="41" borderId="0" xfId="907" applyFont="1" applyFill="1"/>
    <xf numFmtId="168" fontId="116" fillId="0" borderId="0" xfId="863" applyFont="1"/>
    <xf numFmtId="168" fontId="205" fillId="0" borderId="0" xfId="863" applyFont="1" applyFill="1" applyBorder="1"/>
    <xf numFmtId="0" fontId="228" fillId="0" borderId="0" xfId="830" applyFont="1"/>
    <xf numFmtId="0" fontId="226" fillId="0" borderId="0" xfId="831" applyFont="1"/>
    <xf numFmtId="0" fontId="205" fillId="0" borderId="0" xfId="0" applyFont="1" applyAlignment="1">
      <alignment horizontal="center"/>
    </xf>
    <xf numFmtId="14" fontId="205" fillId="0" borderId="0" xfId="0" applyNumberFormat="1" applyFont="1" applyAlignment="1">
      <alignment horizontal="center"/>
    </xf>
    <xf numFmtId="0" fontId="225" fillId="0" borderId="0" xfId="0" applyFont="1"/>
    <xf numFmtId="167" fontId="205" fillId="0" borderId="10" xfId="815" applyFont="1" applyFill="1" applyBorder="1"/>
    <xf numFmtId="0" fontId="241" fillId="33" borderId="0" xfId="831" applyFont="1" applyFill="1" applyAlignment="1">
      <alignment horizontal="right" vertical="center"/>
    </xf>
    <xf numFmtId="0" fontId="110" fillId="41" borderId="0" xfId="907" applyFont="1" applyFill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0" fontId="43" fillId="41" borderId="0" xfId="907" applyFont="1" applyFill="1" applyAlignment="1">
      <alignment horizontal="left" indent="1"/>
    </xf>
    <xf numFmtId="0" fontId="242" fillId="41" borderId="106" xfId="831" applyFont="1" applyFill="1" applyBorder="1" applyAlignment="1">
      <alignment horizontal="left"/>
    </xf>
    <xf numFmtId="0" fontId="31" fillId="41" borderId="0" xfId="801" applyFill="1" applyBorder="1" applyAlignment="1" applyProtection="1">
      <alignment horizontal="left"/>
    </xf>
    <xf numFmtId="0" fontId="43" fillId="41" borderId="0" xfId="2697" applyFont="1" applyFill="1"/>
    <xf numFmtId="0" fontId="31" fillId="41" borderId="0" xfId="801" applyFill="1" applyBorder="1" applyAlignment="1" applyProtection="1"/>
    <xf numFmtId="0" fontId="243" fillId="41" borderId="0" xfId="907" applyFont="1" applyFill="1" applyAlignment="1">
      <alignment horizontal="left"/>
    </xf>
    <xf numFmtId="0" fontId="31" fillId="41" borderId="0" xfId="801" applyFill="1" applyBorder="1" applyAlignment="1" applyProtection="1">
      <alignment horizontal="right"/>
    </xf>
    <xf numFmtId="0" fontId="117" fillId="101" borderId="0" xfId="2697" applyFont="1" applyFill="1" applyAlignment="1">
      <alignment horizontal="center" vertical="center" wrapText="1"/>
    </xf>
    <xf numFmtId="0" fontId="43" fillId="41" borderId="0" xfId="2697" applyFont="1" applyFill="1" applyAlignment="1">
      <alignment horizontal="left" vertical="center"/>
    </xf>
    <xf numFmtId="43" fontId="43" fillId="41" borderId="0" xfId="43199" applyFont="1" applyFill="1" applyBorder="1" applyAlignment="1"/>
    <xf numFmtId="43" fontId="43" fillId="41" borderId="0" xfId="43199" applyFont="1" applyFill="1" applyBorder="1"/>
    <xf numFmtId="167" fontId="43" fillId="41" borderId="0" xfId="815" quotePrefix="1" applyFont="1" applyFill="1" applyBorder="1"/>
    <xf numFmtId="10" fontId="43" fillId="41" borderId="0" xfId="847" applyNumberFormat="1" applyFont="1" applyFill="1" applyBorder="1" applyAlignment="1">
      <alignment horizontal="right" vertical="center"/>
    </xf>
    <xf numFmtId="43" fontId="43" fillId="41" borderId="0" xfId="907" applyNumberFormat="1" applyFont="1" applyFill="1"/>
    <xf numFmtId="167" fontId="110" fillId="41" borderId="0" xfId="815" applyFont="1" applyFill="1" applyBorder="1" applyAlignment="1"/>
    <xf numFmtId="43" fontId="110" fillId="41" borderId="0" xfId="907" applyNumberFormat="1" applyFont="1" applyFill="1"/>
    <xf numFmtId="0" fontId="30" fillId="41" borderId="0" xfId="2697" applyFill="1" applyAlignment="1">
      <alignment horizontal="center"/>
    </xf>
    <xf numFmtId="167" fontId="243" fillId="41" borderId="0" xfId="815" applyFont="1" applyFill="1" applyBorder="1" applyAlignment="1"/>
    <xf numFmtId="43" fontId="43" fillId="41" borderId="0" xfId="43200" applyFont="1" applyFill="1" applyBorder="1" applyAlignment="1" applyProtection="1">
      <alignment horizontal="center"/>
    </xf>
    <xf numFmtId="43" fontId="203" fillId="41" borderId="0" xfId="43199" applyFont="1" applyFill="1" applyBorder="1"/>
    <xf numFmtId="43" fontId="110" fillId="41" borderId="0" xfId="43199" applyFont="1" applyFill="1" applyBorder="1"/>
    <xf numFmtId="0" fontId="43" fillId="41" borderId="0" xfId="907" applyFont="1" applyFill="1" applyAlignment="1">
      <alignment horizontal="center"/>
    </xf>
    <xf numFmtId="0" fontId="232" fillId="41" borderId="123" xfId="2697" applyFont="1" applyFill="1" applyBorder="1" applyAlignment="1">
      <alignment horizontal="center"/>
    </xf>
    <xf numFmtId="0" fontId="232" fillId="41" borderId="124" xfId="2697" applyFont="1" applyFill="1" applyBorder="1" applyAlignment="1">
      <alignment horizontal="center"/>
    </xf>
    <xf numFmtId="0" fontId="243" fillId="41" borderId="0" xfId="907" applyFont="1" applyFill="1"/>
    <xf numFmtId="170" fontId="43" fillId="33" borderId="0" xfId="43199" applyNumberFormat="1" applyFont="1" applyFill="1" applyBorder="1" applyAlignment="1">
      <alignment horizontal="center" wrapText="1"/>
    </xf>
    <xf numFmtId="43" fontId="43" fillId="41" borderId="0" xfId="43199" applyFont="1" applyFill="1" applyBorder="1" applyAlignment="1">
      <alignment horizontal="center"/>
    </xf>
    <xf numFmtId="0" fontId="43" fillId="41" borderId="0" xfId="2697" applyFont="1" applyFill="1" applyAlignment="1">
      <alignment horizontal="center" vertical="center"/>
    </xf>
    <xf numFmtId="2" fontId="43" fillId="41" borderId="0" xfId="2697" applyNumberFormat="1" applyFont="1" applyFill="1" applyAlignment="1">
      <alignment horizontal="center"/>
    </xf>
    <xf numFmtId="43" fontId="43" fillId="41" borderId="0" xfId="2697" applyNumberFormat="1" applyFont="1" applyFill="1" applyAlignment="1">
      <alignment horizontal="left"/>
    </xf>
    <xf numFmtId="0" fontId="43" fillId="41" borderId="0" xfId="2697" applyFont="1" applyFill="1" applyAlignment="1">
      <alignment horizontal="center"/>
    </xf>
    <xf numFmtId="0" fontId="43" fillId="41" borderId="0" xfId="2697" applyFont="1" applyFill="1" applyAlignment="1">
      <alignment horizontal="left"/>
    </xf>
    <xf numFmtId="0" fontId="143" fillId="41" borderId="125" xfId="907" applyFont="1" applyFill="1" applyBorder="1" applyAlignment="1">
      <alignment horizontal="center"/>
    </xf>
    <xf numFmtId="3" fontId="43" fillId="41" borderId="0" xfId="43199" applyNumberFormat="1" applyFont="1" applyFill="1" applyBorder="1" applyAlignment="1">
      <alignment horizontal="right"/>
    </xf>
    <xf numFmtId="43" fontId="43" fillId="41" borderId="0" xfId="43199" applyFont="1" applyFill="1" applyBorder="1" applyAlignment="1">
      <alignment horizontal="right"/>
    </xf>
    <xf numFmtId="43" fontId="43" fillId="41" borderId="0" xfId="43199" applyFont="1" applyFill="1" applyBorder="1" applyAlignment="1">
      <alignment horizontal="left"/>
    </xf>
    <xf numFmtId="0" fontId="244" fillId="41" borderId="123" xfId="907" applyFont="1" applyFill="1" applyBorder="1" applyAlignment="1">
      <alignment horizontal="center"/>
    </xf>
    <xf numFmtId="43" fontId="43" fillId="0" borderId="0" xfId="43199" applyFont="1" applyFill="1" applyBorder="1" applyAlignment="1">
      <alignment horizontal="left"/>
    </xf>
    <xf numFmtId="0" fontId="244" fillId="41" borderId="124" xfId="907" applyFont="1" applyFill="1" applyBorder="1" applyAlignment="1">
      <alignment horizontal="center"/>
    </xf>
    <xf numFmtId="43" fontId="110" fillId="0" borderId="0" xfId="43199" applyFont="1" applyFill="1" applyBorder="1" applyAlignment="1">
      <alignment horizontal="left"/>
    </xf>
    <xf numFmtId="43" fontId="43" fillId="0" borderId="0" xfId="2697" applyNumberFormat="1" applyFont="1"/>
    <xf numFmtId="43" fontId="110" fillId="0" borderId="0" xfId="2697" applyNumberFormat="1" applyFont="1" applyAlignment="1">
      <alignment horizontal="left"/>
    </xf>
    <xf numFmtId="43" fontId="110" fillId="41" borderId="0" xfId="43199" quotePrefix="1" applyFont="1" applyFill="1" applyBorder="1" applyAlignment="1">
      <alignment horizontal="left"/>
    </xf>
    <xf numFmtId="10" fontId="43" fillId="41" borderId="0" xfId="43199" applyNumberFormat="1" applyFont="1" applyFill="1" applyBorder="1"/>
    <xf numFmtId="0" fontId="145" fillId="41" borderId="0" xfId="2697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 wrapText="1"/>
    </xf>
    <xf numFmtId="0" fontId="144" fillId="41" borderId="0" xfId="2697" applyFont="1" applyFill="1" applyAlignment="1">
      <alignment vertical="center"/>
    </xf>
    <xf numFmtId="3" fontId="144" fillId="41" borderId="0" xfId="2697" applyNumberFormat="1" applyFont="1" applyFill="1" applyAlignment="1">
      <alignment horizontal="center" vertical="center"/>
    </xf>
    <xf numFmtId="10" fontId="144" fillId="41" borderId="0" xfId="2697" applyNumberFormat="1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/>
    </xf>
    <xf numFmtId="3" fontId="144" fillId="41" borderId="0" xfId="2697" applyNumberFormat="1" applyFont="1" applyFill="1" applyAlignment="1">
      <alignment vertical="center"/>
    </xf>
    <xf numFmtId="10" fontId="144" fillId="41" borderId="0" xfId="2697" applyNumberFormat="1" applyFont="1" applyFill="1" applyAlignment="1">
      <alignment horizontal="right" vertical="center"/>
    </xf>
    <xf numFmtId="0" fontId="146" fillId="41" borderId="0" xfId="2697" applyFont="1" applyFill="1"/>
    <xf numFmtId="9" fontId="38" fillId="38" borderId="0" xfId="1095" applyFont="1" applyFill="1" applyBorder="1" applyAlignment="1">
      <alignment horizontal="center" vertical="center" wrapText="1"/>
    </xf>
    <xf numFmtId="0" fontId="143" fillId="41" borderId="0" xfId="2697" applyFont="1" applyFill="1" applyAlignment="1">
      <alignment horizontal="center" vertical="center"/>
    </xf>
    <xf numFmtId="43" fontId="43" fillId="0" borderId="0" xfId="43199" applyFont="1" applyAlignment="1">
      <alignment vertical="center"/>
    </xf>
    <xf numFmtId="0" fontId="43" fillId="0" borderId="0" xfId="2697" applyFont="1"/>
    <xf numFmtId="0" fontId="110" fillId="0" borderId="0" xfId="2697" applyFont="1"/>
    <xf numFmtId="43" fontId="43" fillId="0" borderId="0" xfId="43201" applyFont="1" applyFill="1" applyBorder="1" applyAlignment="1">
      <alignment horizontal="right" vertical="center"/>
    </xf>
    <xf numFmtId="0" fontId="146" fillId="0" borderId="0" xfId="2697" applyFont="1" applyAlignment="1">
      <alignment vertical="center"/>
    </xf>
    <xf numFmtId="0" fontId="146" fillId="0" borderId="0" xfId="2697" applyFont="1"/>
    <xf numFmtId="43" fontId="146" fillId="41" borderId="0" xfId="43199" applyFont="1" applyFill="1" applyBorder="1"/>
    <xf numFmtId="43" fontId="143" fillId="41" borderId="0" xfId="2697" applyNumberFormat="1" applyFont="1" applyFill="1" applyAlignment="1">
      <alignment horizontal="center" vertical="center"/>
    </xf>
    <xf numFmtId="9" fontId="43" fillId="0" borderId="0" xfId="2697" applyNumberFormat="1" applyFont="1"/>
    <xf numFmtId="10" fontId="43" fillId="0" borderId="0" xfId="2697" applyNumberFormat="1" applyFont="1"/>
    <xf numFmtId="0" fontId="43" fillId="41" borderId="0" xfId="2697" applyFont="1" applyFill="1" applyAlignment="1">
      <alignment vertical="center"/>
    </xf>
    <xf numFmtId="43" fontId="43" fillId="41" borderId="0" xfId="43199" applyFont="1" applyFill="1" applyBorder="1" applyAlignment="1">
      <alignment vertical="center"/>
    </xf>
    <xf numFmtId="217" fontId="43" fillId="33" borderId="0" xfId="2697" applyNumberFormat="1" applyFont="1" applyFill="1" applyAlignment="1">
      <alignment horizontal="center"/>
    </xf>
    <xf numFmtId="0" fontId="124" fillId="41" borderId="0" xfId="43202" applyFont="1" applyFill="1" applyAlignment="1">
      <alignment horizontal="center" wrapText="1"/>
    </xf>
    <xf numFmtId="0" fontId="124" fillId="41" borderId="0" xfId="43202" applyFont="1" applyFill="1" applyAlignment="1">
      <alignment horizontal="center"/>
    </xf>
    <xf numFmtId="0" fontId="137" fillId="41" borderId="0" xfId="43202" applyFont="1" applyFill="1"/>
    <xf numFmtId="43" fontId="137" fillId="41" borderId="0" xfId="43199" applyFont="1" applyFill="1" applyBorder="1"/>
    <xf numFmtId="167" fontId="30" fillId="0" borderId="0" xfId="815" applyFont="1" applyFill="1" applyBorder="1" applyAlignment="1">
      <alignment horizontal="left"/>
    </xf>
    <xf numFmtId="3" fontId="30" fillId="0" borderId="0" xfId="0" applyNumberFormat="1" applyFont="1"/>
    <xf numFmtId="49" fontId="30" fillId="0" borderId="0" xfId="847" applyNumberFormat="1" applyFont="1" applyFill="1" applyBorder="1" applyAlignment="1">
      <alignment horizontal="center"/>
    </xf>
    <xf numFmtId="168" fontId="205" fillId="0" borderId="0" xfId="863" applyFont="1" applyFill="1" applyBorder="1" applyAlignment="1"/>
    <xf numFmtId="168" fontId="205" fillId="0" borderId="0" xfId="863" applyFont="1" applyFill="1" applyBorder="1" applyAlignment="1">
      <alignment horizontal="left"/>
    </xf>
    <xf numFmtId="0" fontId="110" fillId="102" borderId="0" xfId="0" applyFont="1" applyFill="1"/>
    <xf numFmtId="0" fontId="32" fillId="45" borderId="0" xfId="10225" applyFill="1" applyAlignment="1"/>
    <xf numFmtId="0" fontId="43" fillId="0" borderId="0" xfId="0" applyFont="1"/>
    <xf numFmtId="174" fontId="0" fillId="0" borderId="0" xfId="0" applyNumberFormat="1"/>
    <xf numFmtId="0" fontId="110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3" fillId="0" borderId="0" xfId="0" applyFont="1" applyAlignment="1">
      <alignment wrapText="1"/>
    </xf>
    <xf numFmtId="0" fontId="43" fillId="0" borderId="0" xfId="2697" applyFont="1" applyAlignment="1">
      <alignment horizontal="center" vertical="center"/>
    </xf>
    <xf numFmtId="170" fontId="38" fillId="55" borderId="137" xfId="863" applyNumberFormat="1" applyFont="1" applyFill="1" applyBorder="1" applyAlignment="1">
      <alignment horizontal="center" vertical="center"/>
    </xf>
    <xf numFmtId="170" fontId="38" fillId="55" borderId="138" xfId="863" applyNumberFormat="1" applyFont="1" applyFill="1" applyBorder="1" applyAlignment="1">
      <alignment horizontal="center" vertical="center"/>
    </xf>
    <xf numFmtId="170" fontId="38" fillId="55" borderId="139" xfId="863" applyNumberFormat="1" applyFont="1" applyFill="1" applyBorder="1" applyAlignment="1">
      <alignment horizontal="center" vertical="center"/>
    </xf>
    <xf numFmtId="17" fontId="38" fillId="55" borderId="140" xfId="905" applyNumberFormat="1" applyFont="1" applyFill="1" applyBorder="1" applyAlignment="1">
      <alignment horizontal="center" vertical="center"/>
    </xf>
    <xf numFmtId="17" fontId="38" fillId="55" borderId="138" xfId="905" applyNumberFormat="1" applyFont="1" applyFill="1" applyBorder="1" applyAlignment="1">
      <alignment horizontal="center" vertical="center"/>
    </xf>
    <xf numFmtId="17" fontId="38" fillId="55" borderId="141" xfId="905" applyNumberFormat="1" applyFont="1" applyFill="1" applyBorder="1" applyAlignment="1">
      <alignment horizontal="center" vertical="center"/>
    </xf>
    <xf numFmtId="168" fontId="208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vertical="center"/>
    </xf>
    <xf numFmtId="10" fontId="43" fillId="33" borderId="0" xfId="2697" applyNumberFormat="1" applyFont="1" applyFill="1" applyAlignment="1">
      <alignment horizontal="center"/>
    </xf>
    <xf numFmtId="10" fontId="205" fillId="0" borderId="0" xfId="0" applyNumberFormat="1" applyFont="1"/>
    <xf numFmtId="168" fontId="205" fillId="100" borderId="0" xfId="863" applyFont="1" applyFill="1" applyBorder="1"/>
    <xf numFmtId="49" fontId="30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5" fillId="104" borderId="0" xfId="847" applyNumberFormat="1" applyFont="1" applyFill="1" applyBorder="1" applyAlignment="1">
      <alignment horizontal="right"/>
    </xf>
    <xf numFmtId="167" fontId="205" fillId="100" borderId="29" xfId="815" applyFont="1" applyFill="1" applyBorder="1"/>
    <xf numFmtId="170" fontId="43" fillId="0" borderId="0" xfId="43199" applyNumberFormat="1" applyFont="1" applyFill="1" applyBorder="1" applyAlignment="1">
      <alignment horizontal="right"/>
    </xf>
    <xf numFmtId="2" fontId="43" fillId="0" borderId="0" xfId="2697" applyNumberFormat="1" applyFont="1" applyAlignment="1">
      <alignment horizontal="center"/>
    </xf>
    <xf numFmtId="0" fontId="43" fillId="0" borderId="0" xfId="907" applyFont="1" applyAlignment="1">
      <alignment horizontal="center"/>
    </xf>
    <xf numFmtId="4" fontId="0" fillId="0" borderId="0" xfId="0" applyNumberFormat="1"/>
    <xf numFmtId="9" fontId="43" fillId="41" borderId="0" xfId="847" applyFont="1" applyFill="1" applyBorder="1"/>
    <xf numFmtId="43" fontId="43" fillId="0" borderId="0" xfId="43199" applyFont="1" applyFill="1" applyBorder="1" applyAlignment="1">
      <alignment horizontal="left" vertical="center"/>
    </xf>
    <xf numFmtId="43" fontId="43" fillId="41" borderId="0" xfId="43199" applyFont="1" applyFill="1" applyBorder="1" applyAlignment="1">
      <alignment horizontal="center" vertical="center"/>
    </xf>
    <xf numFmtId="0" fontId="117" fillId="41" borderId="142" xfId="907" applyFont="1" applyFill="1" applyBorder="1" applyAlignment="1">
      <alignment horizontal="center"/>
    </xf>
    <xf numFmtId="0" fontId="146" fillId="41" borderId="0" xfId="907" applyFont="1" applyFill="1" applyProtection="1">
      <protection locked="0"/>
    </xf>
    <xf numFmtId="43" fontId="146" fillId="41" borderId="0" xfId="43199" applyFont="1" applyFill="1" applyBorder="1" applyProtection="1">
      <protection locked="0"/>
    </xf>
    <xf numFmtId="0" fontId="43" fillId="0" borderId="0" xfId="2697" applyFont="1" applyProtection="1">
      <protection locked="0"/>
    </xf>
    <xf numFmtId="167" fontId="205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4" fillId="41" borderId="125" xfId="907" applyFont="1" applyFill="1" applyBorder="1" applyAlignment="1">
      <alignment horizontal="center"/>
    </xf>
    <xf numFmtId="0" fontId="30" fillId="61" borderId="0" xfId="0" applyFont="1" applyFill="1"/>
    <xf numFmtId="168" fontId="43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20" fillId="0" borderId="0" xfId="0" applyFont="1"/>
    <xf numFmtId="168" fontId="43" fillId="41" borderId="0" xfId="863" applyFont="1" applyFill="1" applyBorder="1"/>
    <xf numFmtId="0" fontId="247" fillId="0" borderId="0" xfId="0" applyFont="1" applyAlignment="1">
      <alignment horizontal="right" vertical="center"/>
    </xf>
    <xf numFmtId="43" fontId="43" fillId="0" borderId="0" xfId="43185" applyFont="1" applyFill="1" applyBorder="1" applyAlignment="1" applyProtection="1">
      <alignment horizontal="right"/>
      <protection locked="0"/>
    </xf>
    <xf numFmtId="0" fontId="212" fillId="43" borderId="0" xfId="0" applyFont="1" applyFill="1" applyAlignment="1">
      <alignment horizontal="center"/>
    </xf>
    <xf numFmtId="0" fontId="117" fillId="0" borderId="0" xfId="907" applyFont="1"/>
    <xf numFmtId="0" fontId="43" fillId="0" borderId="0" xfId="2697" applyFont="1" applyAlignment="1">
      <alignment horizontal="left" vertical="center"/>
    </xf>
    <xf numFmtId="43" fontId="43" fillId="0" borderId="0" xfId="43199" applyFont="1" applyFill="1" applyBorder="1" applyAlignment="1"/>
    <xf numFmtId="10" fontId="43" fillId="41" borderId="0" xfId="43199" applyNumberFormat="1" applyFont="1" applyFill="1" applyBorder="1" applyAlignment="1"/>
    <xf numFmtId="0" fontId="244" fillId="0" borderId="0" xfId="43405" applyFont="1"/>
    <xf numFmtId="10" fontId="244" fillId="0" borderId="0" xfId="847" applyNumberFormat="1" applyFont="1" applyFill="1" applyBorder="1"/>
    <xf numFmtId="0" fontId="250" fillId="0" borderId="0" xfId="7308" applyFont="1"/>
    <xf numFmtId="0" fontId="251" fillId="0" borderId="0" xfId="7308" applyFont="1" applyAlignment="1">
      <alignment horizontal="center"/>
    </xf>
    <xf numFmtId="2" fontId="250" fillId="0" borderId="0" xfId="7308" applyNumberFormat="1" applyFont="1"/>
    <xf numFmtId="0" fontId="251" fillId="0" borderId="0" xfId="7308" applyFont="1"/>
    <xf numFmtId="0" fontId="252" fillId="0" borderId="0" xfId="7308" applyFont="1" applyAlignment="1">
      <alignment horizontal="center"/>
    </xf>
    <xf numFmtId="0" fontId="253" fillId="0" borderId="0" xfId="7308" applyFont="1"/>
    <xf numFmtId="168" fontId="252" fillId="0" borderId="0" xfId="43165" applyFont="1"/>
    <xf numFmtId="0" fontId="250" fillId="42" borderId="0" xfId="7308" applyFont="1" applyFill="1"/>
    <xf numFmtId="0" fontId="259" fillId="41" borderId="0" xfId="831" applyFont="1" applyFill="1" applyAlignment="1">
      <alignment horizontal="left"/>
    </xf>
    <xf numFmtId="0" fontId="250" fillId="0" borderId="20" xfId="7308" applyFont="1" applyBorder="1"/>
    <xf numFmtId="10" fontId="250" fillId="41" borderId="10" xfId="1095" applyNumberFormat="1" applyFont="1" applyFill="1" applyBorder="1"/>
    <xf numFmtId="0" fontId="260" fillId="55" borderId="0" xfId="834" applyFont="1" applyFill="1" applyAlignment="1" applyProtection="1">
      <alignment horizontal="left" vertical="center"/>
    </xf>
    <xf numFmtId="0" fontId="260" fillId="55" borderId="0" xfId="834" applyFont="1" applyFill="1" applyAlignment="1" applyProtection="1">
      <alignment horizontal="center" vertical="center"/>
    </xf>
    <xf numFmtId="0" fontId="250" fillId="0" borderId="0" xfId="2697" applyFont="1" applyAlignment="1">
      <alignment vertical="center"/>
    </xf>
    <xf numFmtId="191" fontId="250" fillId="0" borderId="0" xfId="1095" applyNumberFormat="1" applyFont="1" applyBorder="1" applyAlignment="1">
      <alignment horizontal="right" vertical="center"/>
    </xf>
    <xf numFmtId="167" fontId="250" fillId="41" borderId="10" xfId="902" applyFont="1" applyFill="1" applyBorder="1"/>
    <xf numFmtId="10" fontId="250" fillId="0" borderId="0" xfId="1095" applyNumberFormat="1" applyFont="1" applyBorder="1" applyAlignment="1">
      <alignment horizontal="right" vertical="center"/>
    </xf>
    <xf numFmtId="43" fontId="250" fillId="0" borderId="0" xfId="7308" applyNumberFormat="1" applyFont="1"/>
    <xf numFmtId="168" fontId="250" fillId="0" borderId="0" xfId="43165" applyFont="1" applyAlignment="1">
      <alignment horizontal="center"/>
    </xf>
    <xf numFmtId="0" fontId="264" fillId="0" borderId="0" xfId="7308" applyFont="1" applyAlignment="1">
      <alignment horizontal="center"/>
    </xf>
    <xf numFmtId="168" fontId="250" fillId="0" borderId="0" xfId="43165" applyFont="1" applyAlignment="1"/>
    <xf numFmtId="168" fontId="250" fillId="0" borderId="0" xfId="43165" applyFont="1" applyAlignment="1">
      <alignment horizontal="left" vertical="center"/>
    </xf>
    <xf numFmtId="168" fontId="251" fillId="0" borderId="0" xfId="43165" applyFont="1" applyAlignment="1"/>
    <xf numFmtId="168" fontId="251" fillId="0" borderId="0" xfId="43165" applyFont="1" applyAlignment="1">
      <alignment horizontal="center"/>
    </xf>
    <xf numFmtId="165" fontId="205" fillId="0" borderId="0" xfId="815" applyNumberFormat="1" applyFont="1" applyBorder="1" applyAlignment="1">
      <alignment horizontal="left"/>
    </xf>
    <xf numFmtId="0" fontId="243" fillId="0" borderId="0" xfId="831" applyFont="1" applyAlignment="1">
      <alignment horizontal="left"/>
    </xf>
    <xf numFmtId="0" fontId="38" fillId="0" borderId="0" xfId="834" applyFont="1" applyAlignment="1" applyProtection="1">
      <alignment horizontal="center" vertical="center"/>
    </xf>
    <xf numFmtId="191" fontId="43" fillId="0" borderId="0" xfId="1095" applyNumberFormat="1" applyFont="1" applyFill="1" applyBorder="1" applyAlignment="1">
      <alignment horizontal="right" vertical="center"/>
    </xf>
    <xf numFmtId="0" fontId="263" fillId="0" borderId="0" xfId="7308" applyFont="1"/>
    <xf numFmtId="168" fontId="250" fillId="0" borderId="0" xfId="43165" applyFont="1" applyFill="1" applyBorder="1" applyAlignment="1">
      <alignment horizontal="center"/>
    </xf>
    <xf numFmtId="168" fontId="250" fillId="0" borderId="0" xfId="43165" applyFont="1" applyFill="1" applyBorder="1" applyAlignment="1"/>
    <xf numFmtId="0" fontId="110" fillId="0" borderId="0" xfId="2697" applyFont="1" applyAlignment="1">
      <alignment vertical="center"/>
    </xf>
    <xf numFmtId="4" fontId="110" fillId="0" borderId="0" xfId="2697" applyNumberFormat="1" applyFont="1" applyAlignment="1">
      <alignment vertical="center"/>
    </xf>
    <xf numFmtId="168" fontId="251" fillId="0" borderId="0" xfId="43165" applyFont="1" applyFill="1" applyBorder="1" applyAlignment="1"/>
    <xf numFmtId="10" fontId="261" fillId="61" borderId="150" xfId="1095" applyNumberFormat="1" applyFont="1" applyFill="1" applyBorder="1" applyAlignment="1">
      <alignment vertical="center"/>
    </xf>
    <xf numFmtId="0" fontId="251" fillId="0" borderId="151" xfId="7308" applyFont="1" applyBorder="1" applyAlignment="1">
      <alignment horizontal="center"/>
    </xf>
    <xf numFmtId="167" fontId="250" fillId="102" borderId="10" xfId="902" applyFont="1" applyFill="1" applyBorder="1"/>
    <xf numFmtId="0" fontId="210" fillId="41" borderId="0" xfId="0" applyFont="1" applyFill="1"/>
    <xf numFmtId="0" fontId="203" fillId="41" borderId="125" xfId="907" applyFont="1" applyFill="1" applyBorder="1" applyAlignment="1">
      <alignment horizontal="center"/>
    </xf>
    <xf numFmtId="10" fontId="30" fillId="0" borderId="0" xfId="847" applyNumberFormat="1" applyFont="1" applyFill="1" applyBorder="1" applyAlignment="1">
      <alignment horizontal="right"/>
    </xf>
    <xf numFmtId="10" fontId="205" fillId="108" borderId="0" xfId="847" applyNumberFormat="1" applyFont="1" applyFill="1" applyBorder="1"/>
    <xf numFmtId="168" fontId="205" fillId="108" borderId="0" xfId="863" applyFont="1" applyFill="1" applyBorder="1"/>
    <xf numFmtId="10" fontId="205" fillId="0" borderId="0" xfId="847" applyNumberFormat="1" applyFont="1" applyFill="1" applyBorder="1" applyAlignment="1">
      <alignment horizontal="right"/>
    </xf>
    <xf numFmtId="0" fontId="113" fillId="0" borderId="0" xfId="0" applyFont="1"/>
    <xf numFmtId="0" fontId="43" fillId="0" borderId="20" xfId="0" applyFont="1" applyBorder="1"/>
    <xf numFmtId="0" fontId="0" fillId="0" borderId="0" xfId="0" applyAlignment="1">
      <alignment horizontal="center"/>
    </xf>
    <xf numFmtId="0" fontId="265" fillId="0" borderId="0" xfId="43410" applyFont="1"/>
    <xf numFmtId="0" fontId="266" fillId="0" borderId="0" xfId="43411"/>
    <xf numFmtId="10" fontId="211" fillId="0" borderId="0" xfId="847" applyNumberFormat="1" applyFont="1" applyBorder="1" applyAlignment="1">
      <alignment horizontal="right" vertical="center"/>
    </xf>
    <xf numFmtId="168" fontId="30" fillId="0" borderId="0" xfId="863" applyFont="1" applyFill="1" applyBorder="1"/>
    <xf numFmtId="10" fontId="30" fillId="0" borderId="0" xfId="847" applyNumberFormat="1" applyFont="1"/>
    <xf numFmtId="0" fontId="30" fillId="0" borderId="0" xfId="0" applyFont="1" applyAlignment="1">
      <alignment horizontal="center"/>
    </xf>
    <xf numFmtId="10" fontId="30" fillId="0" borderId="0" xfId="0" applyNumberFormat="1" applyFont="1"/>
    <xf numFmtId="14" fontId="36" fillId="0" borderId="0" xfId="0" applyNumberFormat="1" applyFont="1" applyAlignment="1">
      <alignment horizontal="center"/>
    </xf>
    <xf numFmtId="260" fontId="30" fillId="0" borderId="0" xfId="0" applyNumberFormat="1" applyFont="1"/>
    <xf numFmtId="168" fontId="30" fillId="0" borderId="0" xfId="863" applyFont="1" applyFill="1"/>
    <xf numFmtId="171" fontId="30" fillId="0" borderId="0" xfId="0" applyNumberFormat="1" applyFont="1"/>
    <xf numFmtId="0" fontId="36" fillId="0" borderId="0" xfId="0" applyFont="1"/>
    <xf numFmtId="0" fontId="36" fillId="45" borderId="152" xfId="907" applyFont="1" applyFill="1" applyBorder="1" applyAlignment="1">
      <alignment horizontal="center" vertical="center" wrapText="1"/>
    </xf>
    <xf numFmtId="0" fontId="205" fillId="0" borderId="20" xfId="0" applyFont="1" applyBorder="1" applyAlignment="1">
      <alignment horizontal="right"/>
    </xf>
    <xf numFmtId="0" fontId="205" fillId="0" borderId="29" xfId="832" applyFont="1" applyBorder="1" applyAlignment="1">
      <alignment horizontal="left"/>
    </xf>
    <xf numFmtId="0" fontId="205" fillId="41" borderId="20" xfId="0" applyFont="1" applyFill="1" applyBorder="1" applyAlignment="1">
      <alignment horizontal="right"/>
    </xf>
    <xf numFmtId="14" fontId="116" fillId="0" borderId="0" xfId="0" applyNumberFormat="1" applyFont="1"/>
    <xf numFmtId="164" fontId="211" fillId="0" borderId="0" xfId="0" applyNumberFormat="1" applyFont="1" applyAlignment="1">
      <alignment horizontal="right" vertical="center"/>
    </xf>
    <xf numFmtId="168" fontId="30" fillId="44" borderId="0" xfId="863" applyFont="1" applyFill="1" applyBorder="1" applyAlignment="1">
      <alignment horizontal="right"/>
    </xf>
    <xf numFmtId="10" fontId="211" fillId="0" borderId="0" xfId="847" applyNumberFormat="1" applyFont="1" applyFill="1" applyBorder="1" applyAlignment="1">
      <alignment horizontal="right" vertical="center"/>
    </xf>
    <xf numFmtId="10" fontId="205" fillId="0" borderId="0" xfId="847" applyNumberFormat="1" applyFont="1" applyFill="1" applyBorder="1" applyAlignment="1">
      <alignment horizontal="right" vertical="center"/>
    </xf>
    <xf numFmtId="0" fontId="30" fillId="104" borderId="0" xfId="0" applyFont="1" applyFill="1"/>
    <xf numFmtId="14" fontId="32" fillId="0" borderId="0" xfId="831" applyNumberFormat="1" applyAlignment="1">
      <alignment horizontal="center"/>
    </xf>
    <xf numFmtId="10" fontId="205" fillId="0" borderId="0" xfId="847" applyNumberFormat="1" applyFont="1" applyFill="1"/>
    <xf numFmtId="0" fontId="6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7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7" fillId="103" borderId="154" xfId="0" applyFont="1" applyFill="1" applyBorder="1" applyAlignment="1">
      <alignment horizontal="center" vertical="distributed"/>
    </xf>
    <xf numFmtId="14" fontId="267" fillId="103" borderId="154" xfId="0" applyNumberFormat="1" applyFont="1" applyFill="1" applyBorder="1" applyAlignment="1">
      <alignment horizontal="center" vertical="distributed"/>
    </xf>
    <xf numFmtId="0" fontId="267" fillId="103" borderId="10" xfId="0" applyFont="1" applyFill="1" applyBorder="1" applyAlignment="1">
      <alignment horizontal="center"/>
    </xf>
    <xf numFmtId="168" fontId="30" fillId="61" borderId="0" xfId="863" applyFont="1" applyFill="1"/>
    <xf numFmtId="168" fontId="43" fillId="41" borderId="0" xfId="903" applyFont="1" applyFill="1" applyBorder="1" applyAlignment="1">
      <alignment horizontal="left" vertical="top" wrapText="1"/>
    </xf>
    <xf numFmtId="0" fontId="30" fillId="111" borderId="0" xfId="0" applyFont="1" applyFill="1" applyAlignment="1">
      <alignment horizontal="center"/>
    </xf>
    <xf numFmtId="0" fontId="30" fillId="111" borderId="0" xfId="0" applyFont="1" applyFill="1"/>
    <xf numFmtId="14" fontId="30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5" fillId="111" borderId="0" xfId="847" applyNumberFormat="1" applyFont="1" applyFill="1" applyBorder="1"/>
    <xf numFmtId="168" fontId="205" fillId="111" borderId="0" xfId="863" applyFont="1" applyFill="1" applyBorder="1"/>
    <xf numFmtId="168" fontId="205" fillId="111" borderId="0" xfId="0" applyNumberFormat="1" applyFont="1" applyFill="1"/>
    <xf numFmtId="2" fontId="237" fillId="0" borderId="0" xfId="0" applyNumberFormat="1" applyFont="1" applyAlignment="1">
      <alignment horizontal="center" vertical="center" wrapText="1"/>
    </xf>
    <xf numFmtId="168" fontId="237" fillId="0" borderId="0" xfId="863" applyFont="1" applyFill="1" applyBorder="1" applyAlignment="1">
      <alignment horizontal="right" vertical="center" wrapText="1"/>
    </xf>
    <xf numFmtId="168" fontId="237" fillId="0" borderId="0" xfId="863" applyFont="1" applyFill="1" applyBorder="1" applyAlignment="1">
      <alignment horizontal="center" vertical="center" wrapText="1"/>
    </xf>
    <xf numFmtId="0" fontId="248" fillId="0" borderId="0" xfId="0" applyFont="1" applyAlignment="1">
      <alignment horizontal="center" vertical="center" wrapText="1"/>
    </xf>
    <xf numFmtId="0" fontId="125" fillId="0" borderId="0" xfId="0" applyFont="1" applyAlignment="1">
      <alignment horizontal="justify" vertical="center" wrapText="1"/>
    </xf>
    <xf numFmtId="264" fontId="125" fillId="0" borderId="0" xfId="907" applyNumberFormat="1" applyFont="1" applyAlignment="1">
      <alignment horizontal="center"/>
    </xf>
    <xf numFmtId="0" fontId="125" fillId="0" borderId="0" xfId="0" applyFont="1" applyAlignment="1">
      <alignment horizontal="center" vertical="center" wrapText="1"/>
    </xf>
    <xf numFmtId="167" fontId="43" fillId="0" borderId="0" xfId="815" applyFont="1" applyFill="1" applyBorder="1" applyAlignment="1">
      <alignment horizontal="left"/>
    </xf>
    <xf numFmtId="167" fontId="43" fillId="113" borderId="16" xfId="815" applyFont="1" applyFill="1" applyBorder="1" applyAlignment="1">
      <alignment horizontal="left"/>
    </xf>
    <xf numFmtId="3" fontId="30" fillId="113" borderId="16" xfId="0" applyNumberFormat="1" applyFont="1" applyFill="1" applyBorder="1"/>
    <xf numFmtId="167" fontId="30" fillId="42" borderId="0" xfId="815" applyFont="1" applyFill="1" applyBorder="1" applyAlignment="1">
      <alignment horizontal="left"/>
    </xf>
    <xf numFmtId="4" fontId="30" fillId="0" borderId="0" xfId="0" applyNumberFormat="1" applyFont="1"/>
    <xf numFmtId="230" fontId="30" fillId="111" borderId="0" xfId="863" applyNumberFormat="1" applyFont="1" applyFill="1" applyBorder="1" applyAlignment="1">
      <alignment horizontal="left"/>
    </xf>
    <xf numFmtId="230" fontId="30" fillId="111" borderId="0" xfId="0" applyNumberFormat="1" applyFont="1" applyFill="1"/>
    <xf numFmtId="230" fontId="30" fillId="111" borderId="0" xfId="0" applyNumberFormat="1" applyFont="1" applyFill="1" applyAlignment="1">
      <alignment horizontal="left"/>
    </xf>
    <xf numFmtId="230" fontId="116" fillId="111" borderId="0" xfId="0" applyNumberFormat="1" applyFont="1" applyFill="1" applyAlignment="1">
      <alignment horizontal="left"/>
    </xf>
    <xf numFmtId="0" fontId="271" fillId="113" borderId="16" xfId="0" applyFont="1" applyFill="1" applyBorder="1"/>
    <xf numFmtId="165" fontId="30" fillId="0" borderId="0" xfId="863" applyNumberFormat="1" applyFont="1" applyFill="1" applyBorder="1"/>
    <xf numFmtId="168" fontId="30" fillId="111" borderId="0" xfId="863" applyFont="1" applyFill="1" applyBorder="1"/>
    <xf numFmtId="0" fontId="268" fillId="0" borderId="0" xfId="0" applyFont="1"/>
    <xf numFmtId="0" fontId="43" fillId="0" borderId="29" xfId="0" applyFont="1" applyBorder="1"/>
    <xf numFmtId="0" fontId="271" fillId="0" borderId="0" xfId="0" applyFont="1"/>
    <xf numFmtId="0" fontId="43" fillId="33" borderId="0" xfId="829" applyFont="1" applyFill="1"/>
    <xf numFmtId="0" fontId="274" fillId="0" borderId="0" xfId="0" applyFont="1"/>
    <xf numFmtId="0" fontId="263" fillId="0" borderId="0" xfId="0" applyFont="1"/>
    <xf numFmtId="0" fontId="125" fillId="0" borderId="20" xfId="0" applyFont="1" applyBorder="1" applyAlignment="1">
      <alignment horizontal="left"/>
    </xf>
    <xf numFmtId="0" fontId="43" fillId="113" borderId="159" xfId="0" applyFont="1" applyFill="1" applyBorder="1"/>
    <xf numFmtId="0" fontId="43" fillId="113" borderId="16" xfId="0" applyFont="1" applyFill="1" applyBorder="1"/>
    <xf numFmtId="0" fontId="43" fillId="113" borderId="16" xfId="907" applyFont="1" applyFill="1" applyBorder="1"/>
    <xf numFmtId="10" fontId="43" fillId="113" borderId="16" xfId="847" applyNumberFormat="1" applyFont="1" applyFill="1" applyBorder="1" applyAlignment="1"/>
    <xf numFmtId="14" fontId="43" fillId="113" borderId="16" xfId="0" applyNumberFormat="1" applyFont="1" applyFill="1" applyBorder="1"/>
    <xf numFmtId="0" fontId="275" fillId="113" borderId="151" xfId="0" applyFont="1" applyFill="1" applyBorder="1"/>
    <xf numFmtId="0" fontId="125" fillId="0" borderId="0" xfId="0" applyFont="1" applyAlignment="1">
      <alignment horizontal="left"/>
    </xf>
    <xf numFmtId="0" fontId="275" fillId="0" borderId="0" xfId="0" applyFont="1"/>
    <xf numFmtId="0" fontId="276" fillId="0" borderId="0" xfId="0" applyFont="1"/>
    <xf numFmtId="0" fontId="275" fillId="0" borderId="29" xfId="0" applyFont="1" applyBorder="1"/>
    <xf numFmtId="10" fontId="43" fillId="0" borderId="0" xfId="847" applyNumberFormat="1" applyFont="1" applyFill="1" applyBorder="1" applyAlignment="1"/>
    <xf numFmtId="14" fontId="43" fillId="0" borderId="0" xfId="0" applyNumberFormat="1" applyFont="1"/>
    <xf numFmtId="4" fontId="144" fillId="0" borderId="0" xfId="0" applyNumberFormat="1" applyFont="1"/>
    <xf numFmtId="0" fontId="43" fillId="0" borderId="0" xfId="0" quotePrefix="1" applyFont="1"/>
    <xf numFmtId="43" fontId="268" fillId="0" borderId="0" xfId="0" applyNumberFormat="1" applyFont="1"/>
    <xf numFmtId="168" fontId="43" fillId="0" borderId="0" xfId="863" applyFont="1"/>
    <xf numFmtId="0" fontId="30" fillId="0" borderId="29" xfId="0" applyFont="1" applyBorder="1"/>
    <xf numFmtId="0" fontId="275" fillId="0" borderId="153" xfId="0" applyFont="1" applyBorder="1"/>
    <xf numFmtId="168" fontId="43" fillId="0" borderId="0" xfId="863" applyFont="1" applyBorder="1"/>
    <xf numFmtId="0" fontId="43" fillId="0" borderId="0" xfId="0" applyFont="1" applyAlignment="1">
      <alignment horizontal="center"/>
    </xf>
    <xf numFmtId="0" fontId="43" fillId="0" borderId="20" xfId="0" applyFont="1" applyBorder="1" applyAlignment="1">
      <alignment horizontal="left"/>
    </xf>
    <xf numFmtId="168" fontId="43" fillId="0" borderId="0" xfId="863" applyFont="1" applyBorder="1" applyAlignment="1">
      <alignment horizontal="center"/>
    </xf>
    <xf numFmtId="0" fontId="237" fillId="0" borderId="0" xfId="0" applyFont="1" applyAlignment="1">
      <alignment horizontal="center" vertical="center"/>
    </xf>
    <xf numFmtId="0" fontId="237" fillId="0" borderId="20" xfId="0" applyFont="1" applyBorder="1" applyAlignment="1">
      <alignment horizontal="center" vertical="center"/>
    </xf>
    <xf numFmtId="43" fontId="43" fillId="0" borderId="0" xfId="0" applyNumberFormat="1" applyFont="1"/>
    <xf numFmtId="14" fontId="237" fillId="0" borderId="20" xfId="0" applyNumberFormat="1" applyFont="1" applyBorder="1" applyAlignment="1">
      <alignment horizontal="center" vertical="center"/>
    </xf>
    <xf numFmtId="0" fontId="271" fillId="113" borderId="159" xfId="0" applyFont="1" applyFill="1" applyBorder="1"/>
    <xf numFmtId="0" fontId="271" fillId="113" borderId="151" xfId="0" applyFont="1" applyFill="1" applyBorder="1"/>
    <xf numFmtId="14" fontId="237" fillId="0" borderId="0" xfId="0" applyNumberFormat="1" applyFont="1" applyAlignment="1">
      <alignment horizontal="center" vertical="center"/>
    </xf>
    <xf numFmtId="0" fontId="278" fillId="0" borderId="0" xfId="0" applyFont="1"/>
    <xf numFmtId="171" fontId="43" fillId="0" borderId="0" xfId="907" applyNumberFormat="1" applyFont="1"/>
    <xf numFmtId="0" fontId="30" fillId="59" borderId="0" xfId="907" applyFill="1"/>
    <xf numFmtId="43" fontId="30" fillId="0" borderId="0" xfId="0" applyNumberFormat="1" applyFont="1"/>
    <xf numFmtId="0" fontId="30" fillId="0" borderId="0" xfId="907" applyAlignment="1">
      <alignment horizontal="center"/>
    </xf>
    <xf numFmtId="0" fontId="272" fillId="43" borderId="149" xfId="0" applyFont="1" applyFill="1" applyBorder="1" applyAlignment="1">
      <alignment horizontal="center" vertical="center" wrapText="1"/>
    </xf>
    <xf numFmtId="0" fontId="272" fillId="43" borderId="148" xfId="0" applyFont="1" applyFill="1" applyBorder="1" applyAlignment="1">
      <alignment horizontal="center" vertical="center" wrapText="1"/>
    </xf>
    <xf numFmtId="0" fontId="30" fillId="59" borderId="144" xfId="907" applyFill="1" applyBorder="1"/>
    <xf numFmtId="0" fontId="272" fillId="59" borderId="144" xfId="0" applyFont="1" applyFill="1" applyBorder="1"/>
    <xf numFmtId="10" fontId="30" fillId="0" borderId="0" xfId="847" applyNumberFormat="1" applyFont="1" applyFill="1" applyBorder="1" applyAlignment="1"/>
    <xf numFmtId="0" fontId="30" fillId="0" borderId="0" xfId="907" applyAlignment="1">
      <alignment horizontal="left"/>
    </xf>
    <xf numFmtId="10" fontId="30" fillId="0" borderId="0" xfId="847" applyNumberFormat="1" applyFont="1" applyFill="1" applyBorder="1" applyAlignment="1">
      <alignment horizontal="left"/>
    </xf>
    <xf numFmtId="10" fontId="30" fillId="0" borderId="144" xfId="847" applyNumberFormat="1" applyFont="1" applyFill="1" applyBorder="1" applyAlignment="1"/>
    <xf numFmtId="0" fontId="36" fillId="42" borderId="0" xfId="0" applyFont="1" applyFill="1"/>
    <xf numFmtId="0" fontId="30" fillId="42" borderId="0" xfId="0" applyFont="1" applyFill="1"/>
    <xf numFmtId="165" fontId="30" fillId="0" borderId="0" xfId="0" applyNumberFormat="1" applyFont="1"/>
    <xf numFmtId="167" fontId="30" fillId="111" borderId="0" xfId="815" applyFont="1" applyFill="1" applyBorder="1" applyAlignment="1"/>
    <xf numFmtId="10" fontId="30" fillId="111" borderId="0" xfId="847" applyNumberFormat="1" applyFont="1" applyFill="1" applyBorder="1" applyAlignment="1">
      <alignment horizontal="right"/>
    </xf>
    <xf numFmtId="168" fontId="30" fillId="0" borderId="0" xfId="863" applyFont="1" applyFill="1" applyBorder="1" applyAlignment="1"/>
    <xf numFmtId="170" fontId="30" fillId="0" borderId="0" xfId="0" applyNumberFormat="1" applyFont="1"/>
    <xf numFmtId="0" fontId="279" fillId="96" borderId="147" xfId="0" applyFont="1" applyFill="1" applyBorder="1" applyAlignment="1">
      <alignment vertical="center"/>
    </xf>
    <xf numFmtId="0" fontId="279" fillId="96" borderId="29" xfId="0" applyFont="1" applyFill="1" applyBorder="1" applyAlignment="1">
      <alignment vertical="center"/>
    </xf>
    <xf numFmtId="14" fontId="30" fillId="0" borderId="0" xfId="0" applyNumberFormat="1" applyFont="1" applyAlignment="1">
      <alignment horizontal="right"/>
    </xf>
    <xf numFmtId="14" fontId="30" fillId="41" borderId="0" xfId="0" applyNumberFormat="1" applyFont="1" applyFill="1" applyAlignment="1">
      <alignment horizontal="right"/>
    </xf>
    <xf numFmtId="14" fontId="30" fillId="41" borderId="0" xfId="0" applyNumberFormat="1" applyFont="1" applyFill="1"/>
    <xf numFmtId="14" fontId="30" fillId="0" borderId="0" xfId="0" applyNumberFormat="1" applyFont="1" applyAlignment="1">
      <alignment horizontal="center"/>
    </xf>
    <xf numFmtId="0" fontId="116" fillId="0" borderId="0" xfId="0" applyFont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14" fontId="116" fillId="0" borderId="0" xfId="0" applyNumberFormat="1" applyFont="1" applyAlignment="1">
      <alignment horizontal="center"/>
    </xf>
    <xf numFmtId="0" fontId="116" fillId="98" borderId="152" xfId="0" applyFont="1" applyFill="1" applyBorder="1"/>
    <xf numFmtId="0" fontId="30" fillId="98" borderId="152" xfId="0" applyFont="1" applyFill="1" applyBorder="1"/>
    <xf numFmtId="263" fontId="116" fillId="98" borderId="152" xfId="0" applyNumberFormat="1" applyFont="1" applyFill="1" applyBorder="1"/>
    <xf numFmtId="0" fontId="30" fillId="0" borderId="10" xfId="0" applyFont="1" applyBorder="1"/>
    <xf numFmtId="1" fontId="30" fillId="0" borderId="0" xfId="815" applyNumberFormat="1" applyFont="1" applyFill="1" applyBorder="1" applyAlignment="1"/>
    <xf numFmtId="3" fontId="30" fillId="42" borderId="144" xfId="0" applyNumberFormat="1" applyFont="1" applyFill="1" applyBorder="1"/>
    <xf numFmtId="10" fontId="205" fillId="44" borderId="0" xfId="847" applyNumberFormat="1" applyFont="1" applyFill="1" applyBorder="1"/>
    <xf numFmtId="0" fontId="30" fillId="111" borderId="0" xfId="863" applyNumberFormat="1" applyFont="1" applyFill="1" applyBorder="1" applyAlignment="1">
      <alignment horizontal="left"/>
    </xf>
    <xf numFmtId="10" fontId="30" fillId="111" borderId="0" xfId="847" applyNumberFormat="1" applyFont="1" applyFill="1" applyBorder="1" applyAlignment="1">
      <alignment horizontal="left"/>
    </xf>
    <xf numFmtId="260" fontId="30" fillId="111" borderId="0" xfId="0" applyNumberFormat="1" applyFont="1" applyFill="1" applyAlignment="1">
      <alignment horizontal="left"/>
    </xf>
    <xf numFmtId="260" fontId="30" fillId="111" borderId="0" xfId="0" applyNumberFormat="1" applyFont="1" applyFill="1"/>
    <xf numFmtId="257" fontId="30" fillId="111" borderId="0" xfId="863" applyNumberFormat="1" applyFont="1" applyFill="1" applyBorder="1" applyAlignment="1">
      <alignment horizontal="left"/>
    </xf>
    <xf numFmtId="258" fontId="30" fillId="111" borderId="0" xfId="847" applyNumberFormat="1" applyFont="1" applyFill="1" applyBorder="1" applyAlignment="1">
      <alignment horizontal="left"/>
    </xf>
    <xf numFmtId="259" fontId="30" fillId="111" borderId="0" xfId="0" applyNumberFormat="1" applyFont="1" applyFill="1" applyAlignment="1">
      <alignment horizontal="left"/>
    </xf>
    <xf numFmtId="230" fontId="30" fillId="111" borderId="0" xfId="2697" applyNumberFormat="1" applyFill="1"/>
    <xf numFmtId="257" fontId="30" fillId="111" borderId="0" xfId="847" applyNumberFormat="1" applyFont="1" applyFill="1" applyBorder="1" applyAlignment="1">
      <alignment horizontal="left"/>
    </xf>
    <xf numFmtId="4" fontId="30" fillId="111" borderId="0" xfId="863" applyNumberFormat="1" applyFont="1" applyFill="1" applyBorder="1" applyAlignment="1">
      <alignment horizontal="left"/>
    </xf>
    <xf numFmtId="0" fontId="30" fillId="111" borderId="0" xfId="0" applyFont="1" applyFill="1" applyAlignment="1">
      <alignment horizontal="left"/>
    </xf>
    <xf numFmtId="0" fontId="275" fillId="0" borderId="160" xfId="0" applyFont="1" applyBorder="1"/>
    <xf numFmtId="0" fontId="30" fillId="0" borderId="0" xfId="0" applyFont="1" applyAlignment="1">
      <alignment horizontal="center" vertical="distributed"/>
    </xf>
    <xf numFmtId="0" fontId="212" fillId="0" borderId="0" xfId="0" applyFont="1" applyAlignment="1">
      <alignment horizontal="center"/>
    </xf>
    <xf numFmtId="0" fontId="205" fillId="0" borderId="0" xfId="908" applyFont="1">
      <alignment vertical="top"/>
    </xf>
    <xf numFmtId="0" fontId="212" fillId="0" borderId="0" xfId="0" applyFont="1" applyAlignment="1">
      <alignment horizontal="left"/>
    </xf>
    <xf numFmtId="0" fontId="205" fillId="0" borderId="0" xfId="0" applyFont="1" applyAlignment="1" applyProtection="1">
      <alignment horizontal="left"/>
      <protection hidden="1"/>
    </xf>
    <xf numFmtId="168" fontId="205" fillId="0" borderId="0" xfId="43185" applyNumberFormat="1" applyFont="1" applyFill="1" applyBorder="1" applyAlignment="1" applyProtection="1">
      <alignment horizontal="right"/>
      <protection locked="0"/>
    </xf>
    <xf numFmtId="168" fontId="208" fillId="0" borderId="0" xfId="43183" applyNumberFormat="1" applyFont="1" applyFill="1" applyBorder="1" applyAlignment="1" applyProtection="1">
      <alignment vertical="center"/>
    </xf>
    <xf numFmtId="0" fontId="282" fillId="33" borderId="0" xfId="829" applyFont="1" applyFill="1" applyAlignment="1">
      <alignment horizontal="left" vertical="top"/>
    </xf>
    <xf numFmtId="0" fontId="276" fillId="33" borderId="0" xfId="829" applyFont="1" applyFill="1"/>
    <xf numFmtId="0" fontId="283" fillId="33" borderId="0" xfId="829" applyFont="1" applyFill="1"/>
    <xf numFmtId="0" fontId="283" fillId="0" borderId="0" xfId="0" applyFont="1"/>
    <xf numFmtId="0" fontId="284" fillId="33" borderId="0" xfId="829" applyFont="1" applyFill="1" applyAlignment="1">
      <alignment horizontal="right" vertical="top"/>
    </xf>
    <xf numFmtId="10" fontId="285" fillId="0" borderId="0" xfId="0" applyNumberFormat="1" applyFont="1" applyAlignment="1">
      <alignment horizontal="left" vertical="top"/>
    </xf>
    <xf numFmtId="0" fontId="284" fillId="33" borderId="0" xfId="829" applyFont="1" applyFill="1" applyAlignment="1">
      <alignment horizontal="left" vertical="top"/>
    </xf>
    <xf numFmtId="168" fontId="283" fillId="0" borderId="0" xfId="863" applyFont="1"/>
    <xf numFmtId="168" fontId="283" fillId="0" borderId="0" xfId="0" applyNumberFormat="1" applyFont="1"/>
    <xf numFmtId="0" fontId="288" fillId="0" borderId="0" xfId="0" applyFont="1"/>
    <xf numFmtId="0" fontId="283" fillId="117" borderId="0" xfId="0" applyFont="1" applyFill="1"/>
    <xf numFmtId="165" fontId="283" fillId="117" borderId="0" xfId="815" applyNumberFormat="1" applyFont="1" applyFill="1" applyBorder="1"/>
    <xf numFmtId="167" fontId="289" fillId="43" borderId="0" xfId="0" applyNumberFormat="1" applyFont="1" applyFill="1"/>
    <xf numFmtId="10" fontId="289" fillId="43" borderId="0" xfId="0" applyNumberFormat="1" applyFont="1" applyFill="1"/>
    <xf numFmtId="0" fontId="290" fillId="0" borderId="0" xfId="0" applyFont="1"/>
    <xf numFmtId="0" fontId="283" fillId="1" borderId="0" xfId="0" applyFont="1" applyFill="1"/>
    <xf numFmtId="0" fontId="283" fillId="42" borderId="0" xfId="0" applyFont="1" applyFill="1"/>
    <xf numFmtId="167" fontId="283" fillId="42" borderId="0" xfId="815" applyFont="1" applyFill="1" applyBorder="1"/>
    <xf numFmtId="167" fontId="282" fillId="42" borderId="0" xfId="815" applyFont="1" applyFill="1" applyBorder="1"/>
    <xf numFmtId="0" fontId="280" fillId="0" borderId="0" xfId="0" applyFont="1"/>
    <xf numFmtId="0" fontId="30" fillId="0" borderId="0" xfId="0" applyFont="1" applyAlignment="1">
      <alignment horizontal="center" vertical="center"/>
    </xf>
    <xf numFmtId="0" fontId="30" fillId="115" borderId="161" xfId="0" applyFont="1" applyFill="1" applyBorder="1" applyAlignment="1">
      <alignment horizontal="center" vertical="distributed"/>
    </xf>
    <xf numFmtId="0" fontId="30" fillId="116" borderId="161" xfId="0" applyFont="1" applyFill="1" applyBorder="1" applyAlignment="1">
      <alignment horizontal="center" vertical="distributed"/>
    </xf>
    <xf numFmtId="0" fontId="30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0" fillId="42" borderId="0" xfId="847" applyNumberFormat="1" applyFont="1" applyFill="1" applyBorder="1" applyAlignment="1">
      <alignment horizontal="left"/>
    </xf>
    <xf numFmtId="230" fontId="30" fillId="42" borderId="0" xfId="863" applyNumberFormat="1" applyFont="1" applyFill="1" applyBorder="1" applyAlignment="1">
      <alignment horizontal="left"/>
    </xf>
    <xf numFmtId="0" fontId="116" fillId="99" borderId="0" xfId="907" applyFont="1" applyFill="1" applyAlignment="1">
      <alignment horizontal="center"/>
    </xf>
    <xf numFmtId="167" fontId="110" fillId="94" borderId="0" xfId="815" applyFont="1" applyFill="1" applyBorder="1" applyAlignment="1">
      <alignment horizontal="center" vertical="center" wrapText="1"/>
    </xf>
    <xf numFmtId="0" fontId="117" fillId="0" borderId="0" xfId="2697" applyFont="1" applyAlignment="1">
      <alignment horizontal="center" vertical="center" wrapText="1"/>
    </xf>
    <xf numFmtId="167" fontId="38" fillId="0" borderId="0" xfId="815" applyFont="1" applyFill="1" applyBorder="1" applyAlignment="1">
      <alignment horizontal="center" vertical="center" wrapText="1"/>
    </xf>
    <xf numFmtId="167" fontId="43" fillId="0" borderId="0" xfId="815" applyFont="1" applyFill="1" applyBorder="1" applyAlignment="1">
      <alignment wrapText="1"/>
    </xf>
    <xf numFmtId="167" fontId="43" fillId="0" borderId="0" xfId="815" applyFont="1" applyFill="1" applyBorder="1" applyAlignment="1"/>
    <xf numFmtId="9" fontId="110" fillId="0" borderId="0" xfId="1823" applyFont="1" applyFill="1" applyBorder="1" applyAlignment="1">
      <alignment horizontal="left" vertical="center" wrapText="1"/>
    </xf>
    <xf numFmtId="217" fontId="110" fillId="0" borderId="0" xfId="1823" applyNumberFormat="1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wrapText="1"/>
    </xf>
    <xf numFmtId="9" fontId="110" fillId="0" borderId="0" xfId="1823" applyFont="1" applyFill="1" applyBorder="1" applyAlignment="1">
      <alignment horizontal="center" vertical="center" wrapText="1"/>
    </xf>
    <xf numFmtId="0" fontId="43" fillId="41" borderId="106" xfId="907" applyFont="1" applyFill="1" applyBorder="1"/>
    <xf numFmtId="0" fontId="43" fillId="41" borderId="106" xfId="2697" applyFont="1" applyFill="1" applyBorder="1"/>
    <xf numFmtId="0" fontId="43" fillId="0" borderId="106" xfId="907" applyFont="1" applyBorder="1"/>
    <xf numFmtId="43" fontId="43" fillId="41" borderId="106" xfId="907" applyNumberFormat="1" applyFont="1" applyFill="1" applyBorder="1"/>
    <xf numFmtId="0" fontId="263" fillId="0" borderId="0" xfId="2697" applyFont="1"/>
    <xf numFmtId="0" fontId="146" fillId="41" borderId="0" xfId="36379" applyFont="1" applyFill="1" applyProtection="1">
      <protection locked="0"/>
    </xf>
    <xf numFmtId="0" fontId="43" fillId="41" borderId="0" xfId="36379" applyFont="1" applyFill="1"/>
    <xf numFmtId="0" fontId="291" fillId="41" borderId="0" xfId="36379" applyFont="1" applyFill="1" applyProtection="1">
      <protection locked="0"/>
    </xf>
    <xf numFmtId="10" fontId="30" fillId="0" borderId="0" xfId="847" applyNumberFormat="1" applyFont="1" applyAlignment="1">
      <alignment horizontal="center"/>
    </xf>
    <xf numFmtId="0" fontId="212" fillId="43" borderId="0" xfId="0" applyFont="1" applyFill="1" applyAlignment="1">
      <alignment horizontal="left"/>
    </xf>
    <xf numFmtId="10" fontId="205" fillId="45" borderId="0" xfId="847" applyNumberFormat="1" applyFont="1" applyFill="1" applyBorder="1"/>
    <xf numFmtId="262" fontId="205" fillId="0" borderId="152" xfId="847" applyNumberFormat="1" applyFont="1" applyFill="1" applyBorder="1"/>
    <xf numFmtId="0" fontId="213" fillId="0" borderId="0" xfId="907" applyFont="1" applyAlignment="1">
      <alignment horizontal="left"/>
    </xf>
    <xf numFmtId="22" fontId="43" fillId="0" borderId="0" xfId="0" applyNumberFormat="1" applyFont="1" applyAlignment="1">
      <alignment horizontal="right"/>
    </xf>
    <xf numFmtId="0" fontId="43" fillId="0" borderId="144" xfId="907" applyFont="1" applyBorder="1"/>
    <xf numFmtId="0" fontId="205" fillId="0" borderId="152" xfId="0" applyFont="1" applyBorder="1" applyAlignment="1">
      <alignment horizontal="center"/>
    </xf>
    <xf numFmtId="0" fontId="212" fillId="43" borderId="144" xfId="0" applyFont="1" applyFill="1" applyBorder="1" applyAlignment="1">
      <alignment horizontal="center"/>
    </xf>
    <xf numFmtId="0" fontId="208" fillId="56" borderId="156" xfId="834" applyFont="1" applyFill="1" applyBorder="1" applyAlignment="1" applyProtection="1">
      <alignment horizontal="left" vertical="center"/>
    </xf>
    <xf numFmtId="0" fontId="208" fillId="56" borderId="155" xfId="834" applyFont="1" applyFill="1" applyBorder="1" applyAlignment="1" applyProtection="1">
      <alignment horizontal="left" vertical="center"/>
    </xf>
    <xf numFmtId="10" fontId="205" fillId="0" borderId="152" xfId="847" applyNumberFormat="1" applyFont="1" applyFill="1" applyBorder="1"/>
    <xf numFmtId="0" fontId="242" fillId="41" borderId="0" xfId="831" applyFont="1" applyFill="1" applyAlignment="1">
      <alignment horizontal="left"/>
    </xf>
    <xf numFmtId="0" fontId="248" fillId="41" borderId="106" xfId="831" applyFont="1" applyFill="1" applyBorder="1" applyAlignment="1">
      <alignment horizontal="left"/>
    </xf>
    <xf numFmtId="0" fontId="243" fillId="41" borderId="0" xfId="831" applyFont="1" applyFill="1" applyAlignment="1">
      <alignment horizontal="left"/>
    </xf>
    <xf numFmtId="0" fontId="43" fillId="0" borderId="0" xfId="2697" applyFont="1" applyAlignment="1">
      <alignment horizontal="center"/>
    </xf>
    <xf numFmtId="0" fontId="117" fillId="55" borderId="163" xfId="2697" applyFont="1" applyFill="1" applyBorder="1" applyAlignment="1">
      <alignment horizontal="center" vertical="center" wrapText="1"/>
    </xf>
    <xf numFmtId="0" fontId="117" fillId="55" borderId="164" xfId="2697" applyFont="1" applyFill="1" applyBorder="1" applyAlignment="1">
      <alignment horizontal="center" vertical="center" wrapText="1"/>
    </xf>
    <xf numFmtId="269" fontId="43" fillId="0" borderId="20" xfId="43183" applyNumberFormat="1" applyFont="1" applyBorder="1" applyAlignment="1">
      <alignment vertical="center"/>
    </xf>
    <xf numFmtId="0" fontId="43" fillId="0" borderId="29" xfId="2697" applyFont="1" applyBorder="1" applyAlignment="1">
      <alignment vertical="center"/>
    </xf>
    <xf numFmtId="269" fontId="43" fillId="0" borderId="20" xfId="2697" applyNumberFormat="1" applyFont="1" applyBorder="1" applyAlignment="1">
      <alignment vertical="center"/>
    </xf>
    <xf numFmtId="269" fontId="43" fillId="0" borderId="10" xfId="2697" applyNumberFormat="1" applyFont="1" applyBorder="1" applyAlignment="1">
      <alignment vertical="center"/>
    </xf>
    <xf numFmtId="0" fontId="43" fillId="0" borderId="155" xfId="2697" applyFont="1" applyBorder="1" applyAlignment="1">
      <alignment vertical="center"/>
    </xf>
    <xf numFmtId="269" fontId="43" fillId="0" borderId="156" xfId="2697" applyNumberFormat="1" applyFont="1" applyBorder="1" applyAlignment="1">
      <alignment vertical="center"/>
    </xf>
    <xf numFmtId="0" fontId="117" fillId="55" borderId="0" xfId="2697" applyFont="1" applyFill="1" applyAlignment="1">
      <alignment horizontal="center" vertical="center" wrapText="1"/>
    </xf>
    <xf numFmtId="171" fontId="117" fillId="43" borderId="0" xfId="2697" applyNumberFormat="1" applyFont="1" applyFill="1" applyAlignment="1">
      <alignment horizontal="center" vertical="center" wrapText="1"/>
    </xf>
    <xf numFmtId="171" fontId="117" fillId="55" borderId="0" xfId="2697" applyNumberFormat="1" applyFont="1" applyFill="1" applyAlignment="1">
      <alignment horizontal="center" vertical="center" wrapText="1"/>
    </xf>
    <xf numFmtId="0" fontId="43" fillId="0" borderId="29" xfId="2697" applyFont="1" applyBorder="1"/>
    <xf numFmtId="0" fontId="43" fillId="0" borderId="10" xfId="2697" applyFont="1" applyBorder="1" applyAlignment="1">
      <alignment vertical="center"/>
    </xf>
    <xf numFmtId="270" fontId="43" fillId="0" borderId="0" xfId="2697" applyNumberFormat="1" applyFont="1" applyAlignment="1">
      <alignment vertical="center"/>
    </xf>
    <xf numFmtId="0" fontId="43" fillId="0" borderId="155" xfId="2697" applyFont="1" applyBorder="1"/>
    <xf numFmtId="0" fontId="43" fillId="0" borderId="20" xfId="2697" applyFont="1" applyBorder="1" applyAlignment="1">
      <alignment vertical="center"/>
    </xf>
    <xf numFmtId="270" fontId="43" fillId="118" borderId="20" xfId="2697" applyNumberFormat="1" applyFont="1" applyFill="1" applyBorder="1" applyAlignment="1">
      <alignment vertical="center"/>
    </xf>
    <xf numFmtId="270" fontId="43" fillId="118" borderId="0" xfId="2697" applyNumberFormat="1" applyFont="1" applyFill="1" applyAlignment="1">
      <alignment vertical="center"/>
    </xf>
    <xf numFmtId="270" fontId="43" fillId="118" borderId="156" xfId="2697" applyNumberFormat="1" applyFont="1" applyFill="1" applyBorder="1" applyAlignment="1">
      <alignment vertical="center"/>
    </xf>
    <xf numFmtId="0" fontId="43" fillId="0" borderId="152" xfId="0" applyFont="1" applyBorder="1"/>
    <xf numFmtId="0" fontId="268" fillId="0" borderId="152" xfId="0" applyFont="1" applyBorder="1"/>
    <xf numFmtId="0" fontId="268" fillId="99" borderId="152" xfId="0" applyFont="1" applyFill="1" applyBorder="1"/>
    <xf numFmtId="14" fontId="30" fillId="111" borderId="0" xfId="0" applyNumberFormat="1" applyFont="1" applyFill="1" applyAlignment="1">
      <alignment horizontal="right"/>
    </xf>
    <xf numFmtId="168" fontId="43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3" fillId="0" borderId="152" xfId="907" applyNumberFormat="1" applyFont="1" applyBorder="1"/>
    <xf numFmtId="0" fontId="43" fillId="0" borderId="152" xfId="907" applyFont="1" applyBorder="1"/>
    <xf numFmtId="0" fontId="110" fillId="0" borderId="152" xfId="907" applyFont="1" applyBorder="1" applyAlignment="1">
      <alignment horizontal="left"/>
    </xf>
    <xf numFmtId="0" fontId="293" fillId="0" borderId="152" xfId="907" applyFont="1" applyBorder="1"/>
    <xf numFmtId="168" fontId="293" fillId="0" borderId="152" xfId="863" applyFont="1" applyFill="1" applyBorder="1"/>
    <xf numFmtId="0" fontId="43" fillId="41" borderId="152" xfId="907" applyFont="1" applyFill="1" applyBorder="1"/>
    <xf numFmtId="0" fontId="43" fillId="0" borderId="152" xfId="907" applyFont="1" applyBorder="1" applyAlignment="1">
      <alignment horizontal="center"/>
    </xf>
    <xf numFmtId="4" fontId="43" fillId="0" borderId="152" xfId="815" applyNumberFormat="1" applyFont="1" applyFill="1" applyBorder="1"/>
    <xf numFmtId="22" fontId="43" fillId="0" borderId="0" xfId="907" applyNumberFormat="1" applyFont="1"/>
    <xf numFmtId="22" fontId="43" fillId="0" borderId="152" xfId="907" applyNumberFormat="1" applyFont="1" applyBorder="1"/>
    <xf numFmtId="168" fontId="211" fillId="0" borderId="0" xfId="863" applyFont="1" applyBorder="1" applyAlignment="1">
      <alignment horizontal="right" vertical="center"/>
    </xf>
    <xf numFmtId="43" fontId="283" fillId="0" borderId="0" xfId="0" applyNumberFormat="1" applyFont="1"/>
    <xf numFmtId="0" fontId="205" fillId="0" borderId="166" xfId="0" applyFont="1" applyBorder="1"/>
    <xf numFmtId="0" fontId="212" fillId="0" borderId="166" xfId="0" applyFont="1" applyBorder="1" applyAlignment="1">
      <alignment horizontal="center"/>
    </xf>
    <xf numFmtId="167" fontId="208" fillId="0" borderId="166" xfId="0" applyNumberFormat="1" applyFont="1" applyBorder="1" applyProtection="1">
      <protection hidden="1"/>
    </xf>
    <xf numFmtId="0" fontId="240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0" fillId="0" borderId="0" xfId="0" applyNumberFormat="1" applyFont="1" applyAlignment="1">
      <alignment horizontal="center" vertical="distributed"/>
    </xf>
    <xf numFmtId="0" fontId="235" fillId="42" borderId="0" xfId="0" applyFont="1" applyFill="1"/>
    <xf numFmtId="171" fontId="30" fillId="110" borderId="167" xfId="907" applyNumberFormat="1" applyFill="1" applyBorder="1"/>
    <xf numFmtId="171" fontId="30" fillId="110" borderId="170" xfId="907" applyNumberFormat="1" applyFill="1" applyBorder="1"/>
    <xf numFmtId="171" fontId="30" fillId="59" borderId="170" xfId="907" applyNumberFormat="1" applyFill="1" applyBorder="1"/>
    <xf numFmtId="171" fontId="30" fillId="59" borderId="172" xfId="907" applyNumberFormat="1" applyFill="1" applyBorder="1"/>
    <xf numFmtId="0" fontId="272" fillId="43" borderId="167" xfId="0" applyFont="1" applyFill="1" applyBorder="1" applyAlignment="1">
      <alignment horizontal="center" vertical="center" wrapText="1"/>
    </xf>
    <xf numFmtId="0" fontId="272" fillId="43" borderId="174" xfId="0" applyFont="1" applyFill="1" applyBorder="1" applyAlignment="1">
      <alignment horizontal="center" vertical="center" wrapText="1"/>
    </xf>
    <xf numFmtId="0" fontId="272" fillId="43" borderId="169" xfId="0" applyFont="1" applyFill="1" applyBorder="1" applyAlignment="1">
      <alignment vertical="center" wrapText="1"/>
    </xf>
    <xf numFmtId="171" fontId="30" fillId="110" borderId="172" xfId="907" applyNumberFormat="1" applyFill="1" applyBorder="1"/>
    <xf numFmtId="167" fontId="30" fillId="111" borderId="171" xfId="815" applyFont="1" applyFill="1" applyBorder="1" applyAlignment="1">
      <alignment horizontal="center" vertical="center"/>
    </xf>
    <xf numFmtId="168" fontId="233" fillId="0" borderId="0" xfId="863" quotePrefix="1" applyFont="1"/>
    <xf numFmtId="0" fontId="36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8" fillId="41" borderId="178" xfId="863" applyFont="1" applyFill="1" applyBorder="1"/>
    <xf numFmtId="272" fontId="208" fillId="41" borderId="178" xfId="863" applyNumberFormat="1" applyFont="1" applyFill="1" applyBorder="1"/>
    <xf numFmtId="167" fontId="30" fillId="44" borderId="173" xfId="815" applyFont="1" applyFill="1" applyBorder="1" applyAlignment="1">
      <alignment horizontal="center" vertical="center"/>
    </xf>
    <xf numFmtId="167" fontId="30" fillId="44" borderId="176" xfId="815" applyFont="1" applyFill="1" applyBorder="1" applyAlignment="1">
      <alignment horizontal="center" vertical="center"/>
    </xf>
    <xf numFmtId="0" fontId="208" fillId="41" borderId="178" xfId="0" applyFont="1" applyFill="1" applyBorder="1" applyAlignment="1">
      <alignment horizontal="right"/>
    </xf>
    <xf numFmtId="0" fontId="208" fillId="41" borderId="178" xfId="0" applyFont="1" applyFill="1" applyBorder="1" applyAlignment="1">
      <alignment horizontal="left"/>
    </xf>
    <xf numFmtId="0" fontId="205" fillId="41" borderId="178" xfId="0" applyFont="1" applyFill="1" applyBorder="1" applyAlignment="1">
      <alignment horizontal="right"/>
    </xf>
    <xf numFmtId="168" fontId="208" fillId="41" borderId="178" xfId="0" applyNumberFormat="1" applyFont="1" applyFill="1" applyBorder="1"/>
    <xf numFmtId="167" fontId="30" fillId="44" borderId="179" xfId="815" applyFont="1" applyFill="1" applyBorder="1" applyAlignment="1">
      <alignment horizontal="center" vertical="center"/>
    </xf>
    <xf numFmtId="167" fontId="30" fillId="44" borderId="180" xfId="815" applyFont="1" applyFill="1" applyBorder="1" applyAlignment="1">
      <alignment horizontal="center" vertical="center"/>
    </xf>
    <xf numFmtId="167" fontId="30" fillId="59" borderId="179" xfId="815" applyFont="1" applyFill="1" applyBorder="1" applyAlignment="1">
      <alignment horizontal="center" vertical="center"/>
    </xf>
    <xf numFmtId="167" fontId="30" fillId="59" borderId="173" xfId="815" applyFont="1" applyFill="1" applyBorder="1" applyAlignment="1">
      <alignment horizontal="center" vertical="center"/>
    </xf>
    <xf numFmtId="167" fontId="30" fillId="59" borderId="180" xfId="815" applyFont="1" applyFill="1" applyBorder="1" applyAlignment="1">
      <alignment horizontal="center" vertical="center"/>
    </xf>
    <xf numFmtId="0" fontId="205" fillId="0" borderId="0" xfId="847" applyNumberFormat="1" applyFont="1" applyFill="1" applyBorder="1" applyAlignment="1">
      <alignment horizontal="right"/>
    </xf>
    <xf numFmtId="0" fontId="43" fillId="0" borderId="160" xfId="0" applyFont="1" applyBorder="1"/>
    <xf numFmtId="0" fontId="43" fillId="0" borderId="153" xfId="0" applyFont="1" applyBorder="1"/>
    <xf numFmtId="4" fontId="237" fillId="0" borderId="20" xfId="0" applyNumberFormat="1" applyFont="1" applyBorder="1" applyAlignment="1">
      <alignment horizontal="right" vertical="center"/>
    </xf>
    <xf numFmtId="167" fontId="30" fillId="111" borderId="180" xfId="815" applyFont="1" applyFill="1" applyBorder="1" applyAlignment="1">
      <alignment horizontal="center" vertical="center"/>
    </xf>
    <xf numFmtId="0" fontId="30" fillId="59" borderId="166" xfId="907" applyFill="1" applyBorder="1"/>
    <xf numFmtId="0" fontId="30" fillId="59" borderId="178" xfId="907" applyFill="1" applyBorder="1"/>
    <xf numFmtId="217" fontId="43" fillId="41" borderId="0" xfId="847" applyNumberFormat="1" applyFont="1" applyFill="1" applyBorder="1" applyAlignment="1">
      <alignment horizontal="center"/>
    </xf>
    <xf numFmtId="0" fontId="30" fillId="111" borderId="166" xfId="0" applyFont="1" applyFill="1" applyBorder="1" applyAlignment="1">
      <alignment horizontal="left" wrapText="1"/>
    </xf>
    <xf numFmtId="14" fontId="30" fillId="111" borderId="178" xfId="0" applyNumberFormat="1" applyFont="1" applyFill="1" applyBorder="1" applyAlignment="1">
      <alignment horizontal="left" wrapText="1"/>
    </xf>
    <xf numFmtId="0" fontId="30" fillId="111" borderId="144" xfId="0" applyFont="1" applyFill="1" applyBorder="1" applyAlignment="1">
      <alignment horizontal="left" wrapText="1"/>
    </xf>
    <xf numFmtId="0" fontId="205" fillId="0" borderId="0" xfId="863" applyNumberFormat="1" applyFont="1" applyFill="1" applyBorder="1"/>
    <xf numFmtId="0" fontId="205" fillId="0" borderId="0" xfId="815" applyNumberFormat="1" applyFont="1" applyFill="1" applyBorder="1"/>
    <xf numFmtId="273" fontId="205" fillId="119" borderId="0" xfId="847" applyNumberFormat="1" applyFont="1" applyFill="1"/>
    <xf numFmtId="168" fontId="0" fillId="0" borderId="0" xfId="0" applyNumberFormat="1"/>
    <xf numFmtId="0" fontId="195" fillId="0" borderId="0" xfId="0" applyFont="1" applyAlignment="1">
      <alignment vertical="center"/>
    </xf>
    <xf numFmtId="0" fontId="30" fillId="0" borderId="178" xfId="0" applyFont="1" applyBorder="1"/>
    <xf numFmtId="167" fontId="30" fillId="42" borderId="178" xfId="815" applyFont="1" applyFill="1" applyBorder="1" applyAlignment="1">
      <alignment horizontal="left"/>
    </xf>
    <xf numFmtId="168" fontId="43" fillId="0" borderId="0" xfId="0" applyNumberFormat="1" applyFont="1"/>
    <xf numFmtId="0" fontId="30" fillId="0" borderId="0" xfId="0" applyFont="1" applyAlignment="1">
      <alignment horizontal="right"/>
    </xf>
    <xf numFmtId="168" fontId="43" fillId="41" borderId="0" xfId="863" applyFont="1" applyFill="1" applyBorder="1" applyAlignment="1"/>
    <xf numFmtId="14" fontId="30" fillId="0" borderId="106" xfId="0" applyNumberFormat="1" applyFont="1" applyBorder="1"/>
    <xf numFmtId="14" fontId="43" fillId="0" borderId="0" xfId="847" applyNumberFormat="1" applyFont="1"/>
    <xf numFmtId="14" fontId="275" fillId="113" borderId="16" xfId="0" applyNumberFormat="1" applyFont="1" applyFill="1" applyBorder="1"/>
    <xf numFmtId="14" fontId="237" fillId="0" borderId="0" xfId="863" applyNumberFormat="1" applyFont="1" applyFill="1" applyBorder="1" applyAlignment="1">
      <alignment horizontal="center" vertical="center" wrapText="1"/>
    </xf>
    <xf numFmtId="14" fontId="246" fillId="0" borderId="0" xfId="43183" applyNumberFormat="1" applyFont="1" applyFill="1" applyBorder="1"/>
    <xf numFmtId="9" fontId="283" fillId="0" borderId="0" xfId="847" applyFont="1"/>
    <xf numFmtId="4" fontId="0" fillId="0" borderId="0" xfId="0" applyNumberFormat="1" applyAlignment="1">
      <alignment horizontal="center" vertical="center"/>
    </xf>
    <xf numFmtId="274" fontId="205" fillId="41" borderId="0" xfId="863" applyNumberFormat="1" applyFont="1" applyFill="1" applyBorder="1" applyAlignment="1">
      <alignment horizontal="right"/>
    </xf>
    <xf numFmtId="168" fontId="216" fillId="0" borderId="0" xfId="863" applyFont="1"/>
    <xf numFmtId="168" fontId="219" fillId="0" borderId="0" xfId="863" applyFont="1"/>
    <xf numFmtId="10" fontId="208" fillId="0" borderId="0" xfId="847" applyNumberFormat="1" applyFont="1"/>
    <xf numFmtId="0" fontId="0" fillId="0" borderId="181" xfId="0" applyBorder="1"/>
    <xf numFmtId="0" fontId="0" fillId="0" borderId="182" xfId="0" applyBorder="1"/>
    <xf numFmtId="14" fontId="30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3" fillId="41" borderId="0" xfId="847" applyNumberFormat="1" applyFont="1" applyFill="1" applyBorder="1"/>
    <xf numFmtId="168" fontId="210" fillId="0" borderId="0" xfId="831" applyNumberFormat="1" applyFont="1" applyAlignment="1">
      <alignment vertical="center"/>
    </xf>
    <xf numFmtId="10" fontId="43" fillId="103" borderId="0" xfId="907" applyNumberFormat="1" applyFont="1" applyFill="1"/>
    <xf numFmtId="0" fontId="272" fillId="0" borderId="144" xfId="0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distributed"/>
    </xf>
    <xf numFmtId="10" fontId="116" fillId="0" borderId="0" xfId="847" applyNumberFormat="1" applyFont="1" applyAlignment="1">
      <alignment horizontal="center"/>
    </xf>
    <xf numFmtId="0" fontId="267" fillId="103" borderId="152" xfId="0" applyFont="1" applyFill="1" applyBorder="1" applyAlignment="1">
      <alignment horizontal="center" vertical="distributed"/>
    </xf>
    <xf numFmtId="168" fontId="116" fillId="0" borderId="0" xfId="863" quotePrefix="1" applyFont="1"/>
    <xf numFmtId="2" fontId="30" fillId="0" borderId="0" xfId="0" applyNumberFormat="1" applyFont="1" applyAlignment="1">
      <alignment horizontal="center"/>
    </xf>
    <xf numFmtId="10" fontId="30" fillId="0" borderId="0" xfId="847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/>
    </xf>
    <xf numFmtId="10" fontId="30" fillId="0" borderId="0" xfId="847" applyNumberFormat="1" applyFont="1" applyBorder="1" applyAlignment="1">
      <alignment horizontal="center" vertical="distributed"/>
    </xf>
    <xf numFmtId="0" fontId="30" fillId="0" borderId="152" xfId="0" applyFont="1" applyBorder="1" applyAlignment="1">
      <alignment horizontal="center" vertical="distributed"/>
    </xf>
    <xf numFmtId="0" fontId="30" fillId="0" borderId="0" xfId="0" quotePrefix="1" applyFont="1"/>
    <xf numFmtId="168" fontId="30" fillId="61" borderId="144" xfId="863" applyFont="1" applyFill="1" applyBorder="1" applyAlignment="1">
      <alignment horizontal="right"/>
    </xf>
    <xf numFmtId="168" fontId="30" fillId="61" borderId="0" xfId="863" applyFont="1" applyFill="1" applyBorder="1" applyAlignment="1">
      <alignment horizontal="right"/>
    </xf>
    <xf numFmtId="168" fontId="30" fillId="0" borderId="0" xfId="0" applyNumberFormat="1" applyFont="1"/>
    <xf numFmtId="0" fontId="36" fillId="0" borderId="178" xfId="0" applyFont="1" applyBorder="1"/>
    <xf numFmtId="0" fontId="205" fillId="0" borderId="178" xfId="0" applyFont="1" applyBorder="1"/>
    <xf numFmtId="0" fontId="295" fillId="121" borderId="156" xfId="907" applyFont="1" applyFill="1" applyBorder="1"/>
    <xf numFmtId="0" fontId="296" fillId="59" borderId="0" xfId="0" applyFont="1" applyFill="1" applyAlignment="1">
      <alignment horizontal="left"/>
    </xf>
    <xf numFmtId="43" fontId="295" fillId="118" borderId="0" xfId="43408" applyFont="1" applyFill="1"/>
    <xf numFmtId="205" fontId="0" fillId="0" borderId="0" xfId="0" applyNumberFormat="1"/>
    <xf numFmtId="168" fontId="205" fillId="42" borderId="0" xfId="863" applyFont="1" applyFill="1"/>
    <xf numFmtId="167" fontId="205" fillId="111" borderId="0" xfId="815" applyFont="1" applyFill="1"/>
    <xf numFmtId="168" fontId="208" fillId="59" borderId="0" xfId="863" applyFont="1" applyFill="1"/>
    <xf numFmtId="0" fontId="295" fillId="0" borderId="0" xfId="907" applyFont="1"/>
    <xf numFmtId="43" fontId="296" fillId="0" borderId="0" xfId="43408" applyFont="1" applyFill="1" applyBorder="1"/>
    <xf numFmtId="43" fontId="295" fillId="0" borderId="0" xfId="43408" applyFont="1" applyFill="1" applyBorder="1"/>
    <xf numFmtId="167" fontId="296" fillId="0" borderId="0" xfId="815" applyFont="1" applyFill="1" applyBorder="1"/>
    <xf numFmtId="0" fontId="296" fillId="0" borderId="0" xfId="0" applyFont="1"/>
    <xf numFmtId="0" fontId="296" fillId="0" borderId="0" xfId="0" applyFont="1" applyAlignment="1">
      <alignment horizontal="left"/>
    </xf>
    <xf numFmtId="275" fontId="296" fillId="0" borderId="0" xfId="815" applyNumberFormat="1" applyFont="1" applyFill="1" applyBorder="1"/>
    <xf numFmtId="168" fontId="205" fillId="111" borderId="0" xfId="863" applyFont="1" applyFill="1"/>
    <xf numFmtId="0" fontId="295" fillId="0" borderId="20" xfId="907" applyFont="1" applyBorder="1"/>
    <xf numFmtId="217" fontId="296" fillId="0" borderId="0" xfId="847" applyNumberFormat="1" applyFont="1" applyFill="1"/>
    <xf numFmtId="43" fontId="295" fillId="0" borderId="0" xfId="43408" applyFont="1" applyFill="1"/>
    <xf numFmtId="43" fontId="295" fillId="0" borderId="29" xfId="43408" applyFont="1" applyFill="1" applyBorder="1"/>
    <xf numFmtId="0" fontId="295" fillId="0" borderId="156" xfId="907" applyFont="1" applyBorder="1"/>
    <xf numFmtId="43" fontId="205" fillId="0" borderId="0" xfId="907" applyNumberFormat="1" applyFont="1"/>
    <xf numFmtId="170" fontId="205" fillId="42" borderId="0" xfId="863" applyNumberFormat="1" applyFont="1" applyFill="1" applyBorder="1" applyAlignment="1">
      <alignment horizontal="right"/>
    </xf>
    <xf numFmtId="43" fontId="205" fillId="42" borderId="0" xfId="863" applyNumberFormat="1" applyFont="1" applyFill="1" applyAlignment="1">
      <alignment horizontal="right"/>
    </xf>
    <xf numFmtId="275" fontId="296" fillId="42" borderId="0" xfId="815" applyNumberFormat="1" applyFont="1" applyFill="1"/>
    <xf numFmtId="168" fontId="208" fillId="0" borderId="0" xfId="863" applyFont="1"/>
    <xf numFmtId="14" fontId="30" fillId="0" borderId="29" xfId="0" applyNumberFormat="1" applyFont="1" applyBorder="1"/>
    <xf numFmtId="167" fontId="205" fillId="42" borderId="0" xfId="815" applyFont="1" applyFill="1" applyBorder="1"/>
    <xf numFmtId="40" fontId="120" fillId="0" borderId="152" xfId="0" applyNumberFormat="1" applyFont="1" applyBorder="1" applyAlignment="1">
      <alignment horizontal="center" vertical="center"/>
    </xf>
    <xf numFmtId="0" fontId="30" fillId="0" borderId="156" xfId="0" applyFont="1" applyBorder="1" applyAlignment="1">
      <alignment horizontal="right"/>
    </xf>
    <xf numFmtId="0" fontId="43" fillId="0" borderId="152" xfId="43433" quotePrefix="1" applyFont="1" applyBorder="1"/>
    <xf numFmtId="43" fontId="244" fillId="0" borderId="152" xfId="43431" applyFont="1" applyBorder="1"/>
    <xf numFmtId="43" fontId="244" fillId="113" borderId="152" xfId="43431" applyFont="1" applyFill="1" applyBorder="1"/>
    <xf numFmtId="4" fontId="43" fillId="42" borderId="152" xfId="815" applyNumberFormat="1" applyFont="1" applyFill="1" applyBorder="1"/>
    <xf numFmtId="167" fontId="205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2" fillId="0" borderId="0" xfId="0" applyFont="1"/>
    <xf numFmtId="168" fontId="30" fillId="111" borderId="178" xfId="863" applyFont="1" applyFill="1" applyBorder="1"/>
    <xf numFmtId="168" fontId="30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30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4" fillId="0" borderId="152" xfId="43431" applyFont="1" applyFill="1" applyBorder="1"/>
    <xf numFmtId="168" fontId="283" fillId="0" borderId="0" xfId="863" applyFont="1" applyFill="1" applyBorder="1"/>
    <xf numFmtId="168" fontId="283" fillId="117" borderId="0" xfId="863" applyFont="1" applyFill="1" applyBorder="1"/>
    <xf numFmtId="168" fontId="283" fillId="44" borderId="0" xfId="863" applyFont="1" applyFill="1" applyBorder="1"/>
    <xf numFmtId="197" fontId="205" fillId="61" borderId="0" xfId="0" applyNumberFormat="1" applyFont="1" applyFill="1"/>
    <xf numFmtId="171" fontId="205" fillId="61" borderId="0" xfId="0" applyNumberFormat="1" applyFont="1" applyFill="1"/>
    <xf numFmtId="167" fontId="205" fillId="61" borderId="10" xfId="815" applyFont="1" applyFill="1" applyBorder="1"/>
    <xf numFmtId="167" fontId="205" fillId="61" borderId="29" xfId="815" applyFont="1" applyFill="1" applyBorder="1"/>
    <xf numFmtId="167" fontId="205" fillId="61" borderId="20" xfId="815" applyFont="1" applyFill="1" applyBorder="1"/>
    <xf numFmtId="167" fontId="205" fillId="61" borderId="0" xfId="815" applyFont="1" applyFill="1" applyBorder="1"/>
    <xf numFmtId="0" fontId="205" fillId="61" borderId="0" xfId="0" applyFont="1" applyFill="1"/>
    <xf numFmtId="0" fontId="36" fillId="0" borderId="0" xfId="2697" applyFont="1"/>
    <xf numFmtId="9" fontId="36" fillId="103" borderId="0" xfId="2697" applyNumberFormat="1" applyFont="1" applyFill="1"/>
    <xf numFmtId="0" fontId="272" fillId="101" borderId="0" xfId="2697" applyFont="1" applyFill="1"/>
    <xf numFmtId="168" fontId="30" fillId="0" borderId="0" xfId="2697" applyNumberFormat="1"/>
    <xf numFmtId="0" fontId="2" fillId="0" borderId="0" xfId="43435"/>
    <xf numFmtId="43" fontId="0" fillId="0" borderId="0" xfId="43436" applyFont="1"/>
    <xf numFmtId="277" fontId="2" fillId="0" borderId="0" xfId="43435" applyNumberFormat="1"/>
    <xf numFmtId="167" fontId="283" fillId="0" borderId="0" xfId="815" applyFont="1" applyFill="1" applyBorder="1"/>
    <xf numFmtId="168" fontId="43" fillId="41" borderId="0" xfId="863" applyFont="1" applyFill="1" applyBorder="1" applyAlignment="1">
      <alignment horizontal="right" vertical="center" wrapText="1"/>
    </xf>
    <xf numFmtId="168" fontId="43" fillId="0" borderId="0" xfId="863" applyFont="1" applyFill="1" applyBorder="1" applyAlignment="1">
      <alignment horizontal="right" vertical="center" wrapText="1"/>
    </xf>
    <xf numFmtId="0" fontId="30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3" fillId="41" borderId="0" xfId="863" applyNumberFormat="1" applyFont="1" applyFill="1" applyBorder="1"/>
    <xf numFmtId="4" fontId="205" fillId="0" borderId="0" xfId="0" applyNumberFormat="1" applyFont="1"/>
    <xf numFmtId="171" fontId="117" fillId="0" borderId="0" xfId="2697" applyNumberFormat="1" applyFont="1" applyAlignment="1">
      <alignment horizontal="center" vertical="center" wrapText="1"/>
    </xf>
    <xf numFmtId="0" fontId="304" fillId="0" borderId="0" xfId="0" applyFont="1"/>
    <xf numFmtId="270" fontId="43" fillId="118" borderId="178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8" fontId="43" fillId="0" borderId="0" xfId="863" applyFont="1" applyFill="1" applyBorder="1"/>
    <xf numFmtId="269" fontId="43" fillId="0" borderId="0" xfId="2697" applyNumberFormat="1" applyFont="1" applyAlignment="1">
      <alignment vertical="center"/>
    </xf>
    <xf numFmtId="271" fontId="43" fillId="0" borderId="0" xfId="2697" applyNumberFormat="1" applyFont="1" applyAlignment="1">
      <alignment vertical="center"/>
    </xf>
    <xf numFmtId="270" fontId="110" fillId="0" borderId="0" xfId="43183" applyNumberFormat="1" applyFont="1" applyFill="1" applyBorder="1" applyAlignment="1">
      <alignment vertical="center"/>
    </xf>
    <xf numFmtId="0" fontId="250" fillId="0" borderId="0" xfId="0" applyFont="1"/>
    <xf numFmtId="0" fontId="250" fillId="0" borderId="0" xfId="0" applyFont="1" applyAlignment="1">
      <alignment vertical="center"/>
    </xf>
    <xf numFmtId="0" fontId="250" fillId="118" borderId="0" xfId="0" applyFont="1" applyFill="1" applyAlignment="1">
      <alignment vertical="center"/>
    </xf>
    <xf numFmtId="174" fontId="250" fillId="118" borderId="0" xfId="0" applyNumberFormat="1" applyFont="1" applyFill="1" applyAlignment="1">
      <alignment vertical="center"/>
    </xf>
    <xf numFmtId="0" fontId="250" fillId="0" borderId="0" xfId="907" applyFont="1"/>
    <xf numFmtId="168" fontId="250" fillId="0" borderId="0" xfId="863" applyFont="1"/>
    <xf numFmtId="0" fontId="251" fillId="0" borderId="0" xfId="907" applyFont="1"/>
    <xf numFmtId="0" fontId="205" fillId="0" borderId="0" xfId="0" applyFont="1" applyAlignment="1">
      <alignment vertical="center"/>
    </xf>
    <xf numFmtId="14" fontId="250" fillId="118" borderId="0" xfId="0" applyNumberFormat="1" applyFont="1" applyFill="1" applyAlignment="1">
      <alignment vertical="center"/>
    </xf>
    <xf numFmtId="0" fontId="43" fillId="33" borderId="0" xfId="43437" applyFont="1" applyFill="1" applyAlignment="1">
      <alignment vertical="center"/>
    </xf>
    <xf numFmtId="0" fontId="43" fillId="33" borderId="0" xfId="43437" applyFont="1" applyFill="1" applyAlignment="1">
      <alignment vertical="center" wrapText="1"/>
    </xf>
    <xf numFmtId="0" fontId="305" fillId="33" borderId="178" xfId="43437" applyFont="1" applyFill="1" applyBorder="1" applyAlignment="1">
      <alignment horizontal="left" vertical="center"/>
    </xf>
    <xf numFmtId="0" fontId="250" fillId="33" borderId="178" xfId="43437" applyFont="1" applyFill="1" applyBorder="1" applyAlignment="1">
      <alignment vertical="center" wrapText="1"/>
    </xf>
    <xf numFmtId="0" fontId="43" fillId="33" borderId="178" xfId="43437" applyFont="1" applyFill="1" applyBorder="1" applyAlignment="1">
      <alignment vertical="center"/>
    </xf>
    <xf numFmtId="0" fontId="250" fillId="33" borderId="178" xfId="43437" applyFont="1" applyFill="1" applyBorder="1" applyAlignment="1">
      <alignment horizontal="right" vertical="center"/>
    </xf>
    <xf numFmtId="10" fontId="250" fillId="33" borderId="178" xfId="847" applyNumberFormat="1" applyFont="1" applyFill="1" applyBorder="1" applyAlignment="1">
      <alignment vertical="center"/>
    </xf>
    <xf numFmtId="0" fontId="250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0" fillId="33" borderId="0" xfId="43437" applyFont="1" applyFill="1" applyAlignment="1">
      <alignment vertical="center" wrapText="1"/>
    </xf>
    <xf numFmtId="0" fontId="250" fillId="33" borderId="0" xfId="43437" applyFont="1" applyFill="1" applyAlignment="1">
      <alignment horizontal="right" vertical="center"/>
    </xf>
    <xf numFmtId="10" fontId="250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8" fontId="250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0" fillId="101" borderId="178" xfId="43438" applyFont="1" applyFill="1" applyBorder="1" applyAlignment="1">
      <alignment horizontal="center" vertical="center" wrapText="1"/>
    </xf>
    <xf numFmtId="170" fontId="250" fillId="33" borderId="0" xfId="863" applyNumberFormat="1" applyFont="1" applyFill="1" applyAlignment="1">
      <alignment vertical="center"/>
    </xf>
    <xf numFmtId="0" fontId="250" fillId="0" borderId="0" xfId="43437" quotePrefix="1" applyFont="1" applyAlignment="1">
      <alignment horizontal="left" vertical="center"/>
    </xf>
    <xf numFmtId="278" fontId="250" fillId="41" borderId="0" xfId="43439" applyNumberFormat="1" applyFont="1" applyFill="1" applyBorder="1" applyAlignment="1">
      <alignment vertical="center" wrapText="1"/>
    </xf>
    <xf numFmtId="0" fontId="250" fillId="0" borderId="10" xfId="43437" quotePrefix="1" applyFont="1" applyBorder="1" applyAlignment="1">
      <alignment horizontal="left" vertical="center"/>
    </xf>
    <xf numFmtId="170" fontId="250" fillId="41" borderId="10" xfId="863" applyNumberFormat="1" applyFont="1" applyFill="1" applyBorder="1" applyAlignment="1">
      <alignment vertical="center"/>
    </xf>
    <xf numFmtId="170" fontId="250" fillId="42" borderId="10" xfId="863" applyNumberFormat="1" applyFont="1" applyFill="1" applyBorder="1" applyAlignment="1">
      <alignment vertical="center"/>
    </xf>
    <xf numFmtId="0" fontId="251" fillId="60" borderId="178" xfId="43437" quotePrefix="1" applyFont="1" applyFill="1" applyBorder="1" applyAlignment="1">
      <alignment horizontal="left" vertical="center"/>
    </xf>
    <xf numFmtId="278" fontId="251" fillId="60" borderId="178" xfId="43439" applyNumberFormat="1" applyFont="1" applyFill="1" applyBorder="1" applyAlignment="1">
      <alignment vertical="center" wrapText="1"/>
    </xf>
    <xf numFmtId="170" fontId="250" fillId="41" borderId="0" xfId="863" applyNumberFormat="1" applyFont="1" applyFill="1" applyBorder="1" applyAlignment="1">
      <alignment vertical="center"/>
    </xf>
    <xf numFmtId="170" fontId="250" fillId="0" borderId="0" xfId="863" applyNumberFormat="1" applyFont="1" applyFill="1" applyBorder="1" applyAlignment="1">
      <alignment vertical="center"/>
    </xf>
    <xf numFmtId="0" fontId="43" fillId="0" borderId="0" xfId="2697" applyFont="1" applyAlignment="1">
      <alignment vertical="center" wrapText="1"/>
    </xf>
    <xf numFmtId="0" fontId="313" fillId="0" borderId="0" xfId="0" applyFont="1"/>
    <xf numFmtId="0" fontId="314" fillId="55" borderId="185" xfId="0" applyFont="1" applyFill="1" applyBorder="1" applyAlignment="1">
      <alignment vertical="center"/>
    </xf>
    <xf numFmtId="14" fontId="250" fillId="0" borderId="20" xfId="0" applyNumberFormat="1" applyFont="1" applyBorder="1" applyAlignment="1">
      <alignment horizontal="left" vertical="center"/>
    </xf>
    <xf numFmtId="167" fontId="250" fillId="0" borderId="0" xfId="815" applyFont="1" applyBorder="1" applyAlignment="1">
      <alignment vertical="center"/>
    </xf>
    <xf numFmtId="170" fontId="250" fillId="0" borderId="10" xfId="863" applyNumberFormat="1" applyFont="1" applyBorder="1" applyAlignment="1">
      <alignment vertical="center"/>
    </xf>
    <xf numFmtId="272" fontId="250" fillId="0" borderId="10" xfId="863" applyNumberFormat="1" applyFont="1" applyBorder="1" applyAlignment="1">
      <alignment vertical="center"/>
    </xf>
    <xf numFmtId="14" fontId="251" fillId="56" borderId="156" xfId="834" applyNumberFormat="1" applyFont="1" applyFill="1" applyBorder="1" applyAlignment="1" applyProtection="1">
      <alignment horizontal="left" vertical="center"/>
    </xf>
    <xf numFmtId="170" fontId="251" fillId="41" borderId="0" xfId="863" applyNumberFormat="1" applyFont="1" applyFill="1" applyBorder="1" applyAlignment="1">
      <alignment vertical="center"/>
    </xf>
    <xf numFmtId="170" fontId="250" fillId="33" borderId="0" xfId="863" applyNumberFormat="1" applyFont="1" applyFill="1" applyBorder="1" applyAlignment="1">
      <alignment vertical="center"/>
    </xf>
    <xf numFmtId="170" fontId="250" fillId="0" borderId="20" xfId="863" applyNumberFormat="1" applyFont="1" applyBorder="1" applyAlignment="1">
      <alignment vertical="center"/>
    </xf>
    <xf numFmtId="170" fontId="250" fillId="0" borderId="156" xfId="863" applyNumberFormat="1" applyFont="1" applyBorder="1" applyAlignment="1">
      <alignment vertical="center"/>
    </xf>
    <xf numFmtId="170" fontId="250" fillId="0" borderId="29" xfId="863" applyNumberFormat="1" applyFont="1" applyBorder="1" applyAlignment="1">
      <alignment vertical="center"/>
    </xf>
    <xf numFmtId="272" fontId="250" fillId="0" borderId="0" xfId="863" applyNumberFormat="1" applyFont="1" applyBorder="1" applyAlignment="1">
      <alignment vertical="center"/>
    </xf>
    <xf numFmtId="14" fontId="313" fillId="118" borderId="0" xfId="0" applyNumberFormat="1" applyFont="1" applyFill="1" applyAlignment="1">
      <alignment vertical="center"/>
    </xf>
    <xf numFmtId="174" fontId="313" fillId="118" borderId="0" xfId="0" applyNumberFormat="1" applyFont="1" applyFill="1" applyAlignment="1">
      <alignment vertical="center"/>
    </xf>
    <xf numFmtId="0" fontId="249" fillId="0" borderId="0" xfId="0" applyFont="1"/>
    <xf numFmtId="14" fontId="249" fillId="118" borderId="0" xfId="0" applyNumberFormat="1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2" fillId="122" borderId="0" xfId="0" applyFont="1" applyFill="1"/>
    <xf numFmtId="3" fontId="0" fillId="0" borderId="0" xfId="43169" applyFont="1"/>
    <xf numFmtId="0" fontId="30" fillId="0" borderId="152" xfId="0" applyFont="1" applyBorder="1" applyAlignment="1">
      <alignment horizontal="center" vertical="center"/>
    </xf>
    <xf numFmtId="170" fontId="250" fillId="0" borderId="0" xfId="863" applyNumberFormat="1" applyFont="1" applyAlignment="1">
      <alignment vertical="center"/>
    </xf>
    <xf numFmtId="170" fontId="250" fillId="0" borderId="0" xfId="863" applyNumberFormat="1" applyFont="1" applyBorder="1" applyAlignment="1">
      <alignment vertical="center"/>
    </xf>
    <xf numFmtId="0" fontId="283" fillId="33" borderId="0" xfId="829" applyFont="1" applyFill="1" applyAlignment="1">
      <alignment horizontal="center"/>
    </xf>
    <xf numFmtId="168" fontId="283" fillId="0" borderId="0" xfId="863" applyFont="1" applyAlignment="1">
      <alignment horizontal="center"/>
    </xf>
    <xf numFmtId="10" fontId="283" fillId="0" borderId="0" xfId="847" applyNumberFormat="1" applyFont="1" applyAlignment="1">
      <alignment horizontal="center"/>
    </xf>
    <xf numFmtId="0" fontId="283" fillId="0" borderId="0" xfId="0" applyFont="1" applyAlignment="1">
      <alignment horizontal="center"/>
    </xf>
    <xf numFmtId="10" fontId="283" fillId="117" borderId="0" xfId="847" applyNumberFormat="1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10" fontId="205" fillId="0" borderId="0" xfId="847" applyNumberFormat="1" applyFont="1" applyAlignment="1">
      <alignment horizontal="center"/>
    </xf>
    <xf numFmtId="167" fontId="282" fillId="123" borderId="0" xfId="5583" applyNumberFormat="1" applyFont="1" applyFill="1" applyBorder="1" applyAlignment="1">
      <alignment vertical="center"/>
    </xf>
    <xf numFmtId="167" fontId="282" fillId="0" borderId="0" xfId="5583" applyNumberFormat="1" applyFont="1" applyFill="1" applyBorder="1" applyAlignment="1">
      <alignment vertical="center"/>
    </xf>
    <xf numFmtId="3" fontId="250" fillId="0" borderId="0" xfId="43169" applyFont="1"/>
    <xf numFmtId="174" fontId="250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4" borderId="0" xfId="0" applyNumberFormat="1" applyFill="1"/>
    <xf numFmtId="281" fontId="315" fillId="0" borderId="186" xfId="863" applyNumberFormat="1" applyFont="1" applyFill="1" applyBorder="1" applyAlignment="1">
      <alignment vertical="center"/>
    </xf>
    <xf numFmtId="0" fontId="43" fillId="41" borderId="0" xfId="36379" applyFont="1" applyFill="1" applyAlignment="1">
      <alignment horizontal="center"/>
    </xf>
    <xf numFmtId="9" fontId="43" fillId="0" borderId="0" xfId="847" applyFont="1" applyFill="1"/>
    <xf numFmtId="10" fontId="205" fillId="0" borderId="178" xfId="847" applyNumberFormat="1" applyFont="1" applyFill="1" applyBorder="1" applyAlignment="1">
      <alignment horizontal="right"/>
    </xf>
    <xf numFmtId="165" fontId="205" fillId="0" borderId="166" xfId="815" applyNumberFormat="1" applyFont="1" applyBorder="1" applyAlignment="1">
      <alignment horizontal="left"/>
    </xf>
    <xf numFmtId="10" fontId="205" fillId="0" borderId="166" xfId="847" applyNumberFormat="1" applyFont="1" applyFill="1" applyBorder="1" applyAlignment="1">
      <alignment horizontal="right"/>
    </xf>
    <xf numFmtId="0" fontId="316" fillId="41" borderId="0" xfId="36379" applyFont="1" applyFill="1"/>
    <xf numFmtId="0" fontId="316" fillId="41" borderId="0" xfId="36379" applyFont="1" applyFill="1" applyAlignment="1">
      <alignment horizontal="center"/>
    </xf>
    <xf numFmtId="9" fontId="260" fillId="38" borderId="0" xfId="1823" applyFont="1" applyFill="1" applyBorder="1" applyAlignment="1">
      <alignment horizontal="center" vertical="center" wrapText="1"/>
    </xf>
    <xf numFmtId="9" fontId="250" fillId="41" borderId="0" xfId="1823" applyFont="1" applyFill="1" applyBorder="1" applyAlignment="1">
      <alignment horizontal="left" vertical="center" wrapText="1"/>
    </xf>
    <xf numFmtId="43" fontId="250" fillId="41" borderId="0" xfId="43199" applyFont="1" applyFill="1" applyBorder="1" applyAlignment="1">
      <alignment horizontal="center" vertical="center" wrapText="1"/>
    </xf>
    <xf numFmtId="262" fontId="250" fillId="41" borderId="0" xfId="1823" applyNumberFormat="1" applyFont="1" applyFill="1" applyBorder="1" applyAlignment="1">
      <alignment horizontal="center" vertical="center" wrapText="1"/>
    </xf>
    <xf numFmtId="0" fontId="250" fillId="33" borderId="0" xfId="905" applyFont="1" applyFill="1"/>
    <xf numFmtId="262" fontId="250" fillId="41" borderId="0" xfId="907" applyNumberFormat="1" applyFont="1" applyFill="1"/>
    <xf numFmtId="262" fontId="250" fillId="33" borderId="0" xfId="905" applyNumberFormat="1" applyFont="1" applyFill="1"/>
    <xf numFmtId="37" fontId="250" fillId="41" borderId="0" xfId="905" applyNumberFormat="1" applyFont="1" applyFill="1" applyAlignment="1">
      <alignment horizontal="left"/>
    </xf>
    <xf numFmtId="168" fontId="250" fillId="41" borderId="0" xfId="863" applyFont="1" applyFill="1" applyBorder="1" applyAlignment="1">
      <alignment horizontal="center" vertical="center" wrapText="1"/>
    </xf>
    <xf numFmtId="262" fontId="250" fillId="41" borderId="0" xfId="847" applyNumberFormat="1" applyFont="1" applyFill="1" applyBorder="1" applyAlignment="1">
      <alignment horizontal="center" vertical="center" wrapText="1"/>
    </xf>
    <xf numFmtId="0" fontId="250" fillId="41" borderId="0" xfId="907" applyFont="1" applyFill="1"/>
    <xf numFmtId="168" fontId="250" fillId="41" borderId="0" xfId="863" applyFont="1" applyFill="1" applyBorder="1"/>
    <xf numFmtId="9" fontId="260" fillId="38" borderId="0" xfId="1095" applyFont="1" applyFill="1" applyBorder="1" applyAlignment="1">
      <alignment horizontal="center" vertical="center" wrapText="1"/>
    </xf>
    <xf numFmtId="43" fontId="250" fillId="0" borderId="0" xfId="43199" applyFont="1" applyAlignment="1">
      <alignment vertical="center"/>
    </xf>
    <xf numFmtId="168" fontId="250" fillId="0" borderId="0" xfId="863" applyFont="1" applyAlignment="1">
      <alignment vertical="center"/>
    </xf>
    <xf numFmtId="270" fontId="43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2" fillId="0" borderId="178" xfId="907" applyFont="1" applyBorder="1" applyAlignment="1">
      <alignment horizontal="left"/>
    </xf>
    <xf numFmtId="0" fontId="205" fillId="33" borderId="178" xfId="829" applyFont="1" applyFill="1" applyBorder="1"/>
    <xf numFmtId="174" fontId="211" fillId="0" borderId="178" xfId="0" applyNumberFormat="1" applyFont="1" applyBorder="1" applyAlignment="1">
      <alignment horizontal="left"/>
    </xf>
    <xf numFmtId="10" fontId="211" fillId="0" borderId="178" xfId="0" applyNumberFormat="1" applyFont="1" applyBorder="1" applyAlignment="1">
      <alignment horizontal="right"/>
    </xf>
    <xf numFmtId="0" fontId="208" fillId="0" borderId="178" xfId="0" applyFont="1" applyBorder="1"/>
    <xf numFmtId="0" fontId="212" fillId="43" borderId="144" xfId="0" applyFont="1" applyFill="1" applyBorder="1" applyAlignment="1">
      <alignment horizontal="left"/>
    </xf>
    <xf numFmtId="168" fontId="208" fillId="45" borderId="144" xfId="863" applyFont="1" applyFill="1" applyBorder="1"/>
    <xf numFmtId="0" fontId="30" fillId="111" borderId="166" xfId="0" applyFont="1" applyFill="1" applyBorder="1" applyAlignment="1">
      <alignment horizontal="center"/>
    </xf>
    <xf numFmtId="0" fontId="30" fillId="111" borderId="166" xfId="0" applyFont="1" applyFill="1" applyBorder="1"/>
    <xf numFmtId="14" fontId="30" fillId="111" borderId="166" xfId="0" applyNumberFormat="1" applyFont="1" applyFill="1" applyBorder="1"/>
    <xf numFmtId="0" fontId="205" fillId="41" borderId="166" xfId="0" applyFont="1" applyFill="1" applyBorder="1" applyAlignment="1" applyProtection="1">
      <alignment horizontal="left"/>
      <protection hidden="1"/>
    </xf>
    <xf numFmtId="165" fontId="205" fillId="45" borderId="166" xfId="863" applyNumberFormat="1" applyFont="1" applyFill="1" applyBorder="1"/>
    <xf numFmtId="0" fontId="205" fillId="41" borderId="178" xfId="0" applyFont="1" applyFill="1" applyBorder="1" applyAlignment="1" applyProtection="1">
      <alignment horizontal="left"/>
      <protection hidden="1"/>
    </xf>
    <xf numFmtId="165" fontId="205" fillId="45" borderId="178" xfId="863" applyNumberFormat="1" applyFont="1" applyFill="1" applyBorder="1"/>
    <xf numFmtId="165" fontId="212" fillId="43" borderId="144" xfId="863" applyNumberFormat="1" applyFont="1" applyFill="1" applyBorder="1"/>
    <xf numFmtId="165" fontId="208" fillId="45" borderId="144" xfId="863" applyNumberFormat="1" applyFont="1" applyFill="1" applyBorder="1"/>
    <xf numFmtId="168" fontId="208" fillId="0" borderId="178" xfId="863" applyFont="1" applyBorder="1"/>
    <xf numFmtId="0" fontId="212" fillId="43" borderId="166" xfId="0" applyFont="1" applyFill="1" applyBorder="1" applyAlignment="1">
      <alignment horizontal="left"/>
    </xf>
    <xf numFmtId="10" fontId="205" fillId="45" borderId="166" xfId="847" applyNumberFormat="1" applyFont="1" applyFill="1" applyBorder="1"/>
    <xf numFmtId="0" fontId="212" fillId="43" borderId="178" xfId="0" applyFont="1" applyFill="1" applyBorder="1" applyAlignment="1">
      <alignment horizontal="left"/>
    </xf>
    <xf numFmtId="10" fontId="205" fillId="61" borderId="178" xfId="847" applyNumberFormat="1" applyFont="1" applyFill="1" applyBorder="1"/>
    <xf numFmtId="168" fontId="205" fillId="45" borderId="166" xfId="863" applyFont="1" applyFill="1" applyBorder="1"/>
    <xf numFmtId="168" fontId="205" fillId="45" borderId="178" xfId="863" applyFont="1" applyFill="1" applyBorder="1"/>
    <xf numFmtId="14" fontId="30" fillId="0" borderId="166" xfId="0" applyNumberFormat="1" applyFont="1" applyBorder="1"/>
    <xf numFmtId="14" fontId="30" fillId="111" borderId="178" xfId="0" applyNumberFormat="1" applyFont="1" applyFill="1" applyBorder="1"/>
    <xf numFmtId="0" fontId="30" fillId="111" borderId="178" xfId="0" applyFont="1" applyFill="1" applyBorder="1" applyAlignment="1">
      <alignment horizontal="center"/>
    </xf>
    <xf numFmtId="0" fontId="30" fillId="111" borderId="178" xfId="0" applyFont="1" applyFill="1" applyBorder="1"/>
    <xf numFmtId="14" fontId="30" fillId="111" borderId="166" xfId="0" applyNumberFormat="1" applyFont="1" applyFill="1" applyBorder="1" applyAlignment="1">
      <alignment horizontal="right"/>
    </xf>
    <xf numFmtId="14" fontId="30" fillId="111" borderId="178" xfId="0" applyNumberFormat="1" applyFont="1" applyFill="1" applyBorder="1" applyAlignment="1">
      <alignment horizontal="right"/>
    </xf>
    <xf numFmtId="0" fontId="273" fillId="0" borderId="178" xfId="907" applyFont="1" applyBorder="1" applyAlignment="1">
      <alignment horizontal="left"/>
    </xf>
    <xf numFmtId="0" fontId="43" fillId="33" borderId="178" xfId="829" applyFont="1" applyFill="1" applyBorder="1"/>
    <xf numFmtId="0" fontId="36" fillId="33" borderId="152" xfId="834" applyFont="1" applyFill="1" applyBorder="1" applyAlignment="1" applyProtection="1">
      <alignment horizontal="center" vertical="center" wrapText="1"/>
    </xf>
    <xf numFmtId="171" fontId="30" fillId="0" borderId="152" xfId="863" applyNumberFormat="1" applyFont="1" applyFill="1" applyBorder="1" applyAlignment="1">
      <alignment horizontal="center"/>
    </xf>
    <xf numFmtId="171" fontId="30" fillId="0" borderId="152" xfId="863" applyNumberFormat="1" applyFont="1" applyBorder="1" applyAlignment="1">
      <alignment horizontal="center"/>
    </xf>
    <xf numFmtId="171" fontId="30" fillId="103" borderId="152" xfId="863" applyNumberFormat="1" applyFont="1" applyFill="1" applyBorder="1" applyAlignment="1">
      <alignment horizontal="center"/>
    </xf>
    <xf numFmtId="0" fontId="36" fillId="61" borderId="152" xfId="907" applyFont="1" applyFill="1" applyBorder="1" applyAlignment="1">
      <alignment horizontal="center" vertical="center"/>
    </xf>
    <xf numFmtId="0" fontId="36" fillId="61" borderId="152" xfId="907" applyFont="1" applyFill="1" applyBorder="1" applyAlignment="1">
      <alignment horizontal="center" vertical="center" wrapText="1"/>
    </xf>
    <xf numFmtId="0" fontId="30" fillId="60" borderId="166" xfId="0" applyFont="1" applyFill="1" applyBorder="1" applyAlignment="1">
      <alignment horizontal="right"/>
    </xf>
    <xf numFmtId="0" fontId="279" fillId="96" borderId="155" xfId="0" applyFont="1" applyFill="1" applyBorder="1" applyAlignment="1">
      <alignment vertical="center"/>
    </xf>
    <xf numFmtId="14" fontId="30" fillId="0" borderId="178" xfId="0" applyNumberFormat="1" applyFont="1" applyBorder="1" applyAlignment="1">
      <alignment horizontal="right"/>
    </xf>
    <xf numFmtId="0" fontId="30" fillId="0" borderId="146" xfId="0" applyFont="1" applyBorder="1" applyAlignment="1">
      <alignment horizontal="center"/>
    </xf>
    <xf numFmtId="1" fontId="30" fillId="0" borderId="166" xfId="815" applyNumberFormat="1" applyFont="1" applyFill="1" applyBorder="1" applyAlignment="1"/>
    <xf numFmtId="170" fontId="30" fillId="0" borderId="166" xfId="863" applyNumberFormat="1" applyFont="1" applyFill="1" applyBorder="1" applyAlignment="1">
      <alignment horizontal="left"/>
    </xf>
    <xf numFmtId="0" fontId="30" fillId="0" borderId="154" xfId="0" applyFont="1" applyBorder="1"/>
    <xf numFmtId="10" fontId="30" fillId="0" borderId="178" xfId="847" applyNumberFormat="1" applyFont="1" applyFill="1" applyBorder="1" applyAlignment="1"/>
    <xf numFmtId="0" fontId="276" fillId="0" borderId="178" xfId="0" applyFont="1" applyBorder="1"/>
    <xf numFmtId="0" fontId="43" fillId="0" borderId="178" xfId="0" applyFont="1" applyBorder="1"/>
    <xf numFmtId="43" fontId="43" fillId="0" borderId="178" xfId="0" applyNumberFormat="1" applyFont="1" applyBorder="1"/>
    <xf numFmtId="43" fontId="277" fillId="0" borderId="178" xfId="0" applyNumberFormat="1" applyFont="1" applyBorder="1"/>
    <xf numFmtId="2" fontId="276" fillId="0" borderId="178" xfId="0" applyNumberFormat="1" applyFont="1" applyBorder="1"/>
    <xf numFmtId="14" fontId="276" fillId="0" borderId="178" xfId="0" applyNumberFormat="1" applyFont="1" applyBorder="1"/>
    <xf numFmtId="10" fontId="30" fillId="61" borderId="166" xfId="847" applyNumberFormat="1" applyFont="1" applyFill="1" applyBorder="1" applyAlignment="1">
      <alignment horizontal="right"/>
    </xf>
    <xf numFmtId="167" fontId="30" fillId="111" borderId="166" xfId="815" applyFont="1" applyFill="1" applyBorder="1" applyAlignment="1"/>
    <xf numFmtId="10" fontId="30" fillId="44" borderId="178" xfId="847" applyNumberFormat="1" applyFont="1" applyFill="1" applyBorder="1" applyAlignment="1">
      <alignment horizontal="right"/>
    </xf>
    <xf numFmtId="0" fontId="30" fillId="42" borderId="166" xfId="907" applyFill="1" applyBorder="1"/>
    <xf numFmtId="10" fontId="30" fillId="42" borderId="166" xfId="847" applyNumberFormat="1" applyFont="1" applyFill="1" applyBorder="1" applyAlignment="1">
      <alignment horizontal="right"/>
    </xf>
    <xf numFmtId="167" fontId="30" fillId="111" borderId="178" xfId="815" applyFont="1" applyFill="1" applyBorder="1" applyAlignment="1"/>
    <xf numFmtId="0" fontId="30" fillId="0" borderId="166" xfId="0" applyFont="1" applyBorder="1" applyAlignment="1">
      <alignment horizontal="left"/>
    </xf>
    <xf numFmtId="0" fontId="36" fillId="42" borderId="178" xfId="0" applyFont="1" applyFill="1" applyBorder="1"/>
    <xf numFmtId="0" fontId="30" fillId="42" borderId="178" xfId="0" applyFont="1" applyFill="1" applyBorder="1"/>
    <xf numFmtId="168" fontId="30" fillId="41" borderId="166" xfId="863" applyFont="1" applyFill="1" applyBorder="1" applyAlignment="1"/>
    <xf numFmtId="168" fontId="30" fillId="41" borderId="178" xfId="863" applyFont="1" applyFill="1" applyBorder="1" applyAlignment="1"/>
    <xf numFmtId="0" fontId="30" fillId="0" borderId="178" xfId="0" applyFont="1" applyBorder="1" applyAlignment="1">
      <alignment horizontal="left"/>
    </xf>
    <xf numFmtId="168" fontId="30" fillId="0" borderId="178" xfId="863" applyFont="1" applyFill="1" applyBorder="1" applyAlignment="1"/>
    <xf numFmtId="168" fontId="30" fillId="44" borderId="178" xfId="863" applyFont="1" applyFill="1" applyBorder="1" applyAlignment="1">
      <alignment horizontal="right"/>
    </xf>
    <xf numFmtId="10" fontId="30" fillId="111" borderId="166" xfId="847" applyNumberFormat="1" applyFont="1" applyFill="1" applyBorder="1" applyAlignment="1">
      <alignment horizontal="right"/>
    </xf>
    <xf numFmtId="170" fontId="30" fillId="0" borderId="166" xfId="0" applyNumberFormat="1" applyFont="1" applyBorder="1"/>
    <xf numFmtId="168" fontId="30" fillId="0" borderId="166" xfId="863" applyFont="1" applyFill="1" applyBorder="1" applyAlignment="1"/>
    <xf numFmtId="10" fontId="30" fillId="111" borderId="178" xfId="847" applyNumberFormat="1" applyFont="1" applyFill="1" applyBorder="1" applyAlignment="1">
      <alignment horizontal="right"/>
    </xf>
    <xf numFmtId="168" fontId="30" fillId="0" borderId="144" xfId="863" applyFont="1" applyFill="1" applyBorder="1" applyAlignment="1">
      <alignment horizontal="left"/>
    </xf>
    <xf numFmtId="268" fontId="30" fillId="0" borderId="166" xfId="847" applyNumberFormat="1" applyFont="1" applyFill="1" applyBorder="1" applyAlignment="1">
      <alignment horizontal="left"/>
    </xf>
    <xf numFmtId="10" fontId="30" fillId="0" borderId="166" xfId="847" applyNumberFormat="1" applyFont="1" applyFill="1" applyBorder="1" applyAlignment="1"/>
    <xf numFmtId="10" fontId="30" fillId="0" borderId="178" xfId="847" applyNumberFormat="1" applyFont="1" applyFill="1" applyBorder="1" applyAlignment="1">
      <alignment horizontal="left"/>
    </xf>
    <xf numFmtId="167" fontId="30" fillId="0" borderId="166" xfId="815" applyFont="1" applyFill="1" applyBorder="1" applyAlignment="1">
      <alignment horizontal="left"/>
    </xf>
    <xf numFmtId="167" fontId="30" fillId="0" borderId="178" xfId="815" applyFont="1" applyFill="1" applyBorder="1" applyAlignment="1">
      <alignment horizontal="left"/>
    </xf>
    <xf numFmtId="165" fontId="30" fillId="0" borderId="144" xfId="863" applyNumberFormat="1" applyFont="1" applyFill="1" applyBorder="1"/>
    <xf numFmtId="0" fontId="272" fillId="43" borderId="152" xfId="0" applyFont="1" applyFill="1" applyBorder="1" applyAlignment="1">
      <alignment horizontal="center" vertical="center" wrapText="1"/>
    </xf>
    <xf numFmtId="0" fontId="36" fillId="59" borderId="144" xfId="907" applyFont="1" applyFill="1" applyBorder="1"/>
    <xf numFmtId="0" fontId="30" fillId="59" borderId="144" xfId="907" applyFill="1" applyBorder="1" applyAlignment="1">
      <alignment horizontal="center"/>
    </xf>
    <xf numFmtId="171" fontId="30" fillId="111" borderId="144" xfId="907" applyNumberFormat="1" applyFill="1" applyBorder="1" applyAlignment="1">
      <alignment horizontal="left"/>
    </xf>
    <xf numFmtId="168" fontId="36" fillId="59" borderId="149" xfId="863" applyFont="1" applyFill="1" applyBorder="1"/>
    <xf numFmtId="14" fontId="30" fillId="59" borderId="152" xfId="863" applyNumberFormat="1" applyFont="1" applyFill="1" applyBorder="1"/>
    <xf numFmtId="14" fontId="30" fillId="59" borderId="152" xfId="847" applyNumberFormat="1" applyFont="1" applyFill="1" applyBorder="1" applyAlignment="1">
      <alignment horizontal="center"/>
    </xf>
    <xf numFmtId="168" fontId="30" fillId="111" borderId="144" xfId="863" applyFont="1" applyFill="1" applyBorder="1" applyAlignment="1">
      <alignment horizontal="left"/>
    </xf>
    <xf numFmtId="230" fontId="30" fillId="111" borderId="144" xfId="863" applyNumberFormat="1" applyFont="1" applyFill="1" applyBorder="1" applyAlignment="1">
      <alignment horizontal="left"/>
    </xf>
    <xf numFmtId="3" fontId="30" fillId="111" borderId="166" xfId="863" applyNumberFormat="1" applyFont="1" applyFill="1" applyBorder="1" applyAlignment="1">
      <alignment horizontal="left"/>
    </xf>
    <xf numFmtId="230" fontId="30" fillId="111" borderId="166" xfId="0" applyNumberFormat="1" applyFont="1" applyFill="1" applyBorder="1"/>
    <xf numFmtId="10" fontId="30" fillId="42" borderId="166" xfId="847" applyNumberFormat="1" applyFont="1" applyFill="1" applyBorder="1" applyAlignment="1">
      <alignment horizontal="left"/>
    </xf>
    <xf numFmtId="230" fontId="30" fillId="42" borderId="166" xfId="863" applyNumberFormat="1" applyFont="1" applyFill="1" applyBorder="1" applyAlignment="1">
      <alignment horizontal="left"/>
    </xf>
    <xf numFmtId="10" fontId="30" fillId="42" borderId="178" xfId="847" applyNumberFormat="1" applyFont="1" applyFill="1" applyBorder="1" applyAlignment="1">
      <alignment horizontal="left"/>
    </xf>
    <xf numFmtId="230" fontId="30" fillId="42" borderId="178" xfId="863" applyNumberFormat="1" applyFont="1" applyFill="1" applyBorder="1" applyAlignment="1">
      <alignment horizontal="left"/>
    </xf>
    <xf numFmtId="0" fontId="30" fillId="111" borderId="178" xfId="0" applyFont="1" applyFill="1" applyBorder="1" applyAlignment="1">
      <alignment horizontal="left"/>
    </xf>
    <xf numFmtId="230" fontId="30" fillId="111" borderId="178" xfId="0" applyNumberFormat="1" applyFont="1" applyFill="1" applyBorder="1"/>
    <xf numFmtId="0" fontId="110" fillId="58" borderId="149" xfId="834" applyFont="1" applyFill="1" applyBorder="1" applyAlignment="1" applyProtection="1">
      <alignment horizontal="left" vertical="center"/>
    </xf>
    <xf numFmtId="0" fontId="110" fillId="56" borderId="149" xfId="834" applyFont="1" applyFill="1" applyBorder="1" applyAlignment="1" applyProtection="1">
      <alignment horizontal="left" vertical="center"/>
    </xf>
    <xf numFmtId="14" fontId="110" fillId="56" borderId="148" xfId="834" applyNumberFormat="1" applyFont="1" applyFill="1" applyBorder="1" applyAlignment="1" applyProtection="1">
      <alignment horizontal="left" vertical="center"/>
    </xf>
    <xf numFmtId="0" fontId="281" fillId="0" borderId="178" xfId="907" applyFont="1" applyBorder="1" applyAlignment="1">
      <alignment horizontal="left"/>
    </xf>
    <xf numFmtId="0" fontId="229" fillId="33" borderId="178" xfId="829" applyFont="1" applyFill="1" applyBorder="1"/>
    <xf numFmtId="0" fontId="205" fillId="60" borderId="166" xfId="0" applyFont="1" applyFill="1" applyBorder="1" applyAlignment="1" applyProtection="1">
      <alignment horizontal="left" wrapText="1"/>
      <protection hidden="1"/>
    </xf>
    <xf numFmtId="167" fontId="205" fillId="0" borderId="166" xfId="815" applyFont="1" applyBorder="1"/>
    <xf numFmtId="0" fontId="208" fillId="114" borderId="178" xfId="0" applyFont="1" applyFill="1" applyBorder="1" applyAlignment="1" applyProtection="1">
      <alignment horizontal="left" wrapText="1"/>
      <protection hidden="1"/>
    </xf>
    <xf numFmtId="262" fontId="208" fillId="0" borderId="178" xfId="847" applyNumberFormat="1" applyFont="1" applyBorder="1"/>
    <xf numFmtId="0" fontId="208" fillId="114" borderId="144" xfId="0" applyFont="1" applyFill="1" applyBorder="1" applyAlignment="1" applyProtection="1">
      <alignment horizontal="left" wrapText="1"/>
      <protection hidden="1"/>
    </xf>
    <xf numFmtId="262" fontId="208" fillId="0" borderId="144" xfId="847" applyNumberFormat="1" applyFont="1" applyBorder="1"/>
    <xf numFmtId="0" fontId="211" fillId="0" borderId="178" xfId="0" applyFont="1" applyBorder="1" applyAlignment="1">
      <alignment horizontal="right" vertical="center"/>
    </xf>
    <xf numFmtId="0" fontId="211" fillId="0" borderId="166" xfId="0" applyFont="1" applyBorder="1" applyAlignment="1">
      <alignment horizontal="right" vertical="center"/>
    </xf>
    <xf numFmtId="0" fontId="212" fillId="43" borderId="166" xfId="0" applyFont="1" applyFill="1" applyBorder="1" applyAlignment="1">
      <alignment horizontal="center"/>
    </xf>
    <xf numFmtId="0" fontId="212" fillId="43" borderId="145" xfId="0" applyFont="1" applyFill="1" applyBorder="1" applyAlignment="1">
      <alignment horizontal="center"/>
    </xf>
    <xf numFmtId="0" fontId="212" fillId="43" borderId="147" xfId="0" applyFont="1" applyFill="1" applyBorder="1" applyAlignment="1">
      <alignment horizontal="center"/>
    </xf>
    <xf numFmtId="0" fontId="213" fillId="59" borderId="144" xfId="907" applyFont="1" applyFill="1" applyBorder="1"/>
    <xf numFmtId="167" fontId="208" fillId="59" borderId="149" xfId="0" applyNumberFormat="1" applyFont="1" applyFill="1" applyBorder="1" applyProtection="1">
      <protection hidden="1"/>
    </xf>
    <xf numFmtId="167" fontId="208" fillId="59" borderId="148" xfId="0" applyNumberFormat="1" applyFont="1" applyFill="1" applyBorder="1" applyProtection="1">
      <protection hidden="1"/>
    </xf>
    <xf numFmtId="10" fontId="208" fillId="59" borderId="149" xfId="847" applyNumberFormat="1" applyFont="1" applyFill="1" applyBorder="1" applyAlignment="1" applyProtection="1">
      <alignment horizontal="right"/>
      <protection hidden="1"/>
    </xf>
    <xf numFmtId="262" fontId="208" fillId="59" borderId="144" xfId="847" applyNumberFormat="1" applyFont="1" applyFill="1" applyBorder="1" applyAlignment="1" applyProtection="1">
      <alignment horizontal="right"/>
      <protection hidden="1"/>
    </xf>
    <xf numFmtId="0" fontId="208" fillId="59" borderId="144" xfId="0" applyFont="1" applyFill="1" applyBorder="1" applyAlignment="1" applyProtection="1">
      <alignment horizontal="left"/>
      <protection hidden="1"/>
    </xf>
    <xf numFmtId="0" fontId="208" fillId="59" borderId="178" xfId="0" applyFont="1" applyFill="1" applyBorder="1" applyAlignment="1">
      <alignment horizontal="left"/>
    </xf>
    <xf numFmtId="167" fontId="208" fillId="59" borderId="156" xfId="0" applyNumberFormat="1" applyFont="1" applyFill="1" applyBorder="1" applyProtection="1">
      <protection hidden="1"/>
    </xf>
    <xf numFmtId="167" fontId="208" fillId="59" borderId="155" xfId="0" applyNumberFormat="1" applyFont="1" applyFill="1" applyBorder="1" applyProtection="1">
      <protection hidden="1"/>
    </xf>
    <xf numFmtId="10" fontId="208" fillId="59" borderId="156" xfId="847" applyNumberFormat="1" applyFont="1" applyFill="1" applyBorder="1" applyAlignment="1" applyProtection="1">
      <alignment horizontal="right"/>
      <protection hidden="1"/>
    </xf>
    <xf numFmtId="262" fontId="208" fillId="59" borderId="178" xfId="847" applyNumberFormat="1" applyFont="1" applyFill="1" applyBorder="1" applyAlignment="1" applyProtection="1">
      <alignment horizontal="right"/>
      <protection hidden="1"/>
    </xf>
    <xf numFmtId="0" fontId="212" fillId="43" borderId="149" xfId="0" applyFont="1" applyFill="1" applyBorder="1" applyAlignment="1">
      <alignment horizontal="center"/>
    </xf>
    <xf numFmtId="0" fontId="208" fillId="59" borderId="178" xfId="0" applyFont="1" applyFill="1" applyBorder="1" applyAlignment="1" applyProtection="1">
      <alignment horizontal="left"/>
      <protection hidden="1"/>
    </xf>
    <xf numFmtId="167" fontId="208" fillId="59" borderId="178" xfId="0" applyNumberFormat="1" applyFont="1" applyFill="1" applyBorder="1" applyProtection="1">
      <protection hidden="1"/>
    </xf>
    <xf numFmtId="167" fontId="208" fillId="114" borderId="178" xfId="0" applyNumberFormat="1" applyFont="1" applyFill="1" applyBorder="1" applyProtection="1">
      <protection hidden="1"/>
    </xf>
    <xf numFmtId="262" fontId="208" fillId="59" borderId="156" xfId="847" applyNumberFormat="1" applyFont="1" applyFill="1" applyBorder="1" applyAlignment="1" applyProtection="1">
      <alignment horizontal="center"/>
      <protection hidden="1"/>
    </xf>
    <xf numFmtId="262" fontId="208" fillId="59" borderId="178" xfId="847" applyNumberFormat="1" applyFont="1" applyFill="1" applyBorder="1" applyAlignment="1" applyProtection="1">
      <alignment horizontal="center"/>
      <protection hidden="1"/>
    </xf>
    <xf numFmtId="0" fontId="208" fillId="59" borderId="166" xfId="0" applyFont="1" applyFill="1" applyBorder="1" applyProtection="1">
      <protection hidden="1"/>
    </xf>
    <xf numFmtId="167" fontId="208" fillId="59" borderId="166" xfId="815" applyFont="1" applyFill="1" applyBorder="1" applyAlignment="1" applyProtection="1">
      <protection hidden="1"/>
    </xf>
    <xf numFmtId="10" fontId="208" fillId="59" borderId="166" xfId="847" applyNumberFormat="1" applyFont="1" applyFill="1" applyBorder="1" applyAlignment="1" applyProtection="1">
      <alignment horizontal="right"/>
      <protection hidden="1"/>
    </xf>
    <xf numFmtId="9" fontId="38" fillId="38" borderId="149" xfId="1823" applyFont="1" applyFill="1" applyBorder="1" applyAlignment="1">
      <alignment horizontal="center" vertical="center" wrapText="1"/>
    </xf>
    <xf numFmtId="9" fontId="110" fillId="94" borderId="144" xfId="1823" applyFont="1" applyFill="1" applyBorder="1" applyAlignment="1">
      <alignment horizontal="center" vertical="center" wrapText="1"/>
    </xf>
    <xf numFmtId="10" fontId="110" fillId="94" borderId="144" xfId="1823" applyNumberFormat="1" applyFont="1" applyFill="1" applyBorder="1" applyAlignment="1">
      <alignment horizontal="center" vertical="center" wrapText="1"/>
    </xf>
    <xf numFmtId="0" fontId="43" fillId="33" borderId="178" xfId="776" applyFont="1" applyFill="1" applyBorder="1" applyAlignment="1">
      <alignment wrapText="1"/>
    </xf>
    <xf numFmtId="217" fontId="43" fillId="33" borderId="178" xfId="2697" applyNumberFormat="1" applyFont="1" applyFill="1" applyBorder="1" applyAlignment="1">
      <alignment horizontal="center"/>
    </xf>
    <xf numFmtId="167" fontId="43" fillId="33" borderId="178" xfId="815" applyFont="1" applyFill="1" applyBorder="1"/>
    <xf numFmtId="217" fontId="110" fillId="94" borderId="144" xfId="1823" applyNumberFormat="1" applyFont="1" applyFill="1" applyBorder="1" applyAlignment="1">
      <alignment horizontal="center" vertical="center" wrapText="1"/>
    </xf>
    <xf numFmtId="167" fontId="110" fillId="94" borderId="144" xfId="815" applyFont="1" applyFill="1" applyBorder="1" applyAlignment="1">
      <alignment horizontal="center" vertical="center" wrapText="1"/>
    </xf>
    <xf numFmtId="0" fontId="43" fillId="94" borderId="144" xfId="776" applyFont="1" applyFill="1" applyBorder="1" applyAlignment="1">
      <alignment wrapText="1"/>
    </xf>
    <xf numFmtId="217" fontId="43" fillId="94" borderId="144" xfId="2697" applyNumberFormat="1" applyFont="1" applyFill="1" applyBorder="1" applyAlignment="1">
      <alignment horizontal="center"/>
    </xf>
    <xf numFmtId="171" fontId="30" fillId="0" borderId="152" xfId="907" applyNumberFormat="1" applyBorder="1" applyAlignment="1">
      <alignment horizontal="center"/>
    </xf>
    <xf numFmtId="14" fontId="30" fillId="41" borderId="152" xfId="907" applyNumberFormat="1" applyFill="1" applyBorder="1"/>
    <xf numFmtId="9" fontId="38" fillId="38" borderId="144" xfId="1823" applyFont="1" applyFill="1" applyBorder="1" applyAlignment="1">
      <alignment horizontal="center" vertical="center" wrapText="1"/>
    </xf>
    <xf numFmtId="171" fontId="38" fillId="38" borderId="144" xfId="847" applyNumberFormat="1" applyFont="1" applyFill="1" applyBorder="1" applyAlignment="1">
      <alignment horizontal="center" vertical="center" wrapText="1"/>
    </xf>
    <xf numFmtId="0" fontId="43" fillId="0" borderId="178" xfId="2697" applyFont="1" applyBorder="1" applyAlignment="1">
      <alignment vertical="center"/>
    </xf>
    <xf numFmtId="43" fontId="43" fillId="41" borderId="178" xfId="43199" applyFont="1" applyFill="1" applyBorder="1" applyAlignment="1">
      <alignment vertical="center"/>
    </xf>
    <xf numFmtId="43" fontId="43" fillId="41" borderId="178" xfId="43199" applyFont="1" applyFill="1" applyBorder="1" applyAlignment="1">
      <alignment horizontal="center" vertical="center"/>
    </xf>
    <xf numFmtId="0" fontId="110" fillId="59" borderId="144" xfId="2697" applyFont="1" applyFill="1" applyBorder="1" applyAlignment="1">
      <alignment vertical="center"/>
    </xf>
    <xf numFmtId="10" fontId="110" fillId="59" borderId="144" xfId="847" applyNumberFormat="1" applyFont="1" applyFill="1" applyBorder="1" applyAlignment="1">
      <alignment vertical="center"/>
    </xf>
    <xf numFmtId="43" fontId="110" fillId="59" borderId="144" xfId="43199" applyFont="1" applyFill="1" applyBorder="1" applyAlignment="1">
      <alignment vertical="center"/>
    </xf>
    <xf numFmtId="0" fontId="110" fillId="42" borderId="144" xfId="2697" applyFont="1" applyFill="1" applyBorder="1" applyAlignment="1">
      <alignment vertical="center"/>
    </xf>
    <xf numFmtId="43" fontId="110" fillId="42" borderId="144" xfId="43199" applyFont="1" applyFill="1" applyBorder="1" applyAlignment="1">
      <alignment vertical="center"/>
    </xf>
    <xf numFmtId="10" fontId="110" fillId="42" borderId="144" xfId="847" applyNumberFormat="1" applyFont="1" applyFill="1" applyBorder="1" applyAlignment="1">
      <alignment horizontal="center" vertical="center"/>
    </xf>
    <xf numFmtId="10" fontId="110" fillId="59" borderId="144" xfId="847" applyNumberFormat="1" applyFont="1" applyFill="1" applyBorder="1" applyAlignment="1">
      <alignment horizontal="center" vertical="center"/>
    </xf>
    <xf numFmtId="10" fontId="43" fillId="41" borderId="178" xfId="847" applyNumberFormat="1" applyFont="1" applyFill="1" applyBorder="1" applyAlignment="1">
      <alignment horizontal="center"/>
    </xf>
    <xf numFmtId="0" fontId="43" fillId="42" borderId="144" xfId="776" applyFont="1" applyFill="1" applyBorder="1" applyAlignment="1">
      <alignment wrapText="1"/>
    </xf>
    <xf numFmtId="170" fontId="43" fillId="42" borderId="144" xfId="43199" applyNumberFormat="1" applyFont="1" applyFill="1" applyBorder="1" applyAlignment="1">
      <alignment horizontal="center" wrapText="1"/>
    </xf>
    <xf numFmtId="170" fontId="43" fillId="42" borderId="144" xfId="847" applyNumberFormat="1" applyFont="1" applyFill="1" applyBorder="1" applyAlignment="1">
      <alignment horizontal="center" wrapText="1"/>
    </xf>
    <xf numFmtId="170" fontId="110" fillId="59" borderId="144" xfId="863" applyNumberFormat="1" applyFont="1" applyFill="1" applyBorder="1" applyAlignment="1">
      <alignment vertical="center"/>
    </xf>
    <xf numFmtId="0" fontId="243" fillId="41" borderId="178" xfId="907" applyFont="1" applyFill="1" applyBorder="1" applyAlignment="1">
      <alignment horizontal="left"/>
    </xf>
    <xf numFmtId="9" fontId="38" fillId="38" borderId="144" xfId="1823" applyFont="1" applyFill="1" applyBorder="1" applyAlignment="1">
      <alignment horizontal="left" vertical="center" wrapText="1"/>
    </xf>
    <xf numFmtId="0" fontId="43" fillId="41" borderId="178" xfId="2697" applyFont="1" applyFill="1" applyBorder="1" applyAlignment="1">
      <alignment horizontal="center" vertical="center"/>
    </xf>
    <xf numFmtId="0" fontId="43" fillId="41" borderId="166" xfId="2697" applyFont="1" applyFill="1" applyBorder="1" applyAlignment="1">
      <alignment horizontal="center"/>
    </xf>
    <xf numFmtId="0" fontId="43" fillId="41" borderId="166" xfId="2697" applyFont="1" applyFill="1" applyBorder="1" applyAlignment="1">
      <alignment horizontal="left"/>
    </xf>
    <xf numFmtId="2" fontId="43" fillId="41" borderId="166" xfId="2697" applyNumberFormat="1" applyFont="1" applyFill="1" applyBorder="1" applyAlignment="1">
      <alignment horizontal="center"/>
    </xf>
    <xf numFmtId="3" fontId="43" fillId="41" borderId="178" xfId="43199" applyNumberFormat="1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left"/>
    </xf>
    <xf numFmtId="3" fontId="43" fillId="42" borderId="144" xfId="847" applyNumberFormat="1" applyFont="1" applyFill="1" applyBorder="1" applyAlignment="1">
      <alignment horizontal="right" wrapText="1"/>
    </xf>
    <xf numFmtId="43" fontId="43" fillId="42" borderId="178" xfId="43199" applyFont="1" applyFill="1" applyBorder="1" applyAlignment="1">
      <alignment horizontal="right"/>
    </xf>
    <xf numFmtId="3" fontId="110" fillId="59" borderId="144" xfId="2697" applyNumberFormat="1" applyFont="1" applyFill="1" applyBorder="1" applyAlignment="1">
      <alignment horizontal="right" vertical="center"/>
    </xf>
    <xf numFmtId="43" fontId="110" fillId="59" borderId="144" xfId="43199" applyFont="1" applyFill="1" applyBorder="1" applyAlignment="1">
      <alignment horizontal="right" vertical="center"/>
    </xf>
    <xf numFmtId="0" fontId="243" fillId="0" borderId="178" xfId="907" applyFont="1" applyBorder="1" applyAlignment="1">
      <alignment horizontal="left"/>
    </xf>
    <xf numFmtId="170" fontId="110" fillId="59" borderId="144" xfId="43199" applyNumberFormat="1" applyFont="1" applyFill="1" applyBorder="1" applyAlignment="1">
      <alignment horizontal="right"/>
    </xf>
    <xf numFmtId="9" fontId="38" fillId="38" borderId="144" xfId="1823" applyFont="1" applyFill="1" applyBorder="1" applyAlignment="1">
      <alignment vertical="center" wrapText="1"/>
    </xf>
    <xf numFmtId="168" fontId="110" fillId="59" borderId="144" xfId="863" applyFont="1" applyFill="1" applyBorder="1" applyAlignment="1">
      <alignment vertical="center"/>
    </xf>
    <xf numFmtId="9" fontId="250" fillId="42" borderId="144" xfId="1823" applyFont="1" applyFill="1" applyBorder="1" applyAlignment="1">
      <alignment horizontal="left" vertical="center" wrapText="1"/>
    </xf>
    <xf numFmtId="43" fontId="250" fillId="42" borderId="144" xfId="43199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left" vertical="center" wrapText="1"/>
    </xf>
    <xf numFmtId="37" fontId="250" fillId="42" borderId="144" xfId="905" quotePrefix="1" applyNumberFormat="1" applyFont="1" applyFill="1" applyBorder="1" applyAlignment="1">
      <alignment horizontal="left"/>
    </xf>
    <xf numFmtId="43" fontId="250" fillId="42" borderId="144" xfId="43199" applyFont="1" applyFill="1" applyBorder="1" applyAlignment="1">
      <alignment horizontal="center"/>
    </xf>
    <xf numFmtId="262" fontId="250" fillId="42" borderId="144" xfId="1823" applyNumberFormat="1" applyFont="1" applyFill="1" applyBorder="1" applyAlignment="1">
      <alignment horizontal="center"/>
    </xf>
    <xf numFmtId="0" fontId="251" fillId="59" borderId="144" xfId="905" applyFont="1" applyFill="1" applyBorder="1" applyAlignment="1">
      <alignment horizontal="left"/>
    </xf>
    <xf numFmtId="262" fontId="251" fillId="59" borderId="144" xfId="905" applyNumberFormat="1" applyFont="1" applyFill="1" applyBorder="1" applyAlignment="1">
      <alignment horizontal="left"/>
    </xf>
    <xf numFmtId="262" fontId="251" fillId="59" borderId="144" xfId="847" applyNumberFormat="1" applyFont="1" applyFill="1" applyBorder="1" applyAlignment="1">
      <alignment horizontal="center"/>
    </xf>
    <xf numFmtId="9" fontId="251" fillId="42" borderId="144" xfId="1823" applyFont="1" applyFill="1" applyBorder="1" applyAlignment="1">
      <alignment horizontal="left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43" fontId="251" fillId="59" borderId="144" xfId="905" applyNumberFormat="1" applyFont="1" applyFill="1" applyBorder="1" applyAlignment="1">
      <alignment horizontal="left"/>
    </xf>
    <xf numFmtId="262" fontId="251" fillId="59" borderId="144" xfId="43200" applyNumberFormat="1" applyFont="1" applyFill="1" applyBorder="1" applyAlignment="1">
      <alignment horizontal="center"/>
    </xf>
    <xf numFmtId="9" fontId="317" fillId="55" borderId="144" xfId="1823" applyFont="1" applyFill="1" applyBorder="1" applyAlignment="1">
      <alignment horizontal="left" vertical="center" wrapText="1"/>
    </xf>
    <xf numFmtId="262" fontId="317" fillId="55" borderId="144" xfId="1823" applyNumberFormat="1" applyFont="1" applyFill="1" applyBorder="1" applyAlignment="1">
      <alignment horizontal="center" vertical="center" wrapText="1"/>
    </xf>
    <xf numFmtId="262" fontId="251" fillId="59" borderId="144" xfId="905" applyNumberFormat="1" applyFont="1" applyFill="1" applyBorder="1" applyAlignment="1">
      <alignment horizontal="center" vertical="center" wrapText="1"/>
    </xf>
    <xf numFmtId="0" fontId="251" fillId="59" borderId="144" xfId="905" applyFont="1" applyFill="1" applyBorder="1" applyAlignment="1">
      <alignment wrapText="1"/>
    </xf>
    <xf numFmtId="10" fontId="251" fillId="59" borderId="144" xfId="847" applyNumberFormat="1" applyFont="1" applyFill="1" applyBorder="1" applyAlignment="1">
      <alignment horizontal="center" vertical="center" wrapText="1"/>
    </xf>
    <xf numFmtId="261" fontId="251" fillId="59" borderId="144" xfId="905" applyNumberFormat="1" applyFont="1" applyFill="1" applyBorder="1" applyAlignment="1">
      <alignment horizontal="center" vertical="center" wrapText="1"/>
    </xf>
    <xf numFmtId="172" fontId="251" fillId="59" borderId="144" xfId="43199" applyNumberFormat="1" applyFont="1" applyFill="1" applyBorder="1" applyAlignment="1">
      <alignment vertical="center"/>
    </xf>
    <xf numFmtId="168" fontId="251" fillId="59" borderId="144" xfId="863" applyFont="1" applyFill="1" applyBorder="1" applyAlignment="1">
      <alignment vertical="center"/>
    </xf>
    <xf numFmtId="172" fontId="110" fillId="59" borderId="144" xfId="43199" applyNumberFormat="1" applyFont="1" applyFill="1" applyBorder="1" applyAlignment="1">
      <alignment vertical="center"/>
    </xf>
    <xf numFmtId="0" fontId="117" fillId="101" borderId="187" xfId="2697" applyFont="1" applyFill="1" applyBorder="1" applyAlignment="1">
      <alignment horizontal="center" vertical="center" wrapText="1"/>
    </xf>
    <xf numFmtId="0" fontId="110" fillId="59" borderId="188" xfId="905" applyFont="1" applyFill="1" applyBorder="1" applyAlignment="1">
      <alignment horizontal="left"/>
    </xf>
    <xf numFmtId="0" fontId="146" fillId="0" borderId="189" xfId="2697" applyFont="1" applyBorder="1" applyAlignment="1">
      <alignment horizontal="center" vertical="center" wrapText="1"/>
    </xf>
    <xf numFmtId="0" fontId="146" fillId="0" borderId="190" xfId="2697" applyFont="1" applyBorder="1" applyAlignment="1">
      <alignment horizontal="center" vertical="center" wrapText="1"/>
    </xf>
    <xf numFmtId="0" fontId="146" fillId="0" borderId="189" xfId="2697" applyFont="1" applyBorder="1" applyAlignment="1">
      <alignment vertical="center"/>
    </xf>
    <xf numFmtId="4" fontId="146" fillId="0" borderId="189" xfId="43199" applyNumberFormat="1" applyFont="1" applyBorder="1" applyAlignment="1">
      <alignment horizontal="right" vertical="center" wrapText="1"/>
    </xf>
    <xf numFmtId="4" fontId="146" fillId="0" borderId="190" xfId="43199" applyNumberFormat="1" applyFont="1" applyBorder="1" applyAlignment="1">
      <alignment horizontal="right" vertical="center" wrapText="1"/>
    </xf>
    <xf numFmtId="0" fontId="146" fillId="41" borderId="189" xfId="907" applyFont="1" applyFill="1" applyBorder="1"/>
    <xf numFmtId="0" fontId="143" fillId="43" borderId="166" xfId="43405" applyFont="1" applyFill="1" applyBorder="1" applyAlignment="1">
      <alignment horizontal="left" wrapText="1"/>
    </xf>
    <xf numFmtId="10" fontId="143" fillId="43" borderId="166" xfId="847" applyNumberFormat="1" applyFont="1" applyFill="1" applyBorder="1" applyAlignment="1">
      <alignment horizontal="right"/>
    </xf>
    <xf numFmtId="0" fontId="244" fillId="0" borderId="178" xfId="43405" applyFont="1" applyBorder="1"/>
    <xf numFmtId="10" fontId="244" fillId="0" borderId="178" xfId="847" applyNumberFormat="1" applyFont="1" applyFill="1" applyBorder="1"/>
    <xf numFmtId="174" fontId="211" fillId="0" borderId="178" xfId="0" applyNumberFormat="1" applyFont="1" applyBorder="1" applyAlignment="1">
      <alignment horizontal="right"/>
    </xf>
    <xf numFmtId="10" fontId="211" fillId="0" borderId="178" xfId="0" applyNumberFormat="1" applyFont="1" applyBorder="1" applyAlignment="1">
      <alignment horizontal="left"/>
    </xf>
    <xf numFmtId="0" fontId="208" fillId="58" borderId="191" xfId="834" applyFont="1" applyFill="1" applyBorder="1" applyAlignment="1" applyProtection="1">
      <alignment horizontal="left" vertical="center"/>
    </xf>
    <xf numFmtId="0" fontId="208" fillId="58" borderId="192" xfId="834" applyFont="1" applyFill="1" applyBorder="1" applyAlignment="1" applyProtection="1">
      <alignment horizontal="left" vertical="center"/>
    </xf>
    <xf numFmtId="4" fontId="208" fillId="58" borderId="191" xfId="834" applyNumberFormat="1" applyFont="1" applyFill="1" applyBorder="1" applyAlignment="1" applyProtection="1">
      <alignment horizontal="left" vertical="center"/>
    </xf>
    <xf numFmtId="14" fontId="208" fillId="56" borderId="156" xfId="834" applyNumberFormat="1" applyFont="1" applyFill="1" applyBorder="1" applyAlignment="1" applyProtection="1">
      <alignment horizontal="left" vertical="center"/>
    </xf>
    <xf numFmtId="0" fontId="212" fillId="43" borderId="188" xfId="0" applyFont="1" applyFill="1" applyBorder="1" applyAlignment="1">
      <alignment horizontal="center"/>
    </xf>
    <xf numFmtId="0" fontId="212" fillId="43" borderId="193" xfId="0" applyFont="1" applyFill="1" applyBorder="1" applyAlignment="1">
      <alignment horizontal="center"/>
    </xf>
    <xf numFmtId="0" fontId="208" fillId="41" borderId="188" xfId="0" applyFont="1" applyFill="1" applyBorder="1" applyAlignment="1" applyProtection="1">
      <alignment horizontal="left"/>
      <protection hidden="1"/>
    </xf>
    <xf numFmtId="170" fontId="208" fillId="41" borderId="188" xfId="43183" applyNumberFormat="1" applyFont="1" applyFill="1" applyBorder="1" applyAlignment="1" applyProtection="1">
      <alignment horizontal="center" vertical="center"/>
    </xf>
    <xf numFmtId="165" fontId="208" fillId="41" borderId="188" xfId="43184" applyFont="1" applyFill="1" applyBorder="1" applyAlignment="1" applyProtection="1">
      <alignment horizontal="center" vertical="center"/>
    </xf>
    <xf numFmtId="0" fontId="205" fillId="41" borderId="193" xfId="2697" applyFont="1" applyFill="1" applyBorder="1"/>
    <xf numFmtId="43" fontId="110" fillId="0" borderId="193" xfId="43185" applyFont="1" applyFill="1" applyBorder="1" applyAlignment="1" applyProtection="1">
      <alignment vertical="center"/>
    </xf>
    <xf numFmtId="167" fontId="205" fillId="41" borderId="193" xfId="815" applyFont="1" applyFill="1" applyBorder="1"/>
    <xf numFmtId="0" fontId="229" fillId="0" borderId="178" xfId="2697" applyFont="1" applyBorder="1"/>
    <xf numFmtId="10" fontId="205" fillId="0" borderId="178" xfId="847" applyNumberFormat="1" applyFont="1" applyFill="1" applyBorder="1"/>
    <xf numFmtId="0" fontId="229" fillId="41" borderId="193" xfId="2697" applyFont="1" applyFill="1" applyBorder="1" applyAlignment="1">
      <alignment vertical="center" wrapText="1"/>
    </xf>
    <xf numFmtId="170" fontId="205" fillId="0" borderId="193" xfId="43183" applyNumberFormat="1" applyFont="1" applyFill="1" applyBorder="1" applyAlignment="1">
      <alignment vertical="center" wrapText="1"/>
    </xf>
    <xf numFmtId="0" fontId="230" fillId="0" borderId="178" xfId="2697" applyFont="1" applyBorder="1"/>
    <xf numFmtId="10" fontId="208" fillId="0" borderId="178" xfId="2697" applyNumberFormat="1" applyFont="1" applyBorder="1"/>
    <xf numFmtId="0" fontId="205" fillId="41" borderId="178" xfId="2697" applyFont="1" applyFill="1" applyBorder="1"/>
    <xf numFmtId="43" fontId="43" fillId="0" borderId="178" xfId="43185" applyFont="1" applyFill="1" applyBorder="1" applyAlignment="1" applyProtection="1">
      <alignment horizontal="right"/>
      <protection locked="0"/>
    </xf>
    <xf numFmtId="167" fontId="205" fillId="41" borderId="178" xfId="815" applyFont="1" applyFill="1" applyBorder="1"/>
    <xf numFmtId="168" fontId="208" fillId="41" borderId="188" xfId="43185" applyNumberFormat="1" applyFont="1" applyFill="1" applyBorder="1" applyAlignment="1" applyProtection="1">
      <alignment horizontal="right"/>
      <protection locked="0"/>
    </xf>
    <xf numFmtId="165" fontId="208" fillId="41" borderId="188" xfId="43184" applyFont="1" applyFill="1" applyBorder="1" applyAlignment="1" applyProtection="1">
      <alignment horizontal="right"/>
      <protection locked="0"/>
    </xf>
    <xf numFmtId="0" fontId="208" fillId="97" borderId="188" xfId="2697" applyFont="1" applyFill="1" applyBorder="1"/>
    <xf numFmtId="167" fontId="208" fillId="97" borderId="188" xfId="2697" applyNumberFormat="1" applyFont="1" applyFill="1" applyBorder="1"/>
    <xf numFmtId="0" fontId="230" fillId="0" borderId="188" xfId="2697" applyFont="1" applyBorder="1"/>
    <xf numFmtId="170" fontId="205" fillId="0" borderId="188" xfId="43183" applyNumberFormat="1" applyFont="1" applyFill="1" applyBorder="1" applyAlignment="1">
      <alignment vertical="center" wrapText="1"/>
    </xf>
    <xf numFmtId="170" fontId="208" fillId="41" borderId="188" xfId="43183" applyNumberFormat="1" applyFont="1" applyFill="1" applyBorder="1" applyAlignment="1" applyProtection="1">
      <alignment vertical="center"/>
    </xf>
    <xf numFmtId="165" fontId="208" fillId="0" borderId="188" xfId="43184" applyFont="1" applyFill="1" applyBorder="1" applyAlignment="1" applyProtection="1">
      <alignment vertical="center"/>
    </xf>
    <xf numFmtId="0" fontId="208" fillId="97" borderId="188" xfId="0" applyFont="1" applyFill="1" applyBorder="1" applyAlignment="1" applyProtection="1">
      <alignment horizontal="left"/>
      <protection hidden="1"/>
    </xf>
    <xf numFmtId="43" fontId="208" fillId="97" borderId="188" xfId="43183" applyFont="1" applyFill="1" applyBorder="1" applyAlignment="1" applyProtection="1">
      <alignment vertical="center"/>
    </xf>
    <xf numFmtId="165" fontId="208" fillId="97" borderId="188" xfId="43184" applyFont="1" applyFill="1" applyBorder="1" applyAlignment="1" applyProtection="1">
      <alignment vertical="center"/>
    </xf>
    <xf numFmtId="0" fontId="110" fillId="58" borderId="190" xfId="834" applyFont="1" applyFill="1" applyBorder="1" applyAlignment="1" applyProtection="1">
      <alignment horizontal="left" vertical="center"/>
    </xf>
    <xf numFmtId="0" fontId="110" fillId="58" borderId="194" xfId="834" applyFont="1" applyFill="1" applyBorder="1" applyAlignment="1" applyProtection="1">
      <alignment horizontal="left" vertical="center"/>
    </xf>
    <xf numFmtId="0" fontId="110" fillId="56" borderId="190" xfId="834" applyFont="1" applyFill="1" applyBorder="1" applyAlignment="1" applyProtection="1">
      <alignment horizontal="left" vertical="center"/>
    </xf>
    <xf numFmtId="0" fontId="110" fillId="56" borderId="194" xfId="834" applyFont="1" applyFill="1" applyBorder="1" applyAlignment="1" applyProtection="1">
      <alignment horizontal="left" vertical="center"/>
    </xf>
    <xf numFmtId="0" fontId="208" fillId="97" borderId="193" xfId="0" applyFont="1" applyFill="1" applyBorder="1" applyAlignment="1" applyProtection="1">
      <alignment horizontal="left"/>
      <protection hidden="1"/>
    </xf>
    <xf numFmtId="0" fontId="208" fillId="0" borderId="188" xfId="2697" applyFont="1" applyBorder="1" applyAlignment="1">
      <alignment horizontal="left"/>
    </xf>
    <xf numFmtId="165" fontId="208" fillId="0" borderId="188" xfId="2697" applyNumberFormat="1" applyFont="1" applyBorder="1"/>
    <xf numFmtId="168" fontId="205" fillId="0" borderId="195" xfId="863" applyFont="1" applyBorder="1"/>
    <xf numFmtId="0" fontId="205" fillId="97" borderId="193" xfId="0" applyFont="1" applyFill="1" applyBorder="1" applyAlignment="1" applyProtection="1">
      <alignment horizontal="left"/>
      <protection hidden="1"/>
    </xf>
    <xf numFmtId="165" fontId="205" fillId="0" borderId="193" xfId="43184" applyFont="1" applyBorder="1"/>
    <xf numFmtId="168" fontId="205" fillId="0" borderId="189" xfId="863" applyFont="1" applyBorder="1"/>
    <xf numFmtId="0" fontId="205" fillId="97" borderId="178" xfId="0" applyFont="1" applyFill="1" applyBorder="1" applyAlignment="1" applyProtection="1">
      <alignment horizontal="left"/>
      <protection hidden="1"/>
    </xf>
    <xf numFmtId="165" fontId="205" fillId="0" borderId="178" xfId="43184" applyFont="1" applyBorder="1"/>
    <xf numFmtId="14" fontId="110" fillId="56" borderId="194" xfId="834" applyNumberFormat="1" applyFont="1" applyFill="1" applyBorder="1" applyAlignment="1" applyProtection="1">
      <alignment horizontal="left" vertical="center"/>
    </xf>
    <xf numFmtId="0" fontId="217" fillId="43" borderId="188" xfId="0" applyFont="1" applyFill="1" applyBorder="1" applyAlignment="1">
      <alignment horizontal="center"/>
    </xf>
    <xf numFmtId="0" fontId="213" fillId="59" borderId="188" xfId="907" applyFont="1" applyFill="1" applyBorder="1"/>
    <xf numFmtId="219" fontId="213" fillId="59" borderId="188" xfId="863" applyNumberFormat="1" applyFont="1" applyFill="1" applyBorder="1"/>
    <xf numFmtId="0" fontId="205" fillId="0" borderId="188" xfId="907" applyFont="1" applyBorder="1" applyAlignment="1">
      <alignment horizontal="left" indent="1"/>
    </xf>
    <xf numFmtId="219" fontId="218" fillId="41" borderId="188" xfId="863" applyNumberFormat="1" applyFont="1" applyFill="1" applyBorder="1"/>
    <xf numFmtId="168" fontId="205" fillId="0" borderId="178" xfId="863" applyFont="1" applyBorder="1"/>
    <xf numFmtId="0" fontId="210" fillId="43" borderId="178" xfId="0" applyFont="1" applyFill="1" applyBorder="1"/>
    <xf numFmtId="0" fontId="210" fillId="43" borderId="178" xfId="0" applyFont="1" applyFill="1" applyBorder="1" applyAlignment="1">
      <alignment horizontal="center"/>
    </xf>
    <xf numFmtId="0" fontId="205" fillId="0" borderId="193" xfId="0" applyFont="1" applyBorder="1"/>
    <xf numFmtId="44" fontId="205" fillId="0" borderId="193" xfId="863" applyNumberFormat="1" applyFont="1" applyBorder="1"/>
    <xf numFmtId="0" fontId="208" fillId="0" borderId="178" xfId="907" applyFont="1" applyBorder="1"/>
    <xf numFmtId="214" fontId="208" fillId="0" borderId="178" xfId="0" applyNumberFormat="1" applyFont="1" applyBorder="1"/>
    <xf numFmtId="168" fontId="205" fillId="0" borderId="193" xfId="863" applyFont="1" applyBorder="1"/>
    <xf numFmtId="168" fontId="205" fillId="100" borderId="178" xfId="863" applyFont="1" applyFill="1" applyBorder="1"/>
    <xf numFmtId="0" fontId="208" fillId="59" borderId="188" xfId="907" applyFont="1" applyFill="1" applyBorder="1"/>
    <xf numFmtId="170" fontId="208" fillId="59" borderId="188" xfId="907" applyNumberFormat="1" applyFont="1" applyFill="1" applyBorder="1"/>
    <xf numFmtId="168" fontId="208" fillId="59" borderId="188" xfId="863" applyFont="1" applyFill="1" applyBorder="1"/>
    <xf numFmtId="167" fontId="208" fillId="59" borderId="188" xfId="907" applyNumberFormat="1" applyFont="1" applyFill="1" applyBorder="1"/>
    <xf numFmtId="0" fontId="205" fillId="0" borderId="193" xfId="907" applyFont="1" applyBorder="1"/>
    <xf numFmtId="168" fontId="205" fillId="61" borderId="193" xfId="863" applyFont="1" applyFill="1" applyBorder="1"/>
    <xf numFmtId="168" fontId="205" fillId="0" borderId="193" xfId="863" applyFont="1" applyFill="1" applyBorder="1"/>
    <xf numFmtId="168" fontId="205" fillId="44" borderId="193" xfId="863" applyFont="1" applyFill="1" applyBorder="1"/>
    <xf numFmtId="0" fontId="217" fillId="43" borderId="193" xfId="0" applyFont="1" applyFill="1" applyBorder="1" applyAlignment="1">
      <alignment horizontal="center" vertical="center" wrapText="1"/>
    </xf>
    <xf numFmtId="0" fontId="217" fillId="43" borderId="188" xfId="0" applyFont="1" applyFill="1" applyBorder="1" applyAlignment="1">
      <alignment horizontal="center" vertical="center" wrapText="1"/>
    </xf>
    <xf numFmtId="0" fontId="297" fillId="43" borderId="191" xfId="907" applyFont="1" applyFill="1" applyBorder="1"/>
    <xf numFmtId="0" fontId="297" fillId="43" borderId="193" xfId="907" applyFont="1" applyFill="1" applyBorder="1"/>
    <xf numFmtId="0" fontId="297" fillId="43" borderId="192" xfId="907" applyFont="1" applyFill="1" applyBorder="1"/>
    <xf numFmtId="0" fontId="294" fillId="43" borderId="190" xfId="907" applyFont="1" applyFill="1" applyBorder="1"/>
    <xf numFmtId="0" fontId="294" fillId="43" borderId="188" xfId="907" applyFont="1" applyFill="1" applyBorder="1"/>
    <xf numFmtId="0" fontId="294" fillId="43" borderId="189" xfId="907" applyFont="1" applyFill="1" applyBorder="1"/>
    <xf numFmtId="0" fontId="208" fillId="97" borderId="188" xfId="0" applyFont="1" applyFill="1" applyBorder="1"/>
    <xf numFmtId="0" fontId="298" fillId="97" borderId="188" xfId="0" applyFont="1" applyFill="1" applyBorder="1"/>
    <xf numFmtId="0" fontId="216" fillId="97" borderId="188" xfId="0" applyFont="1" applyFill="1" applyBorder="1"/>
    <xf numFmtId="168" fontId="208" fillId="97" borderId="188" xfId="0" applyNumberFormat="1" applyFont="1" applyFill="1" applyBorder="1"/>
    <xf numFmtId="272" fontId="208" fillId="97" borderId="188" xfId="863" applyNumberFormat="1" applyFont="1" applyFill="1" applyBorder="1"/>
    <xf numFmtId="43" fontId="208" fillId="97" borderId="188" xfId="0" applyNumberFormat="1" applyFont="1" applyFill="1" applyBorder="1"/>
    <xf numFmtId="0" fontId="294" fillId="43" borderId="190" xfId="907" applyFont="1" applyFill="1" applyBorder="1" applyAlignment="1">
      <alignment vertical="center"/>
    </xf>
    <xf numFmtId="0" fontId="294" fillId="43" borderId="188" xfId="907" applyFont="1" applyFill="1" applyBorder="1" applyAlignment="1">
      <alignment horizontal="center" vertical="center"/>
    </xf>
    <xf numFmtId="0" fontId="294" fillId="43" borderId="189" xfId="907" applyFont="1" applyFill="1" applyBorder="1" applyAlignment="1">
      <alignment vertical="center"/>
    </xf>
    <xf numFmtId="0" fontId="294" fillId="43" borderId="188" xfId="907" applyFont="1" applyFill="1" applyBorder="1" applyAlignment="1">
      <alignment vertical="center"/>
    </xf>
    <xf numFmtId="0" fontId="294" fillId="120" borderId="191" xfId="907" applyFont="1" applyFill="1" applyBorder="1"/>
    <xf numFmtId="0" fontId="294" fillId="120" borderId="193" xfId="907" applyFont="1" applyFill="1" applyBorder="1" applyAlignment="1">
      <alignment horizontal="center" wrapText="1"/>
    </xf>
    <xf numFmtId="0" fontId="294" fillId="120" borderId="193" xfId="907" applyFont="1" applyFill="1" applyBorder="1" applyAlignment="1">
      <alignment horizontal="center"/>
    </xf>
    <xf numFmtId="0" fontId="294" fillId="120" borderId="192" xfId="907" applyFont="1" applyFill="1" applyBorder="1" applyAlignment="1">
      <alignment horizontal="center"/>
    </xf>
    <xf numFmtId="0" fontId="295" fillId="0" borderId="191" xfId="907" applyFont="1" applyBorder="1"/>
    <xf numFmtId="217" fontId="296" fillId="0" borderId="193" xfId="847" applyNumberFormat="1" applyFont="1" applyFill="1" applyBorder="1"/>
    <xf numFmtId="43" fontId="296" fillId="0" borderId="193" xfId="43408" applyFont="1" applyFill="1" applyBorder="1"/>
    <xf numFmtId="43" fontId="295" fillId="0" borderId="192" xfId="43408" applyFont="1" applyFill="1" applyBorder="1"/>
    <xf numFmtId="219" fontId="295" fillId="121" borderId="188" xfId="43408" applyNumberFormat="1" applyFont="1" applyFill="1" applyBorder="1"/>
    <xf numFmtId="43" fontId="296" fillId="121" borderId="188" xfId="43408" applyFont="1" applyFill="1" applyBorder="1"/>
    <xf numFmtId="167" fontId="296" fillId="121" borderId="194" xfId="815" applyFont="1" applyFill="1" applyBorder="1"/>
    <xf numFmtId="0" fontId="296" fillId="0" borderId="193" xfId="0" applyFont="1" applyBorder="1"/>
    <xf numFmtId="0" fontId="238" fillId="0" borderId="178" xfId="907" applyFont="1" applyBorder="1" applyAlignment="1">
      <alignment horizontal="left"/>
    </xf>
    <xf numFmtId="0" fontId="233" fillId="33" borderId="178" xfId="829" applyFont="1" applyFill="1" applyBorder="1"/>
    <xf numFmtId="0" fontId="205" fillId="33" borderId="178" xfId="831" applyFont="1" applyFill="1" applyBorder="1" applyAlignment="1">
      <alignment vertical="center"/>
    </xf>
    <xf numFmtId="170" fontId="205" fillId="33" borderId="178" xfId="863" applyNumberFormat="1" applyFont="1" applyFill="1" applyBorder="1" applyAlignment="1">
      <alignment vertical="center"/>
    </xf>
    <xf numFmtId="10" fontId="211" fillId="0" borderId="178" xfId="0" applyNumberFormat="1" applyFont="1" applyBorder="1" applyAlignment="1">
      <alignment horizontal="center"/>
    </xf>
    <xf numFmtId="0" fontId="223" fillId="33" borderId="196" xfId="831" applyFont="1" applyFill="1" applyBorder="1" applyAlignment="1">
      <alignment horizontal="left" vertical="center"/>
    </xf>
    <xf numFmtId="0" fontId="212" fillId="43" borderId="188" xfId="0" applyFont="1" applyFill="1" applyBorder="1" applyAlignment="1">
      <alignment horizontal="center" vertical="center" wrapText="1"/>
    </xf>
    <xf numFmtId="0" fontId="205" fillId="0" borderId="178" xfId="831" applyFont="1" applyBorder="1" applyAlignment="1">
      <alignment vertical="center"/>
    </xf>
    <xf numFmtId="168" fontId="205" fillId="33" borderId="178" xfId="863" applyFont="1" applyFill="1" applyBorder="1" applyAlignment="1" applyProtection="1">
      <alignment horizontal="center" vertical="center"/>
      <protection locked="0"/>
    </xf>
    <xf numFmtId="0" fontId="207" fillId="38" borderId="190" xfId="905" applyFont="1" applyFill="1" applyBorder="1" applyAlignment="1">
      <alignment horizontal="center" vertical="center"/>
    </xf>
    <xf numFmtId="0" fontId="207" fillId="38" borderId="188" xfId="905" applyFont="1" applyFill="1" applyBorder="1" applyAlignment="1">
      <alignment vertical="center"/>
    </xf>
    <xf numFmtId="0" fontId="207" fillId="38" borderId="194" xfId="905" applyFont="1" applyFill="1" applyBorder="1" applyAlignment="1">
      <alignment vertical="center"/>
    </xf>
    <xf numFmtId="176" fontId="43" fillId="41" borderId="198" xfId="863" applyNumberFormat="1" applyFont="1" applyFill="1" applyBorder="1" applyAlignment="1">
      <alignment vertical="center"/>
    </xf>
    <xf numFmtId="176" fontId="205" fillId="0" borderId="189" xfId="863" applyNumberFormat="1" applyFont="1" applyFill="1" applyBorder="1" applyAlignment="1">
      <alignment vertical="center"/>
    </xf>
    <xf numFmtId="168" fontId="208" fillId="33" borderId="189" xfId="831" applyNumberFormat="1" applyFont="1" applyFill="1" applyBorder="1" applyAlignment="1">
      <alignment vertical="center"/>
    </xf>
    <xf numFmtId="168" fontId="208" fillId="33" borderId="189" xfId="863" applyFont="1" applyFill="1" applyBorder="1" applyAlignment="1">
      <alignment vertical="center"/>
    </xf>
    <xf numFmtId="168" fontId="212" fillId="0" borderId="178" xfId="863" applyFont="1" applyFill="1" applyBorder="1" applyAlignment="1">
      <alignment horizontal="center" vertical="center"/>
    </xf>
    <xf numFmtId="17" fontId="207" fillId="38" borderId="189" xfId="905" applyNumberFormat="1" applyFont="1" applyFill="1" applyBorder="1" applyAlignment="1">
      <alignment horizontal="center" vertical="center"/>
    </xf>
    <xf numFmtId="0" fontId="33" fillId="33" borderId="189" xfId="907" applyFont="1" applyFill="1" applyBorder="1" applyAlignment="1">
      <alignment horizontal="center" vertical="center"/>
    </xf>
    <xf numFmtId="4" fontId="208" fillId="33" borderId="189" xfId="831" applyNumberFormat="1" applyFont="1" applyFill="1" applyBorder="1" applyAlignment="1">
      <alignment horizontal="right" vertical="center"/>
    </xf>
    <xf numFmtId="4" fontId="205" fillId="33" borderId="189" xfId="863" applyNumberFormat="1" applyFont="1" applyFill="1" applyBorder="1" applyAlignment="1">
      <alignment horizontal="right" vertical="center"/>
    </xf>
    <xf numFmtId="17" fontId="39" fillId="38" borderId="189" xfId="905" applyNumberFormat="1" applyFont="1" applyFill="1" applyBorder="1" applyAlignment="1">
      <alignment horizontal="center" vertical="center"/>
    </xf>
    <xf numFmtId="17" fontId="39" fillId="38" borderId="189" xfId="905" applyNumberFormat="1" applyFont="1" applyFill="1" applyBorder="1" applyAlignment="1">
      <alignment horizontal="center" vertical="center" wrapText="1"/>
    </xf>
    <xf numFmtId="17" fontId="39" fillId="38" borderId="198" xfId="905" applyNumberFormat="1" applyFont="1" applyFill="1" applyBorder="1" applyAlignment="1">
      <alignment horizontal="center" vertical="center" wrapText="1"/>
    </xf>
    <xf numFmtId="176" fontId="33" fillId="0" borderId="189" xfId="907" applyNumberFormat="1" applyFont="1" applyBorder="1" applyAlignment="1">
      <alignment horizontal="center" vertical="center"/>
    </xf>
    <xf numFmtId="171" fontId="30" fillId="0" borderId="195" xfId="907" applyNumberFormat="1" applyBorder="1" applyAlignment="1">
      <alignment horizontal="center"/>
    </xf>
    <xf numFmtId="168" fontId="0" fillId="9" borderId="195" xfId="863" applyFont="1" applyFill="1" applyBorder="1"/>
    <xf numFmtId="168" fontId="30" fillId="0" borderId="195" xfId="863" applyBorder="1"/>
    <xf numFmtId="17" fontId="38" fillId="38" borderId="194" xfId="905" applyNumberFormat="1" applyFont="1" applyFill="1" applyBorder="1" applyAlignment="1">
      <alignment horizontal="center" vertical="center" wrapText="1"/>
    </xf>
    <xf numFmtId="17" fontId="38" fillId="38" borderId="189" xfId="905" applyNumberFormat="1" applyFont="1" applyFill="1" applyBorder="1" applyAlignment="1">
      <alignment horizontal="center" vertical="center" wrapText="1"/>
    </xf>
    <xf numFmtId="0" fontId="30" fillId="0" borderId="189" xfId="907" applyBorder="1"/>
    <xf numFmtId="168" fontId="30" fillId="0" borderId="189" xfId="863" applyFont="1" applyFill="1" applyBorder="1" applyAlignment="1"/>
    <xf numFmtId="171" fontId="30" fillId="0" borderId="198" xfId="907" applyNumberFormat="1" applyBorder="1" applyAlignment="1">
      <alignment horizontal="center"/>
    </xf>
    <xf numFmtId="168" fontId="0" fillId="9" borderId="198" xfId="863" applyFont="1" applyFill="1" applyBorder="1"/>
    <xf numFmtId="168" fontId="30" fillId="0" borderId="198" xfId="863" applyBorder="1"/>
    <xf numFmtId="0" fontId="33" fillId="0" borderId="189" xfId="907" applyFont="1" applyBorder="1" applyAlignment="1">
      <alignment horizontal="center" vertical="center"/>
    </xf>
    <xf numFmtId="0" fontId="208" fillId="97" borderId="188" xfId="831" applyFont="1" applyFill="1" applyBorder="1" applyAlignment="1">
      <alignment horizontal="center"/>
    </xf>
    <xf numFmtId="4" fontId="208" fillId="97" borderId="188" xfId="831" applyNumberFormat="1" applyFont="1" applyFill="1" applyBorder="1" applyAlignment="1">
      <alignment horizontal="right"/>
    </xf>
    <xf numFmtId="170" fontId="208" fillId="97" borderId="188" xfId="863" applyNumberFormat="1" applyFont="1" applyFill="1" applyBorder="1" applyAlignment="1">
      <alignment horizontal="right"/>
    </xf>
    <xf numFmtId="0" fontId="205" fillId="33" borderId="188" xfId="831" applyFont="1" applyFill="1" applyBorder="1" applyAlignment="1">
      <alignment vertical="center"/>
    </xf>
    <xf numFmtId="170" fontId="208" fillId="97" borderId="188" xfId="863" applyNumberFormat="1" applyFont="1" applyFill="1" applyBorder="1" applyAlignment="1">
      <alignment horizontal="center"/>
    </xf>
    <xf numFmtId="4" fontId="208" fillId="0" borderId="188" xfId="831" applyNumberFormat="1" applyFont="1" applyBorder="1" applyAlignment="1">
      <alignment vertical="center"/>
    </xf>
    <xf numFmtId="14" fontId="208" fillId="42" borderId="188" xfId="863" applyNumberFormat="1" applyFont="1" applyFill="1" applyBorder="1" applyAlignment="1">
      <alignment horizontal="center" vertical="top" wrapText="1"/>
    </xf>
    <xf numFmtId="216" fontId="208" fillId="97" borderId="188" xfId="863" applyNumberFormat="1" applyFont="1" applyFill="1" applyBorder="1" applyAlignment="1">
      <alignment horizontal="center"/>
    </xf>
    <xf numFmtId="0" fontId="239" fillId="33" borderId="178" xfId="829" applyFont="1" applyFill="1" applyBorder="1"/>
    <xf numFmtId="0" fontId="0" fillId="0" borderId="178" xfId="0" applyBorder="1"/>
    <xf numFmtId="0" fontId="212" fillId="43" borderId="188" xfId="0" applyFont="1" applyFill="1" applyBorder="1"/>
    <xf numFmtId="167" fontId="208" fillId="0" borderId="188" xfId="815" applyFont="1" applyBorder="1"/>
    <xf numFmtId="10" fontId="205" fillId="44" borderId="188" xfId="847" applyNumberFormat="1" applyFont="1" applyFill="1" applyBorder="1" applyAlignment="1">
      <alignment horizontal="right"/>
    </xf>
    <xf numFmtId="10" fontId="205" fillId="45" borderId="188" xfId="847" applyNumberFormat="1" applyFont="1" applyFill="1" applyBorder="1" applyAlignment="1">
      <alignment horizontal="right"/>
    </xf>
    <xf numFmtId="0" fontId="236" fillId="43" borderId="188" xfId="0" applyFont="1" applyFill="1" applyBorder="1" applyAlignment="1">
      <alignment horizontal="center" vertical="center" wrapText="1"/>
    </xf>
    <xf numFmtId="168" fontId="205" fillId="54" borderId="178" xfId="903" applyFont="1" applyFill="1" applyBorder="1" applyAlignment="1">
      <alignment horizontal="left" vertical="top" wrapText="1"/>
    </xf>
    <xf numFmtId="276" fontId="205" fillId="111" borderId="178" xfId="863" applyNumberFormat="1" applyFont="1" applyFill="1" applyBorder="1" applyAlignment="1">
      <alignment horizontal="right"/>
    </xf>
    <xf numFmtId="168" fontId="205" fillId="54" borderId="193" xfId="903" applyFont="1" applyFill="1" applyBorder="1" applyAlignment="1">
      <alignment horizontal="left" vertical="top"/>
    </xf>
    <xf numFmtId="168" fontId="205" fillId="54" borderId="193" xfId="903" applyFont="1" applyFill="1" applyBorder="1" applyAlignment="1">
      <alignment horizontal="right"/>
    </xf>
    <xf numFmtId="0" fontId="208" fillId="0" borderId="188" xfId="0" applyFont="1" applyBorder="1"/>
    <xf numFmtId="167" fontId="208" fillId="0" borderId="188" xfId="0" applyNumberFormat="1" applyFont="1" applyBorder="1"/>
    <xf numFmtId="0" fontId="205" fillId="0" borderId="193" xfId="0" applyFont="1" applyBorder="1" applyAlignment="1">
      <alignment horizontal="left"/>
    </xf>
    <xf numFmtId="167" fontId="205" fillId="111" borderId="193" xfId="815" applyFont="1" applyFill="1" applyBorder="1"/>
    <xf numFmtId="168" fontId="43" fillId="41" borderId="178" xfId="903" applyFont="1" applyFill="1" applyBorder="1" applyAlignment="1">
      <alignment horizontal="left" vertical="top" wrapText="1"/>
    </xf>
    <xf numFmtId="168" fontId="43" fillId="41" borderId="178" xfId="863" applyFont="1" applyFill="1" applyBorder="1" applyAlignment="1">
      <alignment horizontal="right"/>
    </xf>
    <xf numFmtId="168" fontId="205" fillId="41" borderId="178" xfId="903" applyFont="1" applyFill="1" applyBorder="1" applyAlignment="1">
      <alignment horizontal="left" vertical="top" wrapText="1"/>
    </xf>
    <xf numFmtId="167" fontId="205" fillId="41" borderId="178" xfId="815" applyFont="1" applyFill="1" applyBorder="1" applyAlignment="1">
      <alignment horizontal="right"/>
    </xf>
    <xf numFmtId="167" fontId="205" fillId="0" borderId="193" xfId="815" applyFont="1" applyFill="1" applyBorder="1"/>
    <xf numFmtId="168" fontId="110" fillId="41" borderId="178" xfId="903" applyFont="1" applyFill="1" applyBorder="1" applyAlignment="1">
      <alignment horizontal="left" vertical="top" wrapText="1"/>
    </xf>
    <xf numFmtId="167" fontId="110" fillId="41" borderId="178" xfId="815" applyFont="1" applyFill="1" applyBorder="1" applyAlignment="1">
      <alignment horizontal="right"/>
    </xf>
    <xf numFmtId="0" fontId="205" fillId="0" borderId="178" xfId="0" applyFont="1" applyBorder="1" applyAlignment="1">
      <alignment horizontal="left"/>
    </xf>
    <xf numFmtId="167" fontId="205" fillId="111" borderId="178" xfId="815" applyFont="1" applyFill="1" applyBorder="1"/>
    <xf numFmtId="167" fontId="205" fillId="0" borderId="178" xfId="815" applyFont="1" applyFill="1" applyBorder="1"/>
    <xf numFmtId="0" fontId="205" fillId="0" borderId="188" xfId="0" applyFont="1" applyBorder="1"/>
    <xf numFmtId="4" fontId="205" fillId="0" borderId="188" xfId="0" applyNumberFormat="1" applyFont="1" applyBorder="1"/>
    <xf numFmtId="43" fontId="205" fillId="0" borderId="193" xfId="0" applyNumberFormat="1" applyFont="1" applyBorder="1"/>
    <xf numFmtId="167" fontId="205" fillId="0" borderId="193" xfId="0" applyNumberFormat="1" applyFont="1" applyBorder="1"/>
    <xf numFmtId="43" fontId="205" fillId="0" borderId="178" xfId="0" applyNumberFormat="1" applyFont="1" applyBorder="1"/>
    <xf numFmtId="167" fontId="205" fillId="0" borderId="178" xfId="0" applyNumberFormat="1" applyFont="1" applyBorder="1"/>
    <xf numFmtId="165" fontId="205" fillId="0" borderId="193" xfId="0" applyNumberFormat="1" applyFont="1" applyBorder="1"/>
    <xf numFmtId="165" fontId="205" fillId="0" borderId="178" xfId="0" applyNumberFormat="1" applyFont="1" applyBorder="1"/>
    <xf numFmtId="10" fontId="233" fillId="0" borderId="178" xfId="0" applyNumberFormat="1" applyFont="1" applyBorder="1" applyAlignment="1">
      <alignment horizontal="left"/>
    </xf>
    <xf numFmtId="0" fontId="205" fillId="33" borderId="178" xfId="829" applyFont="1" applyFill="1" applyBorder="1" applyAlignment="1">
      <alignment horizontal="center"/>
    </xf>
    <xf numFmtId="0" fontId="286" fillId="43" borderId="193" xfId="832" applyFont="1" applyFill="1" applyBorder="1" applyAlignment="1">
      <alignment horizontal="center"/>
    </xf>
    <xf numFmtId="167" fontId="282" fillId="0" borderId="193" xfId="815" applyFont="1" applyBorder="1"/>
    <xf numFmtId="0" fontId="286" fillId="43" borderId="178" xfId="832" applyFont="1" applyFill="1" applyBorder="1" applyAlignment="1">
      <alignment horizontal="center"/>
    </xf>
    <xf numFmtId="167" fontId="282" fillId="0" borderId="178" xfId="815" applyFont="1" applyFill="1" applyBorder="1"/>
    <xf numFmtId="4" fontId="110" fillId="0" borderId="188" xfId="43199" applyNumberFormat="1" applyFont="1" applyFill="1" applyBorder="1" applyAlignment="1">
      <alignment vertical="center"/>
    </xf>
    <xf numFmtId="0" fontId="287" fillId="43" borderId="191" xfId="0" applyFont="1" applyFill="1" applyBorder="1"/>
    <xf numFmtId="167" fontId="282" fillId="0" borderId="193" xfId="815" applyFont="1" applyFill="1" applyBorder="1"/>
    <xf numFmtId="10" fontId="282" fillId="0" borderId="192" xfId="847" applyNumberFormat="1" applyFont="1" applyFill="1" applyBorder="1" applyAlignment="1">
      <alignment horizontal="center"/>
    </xf>
    <xf numFmtId="0" fontId="287" fillId="43" borderId="188" xfId="0" applyFont="1" applyFill="1" applyBorder="1"/>
    <xf numFmtId="40" fontId="289" fillId="43" borderId="188" xfId="0" applyNumberFormat="1" applyFont="1" applyFill="1" applyBorder="1"/>
    <xf numFmtId="10" fontId="289" fillId="43" borderId="188" xfId="0" applyNumberFormat="1" applyFont="1" applyFill="1" applyBorder="1" applyAlignment="1">
      <alignment horizontal="center"/>
    </xf>
    <xf numFmtId="0" fontId="205" fillId="0" borderId="189" xfId="0" applyFont="1" applyBorder="1"/>
    <xf numFmtId="10" fontId="283" fillId="0" borderId="0" xfId="2578" applyNumberFormat="1" applyFont="1" applyFill="1" applyBorder="1" applyAlignment="1">
      <alignment horizontal="center" vertical="center"/>
    </xf>
    <xf numFmtId="170" fontId="283" fillId="0" borderId="0" xfId="863" applyNumberFormat="1" applyFont="1" applyBorder="1" applyAlignment="1">
      <alignment vertical="center"/>
    </xf>
    <xf numFmtId="0" fontId="251" fillId="58" borderId="191" xfId="834" applyFont="1" applyFill="1" applyBorder="1" applyAlignment="1" applyProtection="1">
      <alignment horizontal="left" vertical="center"/>
    </xf>
    <xf numFmtId="0" fontId="250" fillId="0" borderId="193" xfId="43437" quotePrefix="1" applyFont="1" applyBorder="1" applyAlignment="1">
      <alignment horizontal="left" vertical="center"/>
    </xf>
    <xf numFmtId="278" fontId="250" fillId="41" borderId="193" xfId="43439" applyNumberFormat="1" applyFont="1" applyFill="1" applyBorder="1" applyAlignment="1">
      <alignment vertical="center" wrapText="1"/>
    </xf>
    <xf numFmtId="0" fontId="250" fillId="0" borderId="195" xfId="43437" quotePrefix="1" applyFont="1" applyBorder="1" applyAlignment="1">
      <alignment horizontal="left" vertical="center"/>
    </xf>
    <xf numFmtId="170" fontId="312" fillId="42" borderId="195" xfId="863" applyNumberFormat="1" applyFont="1" applyFill="1" applyBorder="1" applyAlignment="1">
      <alignment vertical="center"/>
    </xf>
    <xf numFmtId="170" fontId="309" fillId="42" borderId="198" xfId="863" applyNumberFormat="1" applyFont="1" applyFill="1" applyBorder="1" applyAlignment="1">
      <alignment vertical="center"/>
    </xf>
    <xf numFmtId="170" fontId="250" fillId="42" borderId="195" xfId="863" applyNumberFormat="1" applyFont="1" applyFill="1" applyBorder="1" applyAlignment="1">
      <alignment vertical="center"/>
    </xf>
    <xf numFmtId="0" fontId="250" fillId="0" borderId="198" xfId="43437" quotePrefix="1" applyFont="1" applyBorder="1" applyAlignment="1">
      <alignment horizontal="left" vertical="center"/>
    </xf>
    <xf numFmtId="170" fontId="250" fillId="33" borderId="198" xfId="863" applyNumberFormat="1" applyFont="1" applyFill="1" applyBorder="1" applyAlignment="1">
      <alignment vertical="center"/>
    </xf>
    <xf numFmtId="0" fontId="314" fillId="55" borderId="191" xfId="0" applyFont="1" applyFill="1" applyBorder="1" applyAlignment="1">
      <alignment vertical="center"/>
    </xf>
    <xf numFmtId="0" fontId="314" fillId="55" borderId="201" xfId="0" applyFont="1" applyFill="1" applyBorder="1" applyAlignment="1">
      <alignment vertical="center"/>
    </xf>
    <xf numFmtId="170" fontId="250" fillId="0" borderId="195" xfId="863" applyNumberFormat="1" applyFont="1" applyBorder="1" applyAlignment="1">
      <alignment vertical="center"/>
    </xf>
    <xf numFmtId="170" fontId="250" fillId="0" borderId="191" xfId="863" applyNumberFormat="1" applyFont="1" applyBorder="1" applyAlignment="1">
      <alignment vertical="center"/>
    </xf>
    <xf numFmtId="272" fontId="250" fillId="0" borderId="195" xfId="863" applyNumberFormat="1" applyFont="1" applyBorder="1" applyAlignment="1">
      <alignment vertical="center"/>
    </xf>
    <xf numFmtId="170" fontId="250" fillId="0" borderId="192" xfId="863" applyNumberFormat="1" applyFont="1" applyBorder="1" applyAlignment="1">
      <alignment vertical="center"/>
    </xf>
    <xf numFmtId="170" fontId="250" fillId="0" borderId="198" xfId="863" applyNumberFormat="1" applyFont="1" applyBorder="1" applyAlignment="1">
      <alignment vertical="center"/>
    </xf>
    <xf numFmtId="272" fontId="250" fillId="0" borderId="198" xfId="863" applyNumberFormat="1" applyFont="1" applyBorder="1" applyAlignment="1">
      <alignment vertical="center"/>
    </xf>
    <xf numFmtId="0" fontId="250" fillId="0" borderId="190" xfId="0" applyFont="1" applyBorder="1" applyAlignment="1">
      <alignment horizontal="left" vertical="center"/>
    </xf>
    <xf numFmtId="279" fontId="250" fillId="0" borderId="188" xfId="0" applyNumberFormat="1" applyFont="1" applyBorder="1" applyAlignment="1">
      <alignment vertical="center"/>
    </xf>
    <xf numFmtId="170" fontId="250" fillId="0" borderId="189" xfId="863" applyNumberFormat="1" applyFont="1" applyBorder="1" applyAlignment="1">
      <alignment vertical="center"/>
    </xf>
    <xf numFmtId="0" fontId="251" fillId="0" borderId="190" xfId="0" applyFont="1" applyBorder="1" applyAlignment="1">
      <alignment vertical="center"/>
    </xf>
    <xf numFmtId="0" fontId="251" fillId="0" borderId="188" xfId="0" applyFont="1" applyBorder="1" applyAlignment="1">
      <alignment vertical="center"/>
    </xf>
    <xf numFmtId="170" fontId="251" fillId="0" borderId="189" xfId="863" applyNumberFormat="1" applyFont="1" applyFill="1" applyBorder="1" applyAlignment="1">
      <alignment vertical="center"/>
    </xf>
    <xf numFmtId="170" fontId="251" fillId="0" borderId="194" xfId="863" applyNumberFormat="1" applyFont="1" applyFill="1" applyBorder="1" applyAlignment="1">
      <alignment vertical="center"/>
    </xf>
    <xf numFmtId="170" fontId="251" fillId="0" borderId="198" xfId="863" applyNumberFormat="1" applyFont="1" applyFill="1" applyBorder="1" applyAlignment="1">
      <alignment vertical="center"/>
    </xf>
    <xf numFmtId="0" fontId="272" fillId="101" borderId="189" xfId="2697" applyFont="1" applyFill="1" applyBorder="1"/>
    <xf numFmtId="14" fontId="30" fillId="0" borderId="189" xfId="2697" applyNumberFormat="1" applyBorder="1"/>
    <xf numFmtId="0" fontId="30" fillId="0" borderId="189" xfId="2697" applyBorder="1"/>
    <xf numFmtId="43" fontId="30" fillId="0" borderId="189" xfId="2697" applyNumberFormat="1" applyBorder="1"/>
    <xf numFmtId="168" fontId="0" fillId="0" borderId="189" xfId="863" applyFont="1" applyBorder="1"/>
    <xf numFmtId="0" fontId="272" fillId="97" borderId="189" xfId="2697" applyFont="1" applyFill="1" applyBorder="1"/>
    <xf numFmtId="168" fontId="272" fillId="97" borderId="189" xfId="863" applyFont="1" applyFill="1" applyBorder="1"/>
    <xf numFmtId="0" fontId="117" fillId="55" borderId="188" xfId="2697" applyFont="1" applyFill="1" applyBorder="1" applyAlignment="1">
      <alignment horizontal="left" vertical="center" wrapText="1"/>
    </xf>
    <xf numFmtId="0" fontId="117" fillId="55" borderId="202" xfId="2697" applyFont="1" applyFill="1" applyBorder="1" applyAlignment="1">
      <alignment horizontal="center" vertical="center" wrapText="1"/>
    </xf>
    <xf numFmtId="0" fontId="43" fillId="0" borderId="193" xfId="2697" applyFont="1" applyBorder="1" applyAlignment="1">
      <alignment vertical="center"/>
    </xf>
    <xf numFmtId="0" fontId="43" fillId="0" borderId="192" xfId="2697" applyFont="1" applyBorder="1" applyAlignment="1">
      <alignment vertical="center"/>
    </xf>
    <xf numFmtId="269" fontId="43" fillId="0" borderId="191" xfId="2697" applyNumberFormat="1" applyFont="1" applyBorder="1" applyAlignment="1">
      <alignment vertical="center"/>
    </xf>
    <xf numFmtId="168" fontId="43" fillId="0" borderId="195" xfId="863" applyFont="1" applyBorder="1" applyAlignment="1">
      <alignment vertical="center"/>
    </xf>
    <xf numFmtId="269" fontId="43" fillId="0" borderId="195" xfId="2697" applyNumberFormat="1" applyFont="1" applyBorder="1" applyAlignment="1">
      <alignment vertical="center"/>
    </xf>
    <xf numFmtId="168" fontId="43" fillId="0" borderId="198" xfId="863" applyFont="1" applyBorder="1" applyAlignment="1">
      <alignment vertical="center"/>
    </xf>
    <xf numFmtId="269" fontId="43" fillId="0" borderId="198" xfId="2697" applyNumberFormat="1" applyFont="1" applyBorder="1" applyAlignment="1">
      <alignment vertical="center"/>
    </xf>
    <xf numFmtId="0" fontId="110" fillId="59" borderId="178" xfId="2697" applyFont="1" applyFill="1" applyBorder="1" applyAlignment="1">
      <alignment vertical="center"/>
    </xf>
    <xf numFmtId="270" fontId="110" fillId="59" borderId="189" xfId="43183" applyNumberFormat="1" applyFont="1" applyFill="1" applyBorder="1" applyAlignment="1">
      <alignment vertical="center"/>
    </xf>
    <xf numFmtId="270" fontId="110" fillId="59" borderId="190" xfId="43183" applyNumberFormat="1" applyFont="1" applyFill="1" applyBorder="1" applyAlignment="1">
      <alignment vertical="center"/>
    </xf>
    <xf numFmtId="0" fontId="43" fillId="60" borderId="194" xfId="905" applyFont="1" applyFill="1" applyBorder="1" applyAlignment="1">
      <alignment horizontal="left" vertical="center"/>
    </xf>
    <xf numFmtId="0" fontId="43" fillId="98" borderId="189" xfId="2697" applyFont="1" applyFill="1" applyBorder="1" applyAlignment="1">
      <alignment vertical="center"/>
    </xf>
    <xf numFmtId="271" fontId="43" fillId="60" borderId="188" xfId="2697" applyNumberFormat="1" applyFont="1" applyFill="1" applyBorder="1" applyAlignment="1">
      <alignment vertical="center"/>
    </xf>
    <xf numFmtId="0" fontId="110" fillId="60" borderId="194" xfId="905" applyFont="1" applyFill="1" applyBorder="1" applyAlignment="1">
      <alignment horizontal="left" vertical="center"/>
    </xf>
    <xf numFmtId="0" fontId="43" fillId="98" borderId="189" xfId="2697" applyFont="1" applyFill="1" applyBorder="1"/>
    <xf numFmtId="270" fontId="110" fillId="98" borderId="188" xfId="2697" applyNumberFormat="1" applyFont="1" applyFill="1" applyBorder="1" applyAlignment="1">
      <alignment vertical="center"/>
    </xf>
    <xf numFmtId="270" fontId="110" fillId="60" borderId="188" xfId="2697" applyNumberFormat="1" applyFont="1" applyFill="1" applyBorder="1" applyAlignment="1">
      <alignment vertical="center"/>
    </xf>
    <xf numFmtId="271" fontId="43" fillId="98" borderId="188" xfId="2697" applyNumberFormat="1" applyFont="1" applyFill="1" applyBorder="1" applyAlignment="1">
      <alignment vertical="center"/>
    </xf>
    <xf numFmtId="0" fontId="43" fillId="0" borderId="193" xfId="2697" applyFont="1" applyBorder="1"/>
    <xf numFmtId="171" fontId="117" fillId="43" borderId="191" xfId="2697" applyNumberFormat="1" applyFont="1" applyFill="1" applyBorder="1" applyAlignment="1">
      <alignment horizontal="center" vertical="center" wrapText="1"/>
    </xf>
    <xf numFmtId="0" fontId="30" fillId="0" borderId="189" xfId="0" applyFont="1" applyBorder="1"/>
    <xf numFmtId="0" fontId="0" fillId="0" borderId="189" xfId="0" applyBorder="1"/>
    <xf numFmtId="171" fontId="117" fillId="55" borderId="191" xfId="2697" applyNumberFormat="1" applyFont="1" applyFill="1" applyBorder="1" applyAlignment="1">
      <alignment horizontal="center" vertical="center" wrapText="1"/>
    </xf>
    <xf numFmtId="171" fontId="117" fillId="55" borderId="193" xfId="2697" applyNumberFormat="1" applyFont="1" applyFill="1" applyBorder="1" applyAlignment="1">
      <alignment horizontal="center" vertical="center" wrapText="1"/>
    </xf>
    <xf numFmtId="171" fontId="117" fillId="55" borderId="192" xfId="2697" applyNumberFormat="1" applyFont="1" applyFill="1" applyBorder="1" applyAlignment="1">
      <alignment horizontal="center" vertical="center" wrapText="1"/>
    </xf>
    <xf numFmtId="0" fontId="221" fillId="0" borderId="178" xfId="0" applyFont="1" applyBorder="1" applyAlignment="1">
      <alignment horizontal="right"/>
    </xf>
    <xf numFmtId="0" fontId="205" fillId="0" borderId="203" xfId="832" applyFont="1" applyBorder="1"/>
    <xf numFmtId="0" fontId="205" fillId="33" borderId="203" xfId="0" applyFont="1" applyFill="1" applyBorder="1"/>
    <xf numFmtId="0" fontId="208" fillId="33" borderId="190" xfId="831" applyFont="1" applyFill="1" applyBorder="1" applyAlignment="1">
      <alignment vertical="center"/>
    </xf>
    <xf numFmtId="0" fontId="208" fillId="33" borderId="194" xfId="831" applyFont="1" applyFill="1" applyBorder="1" applyAlignment="1">
      <alignment vertical="center"/>
    </xf>
    <xf numFmtId="0" fontId="208" fillId="0" borderId="189" xfId="832" applyFont="1" applyBorder="1" applyAlignment="1">
      <alignment horizontal="center"/>
    </xf>
    <xf numFmtId="0" fontId="208" fillId="44" borderId="189" xfId="832" applyFont="1" applyFill="1" applyBorder="1" applyAlignment="1">
      <alignment horizontal="center"/>
    </xf>
    <xf numFmtId="0" fontId="208" fillId="44" borderId="189" xfId="0" applyFont="1" applyFill="1" applyBorder="1"/>
    <xf numFmtId="0" fontId="205" fillId="0" borderId="189" xfId="832" applyFont="1" applyBorder="1" applyAlignment="1">
      <alignment horizontal="center"/>
    </xf>
    <xf numFmtId="0" fontId="205" fillId="33" borderId="191" xfId="789" applyFont="1" applyFill="1" applyBorder="1"/>
    <xf numFmtId="17" fontId="205" fillId="0" borderId="192" xfId="0" applyNumberFormat="1" applyFont="1" applyBorder="1"/>
    <xf numFmtId="195" fontId="205" fillId="0" borderId="189" xfId="832" applyNumberFormat="1" applyFont="1" applyBorder="1"/>
    <xf numFmtId="0" fontId="205" fillId="0" borderId="156" xfId="0" applyFont="1" applyBorder="1"/>
    <xf numFmtId="17" fontId="205" fillId="0" borderId="155" xfId="0" applyNumberFormat="1" applyFont="1" applyBorder="1"/>
    <xf numFmtId="172" fontId="215" fillId="0" borderId="189" xfId="863" applyNumberFormat="1" applyFont="1" applyFill="1" applyBorder="1" applyAlignment="1">
      <alignment vertical="top"/>
    </xf>
    <xf numFmtId="165" fontId="227" fillId="44" borderId="189" xfId="863" applyNumberFormat="1" applyFont="1" applyFill="1" applyBorder="1" applyAlignment="1">
      <alignment vertical="top"/>
    </xf>
    <xf numFmtId="165" fontId="215" fillId="0" borderId="189" xfId="863" applyNumberFormat="1" applyFont="1" applyFill="1" applyBorder="1" applyAlignment="1">
      <alignment vertical="top"/>
    </xf>
    <xf numFmtId="0" fontId="207" fillId="0" borderId="188" xfId="832" applyFont="1" applyBorder="1"/>
    <xf numFmtId="0" fontId="205" fillId="0" borderId="188" xfId="832" applyFont="1" applyBorder="1"/>
    <xf numFmtId="0" fontId="205" fillId="0" borderId="190" xfId="0" applyFont="1" applyBorder="1" applyAlignment="1">
      <alignment horizontal="right"/>
    </xf>
    <xf numFmtId="0" fontId="205" fillId="0" borderId="194" xfId="832" applyFont="1" applyBorder="1" applyAlignment="1">
      <alignment horizontal="left"/>
    </xf>
    <xf numFmtId="0" fontId="205" fillId="41" borderId="190" xfId="0" applyFont="1" applyFill="1" applyBorder="1" applyAlignment="1">
      <alignment horizontal="right"/>
    </xf>
    <xf numFmtId="0" fontId="205" fillId="41" borderId="194" xfId="832" applyFont="1" applyFill="1" applyBorder="1" applyAlignment="1">
      <alignment horizontal="left"/>
    </xf>
    <xf numFmtId="171" fontId="205" fillId="0" borderId="193" xfId="0" applyNumberFormat="1" applyFont="1" applyBorder="1"/>
    <xf numFmtId="171" fontId="205" fillId="0" borderId="178" xfId="0" applyNumberFormat="1" applyFont="1" applyBorder="1"/>
    <xf numFmtId="167" fontId="208" fillId="0" borderId="190" xfId="815" applyFont="1" applyFill="1" applyBorder="1"/>
    <xf numFmtId="167" fontId="208" fillId="0" borderId="194" xfId="815" applyFont="1" applyFill="1" applyBorder="1"/>
    <xf numFmtId="167" fontId="208" fillId="0" borderId="188" xfId="815" applyFont="1" applyFill="1" applyBorder="1"/>
    <xf numFmtId="167" fontId="205" fillId="0" borderId="190" xfId="815" applyFont="1" applyFill="1" applyBorder="1"/>
    <xf numFmtId="167" fontId="205" fillId="0" borderId="194" xfId="815" applyFont="1" applyFill="1" applyBorder="1"/>
    <xf numFmtId="167" fontId="208" fillId="0" borderId="190" xfId="815" applyFont="1" applyBorder="1"/>
    <xf numFmtId="167" fontId="208" fillId="0" borderId="194" xfId="815" applyFont="1" applyBorder="1"/>
    <xf numFmtId="0" fontId="205" fillId="41" borderId="194" xfId="832" applyFont="1" applyFill="1" applyBorder="1" applyAlignment="1">
      <alignment horizontal="center"/>
    </xf>
    <xf numFmtId="167" fontId="208" fillId="0" borderId="189" xfId="815" applyFont="1" applyBorder="1"/>
    <xf numFmtId="0" fontId="34" fillId="33" borderId="196" xfId="831" applyFont="1" applyFill="1" applyBorder="1" applyAlignment="1">
      <alignment horizontal="left"/>
    </xf>
    <xf numFmtId="0" fontId="39" fillId="39" borderId="189" xfId="831" applyFont="1" applyFill="1" applyBorder="1" applyAlignment="1">
      <alignment horizontal="center" vertical="center"/>
    </xf>
    <xf numFmtId="14" fontId="33" fillId="0" borderId="0" xfId="831" applyNumberFormat="1" applyFont="1"/>
    <xf numFmtId="17" fontId="43" fillId="0" borderId="189" xfId="831" applyNumberFormat="1" applyFont="1" applyBorder="1" applyAlignment="1">
      <alignment horizontal="center"/>
    </xf>
    <xf numFmtId="172" fontId="43" fillId="0" borderId="189" xfId="863" applyNumberFormat="1" applyFont="1" applyBorder="1" applyAlignment="1">
      <alignment horizontal="center"/>
    </xf>
    <xf numFmtId="196" fontId="43" fillId="0" borderId="189" xfId="863" applyNumberFormat="1" applyFont="1" applyBorder="1" applyAlignment="1">
      <alignment horizontal="center"/>
    </xf>
    <xf numFmtId="0" fontId="2" fillId="0" borderId="0" xfId="43418" applyFont="1"/>
    <xf numFmtId="0" fontId="2" fillId="0" borderId="0" xfId="43418" quotePrefix="1" applyFont="1"/>
    <xf numFmtId="0" fontId="2" fillId="0" borderId="0" xfId="43418" applyFont="1" applyAlignment="1">
      <alignment horizontal="center" vertical="center"/>
    </xf>
    <xf numFmtId="40" fontId="120" fillId="0" borderId="189" xfId="43410" applyNumberFormat="1" applyFont="1" applyBorder="1" applyAlignment="1">
      <alignment vertical="center"/>
    </xf>
    <xf numFmtId="40" fontId="120" fillId="42" borderId="189" xfId="43410" applyNumberFormat="1" applyFont="1" applyFill="1" applyBorder="1" applyAlignment="1">
      <alignment vertical="center"/>
    </xf>
    <xf numFmtId="0" fontId="50" fillId="109" borderId="204" xfId="43411" applyFont="1" applyFill="1" applyBorder="1" applyAlignment="1">
      <alignment horizontal="center"/>
    </xf>
    <xf numFmtId="0" fontId="50" fillId="0" borderId="205" xfId="43411" applyFont="1" applyBorder="1" applyAlignment="1">
      <alignment horizontal="right" wrapText="1"/>
    </xf>
    <xf numFmtId="0" fontId="50" fillId="0" borderId="205" xfId="43411" applyFont="1" applyBorder="1" applyAlignment="1">
      <alignment wrapText="1"/>
    </xf>
    <xf numFmtId="14" fontId="50" fillId="0" borderId="205" xfId="43411" applyNumberFormat="1" applyFont="1" applyBorder="1" applyAlignment="1">
      <alignment horizontal="right" wrapText="1"/>
    </xf>
    <xf numFmtId="267" fontId="50" fillId="0" borderId="205" xfId="43411" applyNumberFormat="1" applyFont="1" applyBorder="1" applyAlignment="1">
      <alignment horizontal="right" wrapText="1"/>
    </xf>
    <xf numFmtId="0" fontId="251" fillId="0" borderId="189" xfId="7308" applyFont="1" applyBorder="1"/>
    <xf numFmtId="214" fontId="250" fillId="0" borderId="189" xfId="7308" applyNumberFormat="1" applyFont="1" applyBorder="1"/>
    <xf numFmtId="0" fontId="261" fillId="0" borderId="189" xfId="7308" applyFont="1" applyBorder="1" applyAlignment="1">
      <alignment vertical="center"/>
    </xf>
    <xf numFmtId="0" fontId="250" fillId="42" borderId="189" xfId="7308" applyFont="1" applyFill="1" applyBorder="1" applyAlignment="1">
      <alignment horizontal="center"/>
    </xf>
    <xf numFmtId="0" fontId="250" fillId="0" borderId="189" xfId="7308" applyFont="1" applyBorder="1"/>
    <xf numFmtId="174" fontId="250" fillId="0" borderId="189" xfId="7308" applyNumberFormat="1" applyFont="1" applyBorder="1"/>
    <xf numFmtId="266" fontId="250" fillId="0" borderId="189" xfId="7308" applyNumberFormat="1" applyFont="1" applyBorder="1"/>
    <xf numFmtId="10" fontId="255" fillId="0" borderId="189" xfId="7308" applyNumberFormat="1" applyFont="1" applyBorder="1" applyAlignment="1">
      <alignment horizontal="right" vertical="center"/>
    </xf>
    <xf numFmtId="214" fontId="250" fillId="0" borderId="189" xfId="43165" applyNumberFormat="1" applyFont="1" applyBorder="1"/>
    <xf numFmtId="167" fontId="258" fillId="41" borderId="189" xfId="902" applyFont="1" applyFill="1" applyBorder="1" applyAlignment="1">
      <alignment horizontal="center"/>
    </xf>
    <xf numFmtId="0" fontId="250" fillId="0" borderId="189" xfId="7308" applyFont="1" applyBorder="1" applyAlignment="1">
      <alignment horizontal="right"/>
    </xf>
    <xf numFmtId="0" fontId="250" fillId="0" borderId="189" xfId="7308" applyFont="1" applyBorder="1" applyAlignment="1">
      <alignment horizontal="center"/>
    </xf>
    <xf numFmtId="10" fontId="257" fillId="0" borderId="189" xfId="7308" applyNumberFormat="1" applyFont="1" applyBorder="1" applyAlignment="1">
      <alignment horizontal="center"/>
    </xf>
    <xf numFmtId="167" fontId="261" fillId="0" borderId="189" xfId="7308" applyNumberFormat="1" applyFont="1" applyBorder="1" applyAlignment="1">
      <alignment vertical="center"/>
    </xf>
    <xf numFmtId="0" fontId="261" fillId="0" borderId="195" xfId="7308" applyFont="1" applyBorder="1" applyAlignment="1">
      <alignment vertical="center"/>
    </xf>
    <xf numFmtId="43" fontId="261" fillId="0" borderId="189" xfId="7308" applyNumberFormat="1" applyFont="1" applyBorder="1" applyAlignment="1">
      <alignment vertical="center"/>
    </xf>
    <xf numFmtId="43" fontId="261" fillId="0" borderId="190" xfId="7308" applyNumberFormat="1" applyFont="1" applyBorder="1" applyAlignment="1">
      <alignment vertical="center"/>
    </xf>
    <xf numFmtId="10" fontId="262" fillId="0" borderId="198" xfId="1095" applyNumberFormat="1" applyFont="1" applyFill="1" applyBorder="1" applyAlignment="1">
      <alignment vertical="center"/>
    </xf>
    <xf numFmtId="10" fontId="262" fillId="0" borderId="189" xfId="1095" applyNumberFormat="1" applyFont="1" applyFill="1" applyBorder="1" applyAlignment="1">
      <alignment vertical="center"/>
    </xf>
    <xf numFmtId="10" fontId="262" fillId="0" borderId="189" xfId="1095" applyNumberFormat="1" applyFont="1" applyBorder="1" applyAlignment="1">
      <alignment vertical="center"/>
    </xf>
    <xf numFmtId="10" fontId="261" fillId="0" borderId="189" xfId="7308" applyNumberFormat="1" applyFont="1" applyBorder="1" applyAlignment="1">
      <alignment vertical="center"/>
    </xf>
    <xf numFmtId="0" fontId="251" fillId="107" borderId="190" xfId="7308" applyFont="1" applyFill="1" applyBorder="1"/>
    <xf numFmtId="167" fontId="251" fillId="41" borderId="189" xfId="902" applyFont="1" applyFill="1" applyBorder="1"/>
    <xf numFmtId="0" fontId="250" fillId="0" borderId="206" xfId="7308" applyFont="1" applyBorder="1"/>
    <xf numFmtId="167" fontId="250" fillId="41" borderId="198" xfId="902" applyFont="1" applyFill="1" applyBorder="1"/>
    <xf numFmtId="0" fontId="254" fillId="0" borderId="189" xfId="7308" applyFont="1" applyBorder="1" applyAlignment="1">
      <alignment horizontal="center" vertical="center"/>
    </xf>
    <xf numFmtId="0" fontId="251" fillId="0" borderId="189" xfId="7308" applyFont="1" applyBorder="1" applyAlignment="1">
      <alignment horizontal="center"/>
    </xf>
    <xf numFmtId="0" fontId="254" fillId="0" borderId="189" xfId="7308" applyFont="1" applyBorder="1" applyAlignment="1">
      <alignment vertical="center"/>
    </xf>
    <xf numFmtId="2" fontId="255" fillId="0" borderId="189" xfId="7308" applyNumberFormat="1" applyFont="1" applyBorder="1" applyAlignment="1">
      <alignment horizontal="center" vertical="center"/>
    </xf>
    <xf numFmtId="0" fontId="256" fillId="42" borderId="189" xfId="7308" applyFont="1" applyFill="1" applyBorder="1" applyAlignment="1">
      <alignment horizontal="center" vertical="center"/>
    </xf>
    <xf numFmtId="10" fontId="255" fillId="42" borderId="189" xfId="7308" applyNumberFormat="1" applyFont="1" applyFill="1" applyBorder="1" applyAlignment="1">
      <alignment horizontal="center" vertical="center"/>
    </xf>
    <xf numFmtId="0" fontId="257" fillId="61" borderId="189" xfId="7308" applyFont="1" applyFill="1" applyBorder="1"/>
    <xf numFmtId="2" fontId="250" fillId="42" borderId="189" xfId="7308" applyNumberFormat="1" applyFont="1" applyFill="1" applyBorder="1" applyAlignment="1">
      <alignment horizontal="center"/>
    </xf>
    <xf numFmtId="2" fontId="255" fillId="42" borderId="189" xfId="7308" applyNumberFormat="1" applyFont="1" applyFill="1" applyBorder="1" applyAlignment="1">
      <alignment horizontal="center" vertical="center"/>
    </xf>
    <xf numFmtId="167" fontId="258" fillId="42" borderId="189" xfId="902" applyFont="1" applyFill="1" applyBorder="1"/>
    <xf numFmtId="0" fontId="250" fillId="46" borderId="189" xfId="7308" applyFont="1" applyFill="1" applyBorder="1"/>
    <xf numFmtId="265" fontId="250" fillId="0" borderId="189" xfId="7308" applyNumberFormat="1" applyFont="1" applyBorder="1"/>
    <xf numFmtId="2" fontId="250" fillId="0" borderId="189" xfId="7308" applyNumberFormat="1" applyFont="1" applyBorder="1"/>
    <xf numFmtId="10" fontId="250" fillId="0" borderId="189" xfId="7308" applyNumberFormat="1" applyFont="1" applyBorder="1"/>
    <xf numFmtId="173" fontId="250" fillId="0" borderId="189" xfId="7308" applyNumberFormat="1" applyFont="1" applyBorder="1"/>
    <xf numFmtId="167" fontId="251" fillId="102" borderId="189" xfId="902" applyFont="1" applyFill="1" applyBorder="1"/>
    <xf numFmtId="0" fontId="251" fillId="59" borderId="188" xfId="2697" applyFont="1" applyFill="1" applyBorder="1" applyAlignment="1">
      <alignment vertical="center"/>
    </xf>
    <xf numFmtId="4" fontId="251" fillId="59" borderId="188" xfId="2697" applyNumberFormat="1" applyFont="1" applyFill="1" applyBorder="1" applyAlignment="1">
      <alignment vertical="center"/>
    </xf>
    <xf numFmtId="167" fontId="250" fillId="102" borderId="198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6" fillId="97" borderId="152" xfId="0" applyFont="1" applyFill="1" applyBorder="1" applyAlignment="1">
      <alignment vertical="center"/>
    </xf>
    <xf numFmtId="0" fontId="36" fillId="97" borderId="152" xfId="0" applyFont="1" applyFill="1" applyBorder="1" applyAlignment="1">
      <alignment horizontal="center" vertical="center" wrapText="1"/>
    </xf>
    <xf numFmtId="0" fontId="36" fillId="97" borderId="152" xfId="0" applyFont="1" applyFill="1" applyBorder="1" applyAlignment="1">
      <alignment horizontal="center" vertical="center"/>
    </xf>
    <xf numFmtId="168" fontId="283" fillId="42" borderId="0" xfId="863" applyFont="1" applyFill="1" applyBorder="1"/>
    <xf numFmtId="0" fontId="113" fillId="42" borderId="0" xfId="0" applyFont="1" applyFill="1"/>
    <xf numFmtId="167" fontId="205" fillId="41" borderId="166" xfId="815" applyFont="1" applyFill="1" applyBorder="1"/>
    <xf numFmtId="0" fontId="212" fillId="43" borderId="166" xfId="0" applyFont="1" applyFill="1" applyBorder="1" applyAlignment="1">
      <alignment horizontal="center" vertical="center" wrapText="1"/>
    </xf>
    <xf numFmtId="0" fontId="205" fillId="0" borderId="0" xfId="847" applyNumberFormat="1" applyFont="1"/>
    <xf numFmtId="168" fontId="205" fillId="44" borderId="0" xfId="863" applyFont="1" applyFill="1"/>
    <xf numFmtId="2" fontId="205" fillId="44" borderId="0" xfId="863" applyNumberFormat="1" applyFont="1" applyFill="1"/>
    <xf numFmtId="14" fontId="205" fillId="44" borderId="0" xfId="847" applyNumberFormat="1" applyFont="1" applyFill="1"/>
    <xf numFmtId="14" fontId="205" fillId="44" borderId="0" xfId="0" applyNumberFormat="1" applyFont="1" applyFill="1"/>
    <xf numFmtId="2" fontId="205" fillId="44" borderId="0" xfId="0" applyNumberFormat="1" applyFont="1" applyFill="1"/>
    <xf numFmtId="167" fontId="205" fillId="44" borderId="0" xfId="815" applyFont="1" applyFill="1"/>
    <xf numFmtId="2" fontId="205" fillId="44" borderId="0" xfId="847" applyNumberFormat="1" applyFont="1" applyFill="1"/>
    <xf numFmtId="0" fontId="205" fillId="44" borderId="0" xfId="0" applyFont="1" applyFill="1"/>
    <xf numFmtId="10" fontId="205" fillId="108" borderId="178" xfId="0" applyNumberFormat="1" applyFont="1" applyFill="1" applyBorder="1"/>
    <xf numFmtId="0" fontId="205" fillId="108" borderId="178" xfId="847" applyNumberFormat="1" applyFont="1" applyFill="1" applyBorder="1"/>
    <xf numFmtId="168" fontId="205" fillId="108" borderId="178" xfId="863" applyFont="1" applyFill="1" applyBorder="1"/>
    <xf numFmtId="3" fontId="30" fillId="0" borderId="0" xfId="0" applyNumberFormat="1" applyFont="1" applyAlignment="1">
      <alignment horizontal="center" vertical="distributed"/>
    </xf>
    <xf numFmtId="257" fontId="30" fillId="0" borderId="0" xfId="0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 vertical="distributed"/>
    </xf>
    <xf numFmtId="9" fontId="30" fillId="0" borderId="0" xfId="0" applyNumberFormat="1" applyFont="1"/>
    <xf numFmtId="14" fontId="30" fillId="0" borderId="0" xfId="863" applyNumberFormat="1" applyFont="1" applyFill="1" applyAlignment="1">
      <alignment horizontal="center"/>
    </xf>
    <xf numFmtId="168" fontId="30" fillId="0" borderId="0" xfId="863" applyFont="1" applyFill="1" applyAlignment="1">
      <alignment horizontal="center" vertical="distributed"/>
    </xf>
    <xf numFmtId="168" fontId="30" fillId="0" borderId="0" xfId="0" applyNumberFormat="1" applyFont="1" applyAlignment="1">
      <alignment horizontal="center" vertical="distributed"/>
    </xf>
    <xf numFmtId="168" fontId="30" fillId="0" borderId="0" xfId="863" applyFont="1" applyFill="1" applyBorder="1" applyAlignment="1">
      <alignment horizontal="center" vertical="distributed"/>
    </xf>
    <xf numFmtId="9" fontId="30" fillId="0" borderId="0" xfId="847" applyFont="1" applyFill="1" applyAlignment="1">
      <alignment horizontal="center" vertical="distributed"/>
    </xf>
    <xf numFmtId="9" fontId="30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30" fillId="0" borderId="0" xfId="863" applyNumberFormat="1" applyFont="1" applyFill="1" applyAlignment="1">
      <alignment horizontal="center" vertical="distributed"/>
    </xf>
    <xf numFmtId="10" fontId="30" fillId="0" borderId="0" xfId="847" applyNumberFormat="1" applyFont="1" applyFill="1" applyAlignment="1">
      <alignment horizontal="center" vertical="distributed"/>
    </xf>
    <xf numFmtId="4" fontId="30" fillId="0" borderId="0" xfId="0" applyNumberFormat="1" applyFont="1" applyAlignment="1">
      <alignment vertical="center"/>
    </xf>
    <xf numFmtId="49" fontId="30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8" fillId="125" borderId="207" xfId="0" applyFont="1" applyFill="1" applyBorder="1"/>
    <xf numFmtId="0" fontId="318" fillId="125" borderId="208" xfId="0" applyFont="1" applyFill="1" applyBorder="1"/>
    <xf numFmtId="0" fontId="318" fillId="125" borderId="0" xfId="0" applyFont="1" applyFill="1"/>
    <xf numFmtId="168" fontId="212" fillId="43" borderId="188" xfId="0" applyNumberFormat="1" applyFont="1" applyFill="1" applyBorder="1" applyAlignment="1">
      <alignment horizontal="center" vertical="center" wrapText="1"/>
    </xf>
    <xf numFmtId="0" fontId="250" fillId="0" borderId="0" xfId="0" applyFont="1" applyAlignment="1">
      <alignment horizontal="left" vertical="center"/>
    </xf>
    <xf numFmtId="0" fontId="250" fillId="0" borderId="0" xfId="0" applyFont="1" applyAlignment="1">
      <alignment horizontal="right" vertical="center"/>
    </xf>
    <xf numFmtId="168" fontId="250" fillId="118" borderId="0" xfId="863" applyFont="1" applyFill="1" applyBorder="1" applyAlignment="1">
      <alignment vertical="center"/>
    </xf>
    <xf numFmtId="168" fontId="205" fillId="126" borderId="0" xfId="863" applyFont="1" applyFill="1"/>
    <xf numFmtId="0" fontId="205" fillId="126" borderId="0" xfId="0" applyFont="1" applyFill="1" applyAlignment="1">
      <alignment horizontal="left"/>
    </xf>
    <xf numFmtId="0" fontId="0" fillId="0" borderId="0" xfId="863" applyNumberFormat="1" applyFont="1" applyFill="1"/>
    <xf numFmtId="0" fontId="212" fillId="43" borderId="144" xfId="0" applyFont="1" applyFill="1" applyBorder="1" applyAlignment="1">
      <alignment horizontal="center" vertical="center" wrapText="1"/>
    </xf>
    <xf numFmtId="167" fontId="205" fillId="0" borderId="166" xfId="815" applyFont="1" applyFill="1" applyBorder="1"/>
    <xf numFmtId="205" fontId="116" fillId="0" borderId="0" xfId="0" applyNumberFormat="1" applyFont="1"/>
    <xf numFmtId="10" fontId="283" fillId="0" borderId="0" xfId="2578" applyNumberFormat="1" applyFont="1" applyFill="1" applyBorder="1" applyAlignment="1">
      <alignment horizontal="center"/>
    </xf>
    <xf numFmtId="167" fontId="282" fillId="114" borderId="0" xfId="5583" applyNumberFormat="1" applyFont="1" applyFill="1" applyBorder="1" applyAlignment="1">
      <alignment vertical="center"/>
    </xf>
    <xf numFmtId="0" fontId="250" fillId="42" borderId="209" xfId="0" applyFont="1" applyFill="1" applyBorder="1" applyAlignment="1">
      <alignment vertical="center"/>
    </xf>
    <xf numFmtId="0" fontId="260" fillId="39" borderId="149" xfId="831" applyFont="1" applyFill="1" applyBorder="1" applyAlignment="1">
      <alignment horizontal="left" vertical="center"/>
    </xf>
    <xf numFmtId="0" fontId="260" fillId="39" borderId="185" xfId="831" applyFont="1" applyFill="1" applyBorder="1" applyAlignment="1">
      <alignment horizontal="left" vertical="center"/>
    </xf>
    <xf numFmtId="168" fontId="260" fillId="39" borderId="185" xfId="863" applyFont="1" applyFill="1" applyBorder="1" applyAlignment="1">
      <alignment horizontal="left" vertical="center"/>
    </xf>
    <xf numFmtId="0" fontId="260" fillId="39" borderId="148" xfId="831" applyFont="1" applyFill="1" applyBorder="1" applyAlignment="1">
      <alignment horizontal="left" vertical="center"/>
    </xf>
    <xf numFmtId="14" fontId="250" fillId="0" borderId="152" xfId="831" applyNumberFormat="1" applyFont="1" applyBorder="1" applyAlignment="1">
      <alignment horizontal="center" vertical="center"/>
    </xf>
    <xf numFmtId="0" fontId="250" fillId="0" borderId="152" xfId="831" applyFont="1" applyBorder="1" applyAlignment="1">
      <alignment vertical="center"/>
    </xf>
    <xf numFmtId="168" fontId="250" fillId="0" borderId="152" xfId="863" applyFont="1" applyBorder="1" applyAlignment="1">
      <alignment vertical="center"/>
    </xf>
    <xf numFmtId="272" fontId="250" fillId="0" borderId="152" xfId="863" applyNumberFormat="1" applyFont="1" applyBorder="1" applyAlignment="1">
      <alignment vertical="center"/>
    </xf>
    <xf numFmtId="0" fontId="250" fillId="0" borderId="0" xfId="831" applyFont="1"/>
    <xf numFmtId="0" fontId="319" fillId="0" borderId="0" xfId="0" applyFont="1"/>
    <xf numFmtId="0" fontId="317" fillId="0" borderId="0" xfId="43418" applyFont="1" applyAlignment="1">
      <alignment horizontal="center" vertical="center" wrapText="1"/>
    </xf>
    <xf numFmtId="214" fontId="250" fillId="0" borderId="0" xfId="0" applyNumberFormat="1" applyFont="1" applyAlignment="1">
      <alignment horizontal="center"/>
    </xf>
    <xf numFmtId="214" fontId="251" fillId="0" borderId="0" xfId="0" applyNumberFormat="1" applyFont="1" applyAlignment="1">
      <alignment horizontal="center"/>
    </xf>
    <xf numFmtId="43" fontId="205" fillId="108" borderId="0" xfId="863" applyNumberFormat="1" applyFont="1" applyFill="1" applyBorder="1"/>
    <xf numFmtId="43" fontId="205" fillId="108" borderId="178" xfId="863" applyNumberFormat="1" applyFont="1" applyFill="1" applyBorder="1"/>
    <xf numFmtId="0" fontId="317" fillId="129" borderId="144" xfId="0" applyFont="1" applyFill="1" applyBorder="1"/>
    <xf numFmtId="0" fontId="317" fillId="101" borderId="144" xfId="0" applyFont="1" applyFill="1" applyBorder="1" applyAlignment="1">
      <alignment horizontal="center"/>
    </xf>
    <xf numFmtId="0" fontId="317" fillId="101" borderId="178" xfId="0" applyFont="1" applyFill="1" applyBorder="1" applyAlignment="1">
      <alignment horizontal="center"/>
    </xf>
    <xf numFmtId="0" fontId="251" fillId="128" borderId="144" xfId="0" applyFont="1" applyFill="1" applyBorder="1"/>
    <xf numFmtId="17" fontId="315" fillId="127" borderId="144" xfId="0" applyNumberFormat="1" applyFont="1" applyFill="1" applyBorder="1" applyAlignment="1">
      <alignment horizontal="center"/>
    </xf>
    <xf numFmtId="214" fontId="262" fillId="0" borderId="0" xfId="863" applyNumberFormat="1" applyFont="1" applyFill="1" applyBorder="1" applyAlignment="1">
      <alignment horizontal="center"/>
    </xf>
    <xf numFmtId="0" fontId="317" fillId="0" borderId="0" xfId="0" applyFont="1" applyAlignment="1">
      <alignment horizontal="center"/>
    </xf>
    <xf numFmtId="17" fontId="315" fillId="0" borderId="0" xfId="0" applyNumberFormat="1" applyFont="1" applyAlignment="1">
      <alignment horizontal="center"/>
    </xf>
    <xf numFmtId="0" fontId="322" fillId="0" borderId="0" xfId="0" applyFont="1"/>
    <xf numFmtId="167" fontId="250" fillId="0" borderId="0" xfId="815" applyFont="1"/>
    <xf numFmtId="167" fontId="250" fillId="59" borderId="144" xfId="815" applyFont="1" applyFill="1" applyBorder="1"/>
    <xf numFmtId="0" fontId="251" fillId="0" borderId="149" xfId="0" applyFont="1" applyBorder="1"/>
    <xf numFmtId="0" fontId="317" fillId="0" borderId="0" xfId="43418" applyFont="1" applyAlignment="1">
      <alignment horizontal="center" vertical="center"/>
    </xf>
    <xf numFmtId="17" fontId="320" fillId="0" borderId="0" xfId="43418" applyNumberFormat="1" applyFont="1" applyAlignment="1">
      <alignment horizontal="center"/>
    </xf>
    <xf numFmtId="0" fontId="320" fillId="0" borderId="0" xfId="43418" applyFont="1" applyAlignment="1">
      <alignment horizontal="center"/>
    </xf>
    <xf numFmtId="0" fontId="320" fillId="0" borderId="0" xfId="43418" applyFont="1" applyAlignment="1">
      <alignment horizontal="center" vertical="center"/>
    </xf>
    <xf numFmtId="214" fontId="320" fillId="0" borderId="0" xfId="43418" applyNumberFormat="1" applyFont="1" applyAlignment="1">
      <alignment horizontal="center"/>
    </xf>
    <xf numFmtId="17" fontId="257" fillId="0" borderId="0" xfId="43418" applyNumberFormat="1" applyFont="1" applyAlignment="1">
      <alignment horizontal="center"/>
    </xf>
    <xf numFmtId="0" fontId="257" fillId="0" borderId="0" xfId="43418" applyFont="1" applyAlignment="1">
      <alignment horizontal="center"/>
    </xf>
    <xf numFmtId="0" fontId="251" fillId="0" borderId="0" xfId="0" applyFont="1" applyAlignment="1">
      <alignment horizontal="center"/>
    </xf>
    <xf numFmtId="167" fontId="282" fillId="42" borderId="0" xfId="5583" applyNumberFormat="1" applyFont="1" applyFill="1" applyBorder="1"/>
    <xf numFmtId="0" fontId="250" fillId="61" borderId="0" xfId="0" applyFont="1" applyFill="1" applyAlignment="1">
      <alignment vertical="center"/>
    </xf>
    <xf numFmtId="174" fontId="250" fillId="61" borderId="0" xfId="0" applyNumberFormat="1" applyFont="1" applyFill="1" applyAlignment="1">
      <alignment vertical="center"/>
    </xf>
    <xf numFmtId="167" fontId="315" fillId="127" borderId="144" xfId="815" applyFont="1" applyFill="1" applyBorder="1" applyAlignment="1">
      <alignment horizontal="center"/>
    </xf>
    <xf numFmtId="0" fontId="205" fillId="0" borderId="0" xfId="0" pivotButton="1" applyFont="1"/>
    <xf numFmtId="205" fontId="205" fillId="0" borderId="0" xfId="0" applyNumberFormat="1" applyFont="1" applyAlignment="1">
      <alignment horizontal="left"/>
    </xf>
    <xf numFmtId="168" fontId="205" fillId="61" borderId="0" xfId="863" applyFont="1" applyFill="1" applyBorder="1"/>
    <xf numFmtId="168" fontId="43" fillId="41" borderId="0" xfId="863" applyFont="1" applyFill="1"/>
    <xf numFmtId="17" fontId="205" fillId="0" borderId="0" xfId="0" applyNumberFormat="1" applyFont="1"/>
    <xf numFmtId="1" fontId="205" fillId="0" borderId="0" xfId="0" applyNumberFormat="1" applyFont="1" applyAlignment="1">
      <alignment horizontal="right"/>
    </xf>
    <xf numFmtId="0" fontId="208" fillId="0" borderId="0" xfId="0" applyFont="1" applyAlignment="1">
      <alignment horizontal="right"/>
    </xf>
    <xf numFmtId="1" fontId="205" fillId="44" borderId="0" xfId="863" applyNumberFormat="1" applyFont="1" applyFill="1"/>
    <xf numFmtId="170" fontId="205" fillId="44" borderId="0" xfId="863" applyNumberFormat="1" applyFont="1" applyFill="1"/>
    <xf numFmtId="167" fontId="30" fillId="111" borderId="210" xfId="815" applyFont="1" applyFill="1" applyBorder="1" applyAlignment="1">
      <alignment horizontal="center" vertical="center"/>
    </xf>
    <xf numFmtId="167" fontId="321" fillId="130" borderId="148" xfId="815" applyFont="1" applyFill="1" applyBorder="1" applyAlignment="1">
      <alignment horizontal="center"/>
    </xf>
    <xf numFmtId="176" fontId="43" fillId="61" borderId="198" xfId="863" applyNumberFormat="1" applyFont="1" applyFill="1" applyBorder="1" applyAlignment="1">
      <alignment vertical="center"/>
    </xf>
    <xf numFmtId="282" fontId="250" fillId="118" borderId="0" xfId="0" applyNumberFormat="1" applyFont="1" applyFill="1" applyAlignment="1">
      <alignment vertical="center"/>
    </xf>
    <xf numFmtId="167" fontId="205" fillId="0" borderId="0" xfId="815" applyFont="1" applyBorder="1" applyAlignment="1">
      <alignment horizontal="left"/>
    </xf>
    <xf numFmtId="167" fontId="205" fillId="0" borderId="178" xfId="815" applyFont="1" applyBorder="1" applyAlignment="1">
      <alignment horizontal="left"/>
    </xf>
    <xf numFmtId="0" fontId="315" fillId="0" borderId="0" xfId="43440" applyFont="1" applyAlignment="1">
      <alignment vertical="center"/>
    </xf>
    <xf numFmtId="0" fontId="317" fillId="122" borderId="190" xfId="43440" applyFont="1" applyFill="1" applyBorder="1" applyAlignment="1">
      <alignment horizontal="center" vertical="center" wrapText="1"/>
    </xf>
    <xf numFmtId="0" fontId="317" fillId="122" borderId="211" xfId="43440" applyFont="1" applyFill="1" applyBorder="1" applyAlignment="1">
      <alignment horizontal="center" vertical="center" wrapText="1"/>
    </xf>
    <xf numFmtId="4" fontId="317" fillId="122" borderId="185" xfId="43440" applyNumberFormat="1" applyFont="1" applyFill="1" applyBorder="1" applyAlignment="1">
      <alignment horizontal="center" vertical="center" wrapText="1"/>
    </xf>
    <xf numFmtId="0" fontId="317" fillId="122" borderId="212" xfId="43440" applyFont="1" applyFill="1" applyBorder="1" applyAlignment="1">
      <alignment horizontal="center" vertical="center" wrapText="1"/>
    </xf>
    <xf numFmtId="4" fontId="317" fillId="122" borderId="213" xfId="43440" applyNumberFormat="1" applyFont="1" applyFill="1" applyBorder="1" applyAlignment="1">
      <alignment horizontal="center" vertical="center" wrapText="1"/>
    </xf>
    <xf numFmtId="168" fontId="315" fillId="131" borderId="198" xfId="863" applyFont="1" applyFill="1" applyBorder="1" applyAlignment="1">
      <alignment vertical="center"/>
    </xf>
    <xf numFmtId="168" fontId="315" fillId="131" borderId="190" xfId="863" applyFont="1" applyFill="1" applyBorder="1" applyAlignment="1">
      <alignment vertical="center"/>
    </xf>
    <xf numFmtId="168" fontId="315" fillId="131" borderId="194" xfId="863" applyFont="1" applyFill="1" applyBorder="1" applyAlignment="1">
      <alignment vertical="center"/>
    </xf>
    <xf numFmtId="168" fontId="250" fillId="0" borderId="198" xfId="863" applyFont="1" applyFill="1" applyBorder="1" applyAlignment="1">
      <alignment horizontal="right" vertical="center"/>
    </xf>
    <xf numFmtId="168" fontId="315" fillId="0" borderId="198" xfId="863" applyFont="1" applyFill="1" applyBorder="1" applyAlignment="1">
      <alignment vertical="center"/>
    </xf>
    <xf numFmtId="4" fontId="315" fillId="131" borderId="198" xfId="43440" applyNumberFormat="1" applyFont="1" applyFill="1" applyBorder="1" applyAlignment="1">
      <alignment vertical="center"/>
    </xf>
    <xf numFmtId="4" fontId="315" fillId="0" borderId="198" xfId="43440" applyNumberFormat="1" applyFont="1" applyBorder="1" applyAlignment="1">
      <alignment vertical="center"/>
    </xf>
    <xf numFmtId="168" fontId="323" fillId="132" borderId="198" xfId="863" applyFont="1" applyFill="1" applyBorder="1" applyAlignment="1">
      <alignment vertical="center"/>
    </xf>
    <xf numFmtId="0" fontId="315" fillId="0" borderId="190" xfId="43440" applyFont="1" applyBorder="1" applyAlignment="1">
      <alignment vertical="center"/>
    </xf>
    <xf numFmtId="0" fontId="315" fillId="0" borderId="194" xfId="43440" applyFont="1" applyBorder="1" applyAlignment="1">
      <alignment vertical="center"/>
    </xf>
    <xf numFmtId="43" fontId="250" fillId="42" borderId="189" xfId="43441" applyFont="1" applyFill="1" applyBorder="1" applyAlignment="1">
      <alignment horizontal="right" vertical="center"/>
    </xf>
    <xf numFmtId="168" fontId="315" fillId="0" borderId="0" xfId="863" applyFont="1" applyAlignment="1">
      <alignment vertical="center"/>
    </xf>
    <xf numFmtId="283" fontId="315" fillId="0" borderId="214" xfId="43440" applyNumberFormat="1" applyFont="1" applyBorder="1" applyAlignment="1">
      <alignment horizontal="center" vertical="center"/>
    </xf>
    <xf numFmtId="43" fontId="250" fillId="131" borderId="0" xfId="43441" applyFont="1" applyFill="1" applyAlignment="1">
      <alignment vertical="center"/>
    </xf>
    <xf numFmtId="0" fontId="315" fillId="131" borderId="195" xfId="43440" applyFont="1" applyFill="1" applyBorder="1" applyAlignment="1">
      <alignment vertical="center"/>
    </xf>
    <xf numFmtId="168" fontId="250" fillId="0" borderId="195" xfId="863" applyFont="1" applyBorder="1" applyAlignment="1">
      <alignment vertical="center"/>
    </xf>
    <xf numFmtId="43" fontId="250" fillId="131" borderId="10" xfId="43441" applyFont="1" applyFill="1" applyBorder="1" applyAlignment="1">
      <alignment vertical="center"/>
    </xf>
    <xf numFmtId="0" fontId="315" fillId="131" borderId="10" xfId="43440" applyFont="1" applyFill="1" applyBorder="1" applyAlignment="1">
      <alignment vertical="center"/>
    </xf>
    <xf numFmtId="43" fontId="250" fillId="0" borderId="10" xfId="43441" applyFont="1" applyBorder="1" applyAlignment="1">
      <alignment vertical="center"/>
    </xf>
    <xf numFmtId="43" fontId="250" fillId="0" borderId="0" xfId="43441" applyFont="1" applyAlignment="1">
      <alignment vertical="center"/>
    </xf>
    <xf numFmtId="0" fontId="315" fillId="131" borderId="0" xfId="43440" applyFont="1" applyFill="1" applyAlignment="1">
      <alignment vertical="center"/>
    </xf>
    <xf numFmtId="4" fontId="262" fillId="131" borderId="10" xfId="43440" applyNumberFormat="1" applyFont="1" applyFill="1" applyBorder="1" applyAlignment="1">
      <alignment vertical="center"/>
    </xf>
    <xf numFmtId="283" fontId="323" fillId="0" borderId="190" xfId="43440" applyNumberFormat="1" applyFont="1" applyBorder="1" applyAlignment="1">
      <alignment horizontal="center" vertical="center"/>
    </xf>
    <xf numFmtId="168" fontId="323" fillId="0" borderId="189" xfId="863" applyFont="1" applyBorder="1" applyAlignment="1">
      <alignment vertical="center"/>
    </xf>
    <xf numFmtId="10" fontId="205" fillId="0" borderId="178" xfId="847" applyNumberFormat="1" applyFont="1" applyBorder="1"/>
    <xf numFmtId="0" fontId="251" fillId="0" borderId="0" xfId="907" applyFont="1" applyAlignment="1">
      <alignment vertical="center"/>
    </xf>
    <xf numFmtId="0" fontId="250" fillId="0" borderId="0" xfId="907" applyFont="1" applyAlignment="1">
      <alignment vertical="center"/>
    </xf>
    <xf numFmtId="0" fontId="314" fillId="43" borderId="189" xfId="907" applyFont="1" applyFill="1" applyBorder="1" applyAlignment="1">
      <alignment vertical="center"/>
    </xf>
    <xf numFmtId="10" fontId="250" fillId="0" borderId="189" xfId="847" applyNumberFormat="1" applyFont="1" applyBorder="1" applyAlignment="1">
      <alignment vertical="center"/>
    </xf>
    <xf numFmtId="168" fontId="251" fillId="59" borderId="144" xfId="863" applyFont="1" applyFill="1" applyBorder="1" applyAlignment="1">
      <alignment horizontal="left"/>
    </xf>
    <xf numFmtId="10" fontId="43" fillId="41" borderId="0" xfId="847" applyNumberFormat="1" applyFont="1" applyFill="1"/>
    <xf numFmtId="10" fontId="251" fillId="59" borderId="144" xfId="847" applyNumberFormat="1" applyFont="1" applyFill="1" applyBorder="1" applyAlignment="1">
      <alignment horizontal="right"/>
    </xf>
    <xf numFmtId="0" fontId="308" fillId="133" borderId="0" xfId="43437" applyFont="1" applyFill="1" applyAlignment="1">
      <alignment horizontal="right" vertical="center"/>
    </xf>
    <xf numFmtId="0" fontId="309" fillId="133" borderId="0" xfId="43437" applyFont="1" applyFill="1" applyAlignment="1">
      <alignment vertical="center"/>
    </xf>
    <xf numFmtId="0" fontId="309" fillId="133" borderId="0" xfId="43437" applyFont="1" applyFill="1" applyAlignment="1">
      <alignment vertical="center" wrapText="1"/>
    </xf>
    <xf numFmtId="0" fontId="310" fillId="133" borderId="0" xfId="43437" applyFont="1" applyFill="1" applyAlignment="1">
      <alignment vertical="center"/>
    </xf>
    <xf numFmtId="0" fontId="43" fillId="133" borderId="0" xfId="43437" applyFont="1" applyFill="1" applyAlignment="1">
      <alignment vertical="center"/>
    </xf>
    <xf numFmtId="0" fontId="311" fillId="133" borderId="0" xfId="43437" applyFont="1" applyFill="1" applyAlignment="1">
      <alignment vertical="center"/>
    </xf>
    <xf numFmtId="0" fontId="250" fillId="133" borderId="0" xfId="43437" applyFont="1" applyFill="1" applyAlignment="1">
      <alignment vertical="center" wrapText="1"/>
    </xf>
    <xf numFmtId="0" fontId="250" fillId="133" borderId="0" xfId="43437" applyFont="1" applyFill="1" applyAlignment="1">
      <alignment vertical="center"/>
    </xf>
    <xf numFmtId="0" fontId="260" fillId="134" borderId="188" xfId="43438" applyFont="1" applyFill="1" applyBorder="1" applyAlignment="1">
      <alignment horizontal="center" vertical="center" wrapText="1"/>
    </xf>
    <xf numFmtId="0" fontId="250" fillId="135" borderId="199" xfId="43437" quotePrefix="1" applyFont="1" applyFill="1" applyBorder="1" applyAlignment="1">
      <alignment horizontal="left" vertical="center"/>
    </xf>
    <xf numFmtId="170" fontId="250" fillId="136" borderId="200" xfId="863" applyNumberFormat="1" applyFont="1" applyFill="1" applyBorder="1" applyAlignment="1">
      <alignment vertical="center" wrapText="1"/>
    </xf>
    <xf numFmtId="170" fontId="257" fillId="137" borderId="0" xfId="863" applyNumberFormat="1" applyFont="1" applyFill="1" applyBorder="1" applyAlignment="1">
      <alignment vertical="center" wrapText="1"/>
    </xf>
    <xf numFmtId="170" fontId="250" fillId="136" borderId="193" xfId="863" applyNumberFormat="1" applyFont="1" applyFill="1" applyBorder="1" applyAlignment="1">
      <alignment vertical="center" wrapText="1"/>
    </xf>
    <xf numFmtId="170" fontId="250" fillId="136" borderId="193" xfId="863" applyNumberFormat="1" applyFont="1" applyFill="1" applyBorder="1" applyAlignment="1">
      <alignment vertical="center"/>
    </xf>
    <xf numFmtId="0" fontId="250" fillId="133" borderId="0" xfId="43437" applyFont="1" applyFill="1" applyAlignment="1">
      <alignment horizontal="right" vertical="center"/>
    </xf>
    <xf numFmtId="170" fontId="250" fillId="136" borderId="0" xfId="863" applyNumberFormat="1" applyFont="1" applyFill="1" applyBorder="1" applyAlignment="1">
      <alignment vertical="center"/>
    </xf>
    <xf numFmtId="0" fontId="250" fillId="135" borderId="126" xfId="43437" quotePrefix="1" applyFont="1" applyFill="1" applyBorder="1" applyAlignment="1">
      <alignment horizontal="left" vertical="center"/>
    </xf>
    <xf numFmtId="170" fontId="250" fillId="136" borderId="165" xfId="863" applyNumberFormat="1" applyFont="1" applyFill="1" applyBorder="1" applyAlignment="1">
      <alignment vertical="center" wrapText="1"/>
    </xf>
    <xf numFmtId="170" fontId="312" fillId="137" borderId="0" xfId="863" applyNumberFormat="1" applyFont="1" applyFill="1" applyBorder="1" applyAlignment="1">
      <alignment vertical="center" wrapText="1"/>
    </xf>
    <xf numFmtId="170" fontId="250" fillId="136" borderId="0" xfId="863" applyNumberFormat="1" applyFont="1" applyFill="1" applyBorder="1" applyAlignment="1">
      <alignment vertical="center" wrapText="1"/>
    </xf>
    <xf numFmtId="0" fontId="250" fillId="136" borderId="0" xfId="863" applyNumberFormat="1" applyFont="1" applyFill="1" applyBorder="1" applyAlignment="1">
      <alignment vertical="center"/>
    </xf>
    <xf numFmtId="170" fontId="250" fillId="135" borderId="0" xfId="863" applyNumberFormat="1" applyFont="1" applyFill="1" applyBorder="1" applyAlignment="1">
      <alignment vertical="center" wrapText="1"/>
    </xf>
    <xf numFmtId="170" fontId="250" fillId="135" borderId="0" xfId="863" applyNumberFormat="1" applyFont="1" applyFill="1" applyBorder="1" applyAlignment="1">
      <alignment vertical="center"/>
    </xf>
    <xf numFmtId="0" fontId="250" fillId="135" borderId="0" xfId="863" applyNumberFormat="1" applyFont="1" applyFill="1" applyBorder="1" applyAlignment="1">
      <alignment vertical="center"/>
    </xf>
    <xf numFmtId="0" fontId="250" fillId="135" borderId="183" xfId="43437" quotePrefix="1" applyFont="1" applyFill="1" applyBorder="1" applyAlignment="1">
      <alignment horizontal="left" vertical="center"/>
    </xf>
    <xf numFmtId="170" fontId="250" fillId="136" borderId="184" xfId="863" applyNumberFormat="1" applyFont="1" applyFill="1" applyBorder="1" applyAlignment="1">
      <alignment vertical="center" wrapText="1"/>
    </xf>
    <xf numFmtId="170" fontId="250" fillId="135" borderId="215" xfId="863" applyNumberFormat="1" applyFont="1" applyFill="1" applyBorder="1" applyAlignment="1">
      <alignment vertical="center" wrapText="1"/>
    </xf>
    <xf numFmtId="170" fontId="250" fillId="135" borderId="215" xfId="863" applyNumberFormat="1" applyFont="1" applyFill="1" applyBorder="1" applyAlignment="1">
      <alignment vertical="center"/>
    </xf>
    <xf numFmtId="0" fontId="250" fillId="135" borderId="215" xfId="863" applyNumberFormat="1" applyFont="1" applyFill="1" applyBorder="1" applyAlignment="1">
      <alignment vertical="center"/>
    </xf>
    <xf numFmtId="0" fontId="251" fillId="138" borderId="215" xfId="43437" quotePrefix="1" applyFont="1" applyFill="1" applyBorder="1" applyAlignment="1">
      <alignment horizontal="left" vertical="center"/>
    </xf>
    <xf numFmtId="170" fontId="251" fillId="138" borderId="215" xfId="863" applyNumberFormat="1" applyFont="1" applyFill="1" applyBorder="1" applyAlignment="1">
      <alignment vertical="center" wrapText="1"/>
    </xf>
    <xf numFmtId="170" fontId="251" fillId="138" borderId="188" xfId="863" applyNumberFormat="1" applyFont="1" applyFill="1" applyBorder="1" applyAlignment="1">
      <alignment vertical="center" wrapText="1"/>
    </xf>
    <xf numFmtId="170" fontId="251" fillId="138" borderId="215" xfId="863" applyNumberFormat="1" applyFont="1" applyFill="1" applyBorder="1" applyAlignment="1">
      <alignment vertical="center"/>
    </xf>
    <xf numFmtId="170" fontId="251" fillId="136" borderId="0" xfId="863" applyNumberFormat="1" applyFont="1" applyFill="1" applyBorder="1" applyAlignment="1">
      <alignment vertical="center"/>
    </xf>
    <xf numFmtId="168" fontId="250" fillId="133" borderId="0" xfId="43186" applyFont="1" applyFill="1" applyAlignment="1">
      <alignment vertical="center" wrapText="1"/>
    </xf>
    <xf numFmtId="0" fontId="250" fillId="135" borderId="0" xfId="2697" applyFont="1" applyFill="1" applyAlignment="1">
      <alignment vertical="center"/>
    </xf>
    <xf numFmtId="39" fontId="250" fillId="133" borderId="0" xfId="43437" applyNumberFormat="1" applyFont="1" applyFill="1" applyAlignment="1">
      <alignment vertical="center"/>
    </xf>
    <xf numFmtId="0" fontId="260" fillId="139" borderId="188" xfId="43438" applyFont="1" applyFill="1" applyBorder="1" applyAlignment="1">
      <alignment horizontal="center" vertical="center" wrapText="1"/>
    </xf>
    <xf numFmtId="0" fontId="250" fillId="135" borderId="0" xfId="2697" applyFont="1" applyFill="1" applyAlignment="1">
      <alignment vertical="center" wrapText="1"/>
    </xf>
    <xf numFmtId="0" fontId="250" fillId="135" borderId="193" xfId="43437" quotePrefix="1" applyFont="1" applyFill="1" applyBorder="1" applyAlignment="1">
      <alignment horizontal="left" vertical="center"/>
    </xf>
    <xf numFmtId="0" fontId="250" fillId="133" borderId="193" xfId="43437" applyFont="1" applyFill="1" applyBorder="1" applyAlignment="1">
      <alignment vertical="center" wrapText="1"/>
    </xf>
    <xf numFmtId="0" fontId="250" fillId="140" borderId="0" xfId="2697" applyFont="1" applyFill="1" applyAlignment="1">
      <alignment vertical="center" wrapText="1"/>
    </xf>
    <xf numFmtId="0" fontId="250" fillId="135" borderId="0" xfId="43437" quotePrefix="1" applyFont="1" applyFill="1" applyAlignment="1">
      <alignment horizontal="left" vertical="center"/>
    </xf>
    <xf numFmtId="43" fontId="250" fillId="136" borderId="0" xfId="43408" applyFont="1" applyFill="1" applyBorder="1" applyAlignment="1">
      <alignment vertical="center" wrapText="1"/>
    </xf>
    <xf numFmtId="43" fontId="250" fillId="140" borderId="0" xfId="43408" applyFont="1" applyFill="1" applyBorder="1" applyAlignment="1">
      <alignment vertical="center" wrapText="1"/>
    </xf>
    <xf numFmtId="168" fontId="250" fillId="141" borderId="0" xfId="863" applyFont="1" applyFill="1" applyBorder="1" applyAlignment="1">
      <alignment vertical="center" wrapText="1"/>
    </xf>
    <xf numFmtId="0" fontId="250" fillId="133" borderId="0" xfId="2697" applyFont="1" applyFill="1" applyAlignment="1">
      <alignment vertical="center" wrapText="1"/>
    </xf>
    <xf numFmtId="0" fontId="250" fillId="141" borderId="215" xfId="2697" applyFont="1" applyFill="1" applyBorder="1" applyAlignment="1">
      <alignment vertical="center" wrapText="1"/>
    </xf>
    <xf numFmtId="0" fontId="250" fillId="140" borderId="215" xfId="2697" applyFont="1" applyFill="1" applyBorder="1" applyAlignment="1">
      <alignment vertical="center" wrapText="1"/>
    </xf>
    <xf numFmtId="278" fontId="250" fillId="0" borderId="0" xfId="2697" applyNumberFormat="1" applyFont="1" applyAlignment="1">
      <alignment vertical="center"/>
    </xf>
    <xf numFmtId="0" fontId="208" fillId="44" borderId="146" xfId="0" applyFont="1" applyFill="1" applyBorder="1" applyAlignment="1">
      <alignment horizontal="center" vertical="center" textRotation="90"/>
    </xf>
    <xf numFmtId="0" fontId="208" fillId="44" borderId="10" xfId="0" applyFont="1" applyFill="1" applyBorder="1" applyAlignment="1">
      <alignment horizontal="center" vertical="center" textRotation="90"/>
    </xf>
    <xf numFmtId="0" fontId="208" fillId="44" borderId="154" xfId="0" applyFont="1" applyFill="1" applyBorder="1" applyAlignment="1">
      <alignment horizontal="center" vertical="center" textRotation="90"/>
    </xf>
    <xf numFmtId="167" fontId="30" fillId="42" borderId="144" xfId="815" applyFont="1" applyFill="1" applyBorder="1" applyAlignment="1">
      <alignment horizontal="center"/>
    </xf>
    <xf numFmtId="0" fontId="272" fillId="43" borderId="168" xfId="0" applyFont="1" applyFill="1" applyBorder="1" applyAlignment="1">
      <alignment horizontal="center" vertical="center" wrapText="1"/>
    </xf>
    <xf numFmtId="0" fontId="272" fillId="43" borderId="160" xfId="0" applyFont="1" applyFill="1" applyBorder="1" applyAlignment="1">
      <alignment horizontal="center" vertical="center" wrapText="1"/>
    </xf>
    <xf numFmtId="167" fontId="30" fillId="59" borderId="170" xfId="815" applyFont="1" applyFill="1" applyBorder="1" applyAlignment="1">
      <alignment horizontal="center" vertical="center"/>
    </xf>
    <xf numFmtId="167" fontId="30" fillId="59" borderId="175" xfId="815" applyFont="1" applyFill="1" applyBorder="1" applyAlignment="1">
      <alignment horizontal="center" vertical="center"/>
    </xf>
    <xf numFmtId="0" fontId="272" fillId="0" borderId="144" xfId="0" applyFont="1" applyBorder="1" applyAlignment="1">
      <alignment horizontal="center" vertical="center" wrapText="1"/>
    </xf>
    <xf numFmtId="167" fontId="30" fillId="59" borderId="172" xfId="815" applyFont="1" applyFill="1" applyBorder="1" applyAlignment="1">
      <alignment horizontal="center" vertical="center"/>
    </xf>
    <xf numFmtId="167" fontId="30" fillId="59" borderId="177" xfId="815" applyFont="1" applyFill="1" applyBorder="1" applyAlignment="1">
      <alignment horizontal="center" vertical="center"/>
    </xf>
    <xf numFmtId="168" fontId="116" fillId="103" borderId="144" xfId="863" applyFont="1" applyFill="1" applyBorder="1" applyAlignment="1">
      <alignment horizontal="center" vertical="top" wrapText="1"/>
    </xf>
    <xf numFmtId="0" fontId="30" fillId="0" borderId="2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79" fillId="96" borderId="20" xfId="0" applyFont="1" applyFill="1" applyBorder="1" applyAlignment="1">
      <alignment horizontal="center" vertical="center"/>
    </xf>
    <xf numFmtId="0" fontId="279" fillId="96" borderId="0" xfId="0" applyFont="1" applyFill="1" applyAlignment="1">
      <alignment horizontal="center" vertical="center"/>
    </xf>
    <xf numFmtId="0" fontId="36" fillId="0" borderId="178" xfId="0" applyFont="1" applyBorder="1" applyAlignment="1">
      <alignment horizontal="left"/>
    </xf>
    <xf numFmtId="0" fontId="30" fillId="59" borderId="178" xfId="907" applyFill="1" applyBorder="1" applyAlignment="1">
      <alignment horizontal="left"/>
    </xf>
    <xf numFmtId="167" fontId="30" fillId="59" borderId="167" xfId="815" applyFont="1" applyFill="1" applyBorder="1" applyAlignment="1">
      <alignment horizontal="center" vertical="center"/>
    </xf>
    <xf numFmtId="167" fontId="30" fillId="59" borderId="176" xfId="815" applyFont="1" applyFill="1" applyBorder="1" applyAlignment="1">
      <alignment horizontal="center" vertical="center"/>
    </xf>
    <xf numFmtId="0" fontId="30" fillId="59" borderId="166" xfId="907" applyFill="1" applyBorder="1" applyAlignment="1">
      <alignment horizontal="left"/>
    </xf>
    <xf numFmtId="0" fontId="30" fillId="59" borderId="0" xfId="907" applyFill="1" applyAlignment="1">
      <alignment horizontal="left"/>
    </xf>
    <xf numFmtId="167" fontId="30" fillId="44" borderId="167" xfId="815" applyFont="1" applyFill="1" applyBorder="1" applyAlignment="1">
      <alignment horizontal="center" vertical="center"/>
    </xf>
    <xf numFmtId="167" fontId="30" fillId="44" borderId="176" xfId="815" applyFont="1" applyFill="1" applyBorder="1" applyAlignment="1">
      <alignment horizontal="center" vertical="center"/>
    </xf>
    <xf numFmtId="167" fontId="30" fillId="44" borderId="170" xfId="815" applyFont="1" applyFill="1" applyBorder="1" applyAlignment="1">
      <alignment horizontal="center" vertical="center"/>
    </xf>
    <xf numFmtId="167" fontId="30" fillId="44" borderId="175" xfId="815" applyFont="1" applyFill="1" applyBorder="1" applyAlignment="1">
      <alignment horizontal="center" vertical="center"/>
    </xf>
    <xf numFmtId="167" fontId="30" fillId="44" borderId="172" xfId="815" applyFont="1" applyFill="1" applyBorder="1" applyAlignment="1">
      <alignment horizontal="center" vertical="center"/>
    </xf>
    <xf numFmtId="167" fontId="30" fillId="44" borderId="177" xfId="815" applyFont="1" applyFill="1" applyBorder="1" applyAlignment="1">
      <alignment horizontal="center" vertical="center"/>
    </xf>
    <xf numFmtId="0" fontId="235" fillId="0" borderId="166" xfId="907" applyFont="1" applyBorder="1" applyAlignment="1">
      <alignment horizontal="left"/>
    </xf>
    <xf numFmtId="0" fontId="36" fillId="0" borderId="166" xfId="907" applyFont="1" applyBorder="1" applyAlignment="1">
      <alignment horizontal="left"/>
    </xf>
    <xf numFmtId="9" fontId="38" fillId="38" borderId="0" xfId="1823" applyFont="1" applyFill="1" applyBorder="1" applyAlignment="1">
      <alignment horizontal="center" vertical="center" wrapText="1"/>
    </xf>
    <xf numFmtId="167" fontId="110" fillId="41" borderId="0" xfId="907" applyNumberFormat="1" applyFont="1" applyFill="1" applyAlignment="1">
      <alignment horizontal="center"/>
    </xf>
    <xf numFmtId="0" fontId="143" fillId="41" borderId="0" xfId="907" applyFont="1" applyFill="1" applyAlignment="1">
      <alignment horizontal="center"/>
    </xf>
    <xf numFmtId="9" fontId="317" fillId="55" borderId="144" xfId="1823" applyFont="1" applyFill="1" applyBorder="1" applyAlignment="1">
      <alignment horizontal="left" vertical="center"/>
    </xf>
    <xf numFmtId="0" fontId="117" fillId="55" borderId="144" xfId="954" applyFont="1" applyFill="1" applyBorder="1" applyAlignment="1">
      <alignment horizontal="center" vertical="center"/>
    </xf>
    <xf numFmtId="9" fontId="38" fillId="0" borderId="0" xfId="1823" applyFont="1" applyFill="1" applyBorder="1" applyAlignment="1">
      <alignment horizontal="center" vertical="center" wrapText="1"/>
    </xf>
    <xf numFmtId="0" fontId="110" fillId="41" borderId="0" xfId="2697" applyFont="1" applyFill="1" applyAlignment="1">
      <alignment horizontal="center" vertical="center"/>
    </xf>
    <xf numFmtId="0" fontId="43" fillId="41" borderId="0" xfId="907" applyFont="1" applyFill="1" applyAlignment="1">
      <alignment horizontal="left" indent="1"/>
    </xf>
    <xf numFmtId="0" fontId="117" fillId="41" borderId="0" xfId="907" applyFont="1" applyFill="1" applyAlignment="1">
      <alignment horizontal="left"/>
    </xf>
    <xf numFmtId="9" fontId="38" fillId="0" borderId="0" xfId="1823" applyFont="1" applyFill="1" applyBorder="1" applyAlignment="1">
      <alignment horizontal="left" vertical="center" wrapText="1"/>
    </xf>
    <xf numFmtId="9" fontId="43" fillId="0" borderId="0" xfId="1823" applyFont="1" applyFill="1" applyBorder="1" applyAlignment="1">
      <alignment horizontal="left" vertical="center" wrapText="1"/>
    </xf>
    <xf numFmtId="0" fontId="296" fillId="0" borderId="0" xfId="0" applyFont="1" applyAlignment="1">
      <alignment horizontal="center"/>
    </xf>
    <xf numFmtId="0" fontId="296" fillId="0" borderId="193" xfId="0" applyFont="1" applyBorder="1" applyAlignment="1">
      <alignment horizontal="center"/>
    </xf>
    <xf numFmtId="0" fontId="36" fillId="0" borderId="189" xfId="907" applyFont="1" applyBorder="1" applyAlignment="1">
      <alignment horizontal="center"/>
    </xf>
    <xf numFmtId="0" fontId="36" fillId="0" borderId="191" xfId="907" applyFont="1" applyBorder="1" applyAlignment="1">
      <alignment horizontal="center"/>
    </xf>
    <xf numFmtId="0" fontId="36" fillId="0" borderId="193" xfId="907" applyFont="1" applyBorder="1" applyAlignment="1">
      <alignment horizontal="center"/>
    </xf>
    <xf numFmtId="0" fontId="205" fillId="33" borderId="190" xfId="831" applyFont="1" applyFill="1" applyBorder="1" applyAlignment="1">
      <alignment horizontal="center" vertical="center"/>
    </xf>
    <xf numFmtId="0" fontId="205" fillId="33" borderId="194" xfId="831" applyFont="1" applyFill="1" applyBorder="1" applyAlignment="1">
      <alignment horizontal="center" vertical="center"/>
    </xf>
    <xf numFmtId="17" fontId="38" fillId="55" borderId="126" xfId="905" applyNumberFormat="1" applyFont="1" applyFill="1" applyBorder="1" applyAlignment="1">
      <alignment horizontal="center" vertical="center" wrapText="1"/>
    </xf>
    <xf numFmtId="254" fontId="38" fillId="55" borderId="197" xfId="863" applyNumberFormat="1" applyFont="1" applyFill="1" applyBorder="1" applyAlignment="1">
      <alignment horizontal="center" vertical="center" wrapText="1"/>
    </xf>
    <xf numFmtId="17" fontId="38" fillId="55" borderId="127" xfId="905" applyNumberFormat="1" applyFont="1" applyFill="1" applyBorder="1" applyAlignment="1">
      <alignment horizontal="center" vertical="center" wrapText="1"/>
    </xf>
    <xf numFmtId="170" fontId="38" fillId="55" borderId="128" xfId="863" applyNumberFormat="1" applyFont="1" applyFill="1" applyBorder="1" applyAlignment="1">
      <alignment horizontal="center" vertical="center"/>
    </xf>
    <xf numFmtId="170" fontId="38" fillId="55" borderId="129" xfId="863" applyNumberFormat="1" applyFont="1" applyFill="1" applyBorder="1" applyAlignment="1">
      <alignment horizontal="center" vertical="center"/>
    </xf>
    <xf numFmtId="0" fontId="38" fillId="55" borderId="130" xfId="905" applyFont="1" applyFill="1" applyBorder="1" applyAlignment="1">
      <alignment horizontal="center" vertical="center"/>
    </xf>
    <xf numFmtId="0" fontId="38" fillId="55" borderId="0" xfId="905" applyFont="1" applyFill="1" applyAlignment="1">
      <alignment horizontal="center" vertical="center"/>
    </xf>
    <xf numFmtId="0" fontId="117" fillId="55" borderId="131" xfId="2697" applyFont="1" applyFill="1" applyBorder="1" applyAlignment="1">
      <alignment horizontal="center" vertical="center"/>
    </xf>
    <xf numFmtId="0" fontId="117" fillId="55" borderId="0" xfId="2697" applyFont="1" applyFill="1" applyAlignment="1">
      <alignment horizontal="center" vertical="center"/>
    </xf>
    <xf numFmtId="0" fontId="117" fillId="55" borderId="136" xfId="2697" applyFont="1" applyFill="1" applyBorder="1" applyAlignment="1">
      <alignment horizontal="center" vertical="center"/>
    </xf>
    <xf numFmtId="0" fontId="117" fillId="55" borderId="125" xfId="2697" applyFont="1" applyFill="1" applyBorder="1" applyAlignment="1">
      <alignment horizontal="center" vertical="center"/>
    </xf>
    <xf numFmtId="170" fontId="117" fillId="55" borderId="132" xfId="863" applyNumberFormat="1" applyFont="1" applyFill="1" applyBorder="1" applyAlignment="1">
      <alignment horizontal="center" vertical="center" wrapText="1"/>
    </xf>
    <xf numFmtId="170" fontId="117" fillId="55" borderId="133" xfId="863" applyNumberFormat="1" applyFont="1" applyFill="1" applyBorder="1" applyAlignment="1">
      <alignment horizontal="center" vertical="center" wrapText="1"/>
    </xf>
    <xf numFmtId="170" fontId="117" fillId="55" borderId="134" xfId="863" applyNumberFormat="1" applyFont="1" applyFill="1" applyBorder="1" applyAlignment="1">
      <alignment horizontal="center" vertical="center" wrapText="1"/>
    </xf>
    <xf numFmtId="0" fontId="117" fillId="55" borderId="135" xfId="2697" applyFont="1" applyFill="1" applyBorder="1" applyAlignment="1">
      <alignment horizontal="center" vertical="center" wrapText="1"/>
    </xf>
    <xf numFmtId="0" fontId="117" fillId="55" borderId="133" xfId="2697" applyFont="1" applyFill="1" applyBorder="1" applyAlignment="1">
      <alignment horizontal="center" vertical="center" wrapText="1"/>
    </xf>
    <xf numFmtId="0" fontId="117" fillId="55" borderId="134" xfId="2697" applyFont="1" applyFill="1" applyBorder="1" applyAlignment="1">
      <alignment horizontal="center" vertical="center" wrapText="1"/>
    </xf>
    <xf numFmtId="0" fontId="212" fillId="43" borderId="188" xfId="0" applyFont="1" applyFill="1" applyBorder="1" applyAlignment="1">
      <alignment horizontal="center" vertical="center" wrapText="1"/>
    </xf>
    <xf numFmtId="0" fontId="208" fillId="97" borderId="188" xfId="0" applyFont="1" applyFill="1" applyBorder="1" applyAlignment="1">
      <alignment horizontal="center" vertical="center" wrapText="1"/>
    </xf>
    <xf numFmtId="0" fontId="272" fillId="101" borderId="189" xfId="2697" applyFont="1" applyFill="1" applyBorder="1" applyAlignment="1">
      <alignment horizontal="center"/>
    </xf>
    <xf numFmtId="0" fontId="117" fillId="55" borderId="126" xfId="2697" applyFont="1" applyFill="1" applyBorder="1" applyAlignment="1">
      <alignment horizontal="left" vertical="center" wrapText="1"/>
    </xf>
    <xf numFmtId="0" fontId="117" fillId="55" borderId="165" xfId="2697" applyFont="1" applyFill="1" applyBorder="1" applyAlignment="1">
      <alignment horizontal="left" vertical="center" wrapText="1"/>
    </xf>
    <xf numFmtId="0" fontId="117" fillId="55" borderId="131" xfId="2697" applyFont="1" applyFill="1" applyBorder="1" applyAlignment="1">
      <alignment horizontal="left" vertical="center" wrapText="1"/>
    </xf>
    <xf numFmtId="0" fontId="208" fillId="41" borderId="191" xfId="832" applyFont="1" applyFill="1" applyBorder="1" applyAlignment="1">
      <alignment horizontal="center" vertical="center" wrapText="1"/>
    </xf>
    <xf numFmtId="0" fontId="208" fillId="41" borderId="192" xfId="0" applyFont="1" applyFill="1" applyBorder="1" applyAlignment="1">
      <alignment horizontal="center" vertical="center" wrapText="1"/>
    </xf>
    <xf numFmtId="0" fontId="208" fillId="0" borderId="191" xfId="0" applyFont="1" applyBorder="1" applyAlignment="1">
      <alignment horizontal="center" vertical="center"/>
    </xf>
    <xf numFmtId="0" fontId="208" fillId="0" borderId="192" xfId="0" applyFont="1" applyBorder="1" applyAlignment="1">
      <alignment horizontal="center" vertical="center"/>
    </xf>
    <xf numFmtId="0" fontId="208" fillId="0" borderId="190" xfId="0" applyFont="1" applyBorder="1" applyAlignment="1">
      <alignment horizontal="center" vertical="center"/>
    </xf>
    <xf numFmtId="0" fontId="208" fillId="0" borderId="194" xfId="0" applyFont="1" applyBorder="1" applyAlignment="1">
      <alignment horizontal="center" vertical="center"/>
    </xf>
    <xf numFmtId="0" fontId="208" fillId="41" borderId="191" xfId="0" applyFont="1" applyFill="1" applyBorder="1" applyAlignment="1">
      <alignment horizontal="center" vertical="center"/>
    </xf>
    <xf numFmtId="0" fontId="208" fillId="41" borderId="192" xfId="0" applyFont="1" applyFill="1" applyBorder="1" applyAlignment="1">
      <alignment horizontal="center" vertical="center"/>
    </xf>
    <xf numFmtId="0" fontId="208" fillId="0" borderId="0" xfId="0" applyFont="1" applyAlignment="1">
      <alignment horizontal="center"/>
    </xf>
    <xf numFmtId="0" fontId="215" fillId="0" borderId="0" xfId="836" applyFont="1" applyFill="1" applyBorder="1" applyAlignment="1">
      <alignment horizontal="left" vertical="center" wrapText="1"/>
    </xf>
    <xf numFmtId="0" fontId="205" fillId="0" borderId="0" xfId="0" applyFont="1" applyAlignment="1">
      <alignment horizontal="left" vertical="center" wrapText="1"/>
    </xf>
    <xf numFmtId="0" fontId="207" fillId="0" borderId="188" xfId="833" applyFont="1" applyBorder="1" applyAlignment="1">
      <alignment horizontal="left" vertical="center" wrapText="1"/>
    </xf>
    <xf numFmtId="0" fontId="205" fillId="0" borderId="188" xfId="0" applyFont="1" applyBorder="1" applyAlignment="1">
      <alignment horizontal="left" vertical="center" wrapText="1"/>
    </xf>
    <xf numFmtId="0" fontId="208" fillId="0" borderId="190" xfId="0" applyFont="1" applyBorder="1" applyAlignment="1">
      <alignment horizontal="left" vertical="center"/>
    </xf>
    <xf numFmtId="0" fontId="208" fillId="0" borderId="194" xfId="0" applyFont="1" applyBorder="1" applyAlignment="1">
      <alignment horizontal="left" vertical="center"/>
    </xf>
    <xf numFmtId="0" fontId="215" fillId="0" borderId="178" xfId="836" applyFont="1" applyFill="1" applyBorder="1" applyAlignment="1">
      <alignment horizontal="left" vertical="center" wrapText="1"/>
    </xf>
    <xf numFmtId="0" fontId="205" fillId="0" borderId="178" xfId="0" applyFont="1" applyBorder="1" applyAlignment="1">
      <alignment horizontal="left" vertical="center" wrapText="1"/>
    </xf>
    <xf numFmtId="0" fontId="215" fillId="0" borderId="188" xfId="836" applyFont="1" applyFill="1" applyBorder="1" applyAlignment="1">
      <alignment horizontal="left" vertical="center" wrapText="1"/>
    </xf>
    <xf numFmtId="0" fontId="215" fillId="0" borderId="193" xfId="836" applyFont="1" applyFill="1" applyBorder="1" applyAlignment="1">
      <alignment horizontal="left" vertical="center" wrapText="1"/>
    </xf>
    <xf numFmtId="0" fontId="205" fillId="0" borderId="193" xfId="0" applyFont="1" applyBorder="1" applyAlignment="1">
      <alignment horizontal="left" vertical="center" wrapText="1"/>
    </xf>
    <xf numFmtId="0" fontId="208" fillId="0" borderId="191" xfId="0" applyFont="1" applyBorder="1" applyAlignment="1">
      <alignment horizontal="center" vertical="center" wrapText="1"/>
    </xf>
    <xf numFmtId="0" fontId="208" fillId="0" borderId="192" xfId="0" applyFont="1" applyBorder="1" applyAlignment="1">
      <alignment horizontal="center" vertical="center" wrapText="1"/>
    </xf>
    <xf numFmtId="0" fontId="208" fillId="105" borderId="190" xfId="0" applyFont="1" applyFill="1" applyBorder="1" applyAlignment="1">
      <alignment horizontal="center" vertical="center"/>
    </xf>
    <xf numFmtId="0" fontId="208" fillId="105" borderId="194" xfId="0" applyFont="1" applyFill="1" applyBorder="1" applyAlignment="1">
      <alignment horizontal="center" vertical="center"/>
    </xf>
    <xf numFmtId="10" fontId="250" fillId="0" borderId="190" xfId="7308" applyNumberFormat="1" applyFont="1" applyBorder="1" applyAlignment="1">
      <alignment horizontal="center"/>
    </xf>
    <xf numFmtId="0" fontId="250" fillId="0" borderId="188" xfId="7308" applyFont="1" applyBorder="1" applyAlignment="1">
      <alignment horizontal="center"/>
    </xf>
    <xf numFmtId="0" fontId="250" fillId="0" borderId="194" xfId="7308" applyFont="1" applyBorder="1" applyAlignment="1">
      <alignment horizontal="center"/>
    </xf>
    <xf numFmtId="214" fontId="250" fillId="0" borderId="190" xfId="43165" applyNumberFormat="1" applyFont="1" applyBorder="1" applyAlignment="1">
      <alignment horizontal="center"/>
    </xf>
    <xf numFmtId="214" fontId="250" fillId="0" borderId="188" xfId="43165" applyNumberFormat="1" applyFont="1" applyBorder="1" applyAlignment="1">
      <alignment horizontal="center"/>
    </xf>
    <xf numFmtId="214" fontId="250" fillId="0" borderId="194" xfId="43165" applyNumberFormat="1" applyFont="1" applyBorder="1" applyAlignment="1">
      <alignment horizontal="center"/>
    </xf>
    <xf numFmtId="214" fontId="250" fillId="0" borderId="190" xfId="7308" applyNumberFormat="1" applyFont="1" applyBorder="1" applyAlignment="1">
      <alignment horizontal="center"/>
    </xf>
    <xf numFmtId="214" fontId="250" fillId="0" borderId="188" xfId="7308" applyNumberFormat="1" applyFont="1" applyBorder="1" applyAlignment="1">
      <alignment horizontal="center"/>
    </xf>
    <xf numFmtId="214" fontId="250" fillId="0" borderId="194" xfId="7308" applyNumberFormat="1" applyFont="1" applyBorder="1" applyAlignment="1">
      <alignment horizontal="center"/>
    </xf>
  </cellXfs>
  <cellStyles count="43442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29D95D1D-9B0A-4BBF-BF36-B25ADE98F9AE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BCD77249-8AAF-4A20-B2FB-3B8FA504F28E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82" formatCode="0.00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2"/>
    </tableStyle>
    <tableStyle name="Padrão" pivot="0" count="1" xr9:uid="{3101F1C1-6DA4-4166-994B-3EC22CFD8317}">
      <tableStyleElement type="headerRow" dxfId="581"/>
    </tableStyle>
    <tableStyle name="Padrão 2" pivot="0" count="2" xr9:uid="{85D0CDF3-BF56-48CA-93DE-51D2DBCCC9A6}">
      <tableStyleElement type="wholeTable" dxfId="580"/>
      <tableStyleElement type="headerRow" dxfId="57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16.xml"/><Relationship Id="rId55" Type="http://schemas.openxmlformats.org/officeDocument/2006/relationships/styles" Target="styles.xml"/><Relationship Id="rId63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externalLink" Target="externalLinks/externalLink11.xml"/><Relationship Id="rId53" Type="http://schemas.openxmlformats.org/officeDocument/2006/relationships/theme" Target="theme/theme1.xml"/><Relationship Id="rId58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externalLink" Target="externalLinks/externalLink14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externalLink" Target="externalLinks/externalLink12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54" Type="http://schemas.openxmlformats.org/officeDocument/2006/relationships/connections" Target="connections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externalLink" Target="externalLinks/externalLink15.xml"/><Relationship Id="rId57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52" Type="http://schemas.openxmlformats.org/officeDocument/2006/relationships/pivotCacheDefinition" Target="pivotCache/pivotCacheDefinition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4.7795586271048032E-2</c:v>
                </c:pt>
                <c:pt idx="1">
                  <c:v>1.6025474208341137E-2</c:v>
                </c:pt>
                <c:pt idx="2">
                  <c:v>2.4562368136289068E-2</c:v>
                </c:pt>
                <c:pt idx="3">
                  <c:v>2.9833576395362625E-2</c:v>
                </c:pt>
                <c:pt idx="4">
                  <c:v>-0.3226</c:v>
                </c:pt>
                <c:pt idx="5">
                  <c:v>0.28539999999999999</c:v>
                </c:pt>
                <c:pt idx="6">
                  <c:v>8.0954741647398798E-2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0.49706085235407832</c:v>
                </c:pt>
                <c:pt idx="1">
                  <c:v>0.25060584393834107</c:v>
                </c:pt>
                <c:pt idx="2">
                  <c:v>0.10728811332667117</c:v>
                </c:pt>
                <c:pt idx="3">
                  <c:v>0</c:v>
                </c:pt>
                <c:pt idx="4">
                  <c:v>0</c:v>
                </c:pt>
                <c:pt idx="5">
                  <c:v>1.9080125403039383E-2</c:v>
                </c:pt>
                <c:pt idx="6">
                  <c:v>9.3249452978255348E-2</c:v>
                </c:pt>
                <c:pt idx="7">
                  <c:v>2.3607810798215194E-3</c:v>
                </c:pt>
                <c:pt idx="8">
                  <c:v>3.035483091979321E-2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39745662.389421158</c:v>
                </c:pt>
                <c:pt idx="1">
                  <c:v>42000000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19319340.721340153</c:v>
                </c:pt>
                <c:pt idx="1">
                  <c:v>21175365.944756776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7854545.8494816115</c:v>
                </c:pt>
                <c:pt idx="1">
                  <c:v>9065491.1534056906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8644224.5781270918</c:v>
                </c:pt>
                <c:pt idx="1">
                  <c:v>12255839.435246192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0.38726616721872137</c:v>
                </c:pt>
                <c:pt idx="1">
                  <c:v>0.19525006687809035</c:v>
                </c:pt>
                <c:pt idx="2">
                  <c:v>8.358947649844399E-2</c:v>
                </c:pt>
                <c:pt idx="3">
                  <c:v>0.11300647533656789</c:v>
                </c:pt>
                <c:pt idx="4">
                  <c:v>0.20341415939009497</c:v>
                </c:pt>
                <c:pt idx="5" formatCode="0.00%">
                  <c:v>1.7473654678081277E-2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Certaja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595.99</c:v>
                </c:pt>
                <c:pt idx="1">
                  <c:v>616.19999999999993</c:v>
                </c:pt>
                <c:pt idx="2">
                  <c:v>583.48</c:v>
                </c:pt>
                <c:pt idx="3">
                  <c:v>521.44999999999993</c:v>
                </c:pt>
                <c:pt idx="4">
                  <c:v>550.61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570.33147494335003</c:v>
                </c:pt>
                <c:pt idx="1">
                  <c:v>607.46089001978032</c:v>
                </c:pt>
                <c:pt idx="2">
                  <c:v>651.8904874285596</c:v>
                </c:pt>
                <c:pt idx="3">
                  <c:v>884.95008349389866</c:v>
                </c:pt>
                <c:pt idx="4">
                  <c:v>979.67722969489751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549.06518213524498</c:v>
                </c:pt>
                <c:pt idx="1">
                  <c:v>567.54818300716909</c:v>
                </c:pt>
                <c:pt idx="2">
                  <c:v>579.65067913195105</c:v>
                </c:pt>
                <c:pt idx="3">
                  <c:v>628.03454078666903</c:v>
                </c:pt>
                <c:pt idx="4">
                  <c:v>702.68818785119151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Certaja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404.46</c:v>
                </c:pt>
                <c:pt idx="1">
                  <c:v>305.14</c:v>
                </c:pt>
                <c:pt idx="2">
                  <c:v>393.10271432926857</c:v>
                </c:pt>
                <c:pt idx="3" formatCode="_(* #,##0.00_);_(* \(#,##0.00\);_(* &quot;-&quot;??_);_(@_)">
                  <c:v>393.1</c:v>
                </c:pt>
                <c:pt idx="4" formatCode="_(* #,##0.00_);_(* \(#,##0.00\);_(* &quot;-&quot;??_);_(@_)">
                  <c:v>551.04</c:v>
                </c:pt>
                <c:pt idx="5" formatCode="_(* #,##0.00_);_(* \(#,##0.00\);_(* &quot;-&quot;??_);_(@_)">
                  <c:v>595.99</c:v>
                </c:pt>
                <c:pt idx="6" formatCode="_(* #,##0.00_);_(* \(#,##0.00\);_(* &quot;-&quot;??_);_(@_)">
                  <c:v>616.19999999999993</c:v>
                </c:pt>
                <c:pt idx="7" formatCode="_(* #,##0.00_);_(* \(#,##0.00\);_(* &quot;-&quot;??_);_(@_)">
                  <c:v>583.48</c:v>
                </c:pt>
                <c:pt idx="8" formatCode="_(* #,##0.00_);_(* \(#,##0.00\);_(* &quot;-&quot;??_);_(@_)">
                  <c:v>521.44999999999993</c:v>
                </c:pt>
                <c:pt idx="9" formatCode="_(* #,##0.00_);_(* \(#,##0.00\);_(* &quot;-&quot;??_);_(@_)">
                  <c:v>550.61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404.46</c:v>
                </c:pt>
                <c:pt idx="1">
                  <c:v>453.73504238634843</c:v>
                </c:pt>
                <c:pt idx="2">
                  <c:v>479.11127907847958</c:v>
                </c:pt>
                <c:pt idx="3">
                  <c:v>537.59747052747184</c:v>
                </c:pt>
                <c:pt idx="4">
                  <c:v>533.412657869746</c:v>
                </c:pt>
                <c:pt idx="5">
                  <c:v>570.33147494335003</c:v>
                </c:pt>
                <c:pt idx="6">
                  <c:v>607.46089001978032</c:v>
                </c:pt>
                <c:pt idx="7">
                  <c:v>651.8904874285596</c:v>
                </c:pt>
                <c:pt idx="8">
                  <c:v>884.95008349389866</c:v>
                </c:pt>
                <c:pt idx="9">
                  <c:v>979.67722969489751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404.46</c:v>
                </c:pt>
                <c:pt idx="1">
                  <c:v>430.84407285409804</c:v>
                </c:pt>
                <c:pt idx="2">
                  <c:v>469.16519715171478</c:v>
                </c:pt>
                <c:pt idx="3">
                  <c:v>510.656981689595</c:v>
                </c:pt>
                <c:pt idx="4">
                  <c:v>525.9693223212555</c:v>
                </c:pt>
                <c:pt idx="5">
                  <c:v>549.06518213524498</c:v>
                </c:pt>
                <c:pt idx="6">
                  <c:v>567.54818300716909</c:v>
                </c:pt>
                <c:pt idx="7">
                  <c:v>579.65067913195105</c:v>
                </c:pt>
                <c:pt idx="8">
                  <c:v>628.03454078666903</c:v>
                </c:pt>
                <c:pt idx="9">
                  <c:v>702.68818785119151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 2022_Certaja.xlsx]Calc_Mercado!Tabela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8509.3189999999995</c:v>
                </c:pt>
                <c:pt idx="1">
                  <c:v>8632.9230000000007</c:v>
                </c:pt>
                <c:pt idx="2">
                  <c:v>8566.1500000000015</c:v>
                </c:pt>
                <c:pt idx="3">
                  <c:v>9210.9570000000003</c:v>
                </c:pt>
                <c:pt idx="4">
                  <c:v>10258.814999999997</c:v>
                </c:pt>
                <c:pt idx="5">
                  <c:v>10616.320999999998</c:v>
                </c:pt>
                <c:pt idx="6">
                  <c:v>11949.888000000001</c:v>
                </c:pt>
                <c:pt idx="7">
                  <c:v>11426.721</c:v>
                </c:pt>
                <c:pt idx="8">
                  <c:v>10556.324000000002</c:v>
                </c:pt>
                <c:pt idx="9">
                  <c:v>8724.4600000000009</c:v>
                </c:pt>
                <c:pt idx="10">
                  <c:v>8789.3759999999984</c:v>
                </c:pt>
                <c:pt idx="11">
                  <c:v>8885.348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7897.4179999999997</c:v>
                </c:pt>
                <c:pt idx="1">
                  <c:v>8058.5000000000009</c:v>
                </c:pt>
                <c:pt idx="2">
                  <c:v>7875.9420000000009</c:v>
                </c:pt>
                <c:pt idx="3">
                  <c:v>8486.473</c:v>
                </c:pt>
                <c:pt idx="4">
                  <c:v>9604.5609999999979</c:v>
                </c:pt>
                <c:pt idx="5">
                  <c:v>9963.1139999999978</c:v>
                </c:pt>
                <c:pt idx="6">
                  <c:v>11357.001000000002</c:v>
                </c:pt>
                <c:pt idx="7">
                  <c:v>10735.135999999999</c:v>
                </c:pt>
                <c:pt idx="8">
                  <c:v>9728.2460000000028</c:v>
                </c:pt>
                <c:pt idx="9">
                  <c:v>7986.7370000000019</c:v>
                </c:pt>
                <c:pt idx="10">
                  <c:v>7982.8309999999992</c:v>
                </c:pt>
                <c:pt idx="11">
                  <c:v>8152.5040000000008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D-4593-8D73-AB2ACD6EB385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334095</xdr:colOff>
      <xdr:row>30</xdr:row>
      <xdr:rowOff>67467</xdr:rowOff>
    </xdr:from>
    <xdr:to>
      <xdr:col>12</xdr:col>
      <xdr:colOff>254985</xdr:colOff>
      <xdr:row>57</xdr:row>
      <xdr:rowOff>122200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592664</xdr:colOff>
      <xdr:row>74</xdr:row>
      <xdr:rowOff>52917</xdr:rowOff>
    </xdr:from>
    <xdr:to>
      <xdr:col>8</xdr:col>
      <xdr:colOff>336818</xdr:colOff>
      <xdr:row>79</xdr:row>
      <xdr:rowOff>140632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4247" y="16467667"/>
          <a:ext cx="6295238" cy="1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74</xdr:row>
      <xdr:rowOff>42334</xdr:rowOff>
    </xdr:from>
    <xdr:to>
      <xdr:col>11</xdr:col>
      <xdr:colOff>1036417</xdr:colOff>
      <xdr:row>89</xdr:row>
      <xdr:rowOff>92786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18417" y="16457084"/>
          <a:ext cx="6000000" cy="27809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AJUSTE\Permission&#225;rias%20de%20Distribui&#231;&#227;o\2022\07-%20JULHO\5-%20Cooperluz%20-%20Cec&#237;lia\Persas_RTA_Cooperluz_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Rede Básica + Ajuste"/>
      <sheetName val="Conexão "/>
      <sheetName val="CUSD"/>
      <sheetName val="Encargos"/>
      <sheetName val="Financeiros"/>
      <sheetName val="PIS_COFINS"/>
      <sheetName val="ICMS"/>
      <sheetName val="Financeiros Mitigação"/>
      <sheetName val="CVE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  <sheetName val="Persas_RTA_Cooperluz_2022"/>
    </sheetNames>
    <sheetDataSet>
      <sheetData sheetId="0" refreshError="1"/>
      <sheetData sheetId="1">
        <row r="8">
          <cell r="B8" t="str">
            <v>CCC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0">
          <cell r="C10" t="str">
            <v>S/SE/CO</v>
          </cell>
        </row>
      </sheetData>
      <sheetData sheetId="7">
        <row r="5">
          <cell r="C5">
            <v>58187470.062897138</v>
          </cell>
        </row>
      </sheetData>
      <sheetData sheetId="8">
        <row r="166">
          <cell r="AN166">
            <v>-239013.55637821872</v>
          </cell>
        </row>
      </sheetData>
      <sheetData sheetId="9">
        <row r="8">
          <cell r="C8">
            <v>71413.907999999996</v>
          </cell>
        </row>
      </sheetData>
      <sheetData sheetId="10"/>
      <sheetData sheetId="11">
        <row r="5">
          <cell r="C5">
            <v>86504.407129999992</v>
          </cell>
        </row>
      </sheetData>
      <sheetData sheetId="12" refreshError="1"/>
      <sheetData sheetId="13" refreshError="1"/>
      <sheetData sheetId="14">
        <row r="3">
          <cell r="I3">
            <v>0</v>
          </cell>
        </row>
      </sheetData>
      <sheetData sheetId="15" refreshError="1"/>
      <sheetData sheetId="16">
        <row r="26">
          <cell r="D26">
            <v>239387.88900525868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>
        <row r="6">
          <cell r="B6" t="str">
            <v>Mês-Ano</v>
          </cell>
          <cell r="C6" t="str">
            <v>IGP-M</v>
          </cell>
          <cell r="D6" t="str">
            <v>IPCA</v>
          </cell>
          <cell r="E6" t="str">
            <v>FATOR SELIC</v>
          </cell>
          <cell r="F6" t="str">
            <v>SELIC ACUM.</v>
          </cell>
        </row>
        <row r="7">
          <cell r="B7">
            <v>32629</v>
          </cell>
          <cell r="C7">
            <v>2.5789999999999999E-5</v>
          </cell>
          <cell r="D7">
            <v>3.4132578959999998E-4</v>
          </cell>
          <cell r="E7">
            <v>0</v>
          </cell>
          <cell r="F7">
            <v>1</v>
          </cell>
        </row>
        <row r="8">
          <cell r="B8">
            <v>32660</v>
          </cell>
          <cell r="C8">
            <v>3.0859999999999999E-5</v>
          </cell>
          <cell r="D8">
            <v>4.3911559890000003E-4</v>
          </cell>
          <cell r="E8">
            <v>0</v>
          </cell>
          <cell r="F8">
            <v>1</v>
          </cell>
        </row>
        <row r="9">
          <cell r="B9">
            <v>32690</v>
          </cell>
          <cell r="C9">
            <v>4.1940000000000002E-5</v>
          </cell>
          <cell r="D9">
            <v>5.6092617030000002E-4</v>
          </cell>
          <cell r="E9">
            <v>0</v>
          </cell>
          <cell r="F9">
            <v>1</v>
          </cell>
        </row>
        <row r="10">
          <cell r="B10">
            <v>32721</v>
          </cell>
          <cell r="C10">
            <v>5.7429999999999997E-5</v>
          </cell>
          <cell r="D10">
            <v>7.5001448160000002E-4</v>
          </cell>
          <cell r="E10">
            <v>0</v>
          </cell>
          <cell r="F10">
            <v>1</v>
          </cell>
        </row>
        <row r="11">
          <cell r="B11">
            <v>32752</v>
          </cell>
          <cell r="C11">
            <v>8.0350000000000001E-5</v>
          </cell>
          <cell r="D11">
            <v>1.031719911E-3</v>
          </cell>
          <cell r="E11">
            <v>0</v>
          </cell>
          <cell r="F11">
            <v>1</v>
          </cell>
        </row>
        <row r="12">
          <cell r="B12">
            <v>32782</v>
          </cell>
          <cell r="C12">
            <v>1.13E-4</v>
          </cell>
          <cell r="D12">
            <v>1.4420348808E-3</v>
          </cell>
          <cell r="E12">
            <v>0</v>
          </cell>
          <cell r="F12">
            <v>1</v>
          </cell>
        </row>
        <row r="13">
          <cell r="B13">
            <v>32813</v>
          </cell>
          <cell r="C13">
            <v>1.5873999999999999E-4</v>
          </cell>
          <cell r="D13">
            <v>2.1316159802999999E-3</v>
          </cell>
          <cell r="E13">
            <v>0</v>
          </cell>
          <cell r="F13">
            <v>1</v>
          </cell>
        </row>
        <row r="14">
          <cell r="B14">
            <v>32843</v>
          </cell>
          <cell r="C14">
            <v>2.3356000000000001E-4</v>
          </cell>
          <cell r="D14">
            <v>3.2293981927000001E-3</v>
          </cell>
          <cell r="E14">
            <v>0</v>
          </cell>
          <cell r="F14">
            <v>1</v>
          </cell>
        </row>
        <row r="15">
          <cell r="B15">
            <v>32874</v>
          </cell>
          <cell r="C15">
            <v>3.7711E-4</v>
          </cell>
          <cell r="D15">
            <v>5.4108567453999999E-3</v>
          </cell>
          <cell r="E15">
            <v>0</v>
          </cell>
          <cell r="F15">
            <v>1</v>
          </cell>
        </row>
        <row r="16">
          <cell r="B16">
            <v>32905</v>
          </cell>
          <cell r="C16">
            <v>6.8364999999999995E-4</v>
          </cell>
          <cell r="D16">
            <v>9.5084984832999996E-3</v>
          </cell>
          <cell r="E16">
            <v>0</v>
          </cell>
          <cell r="F16">
            <v>1</v>
          </cell>
        </row>
        <row r="17">
          <cell r="B17">
            <v>32933</v>
          </cell>
          <cell r="C17">
            <v>1.2575500000000001E-3</v>
          </cell>
          <cell r="D17">
            <v>1.7342550351000002E-2</v>
          </cell>
          <cell r="E17">
            <v>0</v>
          </cell>
          <cell r="F17">
            <v>1</v>
          </cell>
        </row>
        <row r="18">
          <cell r="B18">
            <v>32964</v>
          </cell>
          <cell r="C18">
            <v>1.61407E-3</v>
          </cell>
          <cell r="D18">
            <v>2.00341140678E-2</v>
          </cell>
          <cell r="E18">
            <v>0</v>
          </cell>
          <cell r="F18">
            <v>1</v>
          </cell>
        </row>
        <row r="19">
          <cell r="B19">
            <v>32994</v>
          </cell>
          <cell r="C19">
            <v>1.70973E-3</v>
          </cell>
          <cell r="D19">
            <v>2.1554703244099999E-2</v>
          </cell>
          <cell r="E19">
            <v>0</v>
          </cell>
          <cell r="F19">
            <v>1</v>
          </cell>
        </row>
        <row r="20">
          <cell r="B20">
            <v>33025</v>
          </cell>
          <cell r="C20">
            <v>1.87962E-3</v>
          </cell>
          <cell r="D20">
            <v>2.4087380951899998E-2</v>
          </cell>
          <cell r="E20">
            <v>0</v>
          </cell>
          <cell r="F20">
            <v>1</v>
          </cell>
        </row>
        <row r="21">
          <cell r="B21">
            <v>33055</v>
          </cell>
          <cell r="C21">
            <v>2.10539E-3</v>
          </cell>
          <cell r="D21">
            <v>2.7199470492E-2</v>
          </cell>
          <cell r="E21">
            <v>0</v>
          </cell>
          <cell r="F21">
            <v>1</v>
          </cell>
        </row>
        <row r="22">
          <cell r="B22">
            <v>33086</v>
          </cell>
          <cell r="C22">
            <v>2.39215E-3</v>
          </cell>
          <cell r="D22">
            <v>3.0702762318699998E-2</v>
          </cell>
          <cell r="E22">
            <v>0</v>
          </cell>
          <cell r="F22">
            <v>1</v>
          </cell>
        </row>
        <row r="23">
          <cell r="B23">
            <v>33117</v>
          </cell>
          <cell r="C23">
            <v>2.6984000000000001E-3</v>
          </cell>
          <cell r="D23">
            <v>3.51270304097E-2</v>
          </cell>
          <cell r="E23">
            <v>0</v>
          </cell>
          <cell r="F23">
            <v>1</v>
          </cell>
        </row>
        <row r="24">
          <cell r="B24">
            <v>33147</v>
          </cell>
          <cell r="C24">
            <v>3.0483699999999999E-3</v>
          </cell>
          <cell r="D24">
            <v>4.0171272055300002E-2</v>
          </cell>
          <cell r="E24">
            <v>0</v>
          </cell>
          <cell r="F24">
            <v>1</v>
          </cell>
        </row>
        <row r="25">
          <cell r="B25">
            <v>33178</v>
          </cell>
          <cell r="C25">
            <v>3.5622900000000001E-3</v>
          </cell>
          <cell r="D25">
            <v>4.6924062784199999E-2</v>
          </cell>
          <cell r="E25">
            <v>0</v>
          </cell>
          <cell r="F25">
            <v>1</v>
          </cell>
        </row>
        <row r="26">
          <cell r="B26">
            <v>33208</v>
          </cell>
          <cell r="C26">
            <v>4.2034799999999999E-3</v>
          </cell>
          <cell r="D26">
            <v>5.5576860018600002E-2</v>
          </cell>
          <cell r="E26">
            <v>0</v>
          </cell>
          <cell r="F26">
            <v>1</v>
          </cell>
        </row>
        <row r="27">
          <cell r="B27">
            <v>33239</v>
          </cell>
          <cell r="C27">
            <v>4.9475200000000004E-3</v>
          </cell>
          <cell r="D27">
            <v>6.7109058472399993E-2</v>
          </cell>
          <cell r="E27">
            <v>0</v>
          </cell>
          <cell r="F27">
            <v>1</v>
          </cell>
        </row>
        <row r="28">
          <cell r="B28">
            <v>33270</v>
          </cell>
          <cell r="C28">
            <v>5.9873900000000004E-3</v>
          </cell>
          <cell r="D28">
            <v>8.1014388849100005E-2</v>
          </cell>
          <cell r="E28">
            <v>0</v>
          </cell>
          <cell r="F28">
            <v>1</v>
          </cell>
        </row>
        <row r="29">
          <cell r="B29">
            <v>33298</v>
          </cell>
          <cell r="C29">
            <v>6.5374099999999996E-3</v>
          </cell>
          <cell r="D29">
            <v>9.0673647120300002E-2</v>
          </cell>
          <cell r="E29">
            <v>0</v>
          </cell>
          <cell r="F29">
            <v>1</v>
          </cell>
        </row>
        <row r="30">
          <cell r="B30">
            <v>33329</v>
          </cell>
          <cell r="C30">
            <v>7.0477600000000001E-3</v>
          </cell>
          <cell r="D30">
            <v>9.5197603525800006E-2</v>
          </cell>
          <cell r="E30">
            <v>0</v>
          </cell>
          <cell r="F30">
            <v>1</v>
          </cell>
        </row>
        <row r="31">
          <cell r="B31">
            <v>33359</v>
          </cell>
          <cell r="C31">
            <v>7.57502E-3</v>
          </cell>
          <cell r="D31">
            <v>0.10227253780620001</v>
          </cell>
          <cell r="E31">
            <v>0</v>
          </cell>
          <cell r="F31">
            <v>1</v>
          </cell>
        </row>
        <row r="32">
          <cell r="B32">
            <v>33390</v>
          </cell>
          <cell r="C32">
            <v>8.2174099999999996E-3</v>
          </cell>
          <cell r="D32">
            <v>0.113715813284</v>
          </cell>
          <cell r="E32">
            <v>0</v>
          </cell>
          <cell r="F32">
            <v>1</v>
          </cell>
        </row>
        <row r="33">
          <cell r="B33">
            <v>33420</v>
          </cell>
          <cell r="C33">
            <v>9.3037399999999996E-3</v>
          </cell>
          <cell r="D33">
            <v>0.12782677804270001</v>
          </cell>
          <cell r="E33">
            <v>0</v>
          </cell>
          <cell r="F33">
            <v>1</v>
          </cell>
        </row>
        <row r="34">
          <cell r="B34">
            <v>33451</v>
          </cell>
          <cell r="C34">
            <v>1.072268E-2</v>
          </cell>
          <cell r="D34">
            <v>0.14780665921940001</v>
          </cell>
          <cell r="E34">
            <v>0</v>
          </cell>
          <cell r="F34">
            <v>1</v>
          </cell>
        </row>
        <row r="35">
          <cell r="B35">
            <v>33482</v>
          </cell>
          <cell r="C35">
            <v>1.232337E-2</v>
          </cell>
          <cell r="D35">
            <v>0.17090995992909999</v>
          </cell>
          <cell r="E35">
            <v>0</v>
          </cell>
          <cell r="F35">
            <v>1</v>
          </cell>
        </row>
        <row r="36">
          <cell r="B36">
            <v>33512</v>
          </cell>
          <cell r="C36">
            <v>1.5112230000000001E-2</v>
          </cell>
          <cell r="D36">
            <v>0.20548432454660001</v>
          </cell>
          <cell r="E36">
            <v>0</v>
          </cell>
          <cell r="F36">
            <v>1</v>
          </cell>
        </row>
        <row r="37">
          <cell r="B37">
            <v>33543</v>
          </cell>
          <cell r="C37">
            <v>1.8984250000000001E-2</v>
          </cell>
          <cell r="D37">
            <v>0.2572875157699</v>
          </cell>
          <cell r="E37">
            <v>0</v>
          </cell>
          <cell r="F37">
            <v>1</v>
          </cell>
        </row>
        <row r="38">
          <cell r="B38">
            <v>33573</v>
          </cell>
          <cell r="C38">
            <v>2.347107E-2</v>
          </cell>
          <cell r="D38">
            <v>0.31828867732630001</v>
          </cell>
          <cell r="E38">
            <v>0</v>
          </cell>
          <cell r="F38">
            <v>1</v>
          </cell>
        </row>
        <row r="39">
          <cell r="B39">
            <v>33604</v>
          </cell>
          <cell r="C39">
            <v>2.9000140000000001E-2</v>
          </cell>
          <cell r="D39">
            <v>0.40085366056990002</v>
          </cell>
          <cell r="E39">
            <v>0</v>
          </cell>
          <cell r="F39">
            <v>1</v>
          </cell>
        </row>
        <row r="40">
          <cell r="B40">
            <v>33635</v>
          </cell>
          <cell r="C40">
            <v>3.7078809999999997E-2</v>
          </cell>
          <cell r="D40">
            <v>0.49834103072840003</v>
          </cell>
          <cell r="E40">
            <v>0</v>
          </cell>
          <cell r="F40">
            <v>1</v>
          </cell>
        </row>
        <row r="41">
          <cell r="B41">
            <v>33664</v>
          </cell>
          <cell r="C41">
            <v>4.501144E-2</v>
          </cell>
          <cell r="D41">
            <v>0.60498746741809994</v>
          </cell>
          <cell r="E41">
            <v>0</v>
          </cell>
          <cell r="F41">
            <v>1</v>
          </cell>
        </row>
        <row r="42">
          <cell r="B42">
            <v>33695</v>
          </cell>
          <cell r="C42">
            <v>5.3986060000000002E-2</v>
          </cell>
          <cell r="D42">
            <v>0.72556146522830001</v>
          </cell>
          <cell r="E42">
            <v>0</v>
          </cell>
          <cell r="F42">
            <v>1</v>
          </cell>
        </row>
        <row r="43">
          <cell r="B43">
            <v>33725</v>
          </cell>
          <cell r="C43">
            <v>6.5012799999999996E-2</v>
          </cell>
          <cell r="D43">
            <v>0.90593616441860003</v>
          </cell>
          <cell r="E43">
            <v>0</v>
          </cell>
          <cell r="F43">
            <v>1</v>
          </cell>
        </row>
        <row r="44">
          <cell r="B44">
            <v>33756</v>
          </cell>
          <cell r="C44">
            <v>8.0361459999999996E-2</v>
          </cell>
          <cell r="D44">
            <v>1.0890285720637001</v>
          </cell>
          <cell r="E44">
            <v>0</v>
          </cell>
          <cell r="F44">
            <v>1</v>
          </cell>
        </row>
        <row r="45">
          <cell r="B45">
            <v>33786</v>
          </cell>
          <cell r="C45">
            <v>9.7908469999999997E-2</v>
          </cell>
          <cell r="D45">
            <v>1.3267641484791</v>
          </cell>
          <cell r="E45">
            <v>0</v>
          </cell>
          <cell r="F45">
            <v>1</v>
          </cell>
        </row>
        <row r="46">
          <cell r="B46">
            <v>33817</v>
          </cell>
          <cell r="C46">
            <v>0.12202180999999999</v>
          </cell>
          <cell r="D46">
            <v>1.6205100844213001</v>
          </cell>
          <cell r="E46">
            <v>0</v>
          </cell>
          <cell r="F46">
            <v>1</v>
          </cell>
        </row>
        <row r="47">
          <cell r="B47">
            <v>33848</v>
          </cell>
          <cell r="C47">
            <v>0.15285811999999999</v>
          </cell>
          <cell r="D47">
            <v>2.0196408623306001</v>
          </cell>
          <cell r="E47">
            <v>0</v>
          </cell>
          <cell r="F47">
            <v>1</v>
          </cell>
        </row>
        <row r="48">
          <cell r="B48">
            <v>33878</v>
          </cell>
          <cell r="C48">
            <v>0.19376498</v>
          </cell>
          <cell r="D48">
            <v>2.5293973801068002</v>
          </cell>
          <cell r="E48">
            <v>0</v>
          </cell>
          <cell r="F48">
            <v>1</v>
          </cell>
        </row>
        <row r="49">
          <cell r="B49">
            <v>33909</v>
          </cell>
          <cell r="C49">
            <v>0.23916162999999999</v>
          </cell>
          <cell r="D49">
            <v>3.0982598885127999</v>
          </cell>
          <cell r="E49">
            <v>0</v>
          </cell>
          <cell r="F49">
            <v>1</v>
          </cell>
        </row>
        <row r="50">
          <cell r="B50">
            <v>33939</v>
          </cell>
          <cell r="C50">
            <v>0.29913278999999998</v>
          </cell>
          <cell r="D50">
            <v>3.8802596550900001</v>
          </cell>
          <cell r="E50">
            <v>0</v>
          </cell>
          <cell r="F50">
            <v>1</v>
          </cell>
        </row>
        <row r="51">
          <cell r="B51">
            <v>33970</v>
          </cell>
          <cell r="C51">
            <v>0.37638683000000001</v>
          </cell>
          <cell r="D51">
            <v>5.0579166458253004</v>
          </cell>
          <cell r="E51">
            <v>0</v>
          </cell>
          <cell r="F51">
            <v>1</v>
          </cell>
        </row>
        <row r="52">
          <cell r="B52">
            <v>34001</v>
          </cell>
          <cell r="C52">
            <v>0.48335073000000001</v>
          </cell>
          <cell r="D52">
            <v>6.3213843084293</v>
          </cell>
          <cell r="E52">
            <v>0</v>
          </cell>
          <cell r="F52">
            <v>1</v>
          </cell>
        </row>
        <row r="53">
          <cell r="B53">
            <v>34029</v>
          </cell>
          <cell r="C53">
            <v>0.61023090000000002</v>
          </cell>
          <cell r="D53">
            <v>8.0445948724788998</v>
          </cell>
          <cell r="E53">
            <v>0</v>
          </cell>
          <cell r="F53">
            <v>1</v>
          </cell>
        </row>
        <row r="54">
          <cell r="B54">
            <v>34060</v>
          </cell>
          <cell r="C54">
            <v>0.78617482000000005</v>
          </cell>
          <cell r="D54">
            <v>10.2769672819025</v>
          </cell>
          <cell r="E54">
            <v>0</v>
          </cell>
          <cell r="F54">
            <v>1</v>
          </cell>
        </row>
        <row r="55">
          <cell r="B55">
            <v>34090</v>
          </cell>
          <cell r="C55">
            <v>1.01968087</v>
          </cell>
          <cell r="D55">
            <v>13.1226581300609</v>
          </cell>
          <cell r="E55">
            <v>0</v>
          </cell>
          <cell r="F55">
            <v>1</v>
          </cell>
        </row>
        <row r="56">
          <cell r="B56">
            <v>34121</v>
          </cell>
          <cell r="C56">
            <v>1.3408208699999999</v>
          </cell>
          <cell r="D56">
            <v>17.068642979808899</v>
          </cell>
          <cell r="E56">
            <v>0</v>
          </cell>
          <cell r="F56">
            <v>1</v>
          </cell>
        </row>
        <row r="57">
          <cell r="B57">
            <v>34151</v>
          </cell>
          <cell r="C57">
            <v>1.75984608</v>
          </cell>
          <cell r="D57">
            <v>22.312130761236201</v>
          </cell>
          <cell r="E57">
            <v>0</v>
          </cell>
          <cell r="F57">
            <v>1</v>
          </cell>
        </row>
        <row r="58">
          <cell r="B58">
            <v>34182</v>
          </cell>
          <cell r="C58">
            <v>2.31923637</v>
          </cell>
          <cell r="D58">
            <v>29.666210936414501</v>
          </cell>
          <cell r="E58">
            <v>0</v>
          </cell>
          <cell r="F58">
            <v>1</v>
          </cell>
        </row>
        <row r="59">
          <cell r="B59">
            <v>34213</v>
          </cell>
          <cell r="C59">
            <v>3.1375231000000001</v>
          </cell>
          <cell r="D59">
            <v>40.254080730946797</v>
          </cell>
          <cell r="E59">
            <v>0</v>
          </cell>
          <cell r="F59">
            <v>1</v>
          </cell>
        </row>
        <row r="60">
          <cell r="B60">
            <v>34243</v>
          </cell>
          <cell r="C60">
            <v>4.2367972299999996</v>
          </cell>
          <cell r="D60">
            <v>53.908264834853298</v>
          </cell>
          <cell r="E60">
            <v>0</v>
          </cell>
          <cell r="F60">
            <v>1</v>
          </cell>
        </row>
        <row r="61">
          <cell r="B61">
            <v>34274</v>
          </cell>
          <cell r="C61">
            <v>5.7685216500000003</v>
          </cell>
          <cell r="D61">
            <v>73.078046584524003</v>
          </cell>
          <cell r="E61">
            <v>0</v>
          </cell>
          <cell r="F61">
            <v>1</v>
          </cell>
        </row>
        <row r="62">
          <cell r="B62">
            <v>34304</v>
          </cell>
          <cell r="C62">
            <v>7.9792505900000004</v>
          </cell>
          <cell r="D62">
            <v>100</v>
          </cell>
          <cell r="E62">
            <v>0</v>
          </cell>
          <cell r="F62">
            <v>1</v>
          </cell>
        </row>
        <row r="63">
          <cell r="B63">
            <v>34335</v>
          </cell>
          <cell r="C63">
            <v>11.0967647</v>
          </cell>
          <cell r="D63">
            <v>141.31</v>
          </cell>
          <cell r="E63">
            <v>0</v>
          </cell>
          <cell r="F63">
            <v>1</v>
          </cell>
        </row>
        <row r="64">
          <cell r="B64">
            <v>34366</v>
          </cell>
          <cell r="C64">
            <v>15.62186911</v>
          </cell>
          <cell r="D64">
            <v>198.22</v>
          </cell>
          <cell r="E64">
            <v>0</v>
          </cell>
          <cell r="F64">
            <v>1</v>
          </cell>
        </row>
        <row r="65">
          <cell r="B65">
            <v>34394</v>
          </cell>
          <cell r="C65">
            <v>22.762782099999999</v>
          </cell>
          <cell r="D65">
            <v>282.95999999999998</v>
          </cell>
          <cell r="E65">
            <v>0</v>
          </cell>
          <cell r="F65">
            <v>1</v>
          </cell>
        </row>
        <row r="66">
          <cell r="B66">
            <v>34425</v>
          </cell>
          <cell r="C66">
            <v>32.074938510000003</v>
          </cell>
          <cell r="D66">
            <v>403.73</v>
          </cell>
          <cell r="E66">
            <v>0</v>
          </cell>
          <cell r="F66">
            <v>1</v>
          </cell>
        </row>
        <row r="67">
          <cell r="B67">
            <v>34455</v>
          </cell>
          <cell r="C67">
            <v>45.731576959999998</v>
          </cell>
          <cell r="D67">
            <v>581.49</v>
          </cell>
          <cell r="E67">
            <v>0</v>
          </cell>
          <cell r="F67">
            <v>1</v>
          </cell>
        </row>
        <row r="68">
          <cell r="B68">
            <v>34486</v>
          </cell>
          <cell r="C68">
            <v>66.408212939999999</v>
          </cell>
          <cell r="D68">
            <v>857.29</v>
          </cell>
          <cell r="E68">
            <v>0</v>
          </cell>
          <cell r="F68">
            <v>1</v>
          </cell>
        </row>
        <row r="69">
          <cell r="B69">
            <v>34516</v>
          </cell>
          <cell r="C69">
            <v>92.968426030000003</v>
          </cell>
          <cell r="D69">
            <v>915.93</v>
          </cell>
          <cell r="E69">
            <v>0</v>
          </cell>
          <cell r="F69">
            <v>1</v>
          </cell>
        </row>
        <row r="70">
          <cell r="B70">
            <v>34547</v>
          </cell>
          <cell r="C70">
            <v>100</v>
          </cell>
          <cell r="D70">
            <v>932.97</v>
          </cell>
          <cell r="E70">
            <v>1.0417031360600404</v>
          </cell>
          <cell r="F70">
            <v>1.0417031360600404</v>
          </cell>
        </row>
        <row r="71">
          <cell r="B71">
            <v>34578</v>
          </cell>
          <cell r="C71">
            <v>101.751</v>
          </cell>
          <cell r="D71">
            <v>947.24</v>
          </cell>
          <cell r="E71">
            <v>1.040191380612066</v>
          </cell>
          <cell r="F71">
            <v>1.0835706232862121</v>
          </cell>
        </row>
        <row r="72">
          <cell r="B72">
            <v>34608</v>
          </cell>
          <cell r="C72">
            <v>103.602</v>
          </cell>
          <cell r="D72">
            <v>972.06</v>
          </cell>
          <cell r="E72">
            <v>1.0400235119965635</v>
          </cell>
          <cell r="F72">
            <v>1.1269389251264317</v>
          </cell>
        </row>
        <row r="73">
          <cell r="B73">
            <v>34639</v>
          </cell>
          <cell r="C73">
            <v>106.553</v>
          </cell>
          <cell r="D73">
            <v>999.37</v>
          </cell>
          <cell r="E73">
            <v>1.0448704061969656</v>
          </cell>
          <cell r="F73">
            <v>1.1775051324560264</v>
          </cell>
        </row>
        <row r="74">
          <cell r="B74">
            <v>34669</v>
          </cell>
          <cell r="C74">
            <v>107.45</v>
          </cell>
          <cell r="D74">
            <v>1016.46</v>
          </cell>
          <cell r="E74">
            <v>1.0379749903132509</v>
          </cell>
          <cell r="F74">
            <v>1.2222208784548472</v>
          </cell>
        </row>
        <row r="75">
          <cell r="B75">
            <v>34700</v>
          </cell>
          <cell r="C75">
            <v>108.44199999999999</v>
          </cell>
          <cell r="D75">
            <v>1033.74</v>
          </cell>
          <cell r="E75">
            <v>1.033745155557255</v>
          </cell>
          <cell r="F75">
            <v>1.2634649121236308</v>
          </cell>
        </row>
        <row r="76">
          <cell r="B76">
            <v>34731</v>
          </cell>
          <cell r="C76">
            <v>109.9455</v>
          </cell>
          <cell r="D76">
            <v>1044.28</v>
          </cell>
          <cell r="E76">
            <v>1.0361946548110796</v>
          </cell>
          <cell r="F76">
            <v>1.3091955884838566</v>
          </cell>
        </row>
        <row r="77">
          <cell r="B77">
            <v>34759</v>
          </cell>
          <cell r="C77">
            <v>111.178</v>
          </cell>
          <cell r="D77">
            <v>1060.47</v>
          </cell>
          <cell r="E77">
            <v>1.0426211014987152</v>
          </cell>
          <cell r="F77">
            <v>1.3649949465422972</v>
          </cell>
        </row>
        <row r="78">
          <cell r="B78">
            <v>34790</v>
          </cell>
          <cell r="C78">
            <v>113.518</v>
          </cell>
          <cell r="D78">
            <v>1086.24</v>
          </cell>
          <cell r="E78">
            <v>1.0502446731743562</v>
          </cell>
          <cell r="F78">
            <v>1.4335786715159629</v>
          </cell>
        </row>
        <row r="79">
          <cell r="B79">
            <v>34820</v>
          </cell>
          <cell r="C79">
            <v>114.17100000000001</v>
          </cell>
          <cell r="D79">
            <v>1115.24</v>
          </cell>
          <cell r="E79">
            <v>1.0450356278102417</v>
          </cell>
          <cell r="F79">
            <v>1.4981407870030565</v>
          </cell>
        </row>
        <row r="80">
          <cell r="B80">
            <v>34851</v>
          </cell>
          <cell r="C80">
            <v>116.98399999999999</v>
          </cell>
          <cell r="D80">
            <v>1140.44</v>
          </cell>
          <cell r="E80">
            <v>1.0423602226147934</v>
          </cell>
          <cell r="F80">
            <v>1.5616023642488079</v>
          </cell>
        </row>
        <row r="81">
          <cell r="B81">
            <v>34881</v>
          </cell>
          <cell r="C81">
            <v>119.114</v>
          </cell>
          <cell r="D81">
            <v>1167.3499999999999</v>
          </cell>
          <cell r="E81">
            <v>1.0402311780170954</v>
          </cell>
          <cell r="F81">
            <v>1.6244274669568188</v>
          </cell>
        </row>
        <row r="82">
          <cell r="B82">
            <v>34912</v>
          </cell>
          <cell r="C82">
            <v>121.729</v>
          </cell>
          <cell r="D82">
            <v>1178.9100000000001</v>
          </cell>
          <cell r="E82">
            <v>1.0383979241220025</v>
          </cell>
          <cell r="F82">
            <v>1.6868021095747234</v>
          </cell>
        </row>
        <row r="83">
          <cell r="B83">
            <v>34943</v>
          </cell>
          <cell r="C83">
            <v>120.869</v>
          </cell>
          <cell r="D83">
            <v>1190.58</v>
          </cell>
          <cell r="E83">
            <v>1.0349384575781275</v>
          </cell>
          <cell r="F83">
            <v>1.745736373522796</v>
          </cell>
        </row>
        <row r="84">
          <cell r="B84">
            <v>34973</v>
          </cell>
          <cell r="C84">
            <v>121.503</v>
          </cell>
          <cell r="D84">
            <v>1207.3699999999999</v>
          </cell>
          <cell r="E84">
            <v>1.0324041438440343</v>
          </cell>
          <cell r="F84">
            <v>1.8023054660841915</v>
          </cell>
        </row>
        <row r="85">
          <cell r="B85">
            <v>35004</v>
          </cell>
          <cell r="C85">
            <v>122.955</v>
          </cell>
          <cell r="D85">
            <v>1225.1199999999999</v>
          </cell>
          <cell r="E85">
            <v>1.0316999077357936</v>
          </cell>
          <cell r="F85">
            <v>1.8594383830707768</v>
          </cell>
        </row>
        <row r="86">
          <cell r="B86">
            <v>35034</v>
          </cell>
          <cell r="C86">
            <v>123.833</v>
          </cell>
          <cell r="D86">
            <v>1244.23</v>
          </cell>
          <cell r="E86">
            <v>1.0292086837764389</v>
          </cell>
          <cell r="F86">
            <v>1.913750130803664</v>
          </cell>
        </row>
        <row r="87">
          <cell r="B87">
            <v>35065</v>
          </cell>
          <cell r="C87">
            <v>125.977</v>
          </cell>
          <cell r="D87">
            <v>1260.9000000000001</v>
          </cell>
          <cell r="E87">
            <v>1.0271429062533448</v>
          </cell>
          <cell r="F87">
            <v>1.9656948711963942</v>
          </cell>
        </row>
        <row r="88">
          <cell r="B88">
            <v>35096</v>
          </cell>
          <cell r="C88">
            <v>127.202</v>
          </cell>
          <cell r="D88">
            <v>1273.8900000000001</v>
          </cell>
          <cell r="E88">
            <v>1.026088709032714</v>
          </cell>
          <cell r="F88">
            <v>2.0169773127381352</v>
          </cell>
        </row>
        <row r="89">
          <cell r="B89">
            <v>35125</v>
          </cell>
          <cell r="C89">
            <v>127.715</v>
          </cell>
          <cell r="D89">
            <v>1278.3499999999999</v>
          </cell>
          <cell r="E89">
            <v>1.0222082178682002</v>
          </cell>
          <cell r="F89">
            <v>2.0617707843346404</v>
          </cell>
        </row>
        <row r="90">
          <cell r="B90">
            <v>35156</v>
          </cell>
          <cell r="C90">
            <v>128.13</v>
          </cell>
          <cell r="D90">
            <v>1294.46</v>
          </cell>
          <cell r="E90">
            <v>1.0227569082086725</v>
          </cell>
          <cell r="F90">
            <v>2.1086903128210666</v>
          </cell>
        </row>
        <row r="91">
          <cell r="B91">
            <v>35186</v>
          </cell>
          <cell r="C91">
            <v>130.12100000000001</v>
          </cell>
          <cell r="D91">
            <v>1310.25</v>
          </cell>
          <cell r="E91">
            <v>1.0210626514511167</v>
          </cell>
          <cell r="F91">
            <v>2.1531049218983629</v>
          </cell>
        </row>
        <row r="92">
          <cell r="B92">
            <v>35217</v>
          </cell>
          <cell r="C92">
            <v>131.44499999999999</v>
          </cell>
          <cell r="D92">
            <v>1325.84</v>
          </cell>
          <cell r="E92">
            <v>1.020826552130859</v>
          </cell>
          <cell r="F92">
            <v>2.1979466737974884</v>
          </cell>
        </row>
        <row r="93">
          <cell r="B93">
            <v>35247</v>
          </cell>
          <cell r="C93">
            <v>133.21299999999999</v>
          </cell>
          <cell r="D93">
            <v>1340.56</v>
          </cell>
          <cell r="E93">
            <v>1.0192856968560815</v>
          </cell>
          <cell r="F93">
            <v>2.2403356070541793</v>
          </cell>
        </row>
        <row r="94">
          <cell r="B94">
            <v>35278</v>
          </cell>
          <cell r="C94">
            <v>133.58699999999999</v>
          </cell>
          <cell r="D94">
            <v>1346.46</v>
          </cell>
          <cell r="E94">
            <v>1.0196791435025818</v>
          </cell>
          <cell r="F94">
            <v>2.2844234929593421</v>
          </cell>
        </row>
        <row r="95">
          <cell r="B95">
            <v>35309</v>
          </cell>
          <cell r="C95">
            <v>133.72200000000001</v>
          </cell>
          <cell r="D95">
            <v>1348.48</v>
          </cell>
          <cell r="E95">
            <v>1.0190405257020327</v>
          </cell>
          <cell r="F95">
            <v>2.3279201171913617</v>
          </cell>
        </row>
        <row r="96">
          <cell r="B96">
            <v>35339</v>
          </cell>
          <cell r="C96">
            <v>133.97800000000001</v>
          </cell>
          <cell r="D96">
            <v>1352.53</v>
          </cell>
          <cell r="E96">
            <v>1.0194350405573067</v>
          </cell>
          <cell r="F96">
            <v>2.3731633390831459</v>
          </cell>
        </row>
        <row r="97">
          <cell r="B97">
            <v>35370</v>
          </cell>
          <cell r="C97">
            <v>134.24199999999999</v>
          </cell>
          <cell r="D97">
            <v>1356.86</v>
          </cell>
          <cell r="E97">
            <v>1.018952291397875</v>
          </cell>
          <cell r="F97">
            <v>2.4181402222202037</v>
          </cell>
        </row>
        <row r="98">
          <cell r="B98">
            <v>35400</v>
          </cell>
          <cell r="C98">
            <v>135.22499999999999</v>
          </cell>
          <cell r="D98">
            <v>1363.24</v>
          </cell>
          <cell r="E98">
            <v>1.0189221360623306</v>
          </cell>
          <cell r="F98">
            <v>2.4638966005228489</v>
          </cell>
        </row>
        <row r="99">
          <cell r="B99">
            <v>35431</v>
          </cell>
          <cell r="C99">
            <v>137.613</v>
          </cell>
          <cell r="D99">
            <v>1379.33</v>
          </cell>
          <cell r="E99">
            <v>1.0182168360386268</v>
          </cell>
          <cell r="F99">
            <v>2.5087810009107034</v>
          </cell>
        </row>
        <row r="100">
          <cell r="B100">
            <v>35462</v>
          </cell>
          <cell r="C100">
            <v>138.20400000000001</v>
          </cell>
          <cell r="D100">
            <v>1386.23</v>
          </cell>
          <cell r="E100">
            <v>1.018615977536991</v>
          </cell>
          <cell r="F100">
            <v>2.5554844116688868</v>
          </cell>
        </row>
        <row r="101">
          <cell r="B101">
            <v>35490</v>
          </cell>
          <cell r="C101">
            <v>139.79499999999999</v>
          </cell>
          <cell r="D101">
            <v>1393.3</v>
          </cell>
          <cell r="E101">
            <v>1.0181653196053577</v>
          </cell>
          <cell r="F101">
            <v>2.6019056027533618</v>
          </cell>
        </row>
        <row r="102">
          <cell r="B102">
            <v>35521</v>
          </cell>
          <cell r="C102">
            <v>140.74199999999999</v>
          </cell>
          <cell r="D102">
            <v>1405.56</v>
          </cell>
          <cell r="E102">
            <v>1.0174130782041242</v>
          </cell>
          <cell r="F102">
            <v>2.6472127884938548</v>
          </cell>
        </row>
        <row r="103">
          <cell r="B103">
            <v>35551</v>
          </cell>
          <cell r="C103">
            <v>141.04</v>
          </cell>
          <cell r="D103">
            <v>1411.32</v>
          </cell>
          <cell r="E103">
            <v>1.0173859708262292</v>
          </cell>
          <cell r="F103">
            <v>2.6932371528054295</v>
          </cell>
        </row>
        <row r="104">
          <cell r="B104">
            <v>35582</v>
          </cell>
          <cell r="C104">
            <v>142.09</v>
          </cell>
          <cell r="D104">
            <v>1418.94</v>
          </cell>
          <cell r="E104">
            <v>1.0160683269749473</v>
          </cell>
          <cell r="F104">
            <v>2.7365129679977831</v>
          </cell>
        </row>
        <row r="105">
          <cell r="B105">
            <v>35612</v>
          </cell>
          <cell r="C105">
            <v>142.221</v>
          </cell>
          <cell r="D105">
            <v>1422.06</v>
          </cell>
          <cell r="E105">
            <v>1.0160384417373229</v>
          </cell>
          <cell r="F105">
            <v>2.7804023717984441</v>
          </cell>
        </row>
        <row r="106">
          <cell r="B106">
            <v>35643</v>
          </cell>
          <cell r="C106">
            <v>142.35300000000001</v>
          </cell>
          <cell r="D106">
            <v>1421.78</v>
          </cell>
          <cell r="E106">
            <v>1.0158585469231169</v>
          </cell>
          <cell r="F106">
            <v>2.8244955132767555</v>
          </cell>
        </row>
        <row r="107">
          <cell r="B107">
            <v>35674</v>
          </cell>
          <cell r="C107">
            <v>143.042</v>
          </cell>
          <cell r="D107">
            <v>1422.63</v>
          </cell>
          <cell r="E107">
            <v>1.0159028051900765</v>
          </cell>
          <cell r="F107">
            <v>2.869412915184641</v>
          </cell>
        </row>
        <row r="108">
          <cell r="B108">
            <v>35704</v>
          </cell>
          <cell r="C108">
            <v>143.56700000000001</v>
          </cell>
          <cell r="D108">
            <v>1425.9</v>
          </cell>
          <cell r="E108">
            <v>1.0167288802763557</v>
          </cell>
          <cell r="F108">
            <v>2.9174149803061935</v>
          </cell>
        </row>
        <row r="109">
          <cell r="B109">
            <v>35735</v>
          </cell>
          <cell r="C109">
            <v>144.48099999999999</v>
          </cell>
          <cell r="D109">
            <v>1428.32</v>
          </cell>
          <cell r="E109">
            <v>1.0304347964479648</v>
          </cell>
          <cell r="F109">
            <v>3.0062059113860555</v>
          </cell>
        </row>
        <row r="110">
          <cell r="B110">
            <v>35765</v>
          </cell>
          <cell r="C110">
            <v>145.69499999999999</v>
          </cell>
          <cell r="D110">
            <v>1434.46</v>
          </cell>
          <cell r="E110">
            <v>1.0311549813439238</v>
          </cell>
          <cell r="F110">
            <v>3.0998642004712815</v>
          </cell>
        </row>
        <row r="111">
          <cell r="B111">
            <v>35796</v>
          </cell>
          <cell r="C111">
            <v>147.09100000000001</v>
          </cell>
          <cell r="D111">
            <v>1444.64</v>
          </cell>
          <cell r="E111">
            <v>1.0280960413836384</v>
          </cell>
          <cell r="F111">
            <v>3.1869581133313818</v>
          </cell>
        </row>
        <row r="112">
          <cell r="B112">
            <v>35827</v>
          </cell>
          <cell r="C112">
            <v>147.35599999999999</v>
          </cell>
          <cell r="D112">
            <v>1451.29</v>
          </cell>
          <cell r="E112">
            <v>1.0236711069024262</v>
          </cell>
          <cell r="F112">
            <v>3.2623969395256034</v>
          </cell>
        </row>
        <row r="113">
          <cell r="B113">
            <v>35855</v>
          </cell>
          <cell r="C113">
            <v>147.63499999999999</v>
          </cell>
          <cell r="D113">
            <v>1456.22</v>
          </cell>
          <cell r="E113">
            <v>1.0220072916308196</v>
          </cell>
          <cell r="F113">
            <v>3.3341934603892365</v>
          </cell>
        </row>
        <row r="114">
          <cell r="B114">
            <v>35886</v>
          </cell>
          <cell r="C114">
            <v>147.821</v>
          </cell>
          <cell r="D114">
            <v>1459.71</v>
          </cell>
          <cell r="E114">
            <v>1.0199031041694671</v>
          </cell>
          <cell r="F114">
            <v>3.4005542601525192</v>
          </cell>
        </row>
        <row r="115">
          <cell r="B115">
            <v>35916</v>
          </cell>
          <cell r="C115">
            <v>148.02099999999999</v>
          </cell>
          <cell r="D115">
            <v>1467.01</v>
          </cell>
          <cell r="E115">
            <v>1.0171306475499944</v>
          </cell>
          <cell r="F115">
            <v>3.4588079566578238</v>
          </cell>
        </row>
        <row r="116">
          <cell r="B116">
            <v>35947</v>
          </cell>
          <cell r="C116">
            <v>148.58799999999999</v>
          </cell>
          <cell r="D116">
            <v>1467.3</v>
          </cell>
          <cell r="E116">
            <v>1.0167959651913006</v>
          </cell>
          <cell r="F116">
            <v>3.5169019747012422</v>
          </cell>
        </row>
        <row r="117">
          <cell r="B117">
            <v>35977</v>
          </cell>
          <cell r="C117">
            <v>148.339</v>
          </cell>
          <cell r="D117">
            <v>1465.54</v>
          </cell>
          <cell r="E117">
            <v>1.0170373206405035</v>
          </cell>
          <cell r="F117">
            <v>3.5768205613054471</v>
          </cell>
        </row>
        <row r="118">
          <cell r="B118">
            <v>36008</v>
          </cell>
          <cell r="C118">
            <v>148.10900000000001</v>
          </cell>
          <cell r="D118">
            <v>1458.07</v>
          </cell>
          <cell r="E118">
            <v>1.0147631694962493</v>
          </cell>
          <cell r="F118">
            <v>3.6296257695096692</v>
          </cell>
        </row>
        <row r="119">
          <cell r="B119">
            <v>36039</v>
          </cell>
          <cell r="C119">
            <v>147.98400000000001</v>
          </cell>
          <cell r="D119">
            <v>1454.86</v>
          </cell>
          <cell r="E119">
            <v>1.0255896332244516</v>
          </cell>
          <cell r="F119">
            <v>3.7225065616934394</v>
          </cell>
        </row>
        <row r="120">
          <cell r="B120">
            <v>36069</v>
          </cell>
          <cell r="C120">
            <v>148.1</v>
          </cell>
          <cell r="D120">
            <v>1455.15</v>
          </cell>
          <cell r="E120">
            <v>1.0308188720930029</v>
          </cell>
          <cell r="F120">
            <v>3.8372300152836338</v>
          </cell>
        </row>
        <row r="121">
          <cell r="B121">
            <v>36100</v>
          </cell>
          <cell r="C121">
            <v>147.62799999999999</v>
          </cell>
          <cell r="D121">
            <v>1453.4</v>
          </cell>
          <cell r="E121">
            <v>1.0277678356785036</v>
          </cell>
          <cell r="F121">
            <v>3.9437815878086515</v>
          </cell>
        </row>
        <row r="122">
          <cell r="B122">
            <v>36130</v>
          </cell>
          <cell r="C122">
            <v>148.291</v>
          </cell>
          <cell r="D122">
            <v>1458.2</v>
          </cell>
          <cell r="E122">
            <v>1.025049538167373</v>
          </cell>
          <cell r="F122">
            <v>4.0425714952162473</v>
          </cell>
        </row>
        <row r="123">
          <cell r="B123">
            <v>36161</v>
          </cell>
          <cell r="C123">
            <v>149.53299999999999</v>
          </cell>
          <cell r="D123">
            <v>1468.41</v>
          </cell>
          <cell r="E123">
            <v>1.022811290449001</v>
          </cell>
          <cell r="F123">
            <v>4.1347877677544771</v>
          </cell>
        </row>
        <row r="124">
          <cell r="B124">
            <v>36192</v>
          </cell>
          <cell r="C124">
            <v>154.93299999999999</v>
          </cell>
          <cell r="D124">
            <v>1483.83</v>
          </cell>
          <cell r="E124">
            <v>1.0264662861429437</v>
          </cell>
          <cell r="F124">
            <v>4.2442202439562102</v>
          </cell>
        </row>
        <row r="125">
          <cell r="B125">
            <v>36220</v>
          </cell>
          <cell r="C125">
            <v>159.32499999999999</v>
          </cell>
          <cell r="D125">
            <v>1500.15</v>
          </cell>
          <cell r="E125">
            <v>1.033345195070198</v>
          </cell>
          <cell r="F125">
            <v>4.3857445959118131</v>
          </cell>
        </row>
        <row r="126">
          <cell r="B126">
            <v>36251</v>
          </cell>
          <cell r="C126">
            <v>160.459</v>
          </cell>
          <cell r="D126">
            <v>1508.55</v>
          </cell>
          <cell r="E126">
            <v>1.027563660965396</v>
          </cell>
          <cell r="F126">
            <v>4.5066317730343437</v>
          </cell>
        </row>
        <row r="127">
          <cell r="B127">
            <v>36281</v>
          </cell>
          <cell r="C127">
            <v>159.99600000000001</v>
          </cell>
          <cell r="D127">
            <v>1513.08</v>
          </cell>
          <cell r="E127">
            <v>1.0201883000304468</v>
          </cell>
          <cell r="F127">
            <v>4.5976130073951058</v>
          </cell>
        </row>
        <row r="128">
          <cell r="B128">
            <v>36312</v>
          </cell>
          <cell r="C128">
            <v>160.57300000000001</v>
          </cell>
          <cell r="D128">
            <v>1515.95</v>
          </cell>
          <cell r="E128">
            <v>1.0175637707499077</v>
          </cell>
          <cell r="F128">
            <v>4.6783644282537873</v>
          </cell>
        </row>
        <row r="129">
          <cell r="B129">
            <v>36342</v>
          </cell>
          <cell r="C129">
            <v>163.06</v>
          </cell>
          <cell r="D129">
            <v>1532.47</v>
          </cell>
          <cell r="E129">
            <v>1.0165876375704719</v>
          </cell>
          <cell r="F129">
            <v>4.7559674418122491</v>
          </cell>
        </row>
        <row r="130">
          <cell r="B130">
            <v>36373</v>
          </cell>
          <cell r="C130">
            <v>165.60300000000001</v>
          </cell>
          <cell r="D130">
            <v>1541.05</v>
          </cell>
          <cell r="E130">
            <v>1.0156847483880824</v>
          </cell>
          <cell r="F130">
            <v>4.8305635944789866</v>
          </cell>
        </row>
        <row r="131">
          <cell r="B131">
            <v>36404</v>
          </cell>
          <cell r="C131">
            <v>167.99700000000001</v>
          </cell>
          <cell r="D131">
            <v>1545.83</v>
          </cell>
          <cell r="E131">
            <v>1.0155901672784533</v>
          </cell>
          <cell r="F131">
            <v>4.9058728889661207</v>
          </cell>
        </row>
        <row r="132">
          <cell r="B132">
            <v>36434</v>
          </cell>
          <cell r="C132">
            <v>170.86099999999999</v>
          </cell>
          <cell r="D132">
            <v>1564.23</v>
          </cell>
          <cell r="E132">
            <v>1.0145370189540868</v>
          </cell>
          <cell r="F132">
            <v>4.9771896561393616</v>
          </cell>
        </row>
        <row r="133">
          <cell r="B133">
            <v>36465</v>
          </cell>
          <cell r="C133">
            <v>174.93899999999999</v>
          </cell>
          <cell r="D133">
            <v>1579.09</v>
          </cell>
          <cell r="E133">
            <v>1.0152599173733607</v>
          </cell>
          <cell r="F133">
            <v>5.0531411590435944</v>
          </cell>
        </row>
        <row r="134">
          <cell r="B134">
            <v>36495</v>
          </cell>
          <cell r="C134">
            <v>178.09899999999999</v>
          </cell>
          <cell r="D134">
            <v>1588.56</v>
          </cell>
          <cell r="E134">
            <v>1.0159962861507461</v>
          </cell>
          <cell r="F134">
            <v>5.1339726509837682</v>
          </cell>
        </row>
        <row r="135">
          <cell r="B135">
            <v>36526</v>
          </cell>
          <cell r="C135">
            <v>180.30099999999999</v>
          </cell>
          <cell r="D135">
            <v>1598.41</v>
          </cell>
          <cell r="E135">
            <v>1.0145573263269665</v>
          </cell>
          <cell r="F135">
            <v>5.20870956621786</v>
          </cell>
        </row>
        <row r="136">
          <cell r="B136">
            <v>36557</v>
          </cell>
          <cell r="C136">
            <v>180.935</v>
          </cell>
          <cell r="D136">
            <v>1600.49</v>
          </cell>
          <cell r="E136">
            <v>1.0145089461247463</v>
          </cell>
          <cell r="F136">
            <v>5.2842824526935654</v>
          </cell>
        </row>
        <row r="137">
          <cell r="B137">
            <v>36586</v>
          </cell>
          <cell r="C137">
            <v>181.214</v>
          </cell>
          <cell r="D137">
            <v>1604.01</v>
          </cell>
          <cell r="E137">
            <v>1.0158860407835757</v>
          </cell>
          <cell r="F137">
            <v>5.3682287792489891</v>
          </cell>
        </row>
        <row r="138">
          <cell r="B138">
            <v>36617</v>
          </cell>
          <cell r="C138">
            <v>181.63499999999999</v>
          </cell>
          <cell r="D138">
            <v>1610.75</v>
          </cell>
          <cell r="E138">
            <v>1.0136441914221253</v>
          </cell>
          <cell r="F138">
            <v>5.4414739203108242</v>
          </cell>
        </row>
        <row r="139">
          <cell r="B139">
            <v>36647</v>
          </cell>
          <cell r="C139">
            <v>182.18899999999999</v>
          </cell>
          <cell r="D139">
            <v>1610.91</v>
          </cell>
          <cell r="E139">
            <v>1.0156265899953318</v>
          </cell>
          <cell r="F139">
            <v>5.5265056022338124</v>
          </cell>
        </row>
        <row r="140">
          <cell r="B140">
            <v>36678</v>
          </cell>
          <cell r="C140">
            <v>183.745</v>
          </cell>
          <cell r="D140">
            <v>1614.62</v>
          </cell>
          <cell r="E140">
            <v>1.0145668910909638</v>
          </cell>
          <cell r="F140">
            <v>5.6070096074551534</v>
          </cell>
        </row>
        <row r="141">
          <cell r="B141">
            <v>36708</v>
          </cell>
          <cell r="C141">
            <v>186.63399999999999</v>
          </cell>
          <cell r="D141">
            <v>1640.62</v>
          </cell>
          <cell r="E141">
            <v>1.0130599958288005</v>
          </cell>
          <cell r="F141">
            <v>5.6802371295405623</v>
          </cell>
        </row>
        <row r="142">
          <cell r="B142">
            <v>36739</v>
          </cell>
          <cell r="C142">
            <v>191.08699999999999</v>
          </cell>
          <cell r="D142">
            <v>1662.11</v>
          </cell>
          <cell r="E142">
            <v>1.0140543715890855</v>
          </cell>
          <cell r="F142">
            <v>5.7600692928732462</v>
          </cell>
        </row>
        <row r="143">
          <cell r="B143">
            <v>36770</v>
          </cell>
          <cell r="C143">
            <v>193.297</v>
          </cell>
          <cell r="D143">
            <v>1665.93</v>
          </cell>
          <cell r="E143">
            <v>1.0128508890656427</v>
          </cell>
          <cell r="F143">
            <v>5.8340913043663756</v>
          </cell>
        </row>
        <row r="144">
          <cell r="B144">
            <v>36800</v>
          </cell>
          <cell r="C144">
            <v>194.04</v>
          </cell>
          <cell r="D144">
            <v>1668.26</v>
          </cell>
          <cell r="E144">
            <v>1.013495295624836</v>
          </cell>
          <cell r="F144">
            <v>5.9128240912210845</v>
          </cell>
        </row>
        <row r="145">
          <cell r="B145">
            <v>36831</v>
          </cell>
          <cell r="C145">
            <v>194.59899999999999</v>
          </cell>
          <cell r="D145">
            <v>1673.6</v>
          </cell>
          <cell r="E145">
            <v>1.013431060777086</v>
          </cell>
          <cell r="F145">
            <v>5.992239590954493</v>
          </cell>
        </row>
        <row r="146">
          <cell r="B146">
            <v>36861</v>
          </cell>
          <cell r="C146">
            <v>195.827</v>
          </cell>
          <cell r="D146">
            <v>1683.47</v>
          </cell>
          <cell r="E146">
            <v>1.0125716392096709</v>
          </cell>
          <cell r="F146">
            <v>6.0675718651498789</v>
          </cell>
        </row>
        <row r="147">
          <cell r="B147">
            <v>36892</v>
          </cell>
          <cell r="C147">
            <v>197.04499999999999</v>
          </cell>
          <cell r="D147">
            <v>1693.07</v>
          </cell>
          <cell r="E147">
            <v>1.0126506879847863</v>
          </cell>
          <cell r="F147">
            <v>6.144330823641158</v>
          </cell>
        </row>
        <row r="148">
          <cell r="B148">
            <v>36923</v>
          </cell>
          <cell r="C148">
            <v>197.49100000000001</v>
          </cell>
          <cell r="D148">
            <v>1700.86</v>
          </cell>
          <cell r="E148">
            <v>1.0101583510827936</v>
          </cell>
          <cell r="F148">
            <v>6.206747093316535</v>
          </cell>
        </row>
        <row r="149">
          <cell r="B149">
            <v>36951</v>
          </cell>
          <cell r="C149">
            <v>198.60599999999999</v>
          </cell>
          <cell r="D149">
            <v>1707.32</v>
          </cell>
          <cell r="E149">
            <v>1.0125785495836725</v>
          </cell>
          <cell r="F149">
            <v>6.2848189693831324</v>
          </cell>
        </row>
        <row r="150">
          <cell r="B150">
            <v>36982</v>
          </cell>
          <cell r="C150">
            <v>200.59100000000001</v>
          </cell>
          <cell r="D150">
            <v>1717.22</v>
          </cell>
          <cell r="E150">
            <v>1.0118637336714187</v>
          </cell>
          <cell r="F150">
            <v>6.3593803878089741</v>
          </cell>
        </row>
        <row r="151">
          <cell r="B151">
            <v>37012</v>
          </cell>
          <cell r="C151">
            <v>202.32400000000001</v>
          </cell>
          <cell r="D151">
            <v>1724.26</v>
          </cell>
          <cell r="E151">
            <v>1.0133677002760824</v>
          </cell>
          <cell r="F151">
            <v>6.4443906787748011</v>
          </cell>
        </row>
        <row r="152">
          <cell r="B152">
            <v>37043</v>
          </cell>
          <cell r="C152">
            <v>204.31</v>
          </cell>
          <cell r="D152">
            <v>1733.23</v>
          </cell>
          <cell r="E152">
            <v>1.0127331554566117</v>
          </cell>
          <cell r="F152">
            <v>6.5264481071107801</v>
          </cell>
        </row>
        <row r="153">
          <cell r="B153">
            <v>37073</v>
          </cell>
          <cell r="C153">
            <v>207.34100000000001</v>
          </cell>
          <cell r="D153">
            <v>1756.28</v>
          </cell>
          <cell r="E153">
            <v>1.014979822756394</v>
          </cell>
          <cell r="F153">
            <v>6.6242131429841029</v>
          </cell>
        </row>
        <row r="154">
          <cell r="B154">
            <v>37104</v>
          </cell>
          <cell r="C154">
            <v>210.21100000000001</v>
          </cell>
          <cell r="D154">
            <v>1768.57</v>
          </cell>
          <cell r="E154">
            <v>1.0160000122718875</v>
          </cell>
          <cell r="F154">
            <v>6.7302006345634471</v>
          </cell>
        </row>
        <row r="155">
          <cell r="B155">
            <v>37135</v>
          </cell>
          <cell r="C155">
            <v>210.85300000000001</v>
          </cell>
          <cell r="D155">
            <v>1773.52</v>
          </cell>
          <cell r="E155">
            <v>1.013243107438228</v>
          </cell>
          <cell r="F155">
            <v>6.8193294046478012</v>
          </cell>
        </row>
        <row r="156">
          <cell r="B156">
            <v>37165</v>
          </cell>
          <cell r="C156">
            <v>213.339</v>
          </cell>
          <cell r="D156">
            <v>1788.24</v>
          </cell>
          <cell r="E156">
            <v>1.0153493751182632</v>
          </cell>
          <cell r="F156">
            <v>6.9240018497347426</v>
          </cell>
        </row>
        <row r="157">
          <cell r="B157">
            <v>37196</v>
          </cell>
          <cell r="C157">
            <v>215.685</v>
          </cell>
          <cell r="D157">
            <v>1800.94</v>
          </cell>
          <cell r="E157">
            <v>1.0139343824698488</v>
          </cell>
          <cell r="F157">
            <v>7.0204835397308871</v>
          </cell>
        </row>
        <row r="158">
          <cell r="B158">
            <v>37226</v>
          </cell>
          <cell r="C158">
            <v>216.16300000000001</v>
          </cell>
          <cell r="D158">
            <v>1812.65</v>
          </cell>
          <cell r="E158">
            <v>1.0139354159682339</v>
          </cell>
          <cell r="F158">
            <v>7.1183168981551761</v>
          </cell>
        </row>
        <row r="159">
          <cell r="B159">
            <v>37257</v>
          </cell>
          <cell r="C159">
            <v>216.94399999999999</v>
          </cell>
          <cell r="D159">
            <v>1822.08</v>
          </cell>
          <cell r="E159">
            <v>1.0153395939759675</v>
          </cell>
          <cell r="F159">
            <v>7.2275089891651447</v>
          </cell>
        </row>
        <row r="160">
          <cell r="B160">
            <v>37288</v>
          </cell>
          <cell r="C160">
            <v>217.07400000000001</v>
          </cell>
          <cell r="D160">
            <v>1828.64</v>
          </cell>
          <cell r="E160">
            <v>1.012482154231837</v>
          </cell>
          <cell r="F160">
            <v>7.3177238710798918</v>
          </cell>
        </row>
        <row r="161">
          <cell r="B161">
            <v>37316</v>
          </cell>
          <cell r="C161">
            <v>217.27600000000001</v>
          </cell>
          <cell r="D161">
            <v>1839.61</v>
          </cell>
          <cell r="E161">
            <v>1.013713327882185</v>
          </cell>
          <cell r="F161">
            <v>7.4180742178753025</v>
          </cell>
        </row>
        <row r="162">
          <cell r="B162">
            <v>37347</v>
          </cell>
          <cell r="C162">
            <v>218.48599999999999</v>
          </cell>
          <cell r="D162">
            <v>1854.33</v>
          </cell>
          <cell r="E162">
            <v>1.0148356719718208</v>
          </cell>
          <cell r="F162">
            <v>7.5281263336343214</v>
          </cell>
        </row>
        <row r="163">
          <cell r="B163">
            <v>37377</v>
          </cell>
          <cell r="C163">
            <v>220.292</v>
          </cell>
          <cell r="D163">
            <v>1858.22</v>
          </cell>
          <cell r="E163">
            <v>1.0141498936566418</v>
          </cell>
          <cell r="F163">
            <v>7.6346485206890113</v>
          </cell>
        </row>
        <row r="164">
          <cell r="B164">
            <v>37408</v>
          </cell>
          <cell r="C164">
            <v>223.68799999999999</v>
          </cell>
          <cell r="D164">
            <v>1866.02</v>
          </cell>
          <cell r="E164">
            <v>1.0132903281280037</v>
          </cell>
          <cell r="F164">
            <v>7.7361155046709458</v>
          </cell>
        </row>
        <row r="165">
          <cell r="B165">
            <v>37438</v>
          </cell>
          <cell r="C165">
            <v>228.05699999999999</v>
          </cell>
          <cell r="D165">
            <v>1888.23</v>
          </cell>
          <cell r="E165">
            <v>1.0153543455443825</v>
          </cell>
          <cell r="F165">
            <v>7.8548984953009189</v>
          </cell>
        </row>
        <row r="166">
          <cell r="B166">
            <v>37469</v>
          </cell>
          <cell r="C166">
            <v>233.34800000000001</v>
          </cell>
          <cell r="D166">
            <v>1900.5</v>
          </cell>
          <cell r="E166">
            <v>1.0144340404848073</v>
          </cell>
          <cell r="F166">
            <v>7.9682764181861447</v>
          </cell>
        </row>
        <row r="167">
          <cell r="B167">
            <v>37500</v>
          </cell>
          <cell r="C167">
            <v>238.94300000000001</v>
          </cell>
          <cell r="D167">
            <v>1914.18</v>
          </cell>
          <cell r="E167">
            <v>1.0138126637754254</v>
          </cell>
          <cell r="F167">
            <v>8.0783395412202008</v>
          </cell>
        </row>
        <row r="168">
          <cell r="B168">
            <v>37530</v>
          </cell>
          <cell r="C168">
            <v>248.19900000000001</v>
          </cell>
          <cell r="D168">
            <v>1939.26</v>
          </cell>
          <cell r="E168">
            <v>1.0164592520111337</v>
          </cell>
          <cell r="F168">
            <v>8.2113029675606501</v>
          </cell>
        </row>
        <row r="169">
          <cell r="B169">
            <v>37561</v>
          </cell>
          <cell r="C169">
            <v>261.08</v>
          </cell>
          <cell r="D169">
            <v>1997.83</v>
          </cell>
          <cell r="E169">
            <v>1.0154093077816833</v>
          </cell>
          <cell r="F169">
            <v>8.337833462276441</v>
          </cell>
        </row>
        <row r="170">
          <cell r="B170">
            <v>37591</v>
          </cell>
          <cell r="C170">
            <v>270.86700000000002</v>
          </cell>
          <cell r="D170">
            <v>2039.78</v>
          </cell>
          <cell r="E170">
            <v>1.0174244857414556</v>
          </cell>
          <cell r="F170">
            <v>8.483115922554509</v>
          </cell>
        </row>
        <row r="171">
          <cell r="B171">
            <v>37622</v>
          </cell>
          <cell r="C171">
            <v>277.173</v>
          </cell>
          <cell r="D171">
            <v>2085.6799999999998</v>
          </cell>
          <cell r="E171">
            <v>1.0197126646415859</v>
          </cell>
          <cell r="F171">
            <v>8.6503407418515241</v>
          </cell>
        </row>
        <row r="172">
          <cell r="B172">
            <v>37653</v>
          </cell>
          <cell r="C172">
            <v>283.50599999999997</v>
          </cell>
          <cell r="D172">
            <v>2118.4299999999998</v>
          </cell>
          <cell r="E172">
            <v>1.0183037986307939</v>
          </cell>
          <cell r="F172">
            <v>8.8086748368781276</v>
          </cell>
        </row>
        <row r="173">
          <cell r="B173">
            <v>37681</v>
          </cell>
          <cell r="C173">
            <v>287.85500000000002</v>
          </cell>
          <cell r="D173">
            <v>2144.4899999999998</v>
          </cell>
          <cell r="E173">
            <v>1.0177701866474056</v>
          </cell>
          <cell r="F173">
            <v>8.9652066328457565</v>
          </cell>
        </row>
        <row r="174">
          <cell r="B174">
            <v>37712</v>
          </cell>
          <cell r="C174">
            <v>290.512</v>
          </cell>
          <cell r="D174">
            <v>2165.29</v>
          </cell>
          <cell r="E174">
            <v>1.0187159495984839</v>
          </cell>
          <cell r="F174">
            <v>9.1329989883260918</v>
          </cell>
        </row>
        <row r="175">
          <cell r="B175">
            <v>37742</v>
          </cell>
          <cell r="C175">
            <v>289.74700000000001</v>
          </cell>
          <cell r="D175">
            <v>2178.5</v>
          </cell>
          <cell r="E175">
            <v>1.0196535248447016</v>
          </cell>
          <cell r="F175">
            <v>9.312494610849793</v>
          </cell>
        </row>
        <row r="176">
          <cell r="B176">
            <v>37773</v>
          </cell>
          <cell r="C176">
            <v>286.84300000000002</v>
          </cell>
          <cell r="D176">
            <v>2175.23</v>
          </cell>
          <cell r="E176">
            <v>1.0185667947451373</v>
          </cell>
          <cell r="F176">
            <v>9.4853977868546391</v>
          </cell>
        </row>
        <row r="177">
          <cell r="B177">
            <v>37803</v>
          </cell>
          <cell r="C177">
            <v>285.649</v>
          </cell>
          <cell r="D177">
            <v>2179.58</v>
          </cell>
          <cell r="E177">
            <v>1.0208424747911398</v>
          </cell>
          <cell r="F177">
            <v>9.6830969511110894</v>
          </cell>
        </row>
        <row r="178">
          <cell r="B178">
            <v>37834</v>
          </cell>
          <cell r="C178">
            <v>286.73500000000001</v>
          </cell>
          <cell r="D178">
            <v>2186.9899999999998</v>
          </cell>
          <cell r="E178">
            <v>1.0177426111342931</v>
          </cell>
          <cell r="F178">
            <v>9.8549003748903132</v>
          </cell>
        </row>
        <row r="179">
          <cell r="B179">
            <v>37865</v>
          </cell>
          <cell r="C179">
            <v>290.12700000000001</v>
          </cell>
          <cell r="D179">
            <v>2204.0500000000002</v>
          </cell>
          <cell r="E179">
            <v>1.0167950902831471</v>
          </cell>
          <cell r="F179">
            <v>10.020414316418016</v>
          </cell>
        </row>
        <row r="180">
          <cell r="B180">
            <v>37895</v>
          </cell>
          <cell r="C180">
            <v>291.22899999999998</v>
          </cell>
          <cell r="D180">
            <v>2210.44</v>
          </cell>
          <cell r="E180">
            <v>1.0164205992977207</v>
          </cell>
          <cell r="F180">
            <v>10.18495552470506</v>
          </cell>
        </row>
        <row r="181">
          <cell r="B181">
            <v>37926</v>
          </cell>
          <cell r="C181">
            <v>292.65699999999998</v>
          </cell>
          <cell r="D181">
            <v>2217.96</v>
          </cell>
          <cell r="E181">
            <v>1.0134353138584866</v>
          </cell>
          <cell r="F181">
            <v>10.3217935988142</v>
          </cell>
        </row>
        <row r="182">
          <cell r="B182">
            <v>37956</v>
          </cell>
          <cell r="C182">
            <v>294.45499999999998</v>
          </cell>
          <cell r="D182">
            <v>2229.4899999999998</v>
          </cell>
          <cell r="E182">
            <v>1.0137325047762002</v>
          </cell>
          <cell r="F182">
            <v>10.463537678708869</v>
          </cell>
        </row>
        <row r="183">
          <cell r="B183">
            <v>37987</v>
          </cell>
          <cell r="C183">
            <v>297.03899999999999</v>
          </cell>
          <cell r="D183">
            <v>2246.4299999999998</v>
          </cell>
          <cell r="E183">
            <v>1.0126755135884871</v>
          </cell>
          <cell r="F183">
            <v>10.59616839273899</v>
          </cell>
        </row>
        <row r="184">
          <cell r="B184">
            <v>38018</v>
          </cell>
          <cell r="C184">
            <v>299.09699999999998</v>
          </cell>
          <cell r="D184">
            <v>2260.13</v>
          </cell>
          <cell r="E184">
            <v>1.0108439419169848</v>
          </cell>
          <cell r="F184">
            <v>10.711072627332442</v>
          </cell>
        </row>
        <row r="185">
          <cell r="B185">
            <v>38047</v>
          </cell>
          <cell r="C185">
            <v>302.48399999999998</v>
          </cell>
          <cell r="D185">
            <v>2270.75</v>
          </cell>
          <cell r="E185">
            <v>1.0137912342986635</v>
          </cell>
          <cell r="F185">
            <v>10.858791539525985</v>
          </cell>
        </row>
        <row r="186">
          <cell r="B186">
            <v>38078</v>
          </cell>
          <cell r="C186">
            <v>306.15100000000001</v>
          </cell>
          <cell r="D186">
            <v>2279.15</v>
          </cell>
          <cell r="E186">
            <v>1.011818501098614</v>
          </cell>
          <cell r="F186">
            <v>10.987126179265493</v>
          </cell>
        </row>
        <row r="187">
          <cell r="B187">
            <v>38108</v>
          </cell>
          <cell r="C187">
            <v>310.15199999999999</v>
          </cell>
          <cell r="D187">
            <v>2290.77</v>
          </cell>
          <cell r="E187">
            <v>1.0122780474663127</v>
          </cell>
          <cell r="F187">
            <v>11.122026636012881</v>
          </cell>
        </row>
        <row r="188">
          <cell r="B188">
            <v>38139</v>
          </cell>
          <cell r="C188">
            <v>314.41899999999998</v>
          </cell>
          <cell r="D188">
            <v>2307.0300000000002</v>
          </cell>
          <cell r="E188">
            <v>1.0122988884857291</v>
          </cell>
          <cell r="F188">
            <v>11.258815201344513</v>
          </cell>
        </row>
        <row r="189">
          <cell r="B189">
            <v>38169</v>
          </cell>
          <cell r="C189">
            <v>318.53199999999998</v>
          </cell>
          <cell r="D189">
            <v>2328.02</v>
          </cell>
          <cell r="E189">
            <v>1.012868893920805</v>
          </cell>
          <cell r="F189">
            <v>11.403703699844563</v>
          </cell>
        </row>
        <row r="190">
          <cell r="B190">
            <v>38200</v>
          </cell>
          <cell r="C190">
            <v>322.41199999999998</v>
          </cell>
          <cell r="D190">
            <v>2344.08</v>
          </cell>
          <cell r="E190">
            <v>1.0129358583775749</v>
          </cell>
          <cell r="F190">
            <v>11.551220395885579</v>
          </cell>
        </row>
        <row r="191">
          <cell r="B191">
            <v>38231</v>
          </cell>
          <cell r="C191">
            <v>324.65100000000001</v>
          </cell>
          <cell r="D191">
            <v>2351.8200000000002</v>
          </cell>
          <cell r="E191">
            <v>1.0125132709021758</v>
          </cell>
          <cell r="F191">
            <v>11.695763945950034</v>
          </cell>
        </row>
        <row r="192">
          <cell r="B192">
            <v>38261</v>
          </cell>
          <cell r="C192">
            <v>325.92500000000001</v>
          </cell>
          <cell r="D192">
            <v>2362.17</v>
          </cell>
          <cell r="E192">
            <v>1.0121322386789289</v>
          </cell>
          <cell r="F192">
            <v>11.837659745674712</v>
          </cell>
        </row>
        <row r="193">
          <cell r="B193">
            <v>38292</v>
          </cell>
          <cell r="C193">
            <v>328.58800000000002</v>
          </cell>
          <cell r="D193">
            <v>2378.4699999999998</v>
          </cell>
          <cell r="E193">
            <v>1.0125098562166484</v>
          </cell>
          <cell r="F193">
            <v>11.985747167034708</v>
          </cell>
        </row>
        <row r="194">
          <cell r="B194">
            <v>38322</v>
          </cell>
          <cell r="C194">
            <v>331.005</v>
          </cell>
          <cell r="D194">
            <v>2398.92</v>
          </cell>
          <cell r="E194">
            <v>1.0148282315457626</v>
          </cell>
          <cell r="F194">
            <v>12.163474601276468</v>
          </cell>
        </row>
        <row r="195">
          <cell r="B195">
            <v>38353</v>
          </cell>
          <cell r="C195">
            <v>332.298</v>
          </cell>
          <cell r="D195">
            <v>2412.83</v>
          </cell>
          <cell r="E195">
            <v>1.0138388229391033</v>
          </cell>
          <cell r="F195">
            <v>12.331802772607814</v>
          </cell>
        </row>
        <row r="196">
          <cell r="B196">
            <v>38384</v>
          </cell>
          <cell r="C196">
            <v>333.28800000000001</v>
          </cell>
          <cell r="D196">
            <v>2427.0700000000002</v>
          </cell>
          <cell r="E196">
            <v>1.0121818576713373</v>
          </cell>
          <cell r="F196">
            <v>12.482027038814724</v>
          </cell>
        </row>
        <row r="197">
          <cell r="B197">
            <v>38412</v>
          </cell>
          <cell r="C197">
            <v>336.12299999999999</v>
          </cell>
          <cell r="D197">
            <v>2441.87</v>
          </cell>
          <cell r="E197">
            <v>1.0152817807540921</v>
          </cell>
          <cell r="F197">
            <v>12.672774639388541</v>
          </cell>
        </row>
        <row r="198">
          <cell r="B198">
            <v>38443</v>
          </cell>
          <cell r="C198">
            <v>339.03</v>
          </cell>
          <cell r="D198">
            <v>2463.11</v>
          </cell>
          <cell r="E198">
            <v>1.0141152901477553</v>
          </cell>
          <cell r="F198">
            <v>12.851654530400625</v>
          </cell>
        </row>
        <row r="199">
          <cell r="B199">
            <v>38473</v>
          </cell>
          <cell r="C199">
            <v>338.29899999999998</v>
          </cell>
          <cell r="D199">
            <v>2475.1799999999998</v>
          </cell>
          <cell r="E199">
            <v>1.0150306502044895</v>
          </cell>
          <cell r="F199">
            <v>13.044823254196018</v>
          </cell>
        </row>
        <row r="200">
          <cell r="B200">
            <v>38504</v>
          </cell>
          <cell r="C200">
            <v>336.80099999999999</v>
          </cell>
          <cell r="D200">
            <v>2474.6799999999998</v>
          </cell>
          <cell r="E200">
            <v>1.0158560276185216</v>
          </cell>
          <cell r="F200">
            <v>13.251662331993282</v>
          </cell>
        </row>
        <row r="201">
          <cell r="B201">
            <v>38534</v>
          </cell>
          <cell r="C201">
            <v>335.66300000000001</v>
          </cell>
          <cell r="D201">
            <v>2480.87</v>
          </cell>
          <cell r="E201">
            <v>1.0151134516871545</v>
          </cell>
          <cell r="F201">
            <v>13.451940690422347</v>
          </cell>
        </row>
        <row r="202">
          <cell r="B202">
            <v>38565</v>
          </cell>
          <cell r="C202">
            <v>333.47399999999999</v>
          </cell>
          <cell r="D202">
            <v>2485.09</v>
          </cell>
          <cell r="E202">
            <v>1.0165848332092207</v>
          </cell>
          <cell r="F202">
            <v>13.675038883113331</v>
          </cell>
        </row>
        <row r="203">
          <cell r="B203">
            <v>38596</v>
          </cell>
          <cell r="C203">
            <v>331.69</v>
          </cell>
          <cell r="D203">
            <v>2493.79</v>
          </cell>
          <cell r="E203">
            <v>1.0150313602253485</v>
          </cell>
          <cell r="F203">
            <v>13.880593318661054</v>
          </cell>
        </row>
        <row r="204">
          <cell r="B204">
            <v>38626</v>
          </cell>
          <cell r="C204">
            <v>333.69400000000002</v>
          </cell>
          <cell r="D204">
            <v>2512.4899999999998</v>
          </cell>
          <cell r="E204">
            <v>1.0140716431638075</v>
          </cell>
          <cell r="F204">
            <v>14.075916074743184</v>
          </cell>
        </row>
        <row r="205">
          <cell r="B205">
            <v>38657</v>
          </cell>
          <cell r="C205">
            <v>335.03300000000002</v>
          </cell>
          <cell r="D205">
            <v>2526.31</v>
          </cell>
          <cell r="E205">
            <v>1.0138104099310956</v>
          </cell>
          <cell r="F205">
            <v>14.270310245891086</v>
          </cell>
        </row>
        <row r="206">
          <cell r="B206">
            <v>38687</v>
          </cell>
          <cell r="C206">
            <v>335.00599999999997</v>
          </cell>
          <cell r="D206">
            <v>2535.4</v>
          </cell>
          <cell r="E206">
            <v>1.0147357208231795</v>
          </cell>
          <cell r="F206">
            <v>14.480593553734694</v>
          </cell>
        </row>
        <row r="207">
          <cell r="B207">
            <v>38718</v>
          </cell>
          <cell r="C207">
            <v>338.08300000000003</v>
          </cell>
          <cell r="D207">
            <v>2550.36</v>
          </cell>
          <cell r="E207">
            <v>1.0142931741687891</v>
          </cell>
          <cell r="F207">
            <v>14.687567199465668</v>
          </cell>
        </row>
        <row r="208">
          <cell r="B208">
            <v>38749</v>
          </cell>
          <cell r="C208">
            <v>338.12799999999999</v>
          </cell>
          <cell r="D208">
            <v>2560.8200000000002</v>
          </cell>
          <cell r="E208">
            <v>1.0114506306443078</v>
          </cell>
          <cell r="F208">
            <v>14.855749106530201</v>
          </cell>
        </row>
        <row r="209">
          <cell r="B209">
            <v>38777</v>
          </cell>
          <cell r="C209">
            <v>337.339</v>
          </cell>
          <cell r="D209">
            <v>2571.83</v>
          </cell>
          <cell r="E209">
            <v>1.0142230199009199</v>
          </cell>
          <cell r="F209">
            <v>15.067042721715453</v>
          </cell>
        </row>
        <row r="210">
          <cell r="B210">
            <v>38808</v>
          </cell>
          <cell r="C210">
            <v>335.92099999999999</v>
          </cell>
          <cell r="D210">
            <v>2577.23</v>
          </cell>
          <cell r="E210">
            <v>1.0107787821533378</v>
          </cell>
          <cell r="F210">
            <v>15.229447092907858</v>
          </cell>
        </row>
        <row r="211">
          <cell r="B211">
            <v>38838</v>
          </cell>
          <cell r="C211">
            <v>337.185</v>
          </cell>
          <cell r="D211">
            <v>2579.81</v>
          </cell>
          <cell r="E211">
            <v>1.0128136552027243</v>
          </cell>
          <cell r="F211">
            <v>15.424591976884511</v>
          </cell>
        </row>
        <row r="212">
          <cell r="B212">
            <v>38869</v>
          </cell>
          <cell r="C212">
            <v>339.71199999999999</v>
          </cell>
          <cell r="D212">
            <v>2574.39</v>
          </cell>
          <cell r="E212">
            <v>1.0118439390435949</v>
          </cell>
          <cell r="F212">
            <v>15.607279904031055</v>
          </cell>
        </row>
        <row r="213">
          <cell r="B213">
            <v>38899</v>
          </cell>
          <cell r="C213">
            <v>340.31200000000001</v>
          </cell>
          <cell r="D213">
            <v>2579.2800000000002</v>
          </cell>
          <cell r="E213">
            <v>1.0116996590630269</v>
          </cell>
          <cell r="F213">
            <v>15.78987975780945</v>
          </cell>
        </row>
        <row r="214">
          <cell r="B214">
            <v>38930</v>
          </cell>
          <cell r="C214">
            <v>341.57400000000001</v>
          </cell>
          <cell r="D214">
            <v>2580.5700000000002</v>
          </cell>
          <cell r="E214">
            <v>1.012562646303421</v>
          </cell>
          <cell r="F214">
            <v>15.988242432380357</v>
          </cell>
        </row>
        <row r="215">
          <cell r="B215">
            <v>38961</v>
          </cell>
          <cell r="C215">
            <v>342.56099999999998</v>
          </cell>
          <cell r="D215">
            <v>2585.9899999999998</v>
          </cell>
          <cell r="E215">
            <v>1.0105730983323107</v>
          </cell>
          <cell r="F215">
            <v>16.157287691778738</v>
          </cell>
        </row>
        <row r="216">
          <cell r="B216">
            <v>38991</v>
          </cell>
          <cell r="C216">
            <v>344.15499999999997</v>
          </cell>
          <cell r="D216">
            <v>2594.52</v>
          </cell>
          <cell r="E216">
            <v>1.0109424441222723</v>
          </cell>
          <cell r="F216">
            <v>16.334087909513503</v>
          </cell>
        </row>
        <row r="217">
          <cell r="B217">
            <v>39022</v>
          </cell>
          <cell r="C217">
            <v>346.74599999999998</v>
          </cell>
          <cell r="D217">
            <v>2602.56</v>
          </cell>
          <cell r="E217">
            <v>1.0102060517349183</v>
          </cell>
          <cell r="F217">
            <v>16.500794455760701</v>
          </cell>
        </row>
        <row r="218">
          <cell r="B218">
            <v>39052</v>
          </cell>
          <cell r="C218">
            <v>347.84199999999998</v>
          </cell>
          <cell r="D218">
            <v>2615.0500000000002</v>
          </cell>
          <cell r="E218">
            <v>1.0098788606332807</v>
          </cell>
          <cell r="F218">
            <v>16.663803504527571</v>
          </cell>
        </row>
        <row r="219">
          <cell r="B219">
            <v>39083</v>
          </cell>
          <cell r="C219">
            <v>349.59300000000002</v>
          </cell>
          <cell r="D219">
            <v>2626.56</v>
          </cell>
          <cell r="E219">
            <v>1.0108280266006449</v>
          </cell>
          <cell r="F219">
            <v>16.844239612142516</v>
          </cell>
        </row>
        <row r="220">
          <cell r="B220">
            <v>39114</v>
          </cell>
          <cell r="C220">
            <v>350.524</v>
          </cell>
          <cell r="D220">
            <v>2638.12</v>
          </cell>
          <cell r="E220">
            <v>1.008724844950982</v>
          </cell>
          <cell r="F220">
            <v>16.991202991075649</v>
          </cell>
        </row>
        <row r="221">
          <cell r="B221">
            <v>39142</v>
          </cell>
          <cell r="C221">
            <v>351.71699999999998</v>
          </cell>
          <cell r="D221">
            <v>2647.88</v>
          </cell>
          <cell r="E221">
            <v>1.0105222327764332</v>
          </cell>
          <cell r="F221">
            <v>17.169988384099376</v>
          </cell>
        </row>
        <row r="222">
          <cell r="B222">
            <v>39173</v>
          </cell>
          <cell r="C222">
            <v>351.86900000000003</v>
          </cell>
          <cell r="D222">
            <v>2654.5</v>
          </cell>
          <cell r="E222">
            <v>1.0094482340398951</v>
          </cell>
          <cell r="F222">
            <v>17.332214452814629</v>
          </cell>
        </row>
        <row r="223">
          <cell r="B223">
            <v>39203</v>
          </cell>
          <cell r="C223">
            <v>352.02</v>
          </cell>
          <cell r="D223">
            <v>2661.93</v>
          </cell>
          <cell r="E223">
            <v>1.0102807696314628</v>
          </cell>
          <cell r="F223">
            <v>17.510402956807127</v>
          </cell>
        </row>
        <row r="224">
          <cell r="B224">
            <v>39234</v>
          </cell>
          <cell r="C224">
            <v>352.93599999999998</v>
          </cell>
          <cell r="D224">
            <v>2669.38</v>
          </cell>
          <cell r="E224">
            <v>1.0090562894719608</v>
          </cell>
          <cell r="F224">
            <v>17.668982234754651</v>
          </cell>
        </row>
        <row r="225">
          <cell r="B225">
            <v>39264</v>
          </cell>
          <cell r="C225">
            <v>353.92</v>
          </cell>
          <cell r="D225">
            <v>2675.79</v>
          </cell>
          <cell r="E225">
            <v>1.0097263257608722</v>
          </cell>
          <cell r="F225">
            <v>17.840836511832936</v>
          </cell>
        </row>
        <row r="226">
          <cell r="B226">
            <v>39295</v>
          </cell>
          <cell r="C226">
            <v>357.404</v>
          </cell>
          <cell r="D226">
            <v>2688.37</v>
          </cell>
          <cell r="E226">
            <v>1.0099263513682912</v>
          </cell>
          <cell r="F226">
            <v>18.017930923753628</v>
          </cell>
        </row>
        <row r="227">
          <cell r="B227">
            <v>39326</v>
          </cell>
          <cell r="C227">
            <v>361.99700000000001</v>
          </cell>
          <cell r="D227">
            <v>2693.21</v>
          </cell>
          <cell r="E227">
            <v>1.0080496134415582</v>
          </cell>
          <cell r="F227">
            <v>18.162968302706542</v>
          </cell>
        </row>
        <row r="228">
          <cell r="B228">
            <v>39356</v>
          </cell>
          <cell r="C228">
            <v>365.79399999999998</v>
          </cell>
          <cell r="D228">
            <v>2701.29</v>
          </cell>
          <cell r="E228">
            <v>1.0092949262855189</v>
          </cell>
          <cell r="F228">
            <v>18.331791754206414</v>
          </cell>
        </row>
        <row r="229">
          <cell r="B229">
            <v>39387</v>
          </cell>
          <cell r="C229">
            <v>368.334</v>
          </cell>
          <cell r="D229">
            <v>2711.55</v>
          </cell>
          <cell r="E229">
            <v>1.0084467048252397</v>
          </cell>
          <cell r="F229">
            <v>18.486634988071959</v>
          </cell>
        </row>
        <row r="230">
          <cell r="B230">
            <v>39417</v>
          </cell>
          <cell r="C230">
            <v>374.815</v>
          </cell>
          <cell r="D230">
            <v>2731.62</v>
          </cell>
          <cell r="E230">
            <v>1.0084467048252395</v>
          </cell>
          <cell r="F230">
            <v>18.642786137028146</v>
          </cell>
        </row>
        <row r="231">
          <cell r="B231">
            <v>39448</v>
          </cell>
          <cell r="C231">
            <v>378.9</v>
          </cell>
          <cell r="D231">
            <v>2746.37</v>
          </cell>
          <cell r="E231">
            <v>1.0092938367057227</v>
          </cell>
          <cell r="F231">
            <v>18.816049147125398</v>
          </cell>
        </row>
        <row r="232">
          <cell r="B232">
            <v>39479</v>
          </cell>
          <cell r="C232">
            <v>380.90600000000001</v>
          </cell>
          <cell r="D232">
            <v>2759.83</v>
          </cell>
          <cell r="E232">
            <v>1.0080223173492819</v>
          </cell>
          <cell r="F232">
            <v>18.966997464643324</v>
          </cell>
        </row>
        <row r="233">
          <cell r="B233">
            <v>39508</v>
          </cell>
          <cell r="C233">
            <v>383.73099999999999</v>
          </cell>
          <cell r="D233">
            <v>2773.08</v>
          </cell>
          <cell r="E233">
            <v>1.0084459790490408</v>
          </cell>
          <cell r="F233">
            <v>19.12719232785291</v>
          </cell>
        </row>
        <row r="234">
          <cell r="B234">
            <v>39539</v>
          </cell>
          <cell r="C234">
            <v>386.38</v>
          </cell>
          <cell r="D234">
            <v>2788.33</v>
          </cell>
          <cell r="E234">
            <v>1.0090142575644072</v>
          </cell>
          <cell r="F234">
            <v>19.299609765980129</v>
          </cell>
        </row>
        <row r="235">
          <cell r="B235">
            <v>39569</v>
          </cell>
          <cell r="C235">
            <v>392.59199999999998</v>
          </cell>
          <cell r="D235">
            <v>2810.36</v>
          </cell>
          <cell r="E235">
            <v>1.0087678287685495</v>
          </cell>
          <cell r="F235">
            <v>19.46882543970807</v>
          </cell>
        </row>
        <row r="236">
          <cell r="B236">
            <v>39600</v>
          </cell>
          <cell r="C236">
            <v>400.38200000000001</v>
          </cell>
          <cell r="D236">
            <v>2831.16</v>
          </cell>
          <cell r="E236">
            <v>1.0095559246898425</v>
          </cell>
          <cell r="F236">
            <v>19.654868069409609</v>
          </cell>
        </row>
        <row r="237">
          <cell r="B237">
            <v>39630</v>
          </cell>
          <cell r="C237">
            <v>407.44600000000003</v>
          </cell>
          <cell r="D237">
            <v>2846.16</v>
          </cell>
          <cell r="E237">
            <v>1.0106967121371</v>
          </cell>
          <cell r="F237">
            <v>19.865110535240763</v>
          </cell>
        </row>
        <row r="238">
          <cell r="B238">
            <v>39661</v>
          </cell>
          <cell r="C238">
            <v>406.12700000000001</v>
          </cell>
          <cell r="D238">
            <v>2854.13</v>
          </cell>
          <cell r="E238">
            <v>1.0101765713502602</v>
          </cell>
          <cell r="F238">
            <v>20.067269249983447</v>
          </cell>
        </row>
        <row r="239">
          <cell r="B239">
            <v>39692</v>
          </cell>
          <cell r="C239">
            <v>406.55700000000002</v>
          </cell>
          <cell r="D239">
            <v>2861.55</v>
          </cell>
          <cell r="E239">
            <v>1.011030909274969</v>
          </cell>
          <cell r="F239">
            <v>20.288629476476387</v>
          </cell>
        </row>
        <row r="240">
          <cell r="B240">
            <v>39722</v>
          </cell>
          <cell r="C240">
            <v>410.524</v>
          </cell>
          <cell r="D240">
            <v>2874.43</v>
          </cell>
          <cell r="E240">
            <v>1.0117587656900342</v>
          </cell>
          <cell r="F240">
            <v>20.527198716662195</v>
          </cell>
        </row>
        <row r="241">
          <cell r="B241">
            <v>39753</v>
          </cell>
          <cell r="C241">
            <v>412.10399999999998</v>
          </cell>
          <cell r="D241">
            <v>2884.78</v>
          </cell>
          <cell r="E241">
            <v>1.0101996908301405</v>
          </cell>
          <cell r="F241">
            <v>20.736569797181005</v>
          </cell>
        </row>
        <row r="242">
          <cell r="B242">
            <v>39783</v>
          </cell>
          <cell r="C242">
            <v>411.57499999999999</v>
          </cell>
          <cell r="D242">
            <v>2892.86</v>
          </cell>
          <cell r="E242">
            <v>1.0112409294280835</v>
          </cell>
          <cell r="F242">
            <v>20.969668114851643</v>
          </cell>
        </row>
        <row r="243">
          <cell r="B243">
            <v>39814</v>
          </cell>
          <cell r="C243">
            <v>409.78199999999998</v>
          </cell>
          <cell r="D243">
            <v>2906.74</v>
          </cell>
          <cell r="E243">
            <v>1.0104780743150839</v>
          </cell>
          <cell r="F243">
            <v>21.189389855721704</v>
          </cell>
        </row>
        <row r="244">
          <cell r="B244">
            <v>39845</v>
          </cell>
          <cell r="C244">
            <v>410.84899999999999</v>
          </cell>
          <cell r="D244">
            <v>2922.73</v>
          </cell>
          <cell r="E244">
            <v>1.0085508573858042</v>
          </cell>
          <cell r="F244">
            <v>21.370577306470185</v>
          </cell>
        </row>
        <row r="245">
          <cell r="B245">
            <v>39873</v>
          </cell>
          <cell r="C245">
            <v>407.80799999999999</v>
          </cell>
          <cell r="D245">
            <v>2928.57</v>
          </cell>
          <cell r="E245">
            <v>1.0097088387156097</v>
          </cell>
          <cell r="F245">
            <v>21.578060794798173</v>
          </cell>
        </row>
        <row r="246">
          <cell r="B246">
            <v>39904</v>
          </cell>
          <cell r="C246">
            <v>407.18099999999998</v>
          </cell>
          <cell r="D246">
            <v>2942.63</v>
          </cell>
          <cell r="E246">
            <v>1.008395669248594</v>
          </cell>
          <cell r="F246">
            <v>21.759223056257351</v>
          </cell>
        </row>
        <row r="247">
          <cell r="B247">
            <v>39934</v>
          </cell>
          <cell r="C247">
            <v>406.88499999999999</v>
          </cell>
          <cell r="D247">
            <v>2956.46</v>
          </cell>
          <cell r="E247">
            <v>1.0077089274459567</v>
          </cell>
          <cell r="F247">
            <v>21.926963328078429</v>
          </cell>
        </row>
        <row r="248">
          <cell r="B248">
            <v>39965</v>
          </cell>
          <cell r="C248">
            <v>406.48599999999999</v>
          </cell>
          <cell r="D248">
            <v>2967.1</v>
          </cell>
          <cell r="E248">
            <v>1.0076218232644543</v>
          </cell>
          <cell r="F248">
            <v>22.094086767291213</v>
          </cell>
        </row>
        <row r="249">
          <cell r="B249">
            <v>39995</v>
          </cell>
          <cell r="C249">
            <v>404.71800000000002</v>
          </cell>
          <cell r="D249">
            <v>2974.22</v>
          </cell>
          <cell r="E249">
            <v>1.0079014252372847</v>
          </cell>
          <cell r="F249">
            <v>22.268661542069044</v>
          </cell>
        </row>
        <row r="250">
          <cell r="B250">
            <v>40026</v>
          </cell>
          <cell r="C250">
            <v>403.25299999999999</v>
          </cell>
          <cell r="D250">
            <v>2978.68</v>
          </cell>
          <cell r="E250">
            <v>1.0069374854840563</v>
          </cell>
          <cell r="F250">
            <v>22.423150058266511</v>
          </cell>
        </row>
        <row r="251">
          <cell r="B251">
            <v>40057</v>
          </cell>
          <cell r="C251">
            <v>404.94499999999999</v>
          </cell>
          <cell r="D251">
            <v>2985.83</v>
          </cell>
          <cell r="E251">
            <v>1.0069374854840563</v>
          </cell>
          <cell r="F251">
            <v>22.578710336302549</v>
          </cell>
        </row>
        <row r="252">
          <cell r="B252">
            <v>40087</v>
          </cell>
          <cell r="C252">
            <v>405.12900000000002</v>
          </cell>
          <cell r="D252">
            <v>2994.19</v>
          </cell>
          <cell r="E252">
            <v>1.006937485484056</v>
          </cell>
          <cell r="F252">
            <v>22.735349811509355</v>
          </cell>
        </row>
        <row r="253">
          <cell r="B253">
            <v>40118</v>
          </cell>
          <cell r="C253">
            <v>405.548</v>
          </cell>
          <cell r="D253">
            <v>3006.47</v>
          </cell>
          <cell r="E253">
            <v>1.006606040313162</v>
          </cell>
          <cell r="F253">
            <v>22.885540448898027</v>
          </cell>
        </row>
        <row r="254">
          <cell r="B254">
            <v>40148</v>
          </cell>
          <cell r="C254">
            <v>404.49900000000002</v>
          </cell>
          <cell r="D254">
            <v>3017.59</v>
          </cell>
          <cell r="E254">
            <v>1.0072686672230315</v>
          </cell>
          <cell r="F254">
            <v>23.051887826640293</v>
          </cell>
        </row>
        <row r="255">
          <cell r="B255">
            <v>40179</v>
          </cell>
          <cell r="C255">
            <v>407.04899999999998</v>
          </cell>
          <cell r="D255">
            <v>3040.22</v>
          </cell>
          <cell r="E255">
            <v>1.0066056679915218</v>
          </cell>
          <cell r="F255">
            <v>23.204160944200883</v>
          </cell>
        </row>
        <row r="256">
          <cell r="B256">
            <v>40210</v>
          </cell>
          <cell r="C256">
            <v>411.84300000000002</v>
          </cell>
          <cell r="D256">
            <v>3063.93</v>
          </cell>
          <cell r="E256">
            <v>1.0059434772325486</v>
          </cell>
          <cell r="F256">
            <v>23.342074346473133</v>
          </cell>
        </row>
        <row r="257">
          <cell r="B257">
            <v>40238</v>
          </cell>
          <cell r="C257">
            <v>415.73399999999998</v>
          </cell>
          <cell r="D257">
            <v>3079.86</v>
          </cell>
          <cell r="E257">
            <v>1.0076007032666325</v>
          </cell>
          <cell r="F257">
            <v>23.519490527208351</v>
          </cell>
        </row>
        <row r="258">
          <cell r="B258">
            <v>40269</v>
          </cell>
          <cell r="C258">
            <v>418.91699999999997</v>
          </cell>
          <cell r="D258">
            <v>3097.42</v>
          </cell>
          <cell r="E258">
            <v>1.0066591320264642</v>
          </cell>
          <cell r="F258">
            <v>23.676109919824206</v>
          </cell>
        </row>
        <row r="259">
          <cell r="B259">
            <v>40299</v>
          </cell>
          <cell r="C259">
            <v>423.88499999999999</v>
          </cell>
          <cell r="D259">
            <v>3110.74</v>
          </cell>
          <cell r="E259">
            <v>1.0075136425194853</v>
          </cell>
          <cell r="F259">
            <v>23.854003746013806</v>
          </cell>
        </row>
        <row r="260">
          <cell r="B260">
            <v>40330</v>
          </cell>
          <cell r="C260">
            <v>427.48899999999998</v>
          </cell>
          <cell r="D260">
            <v>3110.74</v>
          </cell>
          <cell r="E260">
            <v>1.0079257581819461</v>
          </cell>
          <cell r="F260">
            <v>24.043064811375949</v>
          </cell>
        </row>
        <row r="261">
          <cell r="B261">
            <v>40360</v>
          </cell>
          <cell r="C261">
            <v>428.15</v>
          </cell>
          <cell r="D261">
            <v>3111.05</v>
          </cell>
          <cell r="E261">
            <v>1.0086102956499179</v>
          </cell>
          <cell r="F261">
            <v>24.250082707732034</v>
          </cell>
        </row>
        <row r="262">
          <cell r="B262">
            <v>40391</v>
          </cell>
          <cell r="C262">
            <v>431.44499999999999</v>
          </cell>
          <cell r="D262">
            <v>3112.29</v>
          </cell>
          <cell r="E262">
            <v>1.0088820963555043</v>
          </cell>
          <cell r="F262">
            <v>24.465474278971058</v>
          </cell>
        </row>
        <row r="263">
          <cell r="B263">
            <v>40422</v>
          </cell>
          <cell r="C263">
            <v>436.423</v>
          </cell>
          <cell r="D263">
            <v>3126.29</v>
          </cell>
          <cell r="E263">
            <v>1.0084766584844942</v>
          </cell>
          <cell r="F263">
            <v>24.672859749095071</v>
          </cell>
        </row>
        <row r="264">
          <cell r="B264">
            <v>40452</v>
          </cell>
          <cell r="C264">
            <v>440.82900000000001</v>
          </cell>
          <cell r="D264">
            <v>3149.74</v>
          </cell>
          <cell r="E264">
            <v>1.0080713835461668</v>
          </cell>
          <cell r="F264">
            <v>24.872003863310798</v>
          </cell>
        </row>
        <row r="265">
          <cell r="B265">
            <v>40483</v>
          </cell>
          <cell r="C265">
            <v>447.20600000000002</v>
          </cell>
          <cell r="D265">
            <v>3175.88</v>
          </cell>
          <cell r="E265">
            <v>1.008071383546167</v>
          </cell>
          <cell r="F265">
            <v>25.072755346053327</v>
          </cell>
        </row>
        <row r="266">
          <cell r="B266">
            <v>40513</v>
          </cell>
          <cell r="C266">
            <v>450.30099999999999</v>
          </cell>
          <cell r="D266">
            <v>3195.89</v>
          </cell>
          <cell r="E266">
            <v>1.0092887868177591</v>
          </cell>
          <cell r="F266">
            <v>25.305650825396647</v>
          </cell>
        </row>
        <row r="267">
          <cell r="B267">
            <v>40544</v>
          </cell>
          <cell r="C267">
            <v>453.875</v>
          </cell>
          <cell r="D267">
            <v>3222.42</v>
          </cell>
          <cell r="E267">
            <v>1.0086232010755674</v>
          </cell>
          <cell r="F267">
            <v>25.52386654081214</v>
          </cell>
        </row>
        <row r="268">
          <cell r="B268">
            <v>40575</v>
          </cell>
          <cell r="C268">
            <v>458.39699999999999</v>
          </cell>
          <cell r="D268">
            <v>3248.2</v>
          </cell>
          <cell r="E268">
            <v>1.0084390842010735</v>
          </cell>
          <cell r="F268">
            <v>25.739264599687019</v>
          </cell>
        </row>
        <row r="269">
          <cell r="B269">
            <v>40603</v>
          </cell>
          <cell r="C269">
            <v>461.24900000000002</v>
          </cell>
          <cell r="D269">
            <v>3273.86</v>
          </cell>
          <cell r="E269">
            <v>1.0092045846073012</v>
          </cell>
          <cell r="F269">
            <v>25.97618383842455</v>
          </cell>
        </row>
        <row r="270">
          <cell r="B270">
            <v>40634</v>
          </cell>
          <cell r="C270">
            <v>463.31099999999998</v>
          </cell>
          <cell r="D270">
            <v>3299.07</v>
          </cell>
          <cell r="E270">
            <v>1.0084015541577225</v>
          </cell>
          <cell r="F270">
            <v>26.194424153754028</v>
          </cell>
        </row>
        <row r="271">
          <cell r="B271">
            <v>40664</v>
          </cell>
          <cell r="C271">
            <v>465.31099999999998</v>
          </cell>
          <cell r="D271">
            <v>3314.58</v>
          </cell>
          <cell r="E271">
            <v>1.0098798495673293</v>
          </cell>
          <cell r="F271">
            <v>26.453221123895936</v>
          </cell>
        </row>
        <row r="272">
          <cell r="B272">
            <v>40695</v>
          </cell>
          <cell r="C272">
            <v>464.46300000000002</v>
          </cell>
          <cell r="D272">
            <v>3319.55</v>
          </cell>
          <cell r="E272">
            <v>1.0095627565914342</v>
          </cell>
          <cell r="F272">
            <v>26.706186838563141</v>
          </cell>
        </row>
        <row r="273">
          <cell r="B273">
            <v>40725</v>
          </cell>
          <cell r="C273">
            <v>463.92700000000002</v>
          </cell>
          <cell r="D273">
            <v>3324.86</v>
          </cell>
          <cell r="E273">
            <v>1.0096788504099796</v>
          </cell>
          <cell r="F273">
            <v>26.96467202599456</v>
          </cell>
        </row>
        <row r="274">
          <cell r="B274">
            <v>40756</v>
          </cell>
          <cell r="C274">
            <v>465.96800000000002</v>
          </cell>
          <cell r="D274">
            <v>3337.16</v>
          </cell>
          <cell r="E274">
            <v>1.0107406292787873</v>
          </cell>
          <cell r="F274">
            <v>27.254289571849853</v>
          </cell>
        </row>
        <row r="275">
          <cell r="B275">
            <v>40787</v>
          </cell>
          <cell r="C275">
            <v>468.97500000000002</v>
          </cell>
          <cell r="D275">
            <v>3354.85</v>
          </cell>
          <cell r="E275">
            <v>1.00941760689889</v>
          </cell>
          <cell r="F275">
            <v>27.510959757346054</v>
          </cell>
        </row>
        <row r="276">
          <cell r="B276">
            <v>40817</v>
          </cell>
          <cell r="C276">
            <v>471.46600000000001</v>
          </cell>
          <cell r="D276">
            <v>3369.28</v>
          </cell>
          <cell r="E276">
            <v>1.0088195463919019</v>
          </cell>
          <cell r="F276">
            <v>27.753593943211712</v>
          </cell>
        </row>
        <row r="277">
          <cell r="B277">
            <v>40848</v>
          </cell>
          <cell r="C277">
            <v>473.80799999999999</v>
          </cell>
          <cell r="D277">
            <v>3386.8</v>
          </cell>
          <cell r="E277">
            <v>1.0086047745492386</v>
          </cell>
          <cell r="F277">
            <v>27.992407362024164</v>
          </cell>
        </row>
        <row r="278">
          <cell r="B278">
            <v>40878</v>
          </cell>
          <cell r="C278">
            <v>473.25200000000001</v>
          </cell>
          <cell r="D278">
            <v>3403.73</v>
          </cell>
          <cell r="E278">
            <v>1.0090732804800764</v>
          </cell>
          <cell r="F278">
            <v>28.246390325332364</v>
          </cell>
        </row>
        <row r="279">
          <cell r="B279">
            <v>40909</v>
          </cell>
          <cell r="C279">
            <v>474.42899999999997</v>
          </cell>
          <cell r="D279">
            <v>3422.79</v>
          </cell>
          <cell r="E279">
            <v>1.0089101617717657</v>
          </cell>
          <cell r="F279">
            <v>28.498070232599513</v>
          </cell>
        </row>
        <row r="280">
          <cell r="B280">
            <v>40940</v>
          </cell>
          <cell r="C280">
            <v>474.13799999999998</v>
          </cell>
          <cell r="D280">
            <v>3438.19</v>
          </cell>
          <cell r="E280">
            <v>1.0074877292470876</v>
          </cell>
          <cell r="F280">
            <v>28.711456066565706</v>
          </cell>
        </row>
        <row r="281">
          <cell r="B281">
            <v>40969</v>
          </cell>
          <cell r="C281">
            <v>476.166</v>
          </cell>
          <cell r="D281">
            <v>3445.41</v>
          </cell>
          <cell r="E281">
            <v>1.0082113884808406</v>
          </cell>
          <cell r="F281">
            <v>28.947216986178862</v>
          </cell>
        </row>
        <row r="282">
          <cell r="B282">
            <v>41000</v>
          </cell>
          <cell r="C282">
            <v>480.22899999999998</v>
          </cell>
          <cell r="D282">
            <v>3467.46</v>
          </cell>
          <cell r="E282">
            <v>1.0071187588624242</v>
          </cell>
          <cell r="F282">
            <v>29.15328524364174</v>
          </cell>
        </row>
        <row r="283">
          <cell r="B283">
            <v>41030</v>
          </cell>
          <cell r="C283">
            <v>485.14</v>
          </cell>
          <cell r="D283">
            <v>3479.94</v>
          </cell>
          <cell r="E283">
            <v>1.007447242329657</v>
          </cell>
          <cell r="F283">
            <v>29.370396823556753</v>
          </cell>
        </row>
        <row r="284">
          <cell r="B284">
            <v>41061</v>
          </cell>
          <cell r="C284">
            <v>488.34199999999998</v>
          </cell>
          <cell r="D284">
            <v>3482.72</v>
          </cell>
          <cell r="E284">
            <v>1.0064150263426446</v>
          </cell>
          <cell r="F284">
            <v>29.558808692873793</v>
          </cell>
        </row>
        <row r="285">
          <cell r="B285">
            <v>41091</v>
          </cell>
          <cell r="C285">
            <v>494.89100000000002</v>
          </cell>
          <cell r="D285">
            <v>3497.7</v>
          </cell>
          <cell r="E285">
            <v>1.0067996486835762</v>
          </cell>
          <cell r="F285">
            <v>29.759798207490373</v>
          </cell>
        </row>
        <row r="286">
          <cell r="B286">
            <v>41122</v>
          </cell>
          <cell r="C286">
            <v>501.95699999999999</v>
          </cell>
          <cell r="D286">
            <v>3512.04</v>
          </cell>
          <cell r="E286">
            <v>1.0069181066014252</v>
          </cell>
          <cell r="F286">
            <v>29.965679663926696</v>
          </cell>
        </row>
        <row r="287">
          <cell r="B287">
            <v>41153</v>
          </cell>
          <cell r="C287">
            <v>506.80399999999997</v>
          </cell>
          <cell r="D287">
            <v>3532.06</v>
          </cell>
          <cell r="E287">
            <v>1.0053899533259578</v>
          </cell>
          <cell r="F287">
            <v>30.127193278695866</v>
          </cell>
        </row>
        <row r="288">
          <cell r="B288">
            <v>41183</v>
          </cell>
          <cell r="C288">
            <v>506.92599999999999</v>
          </cell>
          <cell r="D288">
            <v>3552.9</v>
          </cell>
          <cell r="E288">
            <v>1.0061133864051108</v>
          </cell>
          <cell r="F288">
            <v>30.311372452509993</v>
          </cell>
        </row>
        <row r="289">
          <cell r="B289">
            <v>41214</v>
          </cell>
          <cell r="C289">
            <v>506.79500000000002</v>
          </cell>
          <cell r="D289">
            <v>3574.22</v>
          </cell>
          <cell r="E289">
            <v>1.0054884576647556</v>
          </cell>
          <cell r="F289">
            <v>30.477735136976232</v>
          </cell>
        </row>
        <row r="290">
          <cell r="B290">
            <v>41244</v>
          </cell>
          <cell r="C290">
            <v>510.25200000000001</v>
          </cell>
          <cell r="D290">
            <v>3602.46</v>
          </cell>
          <cell r="E290">
            <v>1.0055015154231364</v>
          </cell>
          <cell r="F290">
            <v>30.645408866894574</v>
          </cell>
        </row>
        <row r="291">
          <cell r="B291">
            <v>41275</v>
          </cell>
          <cell r="C291">
            <v>511.97699999999998</v>
          </cell>
          <cell r="D291">
            <v>3633.44</v>
          </cell>
          <cell r="E291">
            <v>1.0060143970219473</v>
          </cell>
          <cell r="F291">
            <v>30.82972252271998</v>
          </cell>
        </row>
        <row r="292">
          <cell r="B292">
            <v>41306</v>
          </cell>
          <cell r="C292">
            <v>513.46699999999998</v>
          </cell>
          <cell r="D292">
            <v>3655.24</v>
          </cell>
          <cell r="E292">
            <v>1.0049274991744226</v>
          </cell>
          <cell r="F292">
            <v>30.98163595499836</v>
          </cell>
        </row>
        <row r="293">
          <cell r="B293">
            <v>41334</v>
          </cell>
          <cell r="C293">
            <v>514.52599999999995</v>
          </cell>
          <cell r="D293">
            <v>3672.42</v>
          </cell>
          <cell r="E293">
            <v>1.0054940366101026</v>
          </cell>
          <cell r="F293">
            <v>31.151850197175992</v>
          </cell>
        </row>
        <row r="294">
          <cell r="B294">
            <v>41365</v>
          </cell>
          <cell r="C294">
            <v>515.27599999999995</v>
          </cell>
          <cell r="D294">
            <v>3692.62</v>
          </cell>
          <cell r="E294">
            <v>1.0061364605097283</v>
          </cell>
          <cell r="F294">
            <v>31.343012295715933</v>
          </cell>
        </row>
        <row r="295">
          <cell r="B295">
            <v>41395</v>
          </cell>
          <cell r="C295">
            <v>515.29899999999998</v>
          </cell>
          <cell r="D295">
            <v>3706.28</v>
          </cell>
          <cell r="E295">
            <v>1.0059853629993882</v>
          </cell>
          <cell r="F295">
            <v>31.530611601800082</v>
          </cell>
        </row>
        <row r="296">
          <cell r="B296">
            <v>41426</v>
          </cell>
          <cell r="C296">
            <v>519.15300000000002</v>
          </cell>
          <cell r="D296">
            <v>3715.92</v>
          </cell>
          <cell r="E296">
            <v>1.0060527337434972</v>
          </cell>
          <cell r="F296">
            <v>31.721457998595405</v>
          </cell>
        </row>
        <row r="297">
          <cell r="B297">
            <v>41456</v>
          </cell>
          <cell r="C297">
            <v>520.50800000000004</v>
          </cell>
          <cell r="D297">
            <v>3717.03</v>
          </cell>
          <cell r="E297">
            <v>1.0072409169740031</v>
          </cell>
          <cell r="F297">
            <v>31.951150442257561</v>
          </cell>
        </row>
        <row r="298">
          <cell r="B298">
            <v>41487</v>
          </cell>
          <cell r="C298">
            <v>521.27</v>
          </cell>
          <cell r="D298">
            <v>3725.95</v>
          </cell>
          <cell r="E298">
            <v>1.0071031495053051</v>
          </cell>
          <cell r="F298">
            <v>32.178104240715413</v>
          </cell>
        </row>
        <row r="299">
          <cell r="B299">
            <v>41518</v>
          </cell>
          <cell r="C299">
            <v>529.08500000000004</v>
          </cell>
          <cell r="D299">
            <v>3738.99</v>
          </cell>
          <cell r="E299">
            <v>1.0071302882501354</v>
          </cell>
          <cell r="F299">
            <v>32.407543399294617</v>
          </cell>
        </row>
        <row r="300">
          <cell r="B300">
            <v>41548</v>
          </cell>
          <cell r="C300">
            <v>533.62099999999998</v>
          </cell>
          <cell r="D300">
            <v>3760.3</v>
          </cell>
          <cell r="E300">
            <v>1.0081051023495244</v>
          </cell>
          <cell r="F300">
            <v>32.670209855442558</v>
          </cell>
        </row>
        <row r="301">
          <cell r="B301">
            <v>41579</v>
          </cell>
          <cell r="C301">
            <v>535.16800000000001</v>
          </cell>
          <cell r="D301">
            <v>3780.61</v>
          </cell>
          <cell r="E301">
            <v>1.0071920752752215</v>
          </cell>
          <cell r="F301">
            <v>32.905176463980183</v>
          </cell>
        </row>
        <row r="302">
          <cell r="B302">
            <v>41609</v>
          </cell>
          <cell r="C302">
            <v>538.37</v>
          </cell>
          <cell r="D302">
            <v>3815.39</v>
          </cell>
          <cell r="E302">
            <v>1.0078974581644051</v>
          </cell>
          <cell r="F302">
            <v>33.165043718496833</v>
          </cell>
        </row>
        <row r="303">
          <cell r="B303">
            <v>41640</v>
          </cell>
          <cell r="C303">
            <v>540.95899999999995</v>
          </cell>
          <cell r="D303">
            <v>3836.38</v>
          </cell>
          <cell r="E303">
            <v>1.0084934395272054</v>
          </cell>
          <cell r="F303">
            <v>33.446729011737006</v>
          </cell>
        </row>
        <row r="304">
          <cell r="B304">
            <v>41671</v>
          </cell>
          <cell r="C304">
            <v>543.03800000000001</v>
          </cell>
          <cell r="D304">
            <v>3862.84</v>
          </cell>
          <cell r="E304">
            <v>1.007901464239193</v>
          </cell>
          <cell r="F304">
            <v>33.711007144941227</v>
          </cell>
        </row>
        <row r="305">
          <cell r="B305">
            <v>41699</v>
          </cell>
          <cell r="C305">
            <v>552.08699999999999</v>
          </cell>
          <cell r="D305">
            <v>3898.38</v>
          </cell>
          <cell r="E305">
            <v>1.0076595732083427</v>
          </cell>
          <cell r="F305">
            <v>33.969219072094866</v>
          </cell>
        </row>
        <row r="306">
          <cell r="B306">
            <v>41730</v>
          </cell>
          <cell r="C306">
            <v>556.41999999999996</v>
          </cell>
          <cell r="D306">
            <v>3924.5</v>
          </cell>
          <cell r="E306">
            <v>1.0082266762081393</v>
          </cell>
          <cell r="F306">
            <v>34.248672838444342</v>
          </cell>
        </row>
        <row r="307">
          <cell r="B307">
            <v>41760</v>
          </cell>
          <cell r="C307">
            <v>555.67899999999997</v>
          </cell>
          <cell r="D307">
            <v>3942.55</v>
          </cell>
          <cell r="E307">
            <v>1.0086587318278823</v>
          </cell>
          <cell r="F307">
            <v>34.545222912013308</v>
          </cell>
        </row>
        <row r="308">
          <cell r="B308">
            <v>41791</v>
          </cell>
          <cell r="C308">
            <v>551.55399999999997</v>
          </cell>
          <cell r="D308">
            <v>3958.32</v>
          </cell>
          <cell r="E308">
            <v>1.0082447163000285</v>
          </cell>
          <cell r="F308">
            <v>34.830038474444102</v>
          </cell>
        </row>
        <row r="309">
          <cell r="B309">
            <v>41821</v>
          </cell>
          <cell r="C309">
            <v>548.202</v>
          </cell>
          <cell r="D309">
            <v>3958.72</v>
          </cell>
          <cell r="E309">
            <v>1.0094872729749897</v>
          </cell>
          <cell r="F309">
            <v>35.160480557180549</v>
          </cell>
        </row>
        <row r="310">
          <cell r="B310">
            <v>41852</v>
          </cell>
          <cell r="C310">
            <v>546.745</v>
          </cell>
          <cell r="D310">
            <v>3968.62</v>
          </cell>
          <cell r="E310">
            <v>1.0086598207325679</v>
          </cell>
          <cell r="F310">
            <v>35.464964015676671</v>
          </cell>
        </row>
        <row r="311">
          <cell r="B311">
            <v>41883</v>
          </cell>
          <cell r="C311">
            <v>547.83900000000006</v>
          </cell>
          <cell r="D311">
            <v>3991.24</v>
          </cell>
          <cell r="E311">
            <v>1.0090729173629331</v>
          </cell>
          <cell r="F311">
            <v>35.786734703470302</v>
          </cell>
        </row>
        <row r="312">
          <cell r="B312">
            <v>41913</v>
          </cell>
          <cell r="C312">
            <v>549.39599999999996</v>
          </cell>
          <cell r="D312">
            <v>4008</v>
          </cell>
          <cell r="E312">
            <v>1.009505315279368</v>
          </cell>
          <cell r="F312">
            <v>36.126898899645887</v>
          </cell>
        </row>
        <row r="313">
          <cell r="B313">
            <v>41944</v>
          </cell>
          <cell r="C313">
            <v>554.76900000000001</v>
          </cell>
          <cell r="D313">
            <v>4028.44</v>
          </cell>
          <cell r="E313">
            <v>1.0084249317586502</v>
          </cell>
          <cell r="F313">
            <v>36.431265557527063</v>
          </cell>
        </row>
        <row r="314">
          <cell r="B314">
            <v>41974</v>
          </cell>
          <cell r="C314">
            <v>558.21299999999997</v>
          </cell>
          <cell r="D314">
            <v>4059.86</v>
          </cell>
          <cell r="E314">
            <v>1.0096129495106978</v>
          </cell>
          <cell r="F314">
            <v>36.781477473942395</v>
          </cell>
        </row>
        <row r="315">
          <cell r="B315">
            <v>42005</v>
          </cell>
          <cell r="C315">
            <v>562.48199999999997</v>
          </cell>
          <cell r="D315">
            <v>4110.2</v>
          </cell>
          <cell r="E315">
            <v>1.0093507541041149</v>
          </cell>
          <cell r="F315">
            <v>37.12541202538727</v>
          </cell>
        </row>
        <row r="316">
          <cell r="B316">
            <v>42036</v>
          </cell>
          <cell r="C316">
            <v>564.00400000000002</v>
          </cell>
          <cell r="D316">
            <v>4160.34</v>
          </cell>
          <cell r="E316">
            <v>1.0082241099890967</v>
          </cell>
          <cell r="F316">
            <v>37.43073549727459</v>
          </cell>
        </row>
        <row r="317">
          <cell r="B317">
            <v>42064</v>
          </cell>
          <cell r="C317">
            <v>569.53599999999994</v>
          </cell>
          <cell r="D317">
            <v>4215.26</v>
          </cell>
          <cell r="E317">
            <v>1.0103996710699541</v>
          </cell>
          <cell r="F317">
            <v>37.820002834352699</v>
          </cell>
        </row>
        <row r="318">
          <cell r="B318">
            <v>42095</v>
          </cell>
          <cell r="C318">
            <v>576.17499999999995</v>
          </cell>
          <cell r="D318">
            <v>4245.1899999999996</v>
          </cell>
          <cell r="E318">
            <v>1.0095179160892187</v>
          </cell>
          <cell r="F318">
            <v>38.179970447824083</v>
          </cell>
        </row>
        <row r="319">
          <cell r="B319">
            <v>42125</v>
          </cell>
          <cell r="C319">
            <v>578.51599999999996</v>
          </cell>
          <cell r="D319">
            <v>4276.6000000000004</v>
          </cell>
          <cell r="E319">
            <v>1.0098532226245138</v>
          </cell>
          <cell r="F319">
            <v>38.556166196443854</v>
          </cell>
        </row>
        <row r="320">
          <cell r="B320">
            <v>42156</v>
          </cell>
          <cell r="C320">
            <v>582.40099999999995</v>
          </cell>
          <cell r="D320">
            <v>4310.3900000000003</v>
          </cell>
          <cell r="E320">
            <v>1.0106667572412273</v>
          </cell>
          <cell r="F320">
            <v>38.967435461413736</v>
          </cell>
        </row>
        <row r="321">
          <cell r="B321">
            <v>42186</v>
          </cell>
          <cell r="C321">
            <v>586.42600000000004</v>
          </cell>
          <cell r="D321">
            <v>4337.1099999999997</v>
          </cell>
          <cell r="E321">
            <v>1.0117819838421735</v>
          </cell>
          <cell r="F321">
            <v>39.426549156391054</v>
          </cell>
        </row>
        <row r="322">
          <cell r="B322">
            <v>42217</v>
          </cell>
          <cell r="C322">
            <v>588.04200000000003</v>
          </cell>
          <cell r="D322">
            <v>4346.6499999999996</v>
          </cell>
          <cell r="E322">
            <v>1.0110896528780247</v>
          </cell>
          <cell r="F322">
            <v>39.863775900713804</v>
          </cell>
        </row>
        <row r="323">
          <cell r="B323">
            <v>42248</v>
          </cell>
          <cell r="C323">
            <v>593.60599999999999</v>
          </cell>
          <cell r="D323">
            <v>4370.12</v>
          </cell>
          <cell r="E323">
            <v>1.0110896528780244</v>
          </cell>
          <cell r="F323">
            <v>40.305851337860076</v>
          </cell>
        </row>
        <row r="324">
          <cell r="B324">
            <v>42278</v>
          </cell>
          <cell r="C324">
            <v>604.83199999999999</v>
          </cell>
          <cell r="D324">
            <v>4405.95</v>
          </cell>
          <cell r="E324">
            <v>1.0110896528780242</v>
          </cell>
          <cell r="F324">
            <v>40.752829238150191</v>
          </cell>
        </row>
        <row r="325">
          <cell r="B325">
            <v>42309</v>
          </cell>
          <cell r="C325">
            <v>614.05100000000004</v>
          </cell>
          <cell r="D325">
            <v>4450.45</v>
          </cell>
          <cell r="E325">
            <v>1.0105587962367735</v>
          </cell>
          <cell r="F325">
            <v>41.183130058147846</v>
          </cell>
        </row>
        <row r="326">
          <cell r="B326">
            <v>42339</v>
          </cell>
          <cell r="C326">
            <v>617.04399999999998</v>
          </cell>
          <cell r="D326">
            <v>4493.17</v>
          </cell>
          <cell r="E326">
            <v>1.0116207883835777</v>
          </cell>
          <cell r="F326">
            <v>41.66171049752694</v>
          </cell>
        </row>
        <row r="327">
          <cell r="B327">
            <v>42370</v>
          </cell>
          <cell r="C327">
            <v>624.05999999999995</v>
          </cell>
          <cell r="D327">
            <v>4550.2299999999996</v>
          </cell>
          <cell r="E327">
            <v>1.0105587962367735</v>
          </cell>
          <cell r="F327">
            <v>42.101608009545771</v>
          </cell>
        </row>
        <row r="328">
          <cell r="B328">
            <v>42401</v>
          </cell>
          <cell r="C328">
            <v>632.11400000000003</v>
          </cell>
          <cell r="D328">
            <v>4591.18</v>
          </cell>
          <cell r="E328">
            <v>1.0100282183134115</v>
          </cell>
          <cell r="F328">
            <v>42.523812126011173</v>
          </cell>
        </row>
        <row r="329">
          <cell r="B329">
            <v>42430</v>
          </cell>
          <cell r="C329">
            <v>635.34900000000005</v>
          </cell>
          <cell r="D329">
            <v>4610.92</v>
          </cell>
          <cell r="E329">
            <v>1.0116207883835779</v>
          </cell>
          <cell r="F329">
            <v>43.017972347990572</v>
          </cell>
        </row>
        <row r="330">
          <cell r="B330">
            <v>42461</v>
          </cell>
          <cell r="C330">
            <v>637.43399999999997</v>
          </cell>
          <cell r="D330">
            <v>4639.05</v>
          </cell>
          <cell r="E330">
            <v>1.0105587962367735</v>
          </cell>
          <cell r="F330">
            <v>43.472190352532159</v>
          </cell>
        </row>
        <row r="331">
          <cell r="B331">
            <v>42491</v>
          </cell>
          <cell r="C331">
            <v>642.65099999999995</v>
          </cell>
          <cell r="D331">
            <v>4675.2299999999996</v>
          </cell>
          <cell r="E331">
            <v>1.0110896528780244</v>
          </cell>
          <cell r="F331">
            <v>43.954281853389141</v>
          </cell>
        </row>
        <row r="332">
          <cell r="B332">
            <v>42522</v>
          </cell>
          <cell r="C332">
            <v>653.49599999999998</v>
          </cell>
          <cell r="D332">
            <v>4691.59</v>
          </cell>
          <cell r="E332">
            <v>1.0116207883835777</v>
          </cell>
          <cell r="F332">
            <v>44.465065261359506</v>
          </cell>
        </row>
        <row r="333">
          <cell r="B333">
            <v>42552</v>
          </cell>
          <cell r="C333">
            <v>654.64099999999996</v>
          </cell>
          <cell r="D333">
            <v>4715.99</v>
          </cell>
          <cell r="E333">
            <v>1.0110896528780242</v>
          </cell>
          <cell r="F333">
            <v>44.958167400306678</v>
          </cell>
        </row>
        <row r="334">
          <cell r="B334">
            <v>42583</v>
          </cell>
          <cell r="C334">
            <v>655.60199999999998</v>
          </cell>
          <cell r="D334">
            <v>4736.74</v>
          </cell>
          <cell r="E334">
            <v>1.0121522028999232</v>
          </cell>
          <cell r="F334">
            <v>45.504508172563916</v>
          </cell>
        </row>
        <row r="335">
          <cell r="B335">
            <v>42614</v>
          </cell>
          <cell r="C335">
            <v>656.89400000000001</v>
          </cell>
          <cell r="D335">
            <v>4740.53</v>
          </cell>
          <cell r="E335">
            <v>1.0110896528780247</v>
          </cell>
          <cell r="F335">
            <v>46.009137372582884</v>
          </cell>
        </row>
        <row r="336">
          <cell r="B336">
            <v>42644</v>
          </cell>
          <cell r="C336">
            <v>657.92700000000002</v>
          </cell>
          <cell r="D336">
            <v>4752.8599999999997</v>
          </cell>
          <cell r="E336">
            <v>1.0104884196148551</v>
          </cell>
          <cell r="F336">
            <v>46.491700511464046</v>
          </cell>
        </row>
        <row r="337">
          <cell r="B337">
            <v>42675</v>
          </cell>
          <cell r="C337">
            <v>657.75199999999995</v>
          </cell>
          <cell r="D337">
            <v>4761.42</v>
          </cell>
          <cell r="E337">
            <v>1.0103828638714687</v>
          </cell>
          <cell r="F337">
            <v>46.974417509027667</v>
          </cell>
        </row>
        <row r="338">
          <cell r="B338">
            <v>42705</v>
          </cell>
          <cell r="C338">
            <v>661.30399999999997</v>
          </cell>
          <cell r="D338">
            <v>4775.7</v>
          </cell>
          <cell r="E338">
            <v>1.0112331468569866</v>
          </cell>
          <cell r="F338">
            <v>47.502088039427981</v>
          </cell>
        </row>
        <row r="339">
          <cell r="B339">
            <v>42736</v>
          </cell>
          <cell r="C339">
            <v>665.54200000000003</v>
          </cell>
          <cell r="D339">
            <v>4793.8500000000004</v>
          </cell>
          <cell r="E339">
            <v>1.0108612048503447</v>
          </cell>
          <cell r="F339">
            <v>48.018017948443315</v>
          </cell>
        </row>
        <row r="340">
          <cell r="B340">
            <v>42767</v>
          </cell>
          <cell r="C340">
            <v>666.09900000000005</v>
          </cell>
          <cell r="D340">
            <v>4809.67</v>
          </cell>
          <cell r="E340">
            <v>1.0086508422083289</v>
          </cell>
          <cell r="F340">
            <v>48.433414244872004</v>
          </cell>
        </row>
        <row r="341">
          <cell r="B341">
            <v>42795</v>
          </cell>
          <cell r="C341">
            <v>666.197</v>
          </cell>
          <cell r="D341">
            <v>4821.6899999999996</v>
          </cell>
          <cell r="E341">
            <v>1.0105205646045978</v>
          </cell>
          <cell r="F341">
            <v>48.94296110845643</v>
          </cell>
        </row>
        <row r="342">
          <cell r="B342">
            <v>42826</v>
          </cell>
          <cell r="C342">
            <v>658.89800000000002</v>
          </cell>
          <cell r="D342">
            <v>4828.4399999999996</v>
          </cell>
          <cell r="E342">
            <v>1.0078658059100756</v>
          </cell>
          <cell r="F342">
            <v>49.327936941199923</v>
          </cell>
        </row>
        <row r="343">
          <cell r="B343">
            <v>42856</v>
          </cell>
          <cell r="C343">
            <v>652.75800000000004</v>
          </cell>
          <cell r="D343">
            <v>4843.41</v>
          </cell>
          <cell r="E343">
            <v>1.0092713189779878</v>
          </cell>
          <cell r="F343">
            <v>49.785271979107854</v>
          </cell>
        </row>
        <row r="344">
          <cell r="B344">
            <v>42887</v>
          </cell>
          <cell r="C344">
            <v>648.40899999999999</v>
          </cell>
          <cell r="D344">
            <v>4832.2700000000004</v>
          </cell>
          <cell r="E344">
            <v>1.0080886926571575</v>
          </cell>
          <cell r="F344">
            <v>50.187969742999854</v>
          </cell>
        </row>
        <row r="345">
          <cell r="B345">
            <v>42917</v>
          </cell>
          <cell r="C345">
            <v>643.76599999999996</v>
          </cell>
          <cell r="D345">
            <v>4843.87</v>
          </cell>
          <cell r="E345">
            <v>1.0079792299470567</v>
          </cell>
          <cell r="F345">
            <v>50.588431094155176</v>
          </cell>
        </row>
        <row r="346">
          <cell r="B346">
            <v>42948</v>
          </cell>
          <cell r="C346">
            <v>644.38300000000004</v>
          </cell>
          <cell r="D346">
            <v>4853.07</v>
          </cell>
          <cell r="E346">
            <v>1.0080228940119034</v>
          </cell>
          <cell r="F346">
            <v>50.994296715052059</v>
          </cell>
        </row>
        <row r="347">
          <cell r="B347">
            <v>42979</v>
          </cell>
          <cell r="C347">
            <v>647.4</v>
          </cell>
          <cell r="D347">
            <v>4860.83</v>
          </cell>
          <cell r="E347">
            <v>1.0063846003708505</v>
          </cell>
          <cell r="F347">
            <v>51.319874920770239</v>
          </cell>
        </row>
        <row r="348">
          <cell r="B348">
            <v>43009</v>
          </cell>
          <cell r="C348">
            <v>648.67200000000003</v>
          </cell>
          <cell r="D348">
            <v>4881.25</v>
          </cell>
          <cell r="E348">
            <v>1.0064393014601032</v>
          </cell>
          <cell r="F348">
            <v>51.650339066279869</v>
          </cell>
        </row>
        <row r="349">
          <cell r="B349">
            <v>43040</v>
          </cell>
          <cell r="C349">
            <v>652.07299999999998</v>
          </cell>
          <cell r="D349">
            <v>4894.92</v>
          </cell>
          <cell r="E349">
            <v>1.0056818783789492</v>
          </cell>
          <cell r="F349">
            <v>51.943810011085958</v>
          </cell>
        </row>
        <row r="350">
          <cell r="B350">
            <v>43070</v>
          </cell>
          <cell r="C350">
            <v>657.85900000000004</v>
          </cell>
          <cell r="D350">
            <v>4916.46</v>
          </cell>
          <cell r="E350">
            <v>1.0053840004998948</v>
          </cell>
          <cell r="F350">
            <v>52.223475510152085</v>
          </cell>
        </row>
        <row r="351">
          <cell r="B351">
            <v>43101</v>
          </cell>
          <cell r="C351">
            <v>662.82600000000002</v>
          </cell>
          <cell r="D351">
            <v>4930.72</v>
          </cell>
          <cell r="E351">
            <v>1.0058420473548675</v>
          </cell>
          <cell r="F351">
            <v>52.528567527118156</v>
          </cell>
        </row>
        <row r="352">
          <cell r="B352">
            <v>43132</v>
          </cell>
          <cell r="C352">
            <v>663.31100000000004</v>
          </cell>
          <cell r="D352">
            <v>4946.5</v>
          </cell>
          <cell r="E352">
            <v>1.0046560161193037</v>
          </cell>
          <cell r="F352">
            <v>52.773141384248348</v>
          </cell>
        </row>
        <row r="353">
          <cell r="B353">
            <v>43160</v>
          </cell>
          <cell r="C353">
            <v>667.524</v>
          </cell>
          <cell r="D353">
            <v>4950.95</v>
          </cell>
          <cell r="E353">
            <v>1.0053234480536677</v>
          </cell>
          <cell r="F353">
            <v>53.054076461036253</v>
          </cell>
        </row>
        <row r="354">
          <cell r="B354">
            <v>43191</v>
          </cell>
          <cell r="C354">
            <v>671.327</v>
          </cell>
          <cell r="D354">
            <v>4961.84</v>
          </cell>
          <cell r="E354">
            <v>1.0051829489023658</v>
          </cell>
          <cell r="F354">
            <v>53.329053028396011</v>
          </cell>
        </row>
        <row r="355">
          <cell r="B355">
            <v>43221</v>
          </cell>
          <cell r="C355">
            <v>680.57899999999995</v>
          </cell>
          <cell r="D355">
            <v>4981.6899999999996</v>
          </cell>
          <cell r="E355">
            <v>1.0051829489023656</v>
          </cell>
          <cell r="F355">
            <v>53.605454785253734</v>
          </cell>
        </row>
        <row r="356">
          <cell r="B356">
            <v>43252</v>
          </cell>
          <cell r="C356">
            <v>693.28700000000003</v>
          </cell>
          <cell r="D356">
            <v>5044.46</v>
          </cell>
          <cell r="E356">
            <v>1.0051829489023654</v>
          </cell>
          <cell r="F356">
            <v>53.88328911829376</v>
          </cell>
        </row>
        <row r="357">
          <cell r="B357">
            <v>43282</v>
          </cell>
          <cell r="C357">
            <v>696.8</v>
          </cell>
          <cell r="D357">
            <v>5061.1099999999997</v>
          </cell>
          <cell r="E357">
            <v>1.0054304249443857</v>
          </cell>
          <cell r="F357">
            <v>54.175898275607288</v>
          </cell>
        </row>
        <row r="358">
          <cell r="B358">
            <v>43313</v>
          </cell>
          <cell r="C358">
            <v>701.67700000000002</v>
          </cell>
          <cell r="D358">
            <v>5056.5600000000004</v>
          </cell>
          <cell r="E358">
            <v>1.0056779619150069</v>
          </cell>
          <cell r="F358">
            <v>54.483506962727475</v>
          </cell>
        </row>
        <row r="359">
          <cell r="B359">
            <v>43344</v>
          </cell>
          <cell r="C359">
            <v>712.37300000000005</v>
          </cell>
          <cell r="D359">
            <v>5080.83</v>
          </cell>
          <cell r="E359">
            <v>1.0046881795441467</v>
          </cell>
          <cell r="F359">
            <v>54.738935425563504</v>
          </cell>
        </row>
        <row r="360">
          <cell r="B360">
            <v>43374</v>
          </cell>
          <cell r="C360">
            <v>718.68399999999997</v>
          </cell>
          <cell r="D360">
            <v>5103.6899999999996</v>
          </cell>
          <cell r="E360">
            <v>1.0054304249443855</v>
          </cell>
          <cell r="F360">
            <v>55.036191105927593</v>
          </cell>
        </row>
        <row r="361">
          <cell r="B361">
            <v>43405</v>
          </cell>
          <cell r="C361">
            <v>715.16600000000005</v>
          </cell>
          <cell r="D361">
            <v>5092.97</v>
          </cell>
          <cell r="E361">
            <v>1.0049355337739507</v>
          </cell>
          <cell r="F361">
            <v>55.307824085920508</v>
          </cell>
        </row>
        <row r="362">
          <cell r="B362">
            <v>43435</v>
          </cell>
          <cell r="C362">
            <v>707.44100000000003</v>
          </cell>
          <cell r="D362">
            <v>5100.6099999999997</v>
          </cell>
          <cell r="E362">
            <v>1.0049355337739507</v>
          </cell>
          <cell r="F362">
            <v>55.580797719660296</v>
          </cell>
        </row>
        <row r="363">
          <cell r="B363">
            <v>43466</v>
          </cell>
          <cell r="C363">
            <v>707.48800000000006</v>
          </cell>
          <cell r="D363">
            <v>5116.93</v>
          </cell>
          <cell r="E363">
            <v>1.0054304249443855</v>
          </cell>
          <cell r="F363">
            <v>55.882625070025988</v>
          </cell>
        </row>
        <row r="364">
          <cell r="B364">
            <v>43497</v>
          </cell>
          <cell r="C364">
            <v>713.74699999999996</v>
          </cell>
          <cell r="D364">
            <v>5138.93</v>
          </cell>
          <cell r="E364">
            <v>1.0049355337739507</v>
          </cell>
          <cell r="F364">
            <v>56.158435653436129</v>
          </cell>
        </row>
        <row r="365">
          <cell r="B365">
            <v>43525</v>
          </cell>
          <cell r="C365">
            <v>722.70699999999999</v>
          </cell>
          <cell r="D365">
            <v>5177.47</v>
          </cell>
          <cell r="E365">
            <v>1.0046881795441467</v>
          </cell>
          <cell r="F365">
            <v>56.421716482697846</v>
          </cell>
        </row>
        <row r="366">
          <cell r="B366">
            <v>43556</v>
          </cell>
          <cell r="C366">
            <v>729.346</v>
          </cell>
          <cell r="D366">
            <v>5206.9799999999996</v>
          </cell>
          <cell r="E366">
            <v>1.0051829489023654</v>
          </cell>
          <cell r="F366">
            <v>56.714147356211413</v>
          </cell>
        </row>
        <row r="367">
          <cell r="B367">
            <v>43586</v>
          </cell>
          <cell r="C367">
            <v>732.59500000000003</v>
          </cell>
          <cell r="D367">
            <v>5213.75</v>
          </cell>
          <cell r="E367">
            <v>1.0054304249443855</v>
          </cell>
          <cell r="F367">
            <v>57.022129276714139</v>
          </cell>
        </row>
        <row r="368">
          <cell r="B368">
            <v>43617</v>
          </cell>
          <cell r="C368">
            <v>738.42100000000005</v>
          </cell>
          <cell r="D368">
            <v>5214.2700000000004</v>
          </cell>
          <cell r="E368">
            <v>1.0046881795441465</v>
          </cell>
          <cell r="F368">
            <v>57.289459256752906</v>
          </cell>
        </row>
        <row r="369">
          <cell r="B369">
            <v>43647</v>
          </cell>
          <cell r="C369">
            <v>741.346</v>
          </cell>
          <cell r="D369">
            <v>5224.18</v>
          </cell>
          <cell r="E369">
            <v>1.0056779619150069</v>
          </cell>
          <cell r="F369">
            <v>57.61474662454409</v>
          </cell>
        </row>
        <row r="370">
          <cell r="B370">
            <v>43678</v>
          </cell>
          <cell r="C370">
            <v>736.40200000000004</v>
          </cell>
          <cell r="D370">
            <v>5229.93</v>
          </cell>
          <cell r="E370">
            <v>1.0050171948996307</v>
          </cell>
          <cell r="F370">
            <v>57.903811037452265</v>
          </cell>
        </row>
        <row r="371">
          <cell r="B371">
            <v>43709</v>
          </cell>
          <cell r="C371">
            <v>736.36199999999997</v>
          </cell>
          <cell r="D371">
            <v>5227.84</v>
          </cell>
          <cell r="E371">
            <v>1.0046375999081099</v>
          </cell>
          <cell r="F371">
            <v>58.172345746198765</v>
          </cell>
        </row>
        <row r="372">
          <cell r="B372">
            <v>43739</v>
          </cell>
          <cell r="C372">
            <v>741.33299999999997</v>
          </cell>
          <cell r="D372">
            <v>5233.07</v>
          </cell>
          <cell r="E372">
            <v>1.0047926409835022</v>
          </cell>
          <cell r="F372">
            <v>58.451144914528456</v>
          </cell>
        </row>
        <row r="373">
          <cell r="B373">
            <v>43770</v>
          </cell>
          <cell r="C373">
            <v>743.55799999999999</v>
          </cell>
          <cell r="D373">
            <v>5259.76</v>
          </cell>
          <cell r="E373">
            <v>1.0038038559813272</v>
          </cell>
          <cell r="F373">
            <v>58.673484651727009</v>
          </cell>
        </row>
        <row r="374">
          <cell r="B374">
            <v>43800</v>
          </cell>
          <cell r="C374">
            <v>759.11199999999997</v>
          </cell>
          <cell r="D374">
            <v>5320.25</v>
          </cell>
          <cell r="E374">
            <v>1.0037470387078873</v>
          </cell>
          <cell r="F374">
            <v>58.893336469843661</v>
          </cell>
        </row>
        <row r="375">
          <cell r="B375">
            <v>43831</v>
          </cell>
          <cell r="C375">
            <v>762.73299999999995</v>
          </cell>
          <cell r="D375">
            <v>5331.42</v>
          </cell>
          <cell r="E375">
            <v>1.00376633367529</v>
          </cell>
          <cell r="F375">
            <v>59.115148426240218</v>
          </cell>
        </row>
        <row r="376">
          <cell r="B376">
            <v>43862</v>
          </cell>
          <cell r="C376">
            <v>762.423</v>
          </cell>
          <cell r="D376">
            <v>5344.75</v>
          </cell>
          <cell r="E376">
            <v>1.0029372863155552</v>
          </cell>
          <cell r="F376">
            <v>59.288786542754629</v>
          </cell>
        </row>
        <row r="377">
          <cell r="B377">
            <v>43891</v>
          </cell>
          <cell r="C377">
            <v>771.90800000000002</v>
          </cell>
          <cell r="D377">
            <v>5348.49</v>
          </cell>
          <cell r="E377">
            <v>1.0033836914846632</v>
          </cell>
          <cell r="F377">
            <v>59.489401504915364</v>
          </cell>
        </row>
        <row r="378">
          <cell r="B378">
            <v>43922</v>
          </cell>
          <cell r="C378">
            <v>778.101</v>
          </cell>
          <cell r="D378">
            <v>5331.91</v>
          </cell>
          <cell r="E378">
            <v>1.0028492490278405</v>
          </cell>
          <cell r="F378">
            <v>59.658901624320052</v>
          </cell>
        </row>
        <row r="379">
          <cell r="B379">
            <v>43952</v>
          </cell>
          <cell r="C379">
            <v>780.28</v>
          </cell>
          <cell r="D379">
            <v>5311.65</v>
          </cell>
          <cell r="E379">
            <v>1.0023580961930716</v>
          </cell>
          <cell r="F379">
            <v>59.799583053123193</v>
          </cell>
        </row>
        <row r="380">
          <cell r="B380">
            <v>43983</v>
          </cell>
          <cell r="C380">
            <v>792.42899999999997</v>
          </cell>
          <cell r="D380">
            <v>5325.46</v>
          </cell>
          <cell r="E380">
            <v>1.0021233217736718</v>
          </cell>
          <cell r="F380">
            <v>59.926556809876388</v>
          </cell>
        </row>
        <row r="381">
          <cell r="B381">
            <v>44013</v>
          </cell>
          <cell r="C381">
            <v>810.08299999999997</v>
          </cell>
          <cell r="D381">
            <v>5344.63</v>
          </cell>
          <cell r="E381">
            <v>1.0019434641302636</v>
          </cell>
          <cell r="F381">
            <v>60.043021923486585</v>
          </cell>
        </row>
        <row r="382">
          <cell r="B382">
            <v>44044</v>
          </cell>
          <cell r="C382">
            <v>832.31299999999999</v>
          </cell>
          <cell r="D382">
            <v>5357.46</v>
          </cell>
          <cell r="E382">
            <v>1.0015988959789295</v>
          </cell>
          <cell r="F382">
            <v>60.13902446980282</v>
          </cell>
        </row>
        <row r="383">
          <cell r="B383">
            <v>44075</v>
          </cell>
          <cell r="C383">
            <v>868.44200000000001</v>
          </cell>
          <cell r="D383">
            <v>5391.75</v>
          </cell>
          <cell r="E383">
            <v>1.0015696620595307</v>
          </cell>
          <cell r="F383">
            <v>60.233422414810256</v>
          </cell>
        </row>
        <row r="384">
          <cell r="B384">
            <v>44105</v>
          </cell>
          <cell r="C384">
            <v>896.505</v>
          </cell>
          <cell r="D384">
            <v>5438.12</v>
          </cell>
          <cell r="E384">
            <v>1.00156966205953</v>
          </cell>
          <cell r="F384">
            <v>60.327968532690427</v>
          </cell>
        </row>
        <row r="385">
          <cell r="B385">
            <v>44136</v>
          </cell>
          <cell r="C385">
            <v>925.88699999999994</v>
          </cell>
          <cell r="D385">
            <v>5486.52</v>
          </cell>
          <cell r="E385">
            <v>1.0014948604084073</v>
          </cell>
          <cell r="F385">
            <v>60.418150424369585</v>
          </cell>
        </row>
        <row r="386">
          <cell r="B386">
            <v>44166</v>
          </cell>
          <cell r="C386">
            <v>934.75800000000004</v>
          </cell>
          <cell r="D386">
            <v>5560.59</v>
          </cell>
          <cell r="E386">
            <v>1.0016444692975899</v>
          </cell>
          <cell r="F386">
            <v>60.517506217759632</v>
          </cell>
        </row>
        <row r="387">
          <cell r="B387">
            <v>44197</v>
          </cell>
          <cell r="C387">
            <v>958.84400000000005</v>
          </cell>
          <cell r="D387">
            <v>5574.49</v>
          </cell>
          <cell r="E387">
            <v>1.0014948604084077</v>
          </cell>
          <cell r="F387">
            <v>60.607971441820126</v>
          </cell>
        </row>
        <row r="388">
          <cell r="B388">
            <v>44228</v>
          </cell>
          <cell r="C388">
            <v>983.06299999999999</v>
          </cell>
          <cell r="D388">
            <v>5622.43</v>
          </cell>
          <cell r="E388">
            <v>1.0013452738652961</v>
          </cell>
          <cell r="F388">
            <v>60.689505761829423</v>
          </cell>
        </row>
        <row r="389">
          <cell r="B389">
            <v>44256</v>
          </cell>
          <cell r="C389">
            <v>1011.948</v>
          </cell>
          <cell r="D389">
            <v>5674.72</v>
          </cell>
          <cell r="E389">
            <v>1.0020107988327946</v>
          </cell>
          <cell r="F389">
            <v>60.811540149178192</v>
          </cell>
        </row>
        <row r="390">
          <cell r="B390">
            <v>44287</v>
          </cell>
          <cell r="C390">
            <v>1027.211</v>
          </cell>
          <cell r="D390">
            <v>5692.31</v>
          </cell>
          <cell r="E390">
            <v>1.0020778480243349</v>
          </cell>
          <cell r="F390">
            <v>60.937897287733925</v>
          </cell>
        </row>
        <row r="391">
          <cell r="B391">
            <v>44317</v>
          </cell>
          <cell r="C391">
            <v>1069.289</v>
          </cell>
          <cell r="D391">
            <v>5739.56</v>
          </cell>
          <cell r="E391">
            <v>1.0027032626398216</v>
          </cell>
          <cell r="F391">
            <v>61.102628428821141</v>
          </cell>
        </row>
        <row r="392">
          <cell r="B392">
            <v>44348</v>
          </cell>
          <cell r="C392">
            <v>1075.7329999999999</v>
          </cell>
          <cell r="D392">
            <v>5769.98</v>
          </cell>
          <cell r="E392">
            <v>1.0030777896833167</v>
          </cell>
          <cell r="F392">
            <v>61.290689468222901</v>
          </cell>
        </row>
        <row r="393">
          <cell r="B393">
            <v>44378</v>
          </cell>
          <cell r="C393">
            <v>1084.095</v>
          </cell>
          <cell r="D393">
            <v>5825.37</v>
          </cell>
          <cell r="E393">
            <v>1.003556161780192</v>
          </cell>
          <cell r="F393">
            <v>61.508649075591414</v>
          </cell>
        </row>
        <row r="394">
          <cell r="B394">
            <v>44409</v>
          </cell>
          <cell r="C394">
            <v>1091.29</v>
          </cell>
          <cell r="D394">
            <v>5876.05</v>
          </cell>
          <cell r="E394">
            <v>1.0042795247734253</v>
          </cell>
          <cell r="F394">
            <v>61.771876863090334</v>
          </cell>
        </row>
        <row r="395">
          <cell r="B395">
            <v>44440</v>
          </cell>
          <cell r="C395">
            <v>1084.3119999999999</v>
          </cell>
          <cell r="D395">
            <v>5944.21</v>
          </cell>
          <cell r="E395">
            <v>1.0044199933223523</v>
          </cell>
          <cell r="F395">
            <v>62.044908146334365</v>
          </cell>
        </row>
        <row r="396">
          <cell r="B396">
            <v>44470</v>
          </cell>
          <cell r="C396">
            <v>1091.2829999999999</v>
          </cell>
          <cell r="D396">
            <v>6018.51</v>
          </cell>
          <cell r="E396">
            <v>1.0048599610251685</v>
          </cell>
          <cell r="F396">
            <v>62.34644398173571</v>
          </cell>
        </row>
        <row r="397">
          <cell r="B397">
            <v>44501</v>
          </cell>
          <cell r="C397">
            <v>1091.4829999999999</v>
          </cell>
          <cell r="D397">
            <v>6075.69</v>
          </cell>
          <cell r="E397">
            <v>1.0058674909390046</v>
          </cell>
          <cell r="F397">
            <v>62.712261176877703</v>
          </cell>
        </row>
        <row r="398">
          <cell r="B398">
            <v>44531</v>
          </cell>
          <cell r="C398">
            <v>1100.9880000000001</v>
          </cell>
          <cell r="D398">
            <v>6120.04</v>
          </cell>
          <cell r="E398">
            <v>1.0076908308186336</v>
          </cell>
          <cell r="F398">
            <v>63.194570567843037</v>
          </cell>
        </row>
        <row r="399">
          <cell r="B399">
            <v>44562</v>
          </cell>
          <cell r="C399">
            <v>1120.999</v>
          </cell>
          <cell r="D399">
            <v>6153.09</v>
          </cell>
          <cell r="E399">
            <v>1.0073227032460901</v>
          </cell>
          <cell r="F399">
            <v>63.65732565487545</v>
          </cell>
        </row>
        <row r="400">
          <cell r="B400">
            <v>44593</v>
          </cell>
          <cell r="C400">
            <v>1141.546</v>
          </cell>
          <cell r="D400">
            <v>6215.24</v>
          </cell>
          <cell r="E400">
            <v>1.0075504098703885</v>
          </cell>
          <cell r="F400">
            <v>64.13796455482256</v>
          </cell>
        </row>
        <row r="401">
          <cell r="B401">
            <v>44621</v>
          </cell>
          <cell r="C401">
            <v>1161.4179999999999</v>
          </cell>
          <cell r="D401">
            <v>6315.93</v>
          </cell>
          <cell r="E401">
            <v>1.0092705386289318</v>
          </cell>
          <cell r="F401">
            <v>64.732558032809095</v>
          </cell>
        </row>
        <row r="402">
          <cell r="B402">
            <v>44652</v>
          </cell>
          <cell r="C402">
            <v>1177.809</v>
          </cell>
          <cell r="D402">
            <v>6382.88</v>
          </cell>
          <cell r="E402">
            <v>1.0083432052372134</v>
          </cell>
          <cell r="F402">
            <v>65.272635050006656</v>
          </cell>
        </row>
        <row r="403">
          <cell r="B403">
            <v>44682</v>
          </cell>
          <cell r="C403">
            <v>1183.953</v>
          </cell>
          <cell r="D403">
            <v>6412.88</v>
          </cell>
          <cell r="E403">
            <v>1.0103459230153136</v>
          </cell>
          <cell r="F403">
            <v>65.947940707240676</v>
          </cell>
        </row>
        <row r="404">
          <cell r="B404">
            <v>44713</v>
          </cell>
          <cell r="C404">
            <v>1190.8820000000001</v>
          </cell>
          <cell r="D404">
            <v>6455.85</v>
          </cell>
          <cell r="E404">
            <v>1.0101531560893695</v>
          </cell>
          <cell r="F404">
            <v>66.617520443013774</v>
          </cell>
        </row>
        <row r="405">
          <cell r="B405">
            <v>44743</v>
          </cell>
          <cell r="C405">
            <v>1197.0638684620001</v>
          </cell>
          <cell r="D405">
            <v>6491.3184399000011</v>
          </cell>
          <cell r="E405">
            <v>1.0103484243492924</v>
          </cell>
          <cell r="F405">
            <v>67.306906813655743</v>
          </cell>
        </row>
        <row r="406">
          <cell r="B406">
            <v>44774</v>
          </cell>
          <cell r="C406">
            <v>1203.249097470343</v>
          </cell>
          <cell r="D406">
            <v>6514.7391168311606</v>
          </cell>
          <cell r="E406">
            <v>1.0113395564141356</v>
          </cell>
          <cell r="F406">
            <v>68.070137280530162</v>
          </cell>
        </row>
        <row r="407">
          <cell r="B407">
            <v>44805</v>
          </cell>
          <cell r="C407">
            <v>1210.3554866400029</v>
          </cell>
          <cell r="D407">
            <v>6541.5407535578033</v>
          </cell>
          <cell r="E407">
            <v>1.0103484243492922</v>
          </cell>
          <cell r="F407">
            <v>68.774555946623664</v>
          </cell>
        </row>
        <row r="408">
          <cell r="B408">
            <v>44835</v>
          </cell>
          <cell r="C408">
            <v>1217.5885710281636</v>
          </cell>
          <cell r="D408">
            <v>6571.7430472169799</v>
          </cell>
          <cell r="E408">
            <v>1.0098532226245143</v>
          </cell>
          <cell r="F408">
            <v>69.452206957267862</v>
          </cell>
        </row>
        <row r="409">
          <cell r="B409">
            <v>44866</v>
          </cell>
          <cell r="C409">
            <v>1224.992727128586</v>
          </cell>
          <cell r="D409">
            <v>6602.2359349560666</v>
          </cell>
          <cell r="E409">
            <v>1.0098532226245134</v>
          </cell>
          <cell r="F409">
            <v>70.136535014181604</v>
          </cell>
        </row>
        <row r="410">
          <cell r="B410">
            <v>44896</v>
          </cell>
          <cell r="C410">
            <v>1232.3194086295421</v>
          </cell>
          <cell r="D410">
            <v>6643.9422593571835</v>
          </cell>
          <cell r="E410">
            <v>1.0108438689061403</v>
          </cell>
          <cell r="F410">
            <v>70.897086405406313</v>
          </cell>
        </row>
        <row r="411">
          <cell r="B411">
            <v>44927</v>
          </cell>
          <cell r="C411">
            <v>1238.1470471129512</v>
          </cell>
          <cell r="D411">
            <v>6675.3880380707214</v>
          </cell>
          <cell r="E411">
            <v>1.0108438689061405</v>
          </cell>
          <cell r="F411">
            <v>71.665885116213857</v>
          </cell>
        </row>
        <row r="412">
          <cell r="B412">
            <v>44958</v>
          </cell>
          <cell r="C412">
            <v>1242.8891503033938</v>
          </cell>
          <cell r="D412">
            <v>6708.8651090816456</v>
          </cell>
          <cell r="E412">
            <v>1.0088635471951473</v>
          </cell>
          <cell r="F412">
            <v>72.301099071223419</v>
          </cell>
        </row>
        <row r="413">
          <cell r="B413">
            <v>44986</v>
          </cell>
          <cell r="C413">
            <v>1247.4530392633078</v>
          </cell>
          <cell r="D413">
            <v>6733.7617075014477</v>
          </cell>
          <cell r="E413">
            <v>1.0113395564141363</v>
          </cell>
          <cell r="F413">
            <v>73.120961462945615</v>
          </cell>
        </row>
        <row r="414">
          <cell r="B414">
            <v>45017</v>
          </cell>
          <cell r="C414">
            <v>1251.4698380497357</v>
          </cell>
          <cell r="D414">
            <v>6758.8113010533525</v>
          </cell>
          <cell r="E414">
            <v>1.0088635471951479</v>
          </cell>
          <cell r="F414">
            <v>73.769072555827023</v>
          </cell>
        </row>
        <row r="415">
          <cell r="B415">
            <v>45047</v>
          </cell>
          <cell r="C415">
            <v>1255.0803285325092</v>
          </cell>
          <cell r="D415">
            <v>6776.8505684158645</v>
          </cell>
          <cell r="E415">
            <v>1.0108438689061405</v>
          </cell>
          <cell r="F415">
            <v>74.569014707949975</v>
          </cell>
        </row>
        <row r="416">
          <cell r="B416">
            <v>45078</v>
          </cell>
          <cell r="C416">
            <v>1259.3250102036061</v>
          </cell>
          <cell r="D416">
            <v>6793.2031088374515</v>
          </cell>
          <cell r="E416">
            <v>1.010348424349292</v>
          </cell>
          <cell r="F416">
            <v>75.34068651545644</v>
          </cell>
        </row>
        <row r="417">
          <cell r="B417">
            <v>45108</v>
          </cell>
          <cell r="C417" t="e">
            <v>#N/A</v>
          </cell>
          <cell r="D417" t="e">
            <v>#N/A</v>
          </cell>
          <cell r="E417" t="e">
            <v>#N/A</v>
          </cell>
          <cell r="F417" t="e">
            <v>#N/A</v>
          </cell>
        </row>
        <row r="418">
          <cell r="B418">
            <v>45139</v>
          </cell>
          <cell r="C418" t="e">
            <v>#N/A</v>
          </cell>
          <cell r="D418" t="e">
            <v>#N/A</v>
          </cell>
          <cell r="E418" t="e">
            <v>#N/A</v>
          </cell>
          <cell r="F418" t="e">
            <v>#N/A</v>
          </cell>
        </row>
        <row r="419">
          <cell r="B419">
            <v>45170</v>
          </cell>
          <cell r="C419" t="e">
            <v>#N/A</v>
          </cell>
          <cell r="D419" t="e">
            <v>#N/A</v>
          </cell>
          <cell r="E419" t="e">
            <v>#N/A</v>
          </cell>
          <cell r="F419" t="e">
            <v>#N/A</v>
          </cell>
        </row>
        <row r="420">
          <cell r="B420">
            <v>45200</v>
          </cell>
          <cell r="C420" t="e">
            <v>#N/A</v>
          </cell>
          <cell r="D420" t="e">
            <v>#N/A</v>
          </cell>
          <cell r="E420" t="e">
            <v>#N/A</v>
          </cell>
          <cell r="F420" t="e">
            <v>#N/A</v>
          </cell>
        </row>
        <row r="421">
          <cell r="B421">
            <v>45231</v>
          </cell>
          <cell r="C421" t="e">
            <v>#N/A</v>
          </cell>
          <cell r="D421" t="e">
            <v>#N/A</v>
          </cell>
          <cell r="E421" t="e">
            <v>#N/A</v>
          </cell>
          <cell r="F421" t="e">
            <v>#N/A</v>
          </cell>
        </row>
        <row r="422">
          <cell r="B422">
            <v>45261</v>
          </cell>
          <cell r="C422" t="e">
            <v>#N/A</v>
          </cell>
          <cell r="D422" t="e">
            <v>#N/A</v>
          </cell>
          <cell r="E422" t="e">
            <v>#N/A</v>
          </cell>
          <cell r="F422" t="e">
            <v>#N/A</v>
          </cell>
        </row>
        <row r="423">
          <cell r="B423">
            <v>45292</v>
          </cell>
          <cell r="C423" t="e">
            <v>#N/A</v>
          </cell>
          <cell r="D423" t="e">
            <v>#N/A</v>
          </cell>
          <cell r="E423" t="e">
            <v>#N/A</v>
          </cell>
          <cell r="F423" t="e">
            <v>#N/A</v>
          </cell>
        </row>
        <row r="424">
          <cell r="B424">
            <v>45323</v>
          </cell>
          <cell r="C424" t="e">
            <v>#N/A</v>
          </cell>
          <cell r="D424" t="e">
            <v>#N/A</v>
          </cell>
          <cell r="E424" t="e">
            <v>#N/A</v>
          </cell>
          <cell r="F424" t="e">
            <v>#N/A</v>
          </cell>
        </row>
        <row r="425">
          <cell r="B425">
            <v>45352</v>
          </cell>
          <cell r="C425" t="e">
            <v>#N/A</v>
          </cell>
          <cell r="D425" t="e">
            <v>#N/A</v>
          </cell>
          <cell r="E425" t="e">
            <v>#N/A</v>
          </cell>
          <cell r="F425" t="e">
            <v>#N/A</v>
          </cell>
        </row>
        <row r="426">
          <cell r="B426">
            <v>45383</v>
          </cell>
          <cell r="C426" t="e">
            <v>#N/A</v>
          </cell>
          <cell r="D426" t="e">
            <v>#N/A</v>
          </cell>
          <cell r="E426" t="e">
            <v>#N/A</v>
          </cell>
          <cell r="F426" t="e">
            <v>#N/A</v>
          </cell>
        </row>
        <row r="427">
          <cell r="B427">
            <v>45413</v>
          </cell>
          <cell r="C427" t="e">
            <v>#N/A</v>
          </cell>
          <cell r="D427" t="e">
            <v>#N/A</v>
          </cell>
          <cell r="E427" t="e">
            <v>#N/A</v>
          </cell>
          <cell r="F427" t="e">
            <v>#N/A</v>
          </cell>
        </row>
        <row r="428">
          <cell r="B428">
            <v>45444</v>
          </cell>
          <cell r="C428" t="e">
            <v>#N/A</v>
          </cell>
          <cell r="D428" t="e">
            <v>#N/A</v>
          </cell>
          <cell r="E428" t="e">
            <v>#N/A</v>
          </cell>
          <cell r="F428" t="e">
            <v>#N/A</v>
          </cell>
        </row>
        <row r="429">
          <cell r="B429">
            <v>45474</v>
          </cell>
          <cell r="C429" t="e">
            <v>#N/A</v>
          </cell>
          <cell r="D429" t="e">
            <v>#N/A</v>
          </cell>
          <cell r="E429" t="e">
            <v>#N/A</v>
          </cell>
          <cell r="F429" t="e">
            <v>#N/A</v>
          </cell>
        </row>
        <row r="430">
          <cell r="B430">
            <v>45505</v>
          </cell>
          <cell r="C430" t="e">
            <v>#N/A</v>
          </cell>
          <cell r="D430" t="e">
            <v>#N/A</v>
          </cell>
          <cell r="E430" t="e">
            <v>#N/A</v>
          </cell>
          <cell r="F430" t="e">
            <v>#N/A</v>
          </cell>
        </row>
        <row r="431">
          <cell r="B431">
            <v>45536</v>
          </cell>
          <cell r="C431" t="e">
            <v>#N/A</v>
          </cell>
          <cell r="D431" t="e">
            <v>#N/A</v>
          </cell>
          <cell r="E431" t="e">
            <v>#N/A</v>
          </cell>
          <cell r="F431" t="e">
            <v>#N/A</v>
          </cell>
        </row>
        <row r="432">
          <cell r="B432">
            <v>45566</v>
          </cell>
          <cell r="C432" t="e">
            <v>#N/A</v>
          </cell>
          <cell r="D432" t="e">
            <v>#N/A</v>
          </cell>
          <cell r="E432" t="e">
            <v>#N/A</v>
          </cell>
          <cell r="F432" t="e">
            <v>#N/A</v>
          </cell>
        </row>
        <row r="433">
          <cell r="B433">
            <v>45597</v>
          </cell>
          <cell r="C433" t="e">
            <v>#N/A</v>
          </cell>
          <cell r="D433" t="e">
            <v>#N/A</v>
          </cell>
          <cell r="E433" t="e">
            <v>#N/A</v>
          </cell>
          <cell r="F433" t="e">
            <v>#N/A</v>
          </cell>
        </row>
        <row r="434">
          <cell r="B434">
            <v>45627</v>
          </cell>
          <cell r="C434" t="e">
            <v>#N/A</v>
          </cell>
          <cell r="D434" t="e">
            <v>#N/A</v>
          </cell>
          <cell r="E434" t="e">
            <v>#N/A</v>
          </cell>
          <cell r="F434" t="e">
            <v>#N/A</v>
          </cell>
        </row>
        <row r="435">
          <cell r="B435">
            <v>45658</v>
          </cell>
          <cell r="C435" t="e">
            <v>#N/A</v>
          </cell>
          <cell r="D435" t="e">
            <v>#N/A</v>
          </cell>
          <cell r="E435" t="e">
            <v>#N/A</v>
          </cell>
          <cell r="F435" t="e">
            <v>#N/A</v>
          </cell>
        </row>
        <row r="436">
          <cell r="B436">
            <v>45689</v>
          </cell>
          <cell r="C436" t="e">
            <v>#N/A</v>
          </cell>
          <cell r="D436" t="e">
            <v>#N/A</v>
          </cell>
          <cell r="E436" t="e">
            <v>#N/A</v>
          </cell>
          <cell r="F436" t="e">
            <v>#N/A</v>
          </cell>
        </row>
        <row r="437">
          <cell r="B437">
            <v>45717</v>
          </cell>
          <cell r="C437" t="e">
            <v>#N/A</v>
          </cell>
          <cell r="D437" t="e">
            <v>#N/A</v>
          </cell>
          <cell r="E437" t="e">
            <v>#N/A</v>
          </cell>
          <cell r="F437" t="e">
            <v>#N/A</v>
          </cell>
        </row>
        <row r="438">
          <cell r="B438">
            <v>45748</v>
          </cell>
          <cell r="C438" t="e">
            <v>#N/A</v>
          </cell>
          <cell r="D438" t="e">
            <v>#N/A</v>
          </cell>
          <cell r="E438" t="e">
            <v>#N/A</v>
          </cell>
          <cell r="F438" t="e">
            <v>#N/A</v>
          </cell>
        </row>
        <row r="439">
          <cell r="B439">
            <v>45778</v>
          </cell>
          <cell r="C439" t="e">
            <v>#N/A</v>
          </cell>
          <cell r="D439" t="e">
            <v>#N/A</v>
          </cell>
          <cell r="E439" t="e">
            <v>#N/A</v>
          </cell>
          <cell r="F439" t="e">
            <v>#N/A</v>
          </cell>
        </row>
        <row r="440">
          <cell r="B440">
            <v>45809</v>
          </cell>
          <cell r="C440" t="e">
            <v>#N/A</v>
          </cell>
          <cell r="D440" t="e">
            <v>#N/A</v>
          </cell>
          <cell r="E440" t="e">
            <v>#N/A</v>
          </cell>
          <cell r="F440" t="e">
            <v>#N/A</v>
          </cell>
        </row>
        <row r="441">
          <cell r="B441">
            <v>45839</v>
          </cell>
          <cell r="C441" t="e">
            <v>#N/A</v>
          </cell>
          <cell r="D441" t="e">
            <v>#N/A</v>
          </cell>
          <cell r="E441" t="e">
            <v>#N/A</v>
          </cell>
          <cell r="F441" t="e">
            <v>#N/A</v>
          </cell>
        </row>
        <row r="442">
          <cell r="B442">
            <v>45870</v>
          </cell>
          <cell r="C442" t="e">
            <v>#N/A</v>
          </cell>
          <cell r="D442" t="e">
            <v>#N/A</v>
          </cell>
          <cell r="E442" t="e">
            <v>#N/A</v>
          </cell>
          <cell r="F442" t="e">
            <v>#N/A</v>
          </cell>
        </row>
        <row r="443">
          <cell r="B443">
            <v>45901</v>
          </cell>
          <cell r="C443" t="e">
            <v>#N/A</v>
          </cell>
          <cell r="D443" t="e">
            <v>#N/A</v>
          </cell>
          <cell r="E443" t="e">
            <v>#N/A</v>
          </cell>
          <cell r="F443" t="e">
            <v>#N/A</v>
          </cell>
        </row>
        <row r="444">
          <cell r="B444">
            <v>45931</v>
          </cell>
          <cell r="C444" t="e">
            <v>#N/A</v>
          </cell>
          <cell r="D444" t="e">
            <v>#N/A</v>
          </cell>
          <cell r="E444" t="e">
            <v>#N/A</v>
          </cell>
          <cell r="F444" t="e">
            <v>#N/A</v>
          </cell>
        </row>
        <row r="445">
          <cell r="B445">
            <v>45962</v>
          </cell>
          <cell r="C445" t="e">
            <v>#N/A</v>
          </cell>
          <cell r="D445" t="e">
            <v>#N/A</v>
          </cell>
          <cell r="E445" t="e">
            <v>#N/A</v>
          </cell>
          <cell r="F445" t="e">
            <v>#N/A</v>
          </cell>
        </row>
        <row r="446">
          <cell r="B446">
            <v>45992</v>
          </cell>
          <cell r="C446" t="e">
            <v>#N/A</v>
          </cell>
          <cell r="D446" t="e">
            <v>#N/A</v>
          </cell>
          <cell r="E446" t="e">
            <v>#N/A</v>
          </cell>
          <cell r="F446" t="e">
            <v>#N/A</v>
          </cell>
        </row>
        <row r="447">
          <cell r="B447">
            <v>46023</v>
          </cell>
          <cell r="C447" t="e">
            <v>#N/A</v>
          </cell>
          <cell r="D447" t="e">
            <v>#N/A</v>
          </cell>
          <cell r="E447" t="e">
            <v>#N/A</v>
          </cell>
          <cell r="F447" t="e">
            <v>#N/A</v>
          </cell>
        </row>
        <row r="448">
          <cell r="B448">
            <v>46054</v>
          </cell>
          <cell r="C448" t="e">
            <v>#N/A</v>
          </cell>
          <cell r="D448" t="e">
            <v>#N/A</v>
          </cell>
          <cell r="E448" t="e">
            <v>#N/A</v>
          </cell>
          <cell r="F448" t="e">
            <v>#N/A</v>
          </cell>
        </row>
        <row r="449">
          <cell r="B449">
            <v>46082</v>
          </cell>
          <cell r="C449" t="e">
            <v>#N/A</v>
          </cell>
          <cell r="D449" t="e">
            <v>#N/A</v>
          </cell>
          <cell r="E449" t="e">
            <v>#N/A</v>
          </cell>
          <cell r="F449" t="e">
            <v>#N/A</v>
          </cell>
        </row>
        <row r="450">
          <cell r="B450">
            <v>46113</v>
          </cell>
          <cell r="C450" t="e">
            <v>#N/A</v>
          </cell>
          <cell r="D450" t="e">
            <v>#N/A</v>
          </cell>
          <cell r="E450" t="e">
            <v>#N/A</v>
          </cell>
          <cell r="F450" t="e">
            <v>#N/A</v>
          </cell>
        </row>
        <row r="451">
          <cell r="B451">
            <v>46143</v>
          </cell>
          <cell r="C451" t="e">
            <v>#N/A</v>
          </cell>
          <cell r="D451" t="e">
            <v>#N/A</v>
          </cell>
          <cell r="E451" t="e">
            <v>#N/A</v>
          </cell>
          <cell r="F451" t="e">
            <v>#N/A</v>
          </cell>
        </row>
        <row r="452">
          <cell r="B452">
            <v>46174</v>
          </cell>
          <cell r="C452" t="e">
            <v>#N/A</v>
          </cell>
          <cell r="D452" t="e">
            <v>#N/A</v>
          </cell>
          <cell r="E452" t="e">
            <v>#N/A</v>
          </cell>
          <cell r="F452" t="e">
            <v>#N/A</v>
          </cell>
        </row>
        <row r="453">
          <cell r="B453">
            <v>46204</v>
          </cell>
          <cell r="C453" t="e">
            <v>#N/A</v>
          </cell>
          <cell r="D453" t="e">
            <v>#N/A</v>
          </cell>
          <cell r="E453" t="e">
            <v>#N/A</v>
          </cell>
          <cell r="F453" t="e">
            <v>#N/A</v>
          </cell>
        </row>
        <row r="454">
          <cell r="B454">
            <v>46235</v>
          </cell>
          <cell r="C454" t="e">
            <v>#N/A</v>
          </cell>
          <cell r="D454" t="e">
            <v>#N/A</v>
          </cell>
          <cell r="E454" t="e">
            <v>#N/A</v>
          </cell>
          <cell r="F454" t="e">
            <v>#N/A</v>
          </cell>
        </row>
        <row r="455">
          <cell r="B455">
            <v>46266</v>
          </cell>
          <cell r="C455" t="e">
            <v>#N/A</v>
          </cell>
          <cell r="D455" t="e">
            <v>#N/A</v>
          </cell>
          <cell r="E455" t="e">
            <v>#N/A</v>
          </cell>
          <cell r="F455" t="e">
            <v>#N/A</v>
          </cell>
        </row>
        <row r="456">
          <cell r="B456">
            <v>46296</v>
          </cell>
          <cell r="C456" t="e">
            <v>#N/A</v>
          </cell>
          <cell r="D456" t="e">
            <v>#N/A</v>
          </cell>
          <cell r="E456" t="e">
            <v>#N/A</v>
          </cell>
          <cell r="F456" t="e">
            <v>#N/A</v>
          </cell>
        </row>
        <row r="457">
          <cell r="B457">
            <v>46327</v>
          </cell>
          <cell r="C457" t="e">
            <v>#N/A</v>
          </cell>
          <cell r="D457" t="e">
            <v>#N/A</v>
          </cell>
          <cell r="E457" t="e">
            <v>#N/A</v>
          </cell>
          <cell r="F457" t="e">
            <v>#N/A</v>
          </cell>
        </row>
        <row r="458">
          <cell r="B458">
            <v>46357</v>
          </cell>
          <cell r="C458" t="e">
            <v>#N/A</v>
          </cell>
          <cell r="D458" t="e">
            <v>#N/A</v>
          </cell>
          <cell r="E458" t="e">
            <v>#N/A</v>
          </cell>
          <cell r="F458" t="e">
            <v>#N/A</v>
          </cell>
        </row>
        <row r="459">
          <cell r="B459">
            <v>46388</v>
          </cell>
          <cell r="C459" t="e">
            <v>#N/A</v>
          </cell>
          <cell r="D459" t="e">
            <v>#N/A</v>
          </cell>
          <cell r="E459" t="e">
            <v>#N/A</v>
          </cell>
          <cell r="F459" t="e">
            <v>#N/A</v>
          </cell>
        </row>
        <row r="460">
          <cell r="B460">
            <v>46419</v>
          </cell>
          <cell r="C460" t="e">
            <v>#N/A</v>
          </cell>
          <cell r="D460" t="e">
            <v>#N/A</v>
          </cell>
          <cell r="E460" t="e">
            <v>#N/A</v>
          </cell>
          <cell r="F460" t="e">
            <v>#N/A</v>
          </cell>
        </row>
        <row r="461">
          <cell r="B461">
            <v>46447</v>
          </cell>
          <cell r="C461" t="e">
            <v>#N/A</v>
          </cell>
          <cell r="D461" t="e">
            <v>#N/A</v>
          </cell>
          <cell r="E461" t="e">
            <v>#N/A</v>
          </cell>
          <cell r="F461" t="e">
            <v>#N/A</v>
          </cell>
        </row>
        <row r="462">
          <cell r="B462">
            <v>46478</v>
          </cell>
          <cell r="C462" t="e">
            <v>#N/A</v>
          </cell>
          <cell r="D462" t="e">
            <v>#N/A</v>
          </cell>
          <cell r="E462" t="e">
            <v>#N/A</v>
          </cell>
          <cell r="F462" t="e">
            <v>#N/A</v>
          </cell>
        </row>
        <row r="463">
          <cell r="B463">
            <v>46508</v>
          </cell>
          <cell r="C463" t="e">
            <v>#N/A</v>
          </cell>
          <cell r="D463" t="e">
            <v>#N/A</v>
          </cell>
          <cell r="E463" t="e">
            <v>#N/A</v>
          </cell>
          <cell r="F463" t="e">
            <v>#N/A</v>
          </cell>
        </row>
        <row r="464">
          <cell r="B464">
            <v>46539</v>
          </cell>
          <cell r="C464" t="e">
            <v>#N/A</v>
          </cell>
          <cell r="D464" t="e">
            <v>#N/A</v>
          </cell>
          <cell r="E464" t="e">
            <v>#N/A</v>
          </cell>
          <cell r="F464" t="e">
            <v>#N/A</v>
          </cell>
        </row>
        <row r="465">
          <cell r="B465">
            <v>46569</v>
          </cell>
          <cell r="C465" t="e">
            <v>#N/A</v>
          </cell>
          <cell r="D465" t="e">
            <v>#N/A</v>
          </cell>
          <cell r="E465" t="e">
            <v>#N/A</v>
          </cell>
          <cell r="F465" t="e">
            <v>#N/A</v>
          </cell>
        </row>
        <row r="466">
          <cell r="B466">
            <v>46600</v>
          </cell>
          <cell r="C466" t="e">
            <v>#N/A</v>
          </cell>
          <cell r="D466" t="e">
            <v>#N/A</v>
          </cell>
          <cell r="E466" t="e">
            <v>#N/A</v>
          </cell>
          <cell r="F466" t="e">
            <v>#N/A</v>
          </cell>
        </row>
        <row r="467">
          <cell r="B467">
            <v>46631</v>
          </cell>
          <cell r="C467" t="e">
            <v>#N/A</v>
          </cell>
          <cell r="D467" t="e">
            <v>#N/A</v>
          </cell>
          <cell r="E467" t="e">
            <v>#N/A</v>
          </cell>
          <cell r="F467" t="e">
            <v>#N/A</v>
          </cell>
        </row>
        <row r="468">
          <cell r="B468">
            <v>46661</v>
          </cell>
          <cell r="C468" t="e">
            <v>#N/A</v>
          </cell>
          <cell r="D468" t="e">
            <v>#N/A</v>
          </cell>
          <cell r="E468" t="e">
            <v>#N/A</v>
          </cell>
          <cell r="F468" t="e">
            <v>#N/A</v>
          </cell>
        </row>
        <row r="469">
          <cell r="B469">
            <v>46692</v>
          </cell>
          <cell r="C469" t="e">
            <v>#N/A</v>
          </cell>
          <cell r="D469" t="e">
            <v>#N/A</v>
          </cell>
          <cell r="E469" t="e">
            <v>#N/A</v>
          </cell>
          <cell r="F469" t="e">
            <v>#N/A</v>
          </cell>
        </row>
        <row r="470">
          <cell r="B470">
            <v>46722</v>
          </cell>
          <cell r="C470" t="e">
            <v>#N/A</v>
          </cell>
          <cell r="D470" t="e">
            <v>#N/A</v>
          </cell>
          <cell r="E470" t="e">
            <v>#N/A</v>
          </cell>
          <cell r="F470" t="e">
            <v>#N/A</v>
          </cell>
        </row>
        <row r="471">
          <cell r="B471">
            <v>46753</v>
          </cell>
          <cell r="C471" t="e">
            <v>#N/A</v>
          </cell>
          <cell r="D471" t="e">
            <v>#N/A</v>
          </cell>
          <cell r="E471" t="e">
            <v>#N/A</v>
          </cell>
          <cell r="F471" t="e">
            <v>#N/A</v>
          </cell>
        </row>
        <row r="472">
          <cell r="B472">
            <v>46784</v>
          </cell>
          <cell r="C472" t="e">
            <v>#N/A</v>
          </cell>
          <cell r="D472" t="e">
            <v>#N/A</v>
          </cell>
          <cell r="E472" t="e">
            <v>#N/A</v>
          </cell>
          <cell r="F472" t="e">
            <v>#N/A</v>
          </cell>
        </row>
        <row r="473">
          <cell r="B473">
            <v>46813</v>
          </cell>
          <cell r="C473" t="e">
            <v>#N/A</v>
          </cell>
          <cell r="D473" t="e">
            <v>#N/A</v>
          </cell>
          <cell r="E473" t="e">
            <v>#N/A</v>
          </cell>
          <cell r="F473" t="e">
            <v>#N/A</v>
          </cell>
        </row>
        <row r="474">
          <cell r="B474">
            <v>46844</v>
          </cell>
          <cell r="C474" t="e">
            <v>#N/A</v>
          </cell>
          <cell r="D474" t="e">
            <v>#N/A</v>
          </cell>
          <cell r="E474" t="e">
            <v>#N/A</v>
          </cell>
          <cell r="F474" t="e">
            <v>#N/A</v>
          </cell>
        </row>
        <row r="475">
          <cell r="B475">
            <v>46874</v>
          </cell>
          <cell r="C475" t="e">
            <v>#N/A</v>
          </cell>
          <cell r="D475" t="e">
            <v>#N/A</v>
          </cell>
          <cell r="E475" t="e">
            <v>#N/A</v>
          </cell>
          <cell r="F475" t="e">
            <v>#N/A</v>
          </cell>
        </row>
        <row r="476">
          <cell r="B476">
            <v>46905</v>
          </cell>
          <cell r="C476" t="e">
            <v>#N/A</v>
          </cell>
          <cell r="D476" t="e">
            <v>#N/A</v>
          </cell>
          <cell r="E476" t="e">
            <v>#N/A</v>
          </cell>
          <cell r="F476" t="e">
            <v>#N/A</v>
          </cell>
        </row>
        <row r="477">
          <cell r="B477">
            <v>46935</v>
          </cell>
          <cell r="C477" t="e">
            <v>#N/A</v>
          </cell>
          <cell r="D477" t="e">
            <v>#N/A</v>
          </cell>
          <cell r="E477" t="e">
            <v>#N/A</v>
          </cell>
          <cell r="F477" t="e">
            <v>#N/A</v>
          </cell>
        </row>
        <row r="478">
          <cell r="B478">
            <v>46966</v>
          </cell>
          <cell r="C478" t="e">
            <v>#N/A</v>
          </cell>
          <cell r="D478" t="e">
            <v>#N/A</v>
          </cell>
          <cell r="E478" t="e">
            <v>#N/A</v>
          </cell>
          <cell r="F478" t="e">
            <v>#N/A</v>
          </cell>
        </row>
        <row r="479">
          <cell r="B479">
            <v>46997</v>
          </cell>
          <cell r="C479" t="e">
            <v>#N/A</v>
          </cell>
          <cell r="D479" t="e">
            <v>#N/A</v>
          </cell>
          <cell r="E479" t="e">
            <v>#N/A</v>
          </cell>
          <cell r="F479" t="e">
            <v>#N/A</v>
          </cell>
        </row>
        <row r="480">
          <cell r="B480">
            <v>47027</v>
          </cell>
          <cell r="C480" t="e">
            <v>#N/A</v>
          </cell>
          <cell r="D480" t="e">
            <v>#N/A</v>
          </cell>
          <cell r="E480" t="e">
            <v>#N/A</v>
          </cell>
          <cell r="F480" t="e">
            <v>#N/A</v>
          </cell>
        </row>
        <row r="481">
          <cell r="B481">
            <v>47058</v>
          </cell>
          <cell r="C481" t="e">
            <v>#N/A</v>
          </cell>
          <cell r="D481" t="e">
            <v>#N/A</v>
          </cell>
          <cell r="E481" t="e">
            <v>#N/A</v>
          </cell>
          <cell r="F481" t="e">
            <v>#N/A</v>
          </cell>
        </row>
        <row r="482">
          <cell r="B482">
            <v>47088</v>
          </cell>
          <cell r="C482" t="e">
            <v>#N/A</v>
          </cell>
          <cell r="D482" t="e">
            <v>#N/A</v>
          </cell>
          <cell r="E482" t="e">
            <v>#N/A</v>
          </cell>
          <cell r="F482" t="e">
            <v>#N/A</v>
          </cell>
        </row>
        <row r="483">
          <cell r="B483">
            <v>47119</v>
          </cell>
          <cell r="C483" t="e">
            <v>#N/A</v>
          </cell>
          <cell r="D483" t="e">
            <v>#N/A</v>
          </cell>
          <cell r="E483" t="e">
            <v>#N/A</v>
          </cell>
          <cell r="F483" t="e">
            <v>#N/A</v>
          </cell>
        </row>
        <row r="484">
          <cell r="B484">
            <v>47150</v>
          </cell>
          <cell r="C484" t="e">
            <v>#N/A</v>
          </cell>
          <cell r="D484" t="e">
            <v>#N/A</v>
          </cell>
          <cell r="E484" t="e">
            <v>#N/A</v>
          </cell>
          <cell r="F484" t="e">
            <v>#N/A</v>
          </cell>
        </row>
        <row r="485">
          <cell r="B485">
            <v>47178</v>
          </cell>
          <cell r="C485" t="e">
            <v>#N/A</v>
          </cell>
          <cell r="D485" t="e">
            <v>#N/A</v>
          </cell>
          <cell r="E485" t="e">
            <v>#N/A</v>
          </cell>
          <cell r="F485" t="e">
            <v>#N/A</v>
          </cell>
        </row>
        <row r="486">
          <cell r="B486">
            <v>47209</v>
          </cell>
          <cell r="C486" t="e">
            <v>#N/A</v>
          </cell>
          <cell r="D486" t="e">
            <v>#N/A</v>
          </cell>
          <cell r="E486" t="e">
            <v>#N/A</v>
          </cell>
          <cell r="F486" t="e">
            <v>#N/A</v>
          </cell>
        </row>
        <row r="487">
          <cell r="B487">
            <v>47239</v>
          </cell>
          <cell r="C487" t="e">
            <v>#N/A</v>
          </cell>
          <cell r="D487" t="e">
            <v>#N/A</v>
          </cell>
          <cell r="E487" t="e">
            <v>#N/A</v>
          </cell>
          <cell r="F487" t="e">
            <v>#N/A</v>
          </cell>
        </row>
        <row r="488">
          <cell r="B488">
            <v>47270</v>
          </cell>
          <cell r="C488" t="e">
            <v>#N/A</v>
          </cell>
          <cell r="D488" t="e">
            <v>#N/A</v>
          </cell>
          <cell r="E488" t="e">
            <v>#N/A</v>
          </cell>
          <cell r="F488" t="e">
            <v>#N/A</v>
          </cell>
        </row>
        <row r="489">
          <cell r="B489">
            <v>47300</v>
          </cell>
          <cell r="C489" t="e">
            <v>#N/A</v>
          </cell>
          <cell r="D489" t="e">
            <v>#N/A</v>
          </cell>
          <cell r="E489" t="e">
            <v>#N/A</v>
          </cell>
          <cell r="F489" t="e">
            <v>#N/A</v>
          </cell>
        </row>
        <row r="490">
          <cell r="B490">
            <v>47331</v>
          </cell>
          <cell r="C490" t="e">
            <v>#N/A</v>
          </cell>
          <cell r="D490" t="e">
            <v>#N/A</v>
          </cell>
          <cell r="E490" t="e">
            <v>#N/A</v>
          </cell>
          <cell r="F490" t="e">
            <v>#N/A</v>
          </cell>
        </row>
        <row r="491">
          <cell r="B491">
            <v>47362</v>
          </cell>
          <cell r="C491" t="e">
            <v>#N/A</v>
          </cell>
          <cell r="D491" t="e">
            <v>#N/A</v>
          </cell>
          <cell r="E491" t="e">
            <v>#N/A</v>
          </cell>
          <cell r="F491" t="e">
            <v>#N/A</v>
          </cell>
        </row>
        <row r="492">
          <cell r="B492">
            <v>47392</v>
          </cell>
          <cell r="C492" t="e">
            <v>#N/A</v>
          </cell>
          <cell r="D492" t="e">
            <v>#N/A</v>
          </cell>
          <cell r="E492" t="e">
            <v>#N/A</v>
          </cell>
          <cell r="F492" t="e">
            <v>#N/A</v>
          </cell>
        </row>
        <row r="493">
          <cell r="B493">
            <v>47423</v>
          </cell>
          <cell r="C493" t="e">
            <v>#N/A</v>
          </cell>
          <cell r="D493" t="e">
            <v>#N/A</v>
          </cell>
          <cell r="E493" t="e">
            <v>#N/A</v>
          </cell>
          <cell r="F493" t="e">
            <v>#N/A</v>
          </cell>
        </row>
        <row r="494">
          <cell r="B494">
            <v>47453</v>
          </cell>
          <cell r="C494" t="e">
            <v>#N/A</v>
          </cell>
          <cell r="D494" t="e">
            <v>#N/A</v>
          </cell>
          <cell r="E494" t="e">
            <v>#N/A</v>
          </cell>
          <cell r="F494" t="e">
            <v>#N/A</v>
          </cell>
        </row>
        <row r="495">
          <cell r="B495">
            <v>47484</v>
          </cell>
          <cell r="C495" t="e">
            <v>#N/A</v>
          </cell>
          <cell r="D495" t="e">
            <v>#N/A</v>
          </cell>
          <cell r="E495" t="e">
            <v>#N/A</v>
          </cell>
          <cell r="F495" t="e">
            <v>#N/A</v>
          </cell>
        </row>
        <row r="496">
          <cell r="B496">
            <v>47515</v>
          </cell>
          <cell r="C496" t="e">
            <v>#N/A</v>
          </cell>
          <cell r="D496" t="e">
            <v>#N/A</v>
          </cell>
          <cell r="E496" t="e">
            <v>#N/A</v>
          </cell>
          <cell r="F496" t="e">
            <v>#N/A</v>
          </cell>
        </row>
        <row r="497">
          <cell r="B497">
            <v>47543</v>
          </cell>
          <cell r="C497" t="e">
            <v>#N/A</v>
          </cell>
          <cell r="D497" t="e">
            <v>#N/A</v>
          </cell>
          <cell r="E497" t="e">
            <v>#N/A</v>
          </cell>
          <cell r="F497" t="e">
            <v>#N/A</v>
          </cell>
        </row>
        <row r="498">
          <cell r="B498">
            <v>47574</v>
          </cell>
          <cell r="C498" t="e">
            <v>#N/A</v>
          </cell>
          <cell r="D498" t="e">
            <v>#N/A</v>
          </cell>
          <cell r="E498" t="e">
            <v>#N/A</v>
          </cell>
          <cell r="F498" t="e">
            <v>#N/A</v>
          </cell>
        </row>
        <row r="499">
          <cell r="B499">
            <v>47604</v>
          </cell>
          <cell r="C499" t="e">
            <v>#N/A</v>
          </cell>
          <cell r="D499" t="e">
            <v>#N/A</v>
          </cell>
          <cell r="E499" t="e">
            <v>#N/A</v>
          </cell>
          <cell r="F499" t="e">
            <v>#N/A</v>
          </cell>
        </row>
        <row r="500">
          <cell r="B500">
            <v>47635</v>
          </cell>
          <cell r="C500" t="e">
            <v>#N/A</v>
          </cell>
          <cell r="D500" t="e">
            <v>#N/A</v>
          </cell>
          <cell r="E500" t="e">
            <v>#N/A</v>
          </cell>
          <cell r="F500" t="e">
            <v>#N/A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62.435957986112" createdVersion="4" refreshedVersion="7" minRefreshableVersion="3" recordCount="811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82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530" maxValue="5315"/>
    </cacheField>
    <cacheField name="Daj" numFmtId="4">
      <sharedItems containsSemiMixedTypes="0" containsString="0" containsNumber="1" minValue="-530" maxValue="5315"/>
    </cacheField>
    <cacheField name="TUSD_E" numFmtId="4">
      <sharedItems containsSemiMixedTypes="0" containsString="0" containsNumber="1" minValue="-85.400999999999996" maxValue="3658.5610000000001"/>
    </cacheField>
    <cacheField name="TUSD_Eaj" numFmtId="4">
      <sharedItems containsSemiMixedTypes="0" containsString="0" containsNumber="1" minValue="-85.400999999999996" maxValue="3658.5610000000001"/>
    </cacheField>
    <cacheField name="TE_E" numFmtId="4">
      <sharedItems containsSemiMixedTypes="0" containsString="0" containsNumber="1" minValue="-85.400999999999996" maxValue="3658.5610000000001"/>
    </cacheField>
    <cacheField name="TE_Eaj" numFmtId="4">
      <sharedItems containsSemiMixedTypes="0" containsString="0" containsNumber="1" minValue="-85.400999999999996" maxValue="3658.5610000000001"/>
    </cacheField>
    <cacheField name="TUSD/KW" numFmtId="4">
      <sharedItems containsString="0" containsBlank="1" containsNumber="1" minValue="21.22" maxValue="67.099999999999994"/>
    </cacheField>
    <cacheField name="TUSD/MWh" numFmtId="4">
      <sharedItems containsString="0" containsBlank="1" containsNumber="1" minValue="70.33" maxValue="1684.16"/>
    </cacheField>
    <cacheField name="TE" numFmtId="4">
      <sharedItems containsString="0" containsBlank="1" containsNumber="1" minValue="95.6" maxValue="173.82"/>
    </cacheField>
    <cacheField name="ReceitaD" numFmtId="4">
      <sharedItems containsString="0" containsBlank="1" containsNumber="1" minValue="-31333.599999999999" maxValue="314222.8"/>
    </cacheField>
    <cacheField name="ReceitaE" numFmtId="4">
      <sharedItems containsString="0" containsBlank="1" containsNumber="1" minValue="-58982.200649999999" maxValue="2526785.1546499999"/>
    </cacheField>
    <cacheField name="Total" numFmtId="4">
      <sharedItems containsString="0" containsBlank="1" containsNumber="1" minValue="-58982.200649999999" maxValue="2526785.1546499999"/>
    </cacheField>
    <cacheField name="Total com Tar de aplicação" numFmtId="4">
      <sharedItems containsString="0" containsBlank="1" containsNumber="1" minValue="-44532.351450000002" maxValue="1907756.6334500001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5222.224671190982" maxValue="223719.0140075309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minValue="-303.19199256685147" maxValue="9945.5934675889748"/>
    </cacheField>
    <cacheField name="CUSD" numFmtId="4">
      <sharedItems containsString="0" containsBlank="1" containsNumber="1" minValue="-4612.5621888167016" maxValue="125951.85827678131"/>
    </cacheField>
    <cacheField name="DISTRIBUICAO" numFmtId="4">
      <sharedItems containsString="0" containsBlank="1" containsNumber="1" minValue="-31053.152523031262" maxValue="1330310.5671808736"/>
    </cacheField>
    <cacheField name="EnergiaRevenda" numFmtId="4">
      <sharedItems containsString="0" containsBlank="1" containsNumber="1" minValue="-13742.91129737443" maxValue="588743.44912862265"/>
    </cacheField>
    <cacheField name="ESSERR" numFmtId="4">
      <sharedItems containsString="0" containsBlank="1" containsNumber="1" minValue="-691.39500034789069" maxValue="29619.217384665048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807.16726605734061" maxValue="34578.877063196102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32.50323619413837" maxValue="5676.4109590480566"/>
    </cacheField>
    <cacheField name="TUST_FR" numFmtId="4">
      <sharedItems containsString="0" containsBlank="1" containsNumber="1" minValue="-649.34932285968455" maxValue="21214.179784697535"/>
    </cacheField>
    <cacheField name="TUST_RB" numFmtId="4">
      <sharedItems containsString="0" containsBlank="1" containsNumber="1" minValue="-2152.3235679305681" maxValue="69473.570391378118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minValue="-47.381552308866908" maxValue="2029.8158030547702"/>
    </cacheField>
    <cacheField name="perdasrb_c" numFmtId="4">
      <sharedItems containsString="0" containsBlank="1" containsNumber="1" minValue="-410.41058970752647" maxValue="17581.903929590495"/>
    </cacheField>
    <cacheField name="perdastec" numFmtId="4">
      <sharedItems containsString="0" containsBlank="1" containsNumber="1" minValue="-1586.6073801280488" maxValue="67969.92872739963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1160.22" maxValue="12905.17"/>
    </cacheField>
    <cacheField name="Cofins" numFmtId="4">
      <sharedItems containsSemiMixedTypes="0" containsString="0" containsNumber="1" minValue="-5337.39" maxValue="60660.62"/>
    </cacheField>
    <cacheField name="ICMS" numFmtId="4">
      <sharedItems containsSemiMixedTypes="0" containsString="0" containsNumber="1" minValue="-27917.49" maxValue="595711.91"/>
    </cacheField>
    <cacheField name="UC" numFmtId="4">
      <sharedItems containsSemiMixedTypes="0" containsString="0" containsNumber="1" containsInteger="1" minValue="0" maxValue="12999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3840.2772530850002" maxValue="85011.363900000011"/>
    </cacheField>
    <cacheField name="Subs_GerFI" numFmtId="4">
      <sharedItems containsString="0" containsBlank="1" containsNumber="1" minValue="11580.5" maxValue="11580.5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23.5456149999996" maxValue="818.41419420000011"/>
    </cacheField>
    <cacheField name="Subs_Rural" numFmtId="4">
      <sharedItems containsString="0" containsBlank="1" containsNumber="1" minValue="-2055.1742199999999" maxValue="228916.16176999998"/>
    </cacheField>
    <cacheField name="Subs_Irrigante" numFmtId="4">
      <sharedItems containsString="0" containsBlank="1" containsNumber="1" minValue="0.33789800000000003" maxValue="79069.821489999988"/>
    </cacheField>
    <cacheField name="Subs_BaixaRenda" numFmtId="4">
      <sharedItems containsString="0" containsBlank="1" containsNumber="1" minValue="-1654.7154399999999" maxValue="15476.317640000001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15787.310819518872" maxValue="676325.09758866753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44531.83" maxValue="1678840.0127999999"/>
    </cacheField>
    <cacheField name="FinAj" numFmtId="4">
      <sharedItems containsSemiMixedTypes="0" containsString="0" containsNumber="1" minValue="-544723.63617000007" maxValue="22208.388849999988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696553.42879000015" maxValue="16259.496390000002"/>
    </cacheField>
    <cacheField name="FinPostTE" numFmtId="4">
      <sharedItems containsSemiMixedTypes="0" containsString="0" containsNumber="1" minValue="-1809.6471899999997" maxValue="77524.907589999988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990.3453736753108" maxValue="85265.98003136809"/>
    </cacheField>
    <cacheField name="finCT_TUST_FR" numFmtId="4">
      <sharedItems containsString="0" containsBlank="1" containsNumber="1" minValue="-63.04771684383195" maxValue="2059.7628318907264"/>
    </cacheField>
    <cacheField name="finCT_TUST_RB" numFmtId="4">
      <sharedItems containsString="0" containsBlank="1" containsNumber="1" minValue="-208.97702067291812" maxValue="6745.4447705829953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2415.0271229495411" maxValue="88.442226614888568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1764.0545523927703" maxValue="75571.728519064607"/>
    </cacheField>
    <cacheField name="FINCT_perdasrb_c" numFmtId="4">
      <sharedItems containsString="0" containsBlank="1" containsNumber="1" minValue="-52.68073506827136" maxValue="2256.8316854850636"/>
    </cacheField>
    <cacheField name="FINCT_perdasrb_d" numFmtId="4">
      <sharedItems containsString="0" containsBlank="1" containsNumber="1" minValue="-6.0819459022381608" maxValue="260.54929195253408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203.65859250721223" maxValue="8724.6915593702433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6538.3012789691857" maxValue="152.62215595838006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minValue="-329.20673044719661" maxValue="7.6846016745165571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895.58097221182106" maxValue="20.905353391090671"/>
    </cacheField>
    <cacheField name="finCT_TFSEE" numFmtId="4">
      <sharedItems containsString="0" containsBlank="1" containsNumber="1" minValue="-174.91252240000813" maxValue="4.0829452687773085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25525.752808798872" maxValue="255979.95505427549"/>
    </cacheField>
    <cacheField name="DIST_E" numFmtId="4">
      <sharedItems containsString="0" containsBlank="1" containsNumber="1" minValue="-31053.152523031262" maxValue="1330310.5671808736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696553.42879000003" maxValue="16259.49639"/>
    </cacheField>
    <cacheField name="Fin_TE" numFmtId="4">
      <sharedItems containsString="0" containsBlank="1" containsNumber="1" minValue="-1809.6471899999997" maxValue="77524.907589999959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704328.9182771456" maxValue="16440.997963348571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39" maxValue="239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1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852.9190000000001"/>
    <n v="1852.9190000000001"/>
    <n v="1852.9190000000001"/>
    <n v="1852.9190000000001"/>
    <m/>
    <n v="516.83000000000004"/>
    <n v="173.82"/>
    <m/>
    <n v="1279718.5073500001"/>
    <n v="1279718.5073500001"/>
    <n v="966204.61254999996"/>
    <n v="0"/>
    <n v="113304.98841370152"/>
    <n v="0"/>
    <n v="0"/>
    <n v="5037.056674023338"/>
    <n v="63789.722594855011"/>
    <n v="673750.61556448473"/>
    <n v="298175.68246530759"/>
    <n v="15000.982806402893"/>
    <n v="0"/>
    <n v="0"/>
    <n v="0"/>
    <n v="0"/>
    <n v="17512.857735339185"/>
    <m/>
    <n v="2874.8816044965129"/>
    <n v="10744.157823931861"/>
    <n v="35185.664138447311"/>
    <n v="0"/>
    <n v="0"/>
    <n v="0"/>
    <n v="0"/>
    <n v="0"/>
    <n v="0"/>
    <n v="0"/>
    <n v="0"/>
    <n v="0"/>
    <n v="0"/>
    <m/>
    <n v="0"/>
    <n v="0"/>
    <n v="0"/>
    <n v="1028.0228395755714"/>
    <n v="8904.5512285603254"/>
    <n v="34424.128056808288"/>
    <n v="0"/>
    <n v="0"/>
    <n v="0"/>
    <n v="502084.42"/>
    <n v="12943"/>
    <m/>
    <m/>
    <m/>
    <m/>
    <m/>
    <m/>
    <m/>
    <m/>
    <m/>
    <n v="342532.38459025184"/>
    <m/>
    <m/>
    <m/>
    <m/>
    <m/>
    <m/>
    <m/>
    <m/>
    <m/>
    <m/>
    <m/>
    <m/>
    <n v="966205.13400000008"/>
    <n v="-313513.40335000004"/>
    <m/>
    <m/>
    <m/>
    <m/>
    <n v="-352777.24841000012"/>
    <n v="39263.353609999998"/>
    <n v="31"/>
    <n v="43183.906036756933"/>
    <n v="1043.1898461455567"/>
    <n v="3416.3056947427904"/>
    <n v="0"/>
    <n v="0"/>
    <n v="0"/>
    <n v="0"/>
    <n v="0"/>
    <n v="-1223.1174064416409"/>
    <n v="0"/>
    <n v="0"/>
    <n v="38274.144297667022"/>
    <n v="1142.9975637517855"/>
    <n v="131.95809322173318"/>
    <n v="0"/>
    <n v="4418.7172933557085"/>
    <n v="0"/>
    <n v="-3311.3955644107773"/>
    <m/>
    <n v="0"/>
    <n v="0"/>
    <n v="-166.73041826376357"/>
    <n v="0"/>
    <n v="-453.5769663126448"/>
    <n v="-88.586396698839053"/>
    <n v="0"/>
    <n v="0"/>
    <m/>
    <m/>
    <m/>
    <n v="673750.61556448473"/>
    <n v="0"/>
    <n v="0"/>
    <n v="-352777.24841000012"/>
    <n v="39263.353609999991"/>
    <n v="0"/>
    <n v="0"/>
    <n v="-356715.23173323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2.5550000000000002"/>
    <n v="-2.5550000000000002"/>
    <n v="-2.5550000000000002"/>
    <n v="-2.5550000000000002"/>
    <m/>
    <n v="516.83000000000004"/>
    <n v="173.82"/>
    <m/>
    <n v="-1764.6107500000003"/>
    <n v="-1764.6107500000003"/>
    <n v="-1332.30475"/>
    <n v="0"/>
    <n v="-156.23685946175056"/>
    <n v="0"/>
    <n v="0"/>
    <n v="-6.9456246075136736"/>
    <n v="-87.959992438878629"/>
    <n v="-929.03835665091606"/>
    <n v="-411.15605630837666"/>
    <n v="-20.684936076730494"/>
    <n v="0"/>
    <n v="0"/>
    <n v="0"/>
    <n v="0"/>
    <n v="-24.14857396021716"/>
    <m/>
    <n v="-3.9641897457409581"/>
    <n v="-14.81517715569105"/>
    <n v="-48.517702000860744"/>
    <n v="0"/>
    <n v="0"/>
    <n v="0"/>
    <n v="0"/>
    <n v="0"/>
    <n v="0"/>
    <n v="0"/>
    <n v="0"/>
    <n v="0"/>
    <n v="0"/>
    <m/>
    <n v="0"/>
    <n v="0"/>
    <n v="0"/>
    <n v="-1.4175462365681311"/>
    <n v="-12.278533702213442"/>
    <n v="-47.467615791702265"/>
    <n v="0"/>
    <n v="0"/>
    <n v="0"/>
    <n v="-708.91"/>
    <n v="0"/>
    <m/>
    <m/>
    <m/>
    <m/>
    <m/>
    <m/>
    <m/>
    <m/>
    <m/>
    <n v="-472.31975203886049"/>
    <m/>
    <m/>
    <m/>
    <m/>
    <m/>
    <m/>
    <m/>
    <m/>
    <m/>
    <m/>
    <m/>
    <m/>
    <n v="-1334.912"/>
    <n v="429.66875000000027"/>
    <m/>
    <m/>
    <m/>
    <m/>
    <n v="486.44645000000014"/>
    <n v="-54.140449999999994"/>
    <n v="31"/>
    <n v="-59.546520880790695"/>
    <n v="-1.4384601037076621"/>
    <n v="-4.7107623431287706"/>
    <n v="0"/>
    <n v="0"/>
    <n v="0"/>
    <n v="0"/>
    <n v="0"/>
    <n v="1.6865631867655253"/>
    <n v="0"/>
    <n v="0"/>
    <n v="-52.776423945428348"/>
    <n v="-1.5760855036759924"/>
    <n v="-0.18195772625869155"/>
    <n v="0"/>
    <n v="-6.0929931014382461"/>
    <n v="0"/>
    <n v="4.5661011987407676"/>
    <m/>
    <n v="0"/>
    <n v="0"/>
    <n v="0.22990547275078654"/>
    <n v="0"/>
    <n v="0.62543972452590424"/>
    <n v="0.12215226006400393"/>
    <n v="0"/>
    <n v="0"/>
    <m/>
    <m/>
    <m/>
    <n v="-929.03835665091606"/>
    <n v="0"/>
    <n v="0"/>
    <n v="486.44645000000014"/>
    <n v="-54.140450000000044"/>
    <n v="0"/>
    <n v="0"/>
    <n v="491.87655643792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8.902999999999999"/>
    <n v="28.902999999999999"/>
    <n v="28.902999999999999"/>
    <n v="28.902999999999999"/>
    <m/>
    <n v="516.83000000000004"/>
    <n v="173.82"/>
    <m/>
    <n v="19961.856950000001"/>
    <n v="19961.856950000001"/>
    <n v="15071.469349999999"/>
    <n v="0"/>
    <n v="1767.4027197741589"/>
    <n v="0"/>
    <n v="0"/>
    <n v="78.571189053216315"/>
    <n v="995.03235282227342"/>
    <n v="10509.587327703101"/>
    <n v="4651.1324835542109"/>
    <n v="233.99479742690465"/>
    <n v="0"/>
    <n v="0"/>
    <n v="0"/>
    <n v="0"/>
    <n v="273.17660789516884"/>
    <m/>
    <n v="44.844217699080588"/>
    <n v="167.59415472835161"/>
    <n v="548.84819605905204"/>
    <n v="0"/>
    <n v="0"/>
    <n v="0"/>
    <n v="0"/>
    <n v="0"/>
    <n v="0"/>
    <n v="0"/>
    <n v="0"/>
    <n v="0"/>
    <n v="0"/>
    <m/>
    <n v="0"/>
    <n v="0"/>
    <n v="0"/>
    <n v="16.035749070657019"/>
    <n v="138.89881001764192"/>
    <n v="536.96927562722919"/>
    <n v="0"/>
    <n v="0"/>
    <n v="0"/>
    <n v="16481.48"/>
    <n v="224"/>
    <m/>
    <m/>
    <m/>
    <m/>
    <m/>
    <m/>
    <m/>
    <m/>
    <m/>
    <n v="5343.0363182697392"/>
    <m/>
    <m/>
    <m/>
    <m/>
    <m/>
    <m/>
    <m/>
    <m/>
    <m/>
    <m/>
    <m/>
    <m/>
    <n v="15069.904999999999"/>
    <n v="-4891.9819499999976"/>
    <m/>
    <m/>
    <m/>
    <m/>
    <n v="-5502.8421700000008"/>
    <n v="612.45456999999988"/>
    <n v="31"/>
    <n v="673.60982114187573"/>
    <n v="16.272333611531337"/>
    <n v="53.289692369256727"/>
    <n v="0"/>
    <n v="0"/>
    <n v="0"/>
    <n v="0"/>
    <n v="0"/>
    <n v="-19.078957255218711"/>
    <n v="0"/>
    <n v="0"/>
    <n v="597.02425882376338"/>
    <n v="17.829197382679922"/>
    <n v="2.0583656211565433"/>
    <n v="0"/>
    <n v="68.925941139283509"/>
    <n v="0"/>
    <n v="-51.653237944111197"/>
    <m/>
    <n v="0"/>
    <n v="0"/>
    <n v="-2.600766293117772"/>
    <n v="0"/>
    <n v="-7.0751797878560296"/>
    <n v="-1.3818265254911566"/>
    <n v="0"/>
    <n v="0"/>
    <m/>
    <m/>
    <m/>
    <n v="10509.587327703101"/>
    <n v="0"/>
    <n v="0"/>
    <n v="-5502.8421699999999"/>
    <n v="612.45456999999988"/>
    <n v="0"/>
    <n v="0"/>
    <n v="-5564.269319266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24.78"/>
    <n v="24.78"/>
    <n v="24.78"/>
    <n v="24.78"/>
    <m/>
    <n v="446.23"/>
    <n v="173.82"/>
    <m/>
    <n v="15364.839"/>
    <n v="15364.839"/>
    <n v="11222.366399999999"/>
    <n v="0"/>
    <n v="0"/>
    <n v="0"/>
    <n v="0"/>
    <n v="67.363044138625767"/>
    <n v="853.09143351679541"/>
    <n v="9010.3994042308022"/>
    <n v="3987.6505187168582"/>
    <n v="200.61554441541355"/>
    <n v="0"/>
    <n v="0"/>
    <n v="0"/>
    <n v="0"/>
    <n v="0"/>
    <m/>
    <n v="38.447210136775318"/>
    <n v="143.6869236469762"/>
    <n v="470.55524680286857"/>
    <n v="0"/>
    <n v="0"/>
    <n v="0"/>
    <n v="0"/>
    <n v="0"/>
    <n v="0"/>
    <n v="0"/>
    <n v="0"/>
    <n v="0"/>
    <n v="0"/>
    <m/>
    <n v="0"/>
    <n v="0"/>
    <n v="0"/>
    <n v="13.748256650551189"/>
    <n v="119.08495700228927"/>
    <n v="460.37084904829049"/>
    <n v="0"/>
    <n v="0"/>
    <n v="0"/>
    <n v="1781.52"/>
    <n v="43"/>
    <m/>
    <m/>
    <m/>
    <m/>
    <m/>
    <m/>
    <m/>
    <n v="7294.4886000000006"/>
    <m/>
    <n v="4580.8545814179897"/>
    <m/>
    <m/>
    <m/>
    <m/>
    <m/>
    <m/>
    <m/>
    <m/>
    <m/>
    <m/>
    <m/>
    <m/>
    <n v="3927.8778000000002"/>
    <n v="-1449.9078000000009"/>
    <m/>
    <m/>
    <m/>
    <m/>
    <n v="-4667.5608000000002"/>
    <n v="525.08819999999992"/>
    <n v="31"/>
    <n v="627.87051722291289"/>
    <n v="13.951092512671579"/>
    <n v="45.687941629248996"/>
    <n v="0"/>
    <n v="0"/>
    <n v="0"/>
    <n v="0"/>
    <n v="0"/>
    <n v="-16.357352551095687"/>
    <n v="0"/>
    <n v="0"/>
    <n v="511.85901579949723"/>
    <n v="15.28587036441921"/>
    <n v="1.7647406875500486"/>
    <n v="0"/>
    <n v="59.093686518058519"/>
    <n v="0"/>
    <n v="0"/>
    <m/>
    <n v="0"/>
    <n v="0"/>
    <n v="-2.2297681466788504"/>
    <n v="0"/>
    <n v="0"/>
    <n v="-1.1847095907577341"/>
    <n v="0"/>
    <n v="0"/>
    <m/>
    <m/>
    <m/>
    <n v="9010.3994042308022"/>
    <n v="0"/>
    <n v="0"/>
    <n v="-4667.5608000000002"/>
    <n v="525.08819999999923"/>
    <n v="0"/>
    <n v="0"/>
    <n v="-4770.528793945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"/>
    <s v="Refaturamento - 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21"/>
    <n v="0.21"/>
    <n v="0.21"/>
    <n v="0.21"/>
    <m/>
    <n v="446.23"/>
    <n v="173.82"/>
    <m/>
    <n v="130.2105"/>
    <n v="130.2105"/>
    <n v="95.104799999999983"/>
    <n v="0"/>
    <n v="0"/>
    <n v="0"/>
    <n v="0"/>
    <n v="0.57087325541208267"/>
    <n v="7.2295884196338589"/>
    <n v="76.359316985006785"/>
    <n v="33.793648463702183"/>
    <n v="1.700131732334013"/>
    <n v="0"/>
    <n v="0"/>
    <n v="0"/>
    <n v="0"/>
    <n v="0"/>
    <m/>
    <n v="0.32582381471843486"/>
    <n v="1.2176857936184424"/>
    <n v="3.987756328837869"/>
    <n v="0"/>
    <n v="0"/>
    <n v="0"/>
    <n v="0"/>
    <n v="0"/>
    <n v="0"/>
    <n v="0"/>
    <n v="0"/>
    <n v="0"/>
    <n v="0"/>
    <m/>
    <n v="0"/>
    <n v="0"/>
    <n v="0"/>
    <n v="0.11651064958094226"/>
    <n v="1.0091945508668583"/>
    <n v="3.9014478732905968"/>
    <n v="0"/>
    <n v="0"/>
    <n v="0"/>
    <n v="14.67"/>
    <n v="0"/>
    <m/>
    <m/>
    <m/>
    <m/>
    <m/>
    <m/>
    <m/>
    <n v="61.817700000000002"/>
    <m/>
    <n v="38.820801537440587"/>
    <m/>
    <m/>
    <m/>
    <m/>
    <m/>
    <m/>
    <m/>
    <m/>
    <m/>
    <m/>
    <m/>
    <m/>
    <n v="33.287099999999995"/>
    <n v="-12.317100000000003"/>
    <m/>
    <m/>
    <m/>
    <m/>
    <n v="-39.555599999999998"/>
    <n v="4.4498999999999995"/>
    <n v="31"/>
    <n v="5.3209365866348506"/>
    <n v="0.11822959756501317"/>
    <n v="0.3871859460105842"/>
    <n v="0"/>
    <n v="0"/>
    <n v="0"/>
    <n v="0"/>
    <n v="0"/>
    <n v="-0.13862163178894704"/>
    <n v="0"/>
    <n v="0"/>
    <n v="4.3377882694872625"/>
    <n v="0.12954127427473905"/>
    <n v="1.4955429555508909E-2"/>
    <n v="0"/>
    <n v="0.50079395354286893"/>
    <n v="0"/>
    <n v="0"/>
    <m/>
    <n v="0"/>
    <n v="0"/>
    <n v="-1.889634022609199E-2"/>
    <n v="0"/>
    <n v="0"/>
    <n v="-1.0039911786082489E-2"/>
    <n v="0"/>
    <n v="0"/>
    <m/>
    <m/>
    <m/>
    <n v="76.359316985006785"/>
    <n v="0"/>
    <n v="0"/>
    <n v="-39.555599999999998"/>
    <n v="4.4498999999999995"/>
    <n v="0"/>
    <n v="0"/>
    <n v="-40.428210118185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9.234000000000002"/>
    <n v="49.234000000000002"/>
    <n v="49.234000000000002"/>
    <n v="49.234000000000002"/>
    <m/>
    <n v="446.23"/>
    <n v="173.82"/>
    <m/>
    <n v="30527.541700000002"/>
    <n v="30527.541700000002"/>
    <n v="22297.093919999999"/>
    <n v="0"/>
    <n v="0"/>
    <n v="0"/>
    <n v="0"/>
    <n v="133.83987550932611"/>
    <n v="1694.9597916773973"/>
    <n v="17902.260059237258"/>
    <n v="7922.8404212472078"/>
    <n v="398.59183671301338"/>
    <n v="0"/>
    <n v="0"/>
    <n v="0"/>
    <n v="0"/>
    <n v="0"/>
    <m/>
    <n v="76.388617589749643"/>
    <n v="285.48353506195429"/>
    <n v="934.91997663811264"/>
    <n v="0"/>
    <n v="0"/>
    <n v="0"/>
    <n v="0"/>
    <n v="0"/>
    <n v="0"/>
    <n v="0"/>
    <n v="0"/>
    <n v="0"/>
    <n v="0"/>
    <m/>
    <n v="0"/>
    <n v="0"/>
    <n v="0"/>
    <n v="27.31564438794339"/>
    <n v="236.60325960656618"/>
    <n v="914.68516473137743"/>
    <n v="0"/>
    <n v="0"/>
    <n v="0"/>
    <n v="6703.12"/>
    <n v="192"/>
    <m/>
    <m/>
    <m/>
    <m/>
    <m/>
    <m/>
    <m/>
    <n v="8919.2314399999996"/>
    <m/>
    <n v="9101.4444899730952"/>
    <m/>
    <m/>
    <m/>
    <m/>
    <m/>
    <m/>
    <m/>
    <m/>
    <m/>
    <m/>
    <m/>
    <m/>
    <n v="13376.775599999999"/>
    <n v="-4939.7794200000008"/>
    <m/>
    <m/>
    <m/>
    <m/>
    <n v="-9273.7162400000016"/>
    <n v="1043.26846"/>
    <n v="31"/>
    <n v="1247.4809138399087"/>
    <n v="27.718647650075525"/>
    <n v="90.774823170881405"/>
    <n v="0"/>
    <n v="0"/>
    <n v="0"/>
    <n v="0"/>
    <n v="0"/>
    <n v="-32.499511521414433"/>
    <n v="0"/>
    <n v="0"/>
    <n v="1016.9841317139808"/>
    <n v="30.370643322107156"/>
    <n v="3.5062648511234507"/>
    <n v="0"/>
    <n v="117.40995004156957"/>
    <n v="0"/>
    <n v="0"/>
    <m/>
    <n v="0"/>
    <n v="0"/>
    <n v="-4.4302019747210011"/>
    <n v="0"/>
    <n v="0"/>
    <n v="-2.3538334136951704"/>
    <n v="0"/>
    <n v="0"/>
    <m/>
    <m/>
    <m/>
    <n v="17902.260059237258"/>
    <n v="0"/>
    <n v="0"/>
    <n v="-9273.7162400000016"/>
    <n v="1043.2684599999993"/>
    <n v="0"/>
    <n v="0"/>
    <n v="-9478.297604565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"/>
    <s v="Refaturamento - 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0.38900000000000001"/>
    <n v="0.38900000000000001"/>
    <n v="0.38900000000000001"/>
    <n v="0.38900000000000001"/>
    <m/>
    <n v="446.23"/>
    <n v="173.82"/>
    <m/>
    <n v="241.19945000000001"/>
    <n v="241.19945000000001"/>
    <n v="176.17032"/>
    <n v="0"/>
    <n v="0"/>
    <n v="0"/>
    <n v="0"/>
    <n v="1.0574747445490484"/>
    <n v="13.391951882083672"/>
    <n v="141.44654431984591"/>
    <n v="62.598710725619767"/>
    <n v="3.1492916375139579"/>
    <n v="0"/>
    <n v="0"/>
    <n v="0"/>
    <n v="0"/>
    <n v="0"/>
    <m/>
    <n v="0.60354982821652936"/>
    <n v="2.2556179700836863"/>
    <n v="7.3868438662758624"/>
    <n v="0"/>
    <n v="0"/>
    <n v="0"/>
    <n v="0"/>
    <n v="0"/>
    <n v="0"/>
    <n v="0"/>
    <n v="0"/>
    <n v="0"/>
    <n v="0"/>
    <m/>
    <n v="0"/>
    <n v="0"/>
    <n v="0"/>
    <n v="0.21582210803326926"/>
    <n v="1.8694127632724185"/>
    <n v="7.2269677271906776"/>
    <n v="0"/>
    <n v="0"/>
    <n v="0"/>
    <n v="52.57"/>
    <n v="0"/>
    <m/>
    <m/>
    <m/>
    <m/>
    <m/>
    <m/>
    <m/>
    <n v="70.471239999999995"/>
    <m/>
    <n v="71.910913324116137"/>
    <m/>
    <m/>
    <m/>
    <m/>
    <m/>
    <m/>
    <m/>
    <m/>
    <m/>
    <m/>
    <m/>
    <m/>
    <n v="105.9708"/>
    <n v="-38.778870000000012"/>
    <m/>
    <m/>
    <m/>
    <m/>
    <n v="-73.272040000000004"/>
    <n v="8.2429100000000002"/>
    <n v="31"/>
    <n v="9.8564015819093242"/>
    <n v="0.2190062545370961"/>
    <n v="0.71721587141960619"/>
    <n v="0"/>
    <n v="0"/>
    <n v="0"/>
    <n v="0"/>
    <n v="0"/>
    <n v="-0.25678007031381078"/>
    <n v="0"/>
    <n v="0"/>
    <n v="8.0352363658597454"/>
    <n v="0.23995978901368331"/>
    <n v="2.77031528432998E-2"/>
    <n v="0"/>
    <n v="0.92766118061036273"/>
    <n v="0"/>
    <n v="0"/>
    <m/>
    <n v="0"/>
    <n v="0"/>
    <n v="-3.5003220704522775E-2"/>
    <n v="0"/>
    <n v="0"/>
    <n v="-1.8597741356124242E-2"/>
    <n v="0"/>
    <n v="0"/>
    <m/>
    <m/>
    <m/>
    <n v="141.44654431984591"/>
    <n v="0"/>
    <n v="0"/>
    <n v="-73.272040000000004"/>
    <n v="8.2429100000000091"/>
    <n v="0"/>
    <n v="0"/>
    <n v="-74.88844636178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2.829000000000001"/>
    <n v="42.829000000000001"/>
    <n v="42.829000000000001"/>
    <n v="42.829000000000001"/>
    <m/>
    <n v="446.23"/>
    <n v="173.82"/>
    <m/>
    <n v="26556.121449999999"/>
    <n v="26556.121449999999"/>
    <n v="19396.397519999999"/>
    <n v="0"/>
    <n v="0"/>
    <n v="0"/>
    <n v="0"/>
    <n v="116.42824121925757"/>
    <n v="1474.4573448785645"/>
    <n v="15573.300891194553"/>
    <n v="6892.1341431042911"/>
    <n v="346.73781887682594"/>
    <n v="0"/>
    <n v="0"/>
    <n v="0"/>
    <n v="0"/>
    <n v="0"/>
    <m/>
    <n v="66.450991240837368"/>
    <n v="248.34411835659176"/>
    <n v="813.29340860855757"/>
    <n v="0"/>
    <n v="0"/>
    <n v="0"/>
    <n v="0"/>
    <n v="0"/>
    <n v="0"/>
    <n v="0"/>
    <n v="0"/>
    <n v="0"/>
    <n v="0"/>
    <m/>
    <n v="0"/>
    <n v="0"/>
    <n v="0"/>
    <n v="23.762069575724649"/>
    <n v="205.822825805127"/>
    <n v="795.69100459601418"/>
    <n v="0"/>
    <n v="0"/>
    <n v="0"/>
    <n v="9969.42"/>
    <n v="423"/>
    <m/>
    <m/>
    <m/>
    <m/>
    <m/>
    <m/>
    <m/>
    <n v="1939.2971200000002"/>
    <m/>
    <n v="7917.4100430811568"/>
    <m/>
    <m/>
    <m/>
    <m/>
    <m/>
    <m/>
    <m/>
    <m/>
    <m/>
    <m/>
    <m/>
    <m/>
    <n v="17457.507999999998"/>
    <n v="-6443.2454499999985"/>
    <m/>
    <m/>
    <m/>
    <m/>
    <n v="-8067.2704400000011"/>
    <n v="907.5465099999999"/>
    <n v="31"/>
    <n v="1085.1923479475463"/>
    <n v="24.112644924342646"/>
    <n v="78.965651817558637"/>
    <n v="0"/>
    <n v="0"/>
    <n v="0"/>
    <n v="0"/>
    <n v="0"/>
    <n v="-28.271551751851348"/>
    <n v="0"/>
    <n v="0"/>
    <n v="884.68158949461849"/>
    <n v="26.419634456727636"/>
    <n v="3.0501242496804331"/>
    <n v="0"/>
    <n v="102.13573445851216"/>
    <n v="0"/>
    <n v="0"/>
    <m/>
    <n v="0"/>
    <n v="0"/>
    <n v="-3.8538635978251818"/>
    <n v="0"/>
    <n v="0"/>
    <n v="-2.0476161042196566"/>
    <n v="0"/>
    <n v="0"/>
    <m/>
    <m/>
    <m/>
    <n v="15573.300891194553"/>
    <n v="0"/>
    <n v="0"/>
    <n v="-8067.2704400000002"/>
    <n v="907.54651000000104"/>
    <n v="0"/>
    <n v="0"/>
    <n v="-8245.2371959608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"/>
    <s v="Refaturamento - 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152"/>
    <n v="0.152"/>
    <n v="0.152"/>
    <n v="0.152"/>
    <m/>
    <n v="446.23"/>
    <n v="173.82"/>
    <m/>
    <n v="94.247600000000006"/>
    <n v="94.247600000000006"/>
    <n v="68.837760000000003"/>
    <n v="0"/>
    <n v="0"/>
    <n v="0"/>
    <n v="0"/>
    <n v="0.41320349915541227"/>
    <n v="5.2328449513540312"/>
    <n v="55.269600865338248"/>
    <n v="24.460164602298725"/>
    <n v="1.2305715395941428"/>
    <n v="0"/>
    <n v="0"/>
    <n v="0"/>
    <n v="0"/>
    <n v="0"/>
    <m/>
    <n v="0.23583438017715286"/>
    <n v="0.88137257442858685"/>
    <n v="2.886376009444553"/>
    <n v="0"/>
    <n v="0"/>
    <n v="0"/>
    <n v="0"/>
    <n v="0"/>
    <n v="0"/>
    <n v="0"/>
    <n v="0"/>
    <n v="0"/>
    <n v="0"/>
    <m/>
    <n v="0"/>
    <n v="0"/>
    <n v="0"/>
    <n v="8.4331517791920121E-2"/>
    <n v="0.73046462729410688"/>
    <n v="2.8239051273341462"/>
    <n v="0"/>
    <n v="0"/>
    <n v="0"/>
    <n v="35.880000000000003"/>
    <n v="0"/>
    <m/>
    <m/>
    <m/>
    <m/>
    <m/>
    <m/>
    <m/>
    <n v="6.8825599999999998"/>
    <m/>
    <n v="28.0988658747189"/>
    <m/>
    <m/>
    <m/>
    <m/>
    <m/>
    <m/>
    <m/>
    <m/>
    <m/>
    <m/>
    <m/>
    <m/>
    <n v="61.14"/>
    <n v="-23.7136"/>
    <m/>
    <m/>
    <m/>
    <m/>
    <n v="-28.63072"/>
    <n v="3.2208799999999997"/>
    <n v="31"/>
    <n v="3.8513445769928438"/>
    <n v="8.5575708713723886E-2"/>
    <n v="0.28024887520766084"/>
    <n v="0"/>
    <n v="0"/>
    <n v="0"/>
    <n v="0"/>
    <n v="0"/>
    <n v="-0.10033565729485705"/>
    <n v="0"/>
    <n v="0"/>
    <n v="3.1397324617241154"/>
    <n v="9.3763208046477753E-2"/>
    <n v="1.0824882344939765E-2"/>
    <n v="0"/>
    <n v="0.36247943304055319"/>
    <n v="0"/>
    <n v="0"/>
    <m/>
    <n v="0"/>
    <n v="0"/>
    <n v="-1.3677351020790374E-2"/>
    <n v="0"/>
    <n v="0"/>
    <n v="-7.2669837689740002E-3"/>
    <n v="0"/>
    <n v="0"/>
    <m/>
    <m/>
    <m/>
    <n v="55.269600865338248"/>
    <n v="0"/>
    <n v="0"/>
    <n v="-28.630719999999997"/>
    <n v="3.2208799999999975"/>
    <n v="0"/>
    <n v="0"/>
    <n v="-29.2623235141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3.45"/>
    <n v="13.45"/>
    <n v="13.45"/>
    <n v="13.45"/>
    <m/>
    <n v="446.23"/>
    <n v="173.82"/>
    <m/>
    <n v="8339.6725000000006"/>
    <n v="8339.6725000000006"/>
    <n v="6091.235999999999"/>
    <n v="0"/>
    <n v="0"/>
    <n v="0"/>
    <n v="0"/>
    <n v="36.563072787107203"/>
    <n v="463.03792497178762"/>
    <n v="4890.6324449921012"/>
    <n v="2164.4027230323545"/>
    <n v="108.8893895232975"/>
    <n v="0"/>
    <n v="0"/>
    <n v="0"/>
    <n v="0"/>
    <n v="0"/>
    <m/>
    <n v="20.868239561728327"/>
    <n v="77.98987582937167"/>
    <n v="255.40629820413969"/>
    <n v="0"/>
    <n v="0"/>
    <n v="0"/>
    <n v="0"/>
    <n v="0"/>
    <n v="0"/>
    <n v="0"/>
    <n v="0"/>
    <n v="0"/>
    <n v="0"/>
    <m/>
    <n v="0"/>
    <n v="0"/>
    <n v="0"/>
    <n v="7.4622296993508259"/>
    <n v="64.636508138853529"/>
    <n v="249.87844712265965"/>
    <n v="0"/>
    <n v="0"/>
    <n v="0"/>
    <n v="4354.0600000000004"/>
    <n v="168"/>
    <m/>
    <m/>
    <m/>
    <m/>
    <m/>
    <m/>
    <m/>
    <m/>
    <m/>
    <n v="2486.3799079932182"/>
    <m/>
    <m/>
    <m/>
    <m/>
    <m/>
    <m/>
    <m/>
    <m/>
    <m/>
    <m/>
    <m/>
    <m/>
    <n v="6091.235999999999"/>
    <n v="-2248.4665000000023"/>
    <m/>
    <m/>
    <m/>
    <m/>
    <n v="-2533.442"/>
    <n v="285.00549999999993"/>
    <n v="31"/>
    <n v="340.79331947732862"/>
    <n v="7.5723242249972742"/>
    <n v="24.79833797067792"/>
    <n v="0"/>
    <n v="0"/>
    <n v="0"/>
    <n v="0"/>
    <n v="0"/>
    <n v="-8.8783854645777751"/>
    <n v="0"/>
    <n v="0"/>
    <n v="277.82501059335073"/>
    <n v="8.2968101856916263"/>
    <n v="0.95785965486473668"/>
    <n v="0"/>
    <n v="32.074660357864701"/>
    <n v="0"/>
    <n v="0"/>
    <m/>
    <n v="0"/>
    <n v="0"/>
    <n v="-1.2102656001949299"/>
    <n v="0"/>
    <n v="0"/>
    <n v="-0.64303244534671222"/>
    <n v="0"/>
    <n v="0"/>
    <m/>
    <m/>
    <m/>
    <n v="4890.6324449921012"/>
    <n v="0"/>
    <n v="0"/>
    <n v="-2533.442"/>
    <n v="285.00549999999976"/>
    <n v="0"/>
    <n v="0"/>
    <n v="-2589.3306004266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"/>
    <s v="Regular"/>
    <s v="Convencional"/>
    <s v="B3"/>
    <s v="Industrial"/>
    <s v="Não se aplica"/>
    <s v="Não se aplica"/>
    <s v="Não se aplica"/>
    <s v="Não se aplica"/>
    <s v="CATIVO"/>
    <x v="0"/>
    <n v="0"/>
    <n v="0"/>
    <n v="76.03"/>
    <n v="76.03"/>
    <n v="76.03"/>
    <n v="76.03"/>
    <m/>
    <n v="516.83000000000004"/>
    <n v="173.82"/>
    <m/>
    <n v="52510.119500000001"/>
    <n v="52510.119500000001"/>
    <n v="39645.843500000003"/>
    <n v="0"/>
    <n v="4649.1931212825421"/>
    <n v="0"/>
    <n v="0"/>
    <n v="206.68330289990786"/>
    <n v="2617.4552740226777"/>
    <n v="27645.708906524127"/>
    <n v="12234.909965215607"/>
    <n v="615.52864575883348"/>
    <n v="0"/>
    <n v="0"/>
    <n v="0"/>
    <n v="0"/>
    <n v="718.59729087879077"/>
    <m/>
    <n v="117.96373634782192"/>
    <n v="440.86024232766749"/>
    <n v="1443.7576841978248"/>
    <n v="0"/>
    <n v="0"/>
    <n v="0"/>
    <n v="0"/>
    <n v="0"/>
    <n v="0"/>
    <n v="0"/>
    <n v="0"/>
    <n v="0"/>
    <n v="0"/>
    <m/>
    <n v="0"/>
    <n v="0"/>
    <n v="0"/>
    <n v="42.182403274471625"/>
    <n v="365.37648429717729"/>
    <n v="1412.5099133632577"/>
    <n v="0"/>
    <n v="0"/>
    <n v="0"/>
    <n v="10832.63"/>
    <n v="29"/>
    <m/>
    <m/>
    <m/>
    <m/>
    <m/>
    <m/>
    <m/>
    <m/>
    <m/>
    <n v="14054.978766150514"/>
    <m/>
    <m/>
    <m/>
    <m/>
    <m/>
    <m/>
    <m/>
    <m/>
    <m/>
    <m/>
    <m/>
    <m/>
    <n v="39645.843500000003"/>
    <n v="-12864.306000000004"/>
    <m/>
    <m/>
    <m/>
    <m/>
    <n v="-14475.351700000003"/>
    <n v="1611.0756999999999"/>
    <n v="31"/>
    <n v="1771.9459814350339"/>
    <n v="42.804744299371237"/>
    <n v="140.17974988183187"/>
    <n v="0"/>
    <n v="0"/>
    <n v="0"/>
    <n v="0"/>
    <n v="0"/>
    <n v="-50.187631737684114"/>
    <n v="0"/>
    <n v="0"/>
    <n v="1570.4859149005551"/>
    <n v="46.900109919563874"/>
    <n v="5.414577662406387"/>
    <n v="0"/>
    <n v="181.31125851363959"/>
    <n v="0"/>
    <n v="-135.87501923297896"/>
    <m/>
    <n v="0"/>
    <n v="0"/>
    <n v="-6.8413749875703616"/>
    <n v="0"/>
    <n v="-18.611421626498782"/>
    <n v="-3.6349261575992955"/>
    <n v="0"/>
    <n v="0"/>
    <m/>
    <m/>
    <m/>
    <n v="27645.708906524127"/>
    <n v="0"/>
    <n v="0"/>
    <n v="-14475.351700000003"/>
    <n v="1611.0757000000012"/>
    <n v="0"/>
    <n v="0"/>
    <n v="-14636.93721564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60799999999999998"/>
    <n v="0.60799999999999998"/>
    <n v="0.60799999999999998"/>
    <n v="0.60799999999999998"/>
    <m/>
    <n v="516.83000000000004"/>
    <n v="173.82"/>
    <m/>
    <n v="419.91520000000003"/>
    <n v="419.91520000000003"/>
    <n v="317.04159999999996"/>
    <n v="0"/>
    <n v="37.178869100878408"/>
    <n v="0"/>
    <n v="0"/>
    <n v="1.6528139966216491"/>
    <n v="20.931379805416125"/>
    <n v="221.07840346135299"/>
    <n v="97.840658409194901"/>
    <n v="4.9222861583765711"/>
    <n v="0"/>
    <n v="0"/>
    <n v="0"/>
    <n v="0"/>
    <n v="5.7465099678324973"/>
    <m/>
    <n v="0.94333752070861143"/>
    <n v="3.5254902977143474"/>
    <n v="11.545504037778212"/>
    <n v="0"/>
    <n v="0"/>
    <n v="0"/>
    <n v="0"/>
    <n v="0"/>
    <n v="0"/>
    <n v="0"/>
    <n v="0"/>
    <n v="0"/>
    <n v="0"/>
    <m/>
    <n v="0"/>
    <n v="0"/>
    <n v="0"/>
    <n v="0.33732607116768049"/>
    <n v="2.9218585091764275"/>
    <n v="11.295620509336585"/>
    <n v="0"/>
    <n v="0"/>
    <n v="0"/>
    <n v="203.76"/>
    <n v="3"/>
    <m/>
    <m/>
    <m/>
    <m/>
    <m/>
    <m/>
    <m/>
    <m/>
    <m/>
    <n v="112.3954634988756"/>
    <m/>
    <m/>
    <m/>
    <m/>
    <m/>
    <m/>
    <m/>
    <m/>
    <m/>
    <m/>
    <m/>
    <m/>
    <n v="318.08449999999999"/>
    <n v="-101.86070000000001"/>
    <m/>
    <m/>
    <m/>
    <m/>
    <n v="-115.75712000000003"/>
    <n v="12.883519999999999"/>
    <n v="31"/>
    <n v="14.169974440516938"/>
    <n v="0.34230283485489554"/>
    <n v="1.1209955008306434"/>
    <n v="0"/>
    <n v="0"/>
    <n v="0"/>
    <n v="0"/>
    <n v="0"/>
    <n v="-0.4013426291794282"/>
    <n v="0"/>
    <n v="0"/>
    <n v="12.558929846896461"/>
    <n v="0.37505283218591101"/>
    <n v="4.3299529379759061E-2"/>
    <n v="0"/>
    <n v="1.4499177321622128"/>
    <n v="0"/>
    <n v="-1.0865712441621866"/>
    <m/>
    <n v="0"/>
    <n v="0"/>
    <n v="-5.4709404083161495E-2"/>
    <n v="0"/>
    <n v="-0.14883262329226987"/>
    <n v="-2.9067935075896001E-2"/>
    <n v="0"/>
    <n v="0"/>
    <m/>
    <m/>
    <m/>
    <n v="221.07840346135299"/>
    <n v="0"/>
    <n v="0"/>
    <n v="-115.75712000000001"/>
    <n v="12.88351999999999"/>
    <n v="0"/>
    <n v="0"/>
    <n v="-117.04929405646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"/>
    <s v="Regular"/>
    <s v="Azul"/>
    <s v="A4"/>
    <s v="Industrial"/>
    <s v="Não se aplica"/>
    <s v="Não se aplica"/>
    <s v="Não se aplica"/>
    <s v="Ponta"/>
    <s v="CATIVO"/>
    <x v="0"/>
    <n v="1200"/>
    <n v="1200"/>
    <n v="54.167999999999999"/>
    <n v="54.167999999999999"/>
    <n v="54.167999999999999"/>
    <n v="54.167999999999999"/>
    <n v="67.099999999999994"/>
    <n v="70.33"/>
    <n v="173.82"/>
    <n v="80520"/>
    <n v="13225.117199999999"/>
    <n v="93745.117199999993"/>
    <n v="64766.227439999995"/>
    <n v="0"/>
    <n v="2881.7390359655506"/>
    <n v="0"/>
    <n v="0"/>
    <n v="898.10170336085525"/>
    <n v="13700.67976876248"/>
    <n v="57794.157302940846"/>
    <n v="8716.8302380086679"/>
    <n v="438.53683655747056"/>
    <n v="0"/>
    <n v="0"/>
    <n v="0"/>
    <n v="0"/>
    <n v="511.96867094991899"/>
    <m/>
    <n v="67.316234698487065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10.10740346255167"/>
    <n v="260.3145258635999"/>
    <n v="338.45410600055891"/>
    <n v="0"/>
    <n v="0"/>
    <n v="0"/>
    <n v="0"/>
    <n v="0"/>
    <m/>
    <m/>
    <m/>
    <m/>
    <m/>
    <m/>
    <m/>
    <m/>
    <m/>
    <n v="9325.7062733353778"/>
    <m/>
    <m/>
    <m/>
    <m/>
    <m/>
    <m/>
    <m/>
    <m/>
    <m/>
    <m/>
    <m/>
    <m/>
    <n v="64766.756099999999"/>
    <n v="-28978.391099999979"/>
    <m/>
    <m/>
    <m/>
    <m/>
    <n v="-30126.709679999993"/>
    <n v="1147.8199199999999"/>
    <n v="31"/>
    <n v="1619.3704898386204"/>
    <n v="187.27044607078801"/>
    <n v="602.17080389378407"/>
    <n v="0"/>
    <n v="0"/>
    <n v="0"/>
    <n v="0"/>
    <n v="0"/>
    <n v="-262.69968301452172"/>
    <n v="0"/>
    <n v="0"/>
    <n v="1118.9014999123137"/>
    <n v="33.414246404352696"/>
    <n v="1.2973969419704101"/>
    <n v="0"/>
    <n v="43.444325117659332"/>
    <n v="0"/>
    <n v="-84.220280104913854"/>
    <m/>
    <n v="0"/>
    <n v="0"/>
    <n v="-4.8741759874616264"/>
    <n v="0"/>
    <n v="-13.259811740946816"/>
    <n v="-2.0742776544070693"/>
    <n v="0"/>
    <n v="0"/>
    <m/>
    <m/>
    <n v="57794.157302940846"/>
    <n v="0"/>
    <n v="0"/>
    <n v="0"/>
    <n v="-30126.70968"/>
    <n v="1147.8199199999999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"/>
    <s v="Regular"/>
    <s v="Azul"/>
    <s v="A4"/>
    <s v="Industrial"/>
    <s v="Não se aplica"/>
    <s v="Não se aplica"/>
    <s v="Não se aplica"/>
    <s v="Fora ponta"/>
    <s v="CATIVO"/>
    <x v="0"/>
    <n v="1200"/>
    <n v="1200"/>
    <n v="535.59500000000003"/>
    <n v="535.59500000000003"/>
    <n v="535.59500000000003"/>
    <n v="535.59500000000003"/>
    <n v="59.12"/>
    <n v="70.33"/>
    <n v="173.82"/>
    <n v="70944"/>
    <n v="130765.51925000001"/>
    <n v="201709.51925000001"/>
    <n v="182409.82634999999"/>
    <n v="0"/>
    <n v="28493.668198345316"/>
    <n v="0"/>
    <n v="0"/>
    <n v="686.4724360004185"/>
    <n v="6140.4271808585163"/>
    <n v="57794.157302940846"/>
    <n v="86189.091185317026"/>
    <n v="4336.1050246639797"/>
    <n v="0"/>
    <n v="0"/>
    <n v="0"/>
    <n v="0"/>
    <n v="5062.1743523375771"/>
    <m/>
    <n v="665.60033088421551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99.938612419239433"/>
    <n v="2573.9026451025475"/>
    <n v="3346.5205823247925"/>
    <n v="0"/>
    <n v="0"/>
    <n v="0"/>
    <n v="0"/>
    <n v="0"/>
    <m/>
    <m/>
    <m/>
    <m/>
    <m/>
    <m/>
    <m/>
    <m/>
    <m/>
    <n v="92209.453025163602"/>
    <m/>
    <m/>
    <m/>
    <m/>
    <m/>
    <m/>
    <m/>
    <m/>
    <m/>
    <m/>
    <m/>
    <m/>
    <n v="182411.14799999999"/>
    <n v="-19298.401250000024"/>
    <m/>
    <m/>
    <m/>
    <m/>
    <n v="-30648.950949999999"/>
    <n v="11349.258049999999"/>
    <n v="31"/>
    <n v="11299.721092992957"/>
    <n v="140.75540420960397"/>
    <n v="473.15551850471911"/>
    <n v="0"/>
    <n v="0"/>
    <n v="0"/>
    <n v="0"/>
    <n v="0"/>
    <n v="-117.73782769987247"/>
    <n v="0"/>
    <n v="0"/>
    <n v="11063.322419981094"/>
    <n v="330.38885140561342"/>
    <n v="12.82822543078278"/>
    <n v="0"/>
    <n v="429.56290266195447"/>
    <n v="0"/>
    <n v="-832.74185723658229"/>
    <m/>
    <n v="0"/>
    <n v="0"/>
    <n v="-48.194215920922034"/>
    <n v="0"/>
    <n v="-131.10856722405151"/>
    <n v="-20.509761119335394"/>
    <n v="0"/>
    <n v="0"/>
    <m/>
    <m/>
    <n v="57794.157302940846"/>
    <n v="0"/>
    <n v="0"/>
    <n v="0"/>
    <n v="-30648.950949999999"/>
    <n v="11349.258050000004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5520.6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Ponta"/>
    <s v="CATIVO"/>
    <x v="0"/>
    <n v="0"/>
    <n v="0"/>
    <n v="34.345999999999997"/>
    <n v="34.345999999999997"/>
    <n v="34.345999999999997"/>
    <n v="34.345999999999997"/>
    <m/>
    <n v="1684.16"/>
    <n v="173.82"/>
    <m/>
    <n v="63814.181079999995"/>
    <n v="63814.181079999995"/>
    <n v="43806.949159999996"/>
    <n v="0"/>
    <n v="1827.208110494624"/>
    <n v="0"/>
    <n v="0"/>
    <n v="618.20738758247205"/>
    <n v="9430.9283236173433"/>
    <n v="39782.712676453593"/>
    <n v="5527.0316673062634"/>
    <n v="278.06059275592384"/>
    <n v="0"/>
    <n v="0"/>
    <n v="0"/>
    <n v="0"/>
    <n v="324.62110420259035"/>
    <m/>
    <n v="42.682827443402687"/>
    <n v="1327.6839090841893"/>
    <n v="4269.1621544672826"/>
    <n v="0"/>
    <n v="0"/>
    <n v="0"/>
    <n v="0"/>
    <n v="0"/>
    <n v="0"/>
    <n v="0"/>
    <n v="0"/>
    <n v="0"/>
    <n v="0"/>
    <m/>
    <n v="0"/>
    <n v="0"/>
    <n v="0"/>
    <n v="6.4087446338206986"/>
    <n v="165.05617163844337"/>
    <n v="214.60169702952288"/>
    <n v="0"/>
    <n v="0"/>
    <n v="0"/>
    <n v="0"/>
    <n v="0"/>
    <m/>
    <m/>
    <m/>
    <m/>
    <m/>
    <m/>
    <m/>
    <m/>
    <m/>
    <n v="5913.098280608051"/>
    <m/>
    <m/>
    <m/>
    <m/>
    <m/>
    <m/>
    <m/>
    <m/>
    <m/>
    <m/>
    <m/>
    <m/>
    <n v="43812.051000000007"/>
    <n v="-20002.160079999994"/>
    <m/>
    <m/>
    <m/>
    <m/>
    <n v="-20735.023659999999"/>
    <n v="727.79173999999989"/>
    <n v="31"/>
    <n v="1055.3849065463583"/>
    <n v="128.90971963967081"/>
    <n v="414.50867383657805"/>
    <n v="0"/>
    <n v="0"/>
    <n v="0"/>
    <n v="0"/>
    <n v="0"/>
    <n v="-180.83058088814687"/>
    <n v="0"/>
    <n v="0"/>
    <n v="709.4555995419496"/>
    <n v="21.186783839238984"/>
    <n v="0.82263320353189506"/>
    <n v="0"/>
    <n v="27.546499602922893"/>
    <n v="0"/>
    <n v="-53.401080720782829"/>
    <m/>
    <n v="0"/>
    <n v="0"/>
    <n v="-3.0905414352635603"/>
    <n v="0"/>
    <n v="-8.4075744730201905"/>
    <n v="-1.3152256003224352"/>
    <n v="0"/>
    <n v="0"/>
    <m/>
    <m/>
    <m/>
    <n v="39782.712676453593"/>
    <n v="0"/>
    <n v="0"/>
    <n v="-20735.023659999999"/>
    <n v="727.79174000000057"/>
    <n v="0"/>
    <n v="0"/>
    <n v="-21062.837262817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Fora ponta"/>
    <s v="CATIVO"/>
    <x v="0"/>
    <n v="0"/>
    <n v="0"/>
    <n v="885.33399999999995"/>
    <n v="885.33399999999995"/>
    <n v="885.33399999999995"/>
    <n v="885.33399999999995"/>
    <m/>
    <n v="70.33"/>
    <n v="173.82"/>
    <m/>
    <n v="216154.29609999998"/>
    <n v="216154.29609999998"/>
    <n v="234020.33621999997"/>
    <n v="0"/>
    <n v="47099.792269744583"/>
    <n v="0"/>
    <n v="0"/>
    <n v="0"/>
    <n v="0"/>
    <n v="0"/>
    <n v="142469.83794744435"/>
    <n v="7167.5448910200048"/>
    <n v="0"/>
    <n v="0"/>
    <n v="0"/>
    <n v="0"/>
    <n v="8367.7313418766716"/>
    <m/>
    <n v="1100.2317111680393"/>
    <n v="0"/>
    <n v="0"/>
    <n v="0"/>
    <n v="0"/>
    <n v="0"/>
    <n v="0"/>
    <n v="0"/>
    <n v="0"/>
    <n v="0"/>
    <n v="0"/>
    <n v="0"/>
    <n v="0"/>
    <m/>
    <n v="0"/>
    <n v="0"/>
    <n v="0"/>
    <n v="165.19768012691478"/>
    <n v="4254.6392785579001"/>
    <n v="5531.7701868612248"/>
    <n v="0"/>
    <n v="0"/>
    <n v="0"/>
    <n v="0"/>
    <n v="0"/>
    <m/>
    <m/>
    <m/>
    <m/>
    <m/>
    <m/>
    <m/>
    <m/>
    <m/>
    <n v="152421.44509299038"/>
    <m/>
    <m/>
    <m/>
    <m/>
    <m/>
    <m/>
    <m/>
    <m/>
    <m/>
    <m/>
    <m/>
    <m/>
    <n v="234019.27889999998"/>
    <n v="17864.95279999997"/>
    <m/>
    <m/>
    <m/>
    <m/>
    <n v="-894.1873400000045"/>
    <n v="18760.227459999998"/>
    <n v="31"/>
    <n v="17858.173364654911"/>
    <n v="0"/>
    <n v="0"/>
    <n v="0"/>
    <n v="0"/>
    <n v="0"/>
    <n v="0"/>
    <n v="0"/>
    <n v="0"/>
    <n v="0"/>
    <n v="0"/>
    <n v="18287.578284658259"/>
    <n v="546.12997389881821"/>
    <n v="21.204948017693681"/>
    <n v="0"/>
    <n v="710.06384089716721"/>
    <n v="0"/>
    <n v="-1376.5152390046424"/>
    <m/>
    <n v="0"/>
    <n v="0"/>
    <n v="-79.664630846317777"/>
    <n v="0"/>
    <n v="-216.7213514964451"/>
    <n v="-33.902461469628633"/>
    <n v="0"/>
    <n v="0"/>
    <m/>
    <m/>
    <m/>
    <n v="0"/>
    <n v="0"/>
    <n v="0"/>
    <n v="-894.18734000000404"/>
    <n v="18760.22745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"/>
    <s v="Regular"/>
    <s v="Verde"/>
    <s v="A4"/>
    <s v="Industrial"/>
    <s v="Não se aplica"/>
    <s v="Não se aplica"/>
    <s v="Não se aplica"/>
    <s v="Não se aplica"/>
    <s v="CATIVO"/>
    <x v="0"/>
    <n v="5083"/>
    <n v="5083"/>
    <n v="0"/>
    <n v="0"/>
    <n v="0"/>
    <n v="0"/>
    <n v="59.12"/>
    <m/>
    <m/>
    <n v="300506.95999999996"/>
    <m/>
    <n v="300506.95999999996"/>
    <n v="172974.49000000002"/>
    <n v="0"/>
    <n v="0"/>
    <n v="0"/>
    <n v="0"/>
    <n v="2907.782826825106"/>
    <n v="26009.826133586532"/>
    <n v="244806.41797570692"/>
    <m/>
    <m/>
    <m/>
    <n v="0"/>
    <n v="0"/>
    <n v="0"/>
    <n v="0"/>
    <m/>
    <n v="0"/>
    <n v="6140.6305640525752"/>
    <n v="20642.001312813354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7131.8"/>
    <n v="26"/>
    <m/>
    <m/>
    <m/>
    <m/>
    <m/>
    <m/>
    <m/>
    <m/>
    <m/>
    <n v="0"/>
    <m/>
    <m/>
    <m/>
    <m/>
    <m/>
    <m/>
    <m/>
    <m/>
    <m/>
    <m/>
    <m/>
    <m/>
    <n v="172974.49000000002"/>
    <n v="-127532.49999999997"/>
    <m/>
    <m/>
    <m/>
    <m/>
    <n v="-127532.46999999999"/>
    <n v="0"/>
    <n v="31"/>
    <n v="2101.7065349653858"/>
    <n v="596.21643299784773"/>
    <n v="2004.2079171329096"/>
    <n v="0"/>
    <n v="0"/>
    <m/>
    <m/>
    <m/>
    <n v="-498.717815165375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4806.41797570692"/>
    <m/>
    <n v="0"/>
    <n v="0"/>
    <n v="-127532.46999999994"/>
    <m/>
    <n v="0"/>
    <m/>
    <n v="-129612.0197898790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9"/>
    <s v="Regular"/>
    <s v="Convencional"/>
    <s v="B3"/>
    <s v="Comercial"/>
    <s v="Não se aplica"/>
    <s v="Não se aplica"/>
    <s v="Não se aplica"/>
    <s v="Não se aplica"/>
    <s v="CATIVO"/>
    <x v="0"/>
    <n v="0"/>
    <n v="0"/>
    <n v="362.012"/>
    <n v="362.012"/>
    <n v="362.012"/>
    <n v="362.012"/>
    <m/>
    <n v="516.83000000000004"/>
    <n v="173.82"/>
    <m/>
    <n v="250023.58780000004"/>
    <n v="250023.58780000004"/>
    <n v="188771.1574"/>
    <n v="0"/>
    <n v="22136.836777873676"/>
    <n v="0"/>
    <n v="0"/>
    <n v="984.1093758963757"/>
    <n v="12462.846490326156"/>
    <n v="131633.28123988703"/>
    <n v="58255.744131627413"/>
    <n v="2930.800422312861"/>
    <n v="0"/>
    <n v="0"/>
    <n v="0"/>
    <n v="0"/>
    <n v="3421.555208018056"/>
    <m/>
    <n v="561.67681339928595"/>
    <n v="2099.1279500923788"/>
    <n v="6874.3602100726412"/>
    <n v="0"/>
    <n v="0"/>
    <n v="0"/>
    <n v="0"/>
    <n v="0"/>
    <n v="0"/>
    <n v="0"/>
    <n v="0"/>
    <n v="0"/>
    <n v="0"/>
    <m/>
    <n v="0"/>
    <n v="0"/>
    <n v="0"/>
    <n v="200.84882512426702"/>
    <n v="1739.7168464210147"/>
    <n v="6725.5759405032177"/>
    <n v="0"/>
    <n v="0"/>
    <n v="0"/>
    <n v="103195.43"/>
    <n v="524"/>
    <m/>
    <m/>
    <m/>
    <m/>
    <m/>
    <m/>
    <m/>
    <m/>
    <m/>
    <n v="66921.885743675914"/>
    <m/>
    <m/>
    <m/>
    <m/>
    <m/>
    <m/>
    <m/>
    <m/>
    <m/>
    <m/>
    <m/>
    <m/>
    <n v="188770.1145"/>
    <n v="-61253.503300000069"/>
    <m/>
    <m/>
    <m/>
    <m/>
    <n v="-68923.464680000019"/>
    <n v="7671.0342799999989"/>
    <n v="31"/>
    <n v="8437.0078736190771"/>
    <n v="203.81206225574078"/>
    <n v="667.4569461294459"/>
    <n v="0"/>
    <n v="0"/>
    <n v="0"/>
    <n v="0"/>
    <n v="0"/>
    <n v="-238.96521031990596"/>
    <n v="0"/>
    <n v="0"/>
    <n v="7477.7686048267715"/>
    <n v="223.31188467974675"/>
    <n v="25.781166496423253"/>
    <n v="0"/>
    <n v="863.30200338076702"/>
    <n v="0"/>
    <n v="-646.96024546322587"/>
    <m/>
    <n v="0"/>
    <n v="0"/>
    <n v="-32.574771037752726"/>
    <n v="0"/>
    <n v="-88.617098064607035"/>
    <n v="-17.307469264301403"/>
    <n v="0"/>
    <n v="0"/>
    <m/>
    <m/>
    <m/>
    <n v="131633.28123988703"/>
    <n v="0"/>
    <n v="0"/>
    <n v="-68923.464680000034"/>
    <n v="7671.0342800000071"/>
    <n v="0"/>
    <n v="0"/>
    <n v="-69692.843815736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30.004999999999999"/>
    <n v="30.004999999999999"/>
    <n v="30.004999999999999"/>
    <n v="30.004999999999999"/>
    <m/>
    <n v="516.83000000000004"/>
    <n v="173.82"/>
    <m/>
    <n v="20722.953249999999"/>
    <n v="20722.953249999999"/>
    <n v="15646.107249999997"/>
    <n v="0"/>
    <n v="1834.789420019501"/>
    <n v="0"/>
    <n v="0"/>
    <n v="81.566914422093049"/>
    <n v="1032.9704787195901"/>
    <n v="10910.291933976803"/>
    <n v="4828.4686769208765"/>
    <n v="242.91644108896219"/>
    <n v="0"/>
    <n v="0"/>
    <n v="0"/>
    <n v="0"/>
    <n v="283.5921572118653"/>
    <m/>
    <n v="46.554016955364943"/>
    <n v="173.98410589295887"/>
    <n v="569.77442212752499"/>
    <n v="0"/>
    <n v="0"/>
    <n v="0"/>
    <n v="0"/>
    <n v="0"/>
    <n v="0"/>
    <n v="0"/>
    <n v="0"/>
    <n v="0"/>
    <n v="0"/>
    <m/>
    <n v="0"/>
    <n v="0"/>
    <n v="0"/>
    <n v="16.647152574648441"/>
    <n v="144.19467856552419"/>
    <n v="557.44258780040172"/>
    <n v="0"/>
    <n v="0"/>
    <n v="0"/>
    <n v="12241.78"/>
    <n v="32"/>
    <m/>
    <m/>
    <m/>
    <m/>
    <m/>
    <m/>
    <m/>
    <m/>
    <m/>
    <n v="5546.7530958614516"/>
    <m/>
    <m/>
    <m/>
    <m/>
    <m/>
    <m/>
    <m/>
    <m/>
    <m/>
    <m/>
    <m/>
    <m/>
    <n v="15648.714500000002"/>
    <n v="-5074.2687499999956"/>
    <m/>
    <m/>
    <m/>
    <m/>
    <n v="-5712.6519500000013"/>
    <n v="635.80594999999994"/>
    <n v="31"/>
    <n v="699.29289981531474"/>
    <n v="16.892757499705823"/>
    <n v="55.321496714512364"/>
    <n v="0"/>
    <n v="0"/>
    <n v="0"/>
    <n v="0"/>
    <n v="0"/>
    <n v="-19.806390770606413"/>
    <n v="0"/>
    <n v="0"/>
    <n v="619.78731917126333"/>
    <n v="18.508980641016876"/>
    <n v="2.1368460181573532"/>
    <n v="0"/>
    <n v="71.553917028827527"/>
    <n v="0"/>
    <n v="-53.622648324155307"/>
    <m/>
    <n v="0"/>
    <n v="0"/>
    <n v="-2.6999270880185122"/>
    <n v="0"/>
    <n v="-7.3449389175733018"/>
    <n v="-1.434512157816215"/>
    <n v="0"/>
    <n v="0"/>
    <m/>
    <m/>
    <m/>
    <n v="10910.291933976803"/>
    <n v="0"/>
    <n v="0"/>
    <n v="-5712.6519500000013"/>
    <n v="635.80594999999994"/>
    <n v="0"/>
    <n v="0"/>
    <n v="-5776.421164743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Ponta"/>
    <s v="CATIVO"/>
    <x v="0"/>
    <n v="0"/>
    <n v="0"/>
    <n v="17.472000000000001"/>
    <n v="17.472000000000001"/>
    <n v="17.472000000000001"/>
    <n v="17.472000000000001"/>
    <m/>
    <n v="1684.16"/>
    <n v="173.82"/>
    <m/>
    <n v="32462.626560000004"/>
    <n v="32462.626560000004"/>
    <n v="22284.837120000004"/>
    <n v="0"/>
    <n v="929.51086317364684"/>
    <n v="0"/>
    <n v="0"/>
    <n v="314.48551434929698"/>
    <n v="4797.5653546335016"/>
    <n v="20237.685782419998"/>
    <n v="2811.631552180022"/>
    <n v="141.45096013018991"/>
    <n v="0"/>
    <n v="0"/>
    <n v="0"/>
    <n v="0"/>
    <n v="165.13654960192338"/>
    <m/>
    <n v="21.712990190739298"/>
    <n v="675.40014148718797"/>
    <n v="2171.7463798652648"/>
    <n v="0"/>
    <n v="0"/>
    <n v="0"/>
    <n v="0"/>
    <n v="0"/>
    <n v="0"/>
    <n v="0"/>
    <n v="0"/>
    <n v="0"/>
    <n v="0"/>
    <m/>
    <n v="0"/>
    <n v="0"/>
    <n v="0"/>
    <n v="3.2601638106945576"/>
    <n v="83.964986632122603"/>
    <n v="109.16906919291401"/>
    <n v="0"/>
    <n v="0"/>
    <n v="0"/>
    <n v="0"/>
    <n v="0"/>
    <m/>
    <m/>
    <m/>
    <m/>
    <m/>
    <m/>
    <m/>
    <m/>
    <m/>
    <n v="3008.0257718157527"/>
    <m/>
    <m/>
    <m/>
    <m/>
    <m/>
    <m/>
    <m/>
    <m/>
    <m/>
    <m/>
    <m/>
    <m/>
    <n v="22282.286200000002"/>
    <n v="-10180.370359999997"/>
    <m/>
    <m/>
    <m/>
    <m/>
    <n v="-10548.021120000001"/>
    <n v="370.23167999999998"/>
    <n v="31"/>
    <n v="536.88013414016132"/>
    <n v="65.577086750839385"/>
    <n v="210.86285300392137"/>
    <n v="0"/>
    <n v="0"/>
    <n v="0"/>
    <n v="0"/>
    <n v="0"/>
    <n v="-91.98951578867127"/>
    <n v="0"/>
    <n v="0"/>
    <n v="360.90398402134042"/>
    <n v="10.7778340196583"/>
    <n v="0.418478056603659"/>
    <n v="0"/>
    <n v="14.013056573175007"/>
    <n v="0"/>
    <n v="-27.165424863259659"/>
    <m/>
    <n v="0"/>
    <n v="0"/>
    <n v="-1.5721755068108507"/>
    <n v="0"/>
    <n v="-4.276979595662084"/>
    <n v="-0.66906253097401702"/>
    <n v="0"/>
    <n v="0"/>
    <m/>
    <m/>
    <m/>
    <n v="20237.685782419998"/>
    <n v="0"/>
    <n v="0"/>
    <n v="-10548.021120000001"/>
    <n v="370.23167999999987"/>
    <n v="0"/>
    <n v="0"/>
    <n v="-10714.781711289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"/>
    <s v="Sistema de Compensação"/>
    <s v="Verde"/>
    <s v="A4"/>
    <s v="Comercial"/>
    <s v="Não se aplica"/>
    <s v="Não se aplica"/>
    <s v="Não se aplica"/>
    <s v="Ponta"/>
    <s v="CATIVO"/>
    <x v="0"/>
    <n v="0"/>
    <n v="0"/>
    <n v="2.9329999999999998"/>
    <n v="2.9329999999999998"/>
    <n v="2.9329999999999998"/>
    <n v="2.9329999999999998"/>
    <m/>
    <n v="1684.16"/>
    <n v="173.82"/>
    <m/>
    <n v="5449.4553399999995"/>
    <n v="5449.4553399999995"/>
    <n v="3740.9241799999995"/>
    <n v="0"/>
    <n v="156.0356777523069"/>
    <n v="0"/>
    <n v="0"/>
    <n v="52.792239788603929"/>
    <n v="805.36053028503079"/>
    <n v="3397.2717719687416"/>
    <n v="471.98462354304053"/>
    <n v="23.745173194931716"/>
    <n v="0"/>
    <n v="0"/>
    <n v="0"/>
    <n v="0"/>
    <n v="27.721239696797227"/>
    <m/>
    <n v="3.6449290424358027"/>
    <n v="113.37846926407521"/>
    <n v="364.56800206872828"/>
    <n v="0"/>
    <n v="0"/>
    <n v="0"/>
    <n v="0"/>
    <n v="0"/>
    <n v="0"/>
    <n v="0"/>
    <n v="0"/>
    <n v="0"/>
    <n v="0"/>
    <m/>
    <n v="0"/>
    <n v="0"/>
    <n v="0"/>
    <n v="0.54727910123438273"/>
    <n v="14.095083893773786"/>
    <n v="18.32605768903484"/>
    <n v="0"/>
    <n v="0"/>
    <n v="0"/>
    <n v="0"/>
    <n v="0"/>
    <m/>
    <m/>
    <m/>
    <m/>
    <m/>
    <m/>
    <m/>
    <m/>
    <m/>
    <n v="504.95304422708352"/>
    <m/>
    <m/>
    <m/>
    <m/>
    <m/>
    <m/>
    <m/>
    <m/>
    <m/>
    <m/>
    <m/>
    <m/>
    <n v="3737.0978000000005"/>
    <n v="-1712.3875399999997"/>
    <m/>
    <m/>
    <m/>
    <m/>
    <n v="-1770.6814300000001"/>
    <n v="62.150269999999992"/>
    <n v="31"/>
    <n v="90.125310979457481"/>
    <n v="11.00833307235645"/>
    <n v="35.39724976307815"/>
    <n v="0"/>
    <n v="0"/>
    <n v="0"/>
    <n v="0"/>
    <n v="0"/>
    <n v="-15.442150286639958"/>
    <n v="0"/>
    <n v="0"/>
    <n v="60.584442830505452"/>
    <n v="1.8092597973705207"/>
    <n v="7.0249321200694381E-2"/>
    <n v="0"/>
    <n v="2.3523520449360298"/>
    <n v="0"/>
    <n v="-4.5602215615808745"/>
    <m/>
    <n v="0"/>
    <n v="0"/>
    <n v="-0.26391888515775008"/>
    <n v="0"/>
    <n v="-0.71797053308589653"/>
    <n v="-0.11231458352488488"/>
    <n v="0"/>
    <n v="0"/>
    <m/>
    <m/>
    <m/>
    <n v="3397.2717719687416"/>
    <n v="0"/>
    <n v="0"/>
    <n v="-1770.6814300000001"/>
    <n v="62.150269999999978"/>
    <n v="0"/>
    <n v="0"/>
    <n v="-1798.675295284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"/>
    <s v="Regular"/>
    <s v="Verde"/>
    <s v="A4"/>
    <s v="Comercial"/>
    <s v="Não se aplica"/>
    <s v="Não se aplica"/>
    <s v="Não se aplica"/>
    <s v="Fora ponta"/>
    <s v="CATIVO"/>
    <x v="0"/>
    <n v="0"/>
    <n v="0"/>
    <n v="261.52499999999998"/>
    <n v="261.52499999999998"/>
    <n v="261.52499999999998"/>
    <n v="261.52499999999998"/>
    <m/>
    <n v="70.33"/>
    <n v="173.82"/>
    <m/>
    <n v="63851.328749999993"/>
    <n v="63851.328749999993"/>
    <n v="69128.903249999988"/>
    <n v="0"/>
    <n v="13913.136932891939"/>
    <n v="0"/>
    <n v="0"/>
    <n v="0"/>
    <n v="0"/>
    <n v="0"/>
    <n v="42085.16149747483"/>
    <n v="2117.271196660251"/>
    <n v="0"/>
    <n v="0"/>
    <n v="0"/>
    <n v="0"/>
    <n v="2471.8026633838713"/>
    <m/>
    <n v="325.00513734163769"/>
    <n v="0"/>
    <n v="0"/>
    <n v="0"/>
    <n v="0"/>
    <n v="0"/>
    <n v="0"/>
    <n v="0"/>
    <n v="0"/>
    <n v="0"/>
    <n v="0"/>
    <n v="0"/>
    <n v="0"/>
    <m/>
    <n v="0"/>
    <n v="0"/>
    <n v="0"/>
    <n v="48.798897698711883"/>
    <n v="1256.8076424545479"/>
    <n v="1634.0682704141959"/>
    <n v="0"/>
    <n v="0"/>
    <n v="0"/>
    <n v="0"/>
    <n v="0"/>
    <m/>
    <m/>
    <m/>
    <m/>
    <m/>
    <m/>
    <m/>
    <m/>
    <m/>
    <n v="45024.836308042286"/>
    <m/>
    <m/>
    <m/>
    <m/>
    <m/>
    <m/>
    <m/>
    <m/>
    <m/>
    <m/>
    <m/>
    <m/>
    <n v="69130.224899999987"/>
    <n v="5278.8661499999944"/>
    <m/>
    <m/>
    <m/>
    <m/>
    <n v="-264.14025000000129"/>
    <n v="5541.7147499999992"/>
    <n v="31"/>
    <n v="5275.2506841388386"/>
    <n v="0"/>
    <n v="0"/>
    <n v="0"/>
    <n v="0"/>
    <n v="0"/>
    <n v="0"/>
    <n v="0"/>
    <n v="0"/>
    <n v="0"/>
    <n v="0"/>
    <n v="5402.0956056078867"/>
    <n v="161.32515121286247"/>
    <n v="6.2638778476002699"/>
    <n v="0"/>
    <n v="209.75072231568174"/>
    <n v="0"/>
    <n v="-406.61846024290207"/>
    <m/>
    <n v="0"/>
    <n v="0"/>
    <n v="-23.532692274422061"/>
    <n v="0"/>
    <n v="-64.01883520807678"/>
    <n v="-10.014685119790499"/>
    <n v="0"/>
    <n v="0"/>
    <m/>
    <m/>
    <m/>
    <n v="0"/>
    <n v="0"/>
    <n v="0"/>
    <n v="-264.14025000000038"/>
    <n v="5541.71474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28.341000000000001"/>
    <n v="28.341000000000001"/>
    <n v="28.341000000000001"/>
    <n v="28.341000000000001"/>
    <m/>
    <n v="70.33"/>
    <n v="173.82"/>
    <m/>
    <n v="6919.4551499999998"/>
    <n v="6919.4551499999998"/>
    <n v="7491.3765299999995"/>
    <n v="0"/>
    <n v="1507.7419513051925"/>
    <n v="0"/>
    <n v="0"/>
    <n v="0"/>
    <n v="0"/>
    <n v="0"/>
    <n v="4560.6942433799222"/>
    <n v="229.44492107656319"/>
    <n v="0"/>
    <n v="0"/>
    <n v="0"/>
    <n v="0"/>
    <n v="267.86486677358687"/>
    <m/>
    <n v="35.220229796001739"/>
    <n v="0"/>
    <n v="0"/>
    <n v="0"/>
    <n v="0"/>
    <n v="0"/>
    <n v="0"/>
    <n v="0"/>
    <n v="0"/>
    <n v="0"/>
    <n v="0"/>
    <n v="0"/>
    <n v="0"/>
    <m/>
    <n v="0"/>
    <n v="0"/>
    <n v="0"/>
    <n v="5.288249917519142"/>
    <n v="136.19801317198872"/>
    <n v="177.08107772415153"/>
    <n v="0"/>
    <n v="0"/>
    <n v="0"/>
    <n v="0"/>
    <n v="0"/>
    <m/>
    <m/>
    <m/>
    <m/>
    <m/>
    <m/>
    <m/>
    <m/>
    <m/>
    <n v="4879.2615841935813"/>
    <m/>
    <m/>
    <m/>
    <m/>
    <m/>
    <m/>
    <m/>
    <m/>
    <m/>
    <m/>
    <m/>
    <m/>
    <n v="7491.1121999999996"/>
    <n v="571.62704999999914"/>
    <m/>
    <m/>
    <m/>
    <m/>
    <n v="-28.624410000000147"/>
    <n v="600.54579000000001"/>
    <n v="31"/>
    <n v="571.66955220028285"/>
    <n v="0"/>
    <n v="0"/>
    <n v="0"/>
    <n v="0"/>
    <n v="0"/>
    <n v="0"/>
    <n v="0"/>
    <n v="0"/>
    <n v="0"/>
    <n v="0"/>
    <n v="585.41551116923165"/>
    <n v="17.482520258192267"/>
    <n v="0.67880532292835927"/>
    <n v="0"/>
    <n v="22.73031343523084"/>
    <n v="0"/>
    <n v="-44.064520721705776"/>
    <m/>
    <n v="0"/>
    <n v="0"/>
    <n v="-2.5501960873698692"/>
    <n v="0"/>
    <n v="-6.937607527510238"/>
    <n v="-1.0852736487142067"/>
    <n v="0"/>
    <n v="0"/>
    <m/>
    <m/>
    <m/>
    <n v="0"/>
    <n v="0"/>
    <n v="0"/>
    <n v="-28.624410000000125"/>
    <n v="600.54579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"/>
    <s v="Regular"/>
    <s v="Verde"/>
    <s v="A4"/>
    <s v="Comercial"/>
    <s v="Não se aplica"/>
    <s v="Não se aplica"/>
    <s v="Não se aplica"/>
    <s v="Não se aplica"/>
    <s v="CATIVO"/>
    <x v="0"/>
    <n v="2519"/>
    <n v="2519"/>
    <n v="0"/>
    <n v="0"/>
    <n v="0"/>
    <n v="0"/>
    <n v="59.12"/>
    <m/>
    <m/>
    <n v="148923.28"/>
    <m/>
    <n v="148923.28"/>
    <n v="85721.57"/>
    <n v="0"/>
    <n v="0"/>
    <n v="0"/>
    <n v="0"/>
    <n v="1441.020055237545"/>
    <n v="12889.780057152169"/>
    <n v="121319.56853842332"/>
    <m/>
    <m/>
    <m/>
    <n v="0"/>
    <n v="0"/>
    <n v="0"/>
    <n v="0"/>
    <m/>
    <n v="0"/>
    <n v="3043.1336594232612"/>
    <n v="10229.628429466229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972.02"/>
    <n v="15"/>
    <m/>
    <m/>
    <m/>
    <m/>
    <m/>
    <m/>
    <m/>
    <m/>
    <m/>
    <n v="0"/>
    <m/>
    <m/>
    <m/>
    <m/>
    <m/>
    <m/>
    <m/>
    <m/>
    <m/>
    <m/>
    <m/>
    <m/>
    <n v="85721.57"/>
    <n v="-63201.74000000002"/>
    <m/>
    <m/>
    <m/>
    <m/>
    <n v="-63201.709999999992"/>
    <n v="0"/>
    <n v="31"/>
    <n v="1041.5500219511669"/>
    <n v="295.46905266999374"/>
    <n v="993.23229259448999"/>
    <n v="0"/>
    <n v="0"/>
    <m/>
    <m/>
    <m/>
    <n v="-247.151323313315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1319.56853842332"/>
    <m/>
    <n v="0"/>
    <n v="0"/>
    <n v="-63201.709999999992"/>
    <m/>
    <n v="0"/>
    <m/>
    <n v="-64232.279726678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6"/>
    <s v="Sistema de Compensação"/>
    <s v="Verde"/>
    <s v="A4"/>
    <s v="Comercial"/>
    <s v="Não se aplica"/>
    <s v="Não se aplica"/>
    <s v="Não se aplica"/>
    <s v="Não se aplica"/>
    <s v="CATIVO"/>
    <x v="0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10.81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n v="31"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2323.567"/>
    <n v="2323.567"/>
    <n v="2323.567"/>
    <n v="2323.567"/>
    <m/>
    <n v="516.83000000000004"/>
    <n v="173.82"/>
    <m/>
    <n v="1604771.5485500002"/>
    <n v="1604771.5485500002"/>
    <n v="1211624.0121499998"/>
    <n v="0"/>
    <n v="142084.85746730384"/>
    <n v="0"/>
    <n v="0"/>
    <n v="6316.4869402766044"/>
    <n v="79992.538454492329"/>
    <n v="844885.66232810135"/>
    <n v="373913.36371361476"/>
    <n v="18811.285661448313"/>
    <n v="0"/>
    <n v="0"/>
    <n v="0"/>
    <n v="0"/>
    <n v="21961.185734254363"/>
    <m/>
    <n v="3605.1117318755696"/>
    <n v="13473.212030574397"/>
    <n v="44122.947665375337"/>
    <n v="0"/>
    <n v="0"/>
    <n v="0"/>
    <n v="0"/>
    <n v="0"/>
    <n v="0"/>
    <n v="0"/>
    <n v="0"/>
    <n v="0"/>
    <n v="0"/>
    <m/>
    <n v="0"/>
    <n v="0"/>
    <n v="0"/>
    <n v="1289.1442881659109"/>
    <n v="11166.338833209777"/>
    <n v="43167.978717134349"/>
    <n v="0"/>
    <n v="0"/>
    <n v="0"/>
    <n v="91764.82"/>
    <n v="10260"/>
    <m/>
    <m/>
    <m/>
    <m/>
    <m/>
    <n v="145385.58718999999"/>
    <m/>
    <m/>
    <m/>
    <n v="429536.82555212476"/>
    <m/>
    <m/>
    <m/>
    <m/>
    <m/>
    <m/>
    <m/>
    <m/>
    <m/>
    <m/>
    <m/>
    <m/>
    <n v="1066239.8015999999"/>
    <n v="-345954.54399000015"/>
    <m/>
    <m/>
    <m/>
    <m/>
    <n v="-442383.92113000009"/>
    <n v="49236.384729999998"/>
    <n v="31"/>
    <n v="54152.771382941748"/>
    <n v="1308.1637682159289"/>
    <n v="4284.0594619713083"/>
    <n v="0"/>
    <n v="0"/>
    <n v="0"/>
    <n v="0"/>
    <n v="0"/>
    <n v="-1533.7935671949963"/>
    <n v="0"/>
    <n v="0"/>
    <n v="47995.912742703396"/>
    <n v="1433.3230002034888"/>
    <n v="165.47591707621496"/>
    <n v="0"/>
    <n v="5541.0871631035407"/>
    <n v="0"/>
    <n v="-4152.5017863226822"/>
    <m/>
    <n v="0"/>
    <n v="0"/>
    <n v="-209.08053604818997"/>
    <n v="0"/>
    <n v="-568.78712500879556"/>
    <n v="-111.08765575739244"/>
    <n v="0"/>
    <n v="0"/>
    <m/>
    <m/>
    <m/>
    <n v="844885.66232810135"/>
    <n v="0"/>
    <n v="0"/>
    <n v="-442383.92113000026"/>
    <n v="49236.384729999991"/>
    <n v="0"/>
    <n v="0"/>
    <n v="-447322.1661889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1.052"/>
    <n v="-1.052"/>
    <n v="-1.052"/>
    <n v="-1.052"/>
    <m/>
    <n v="516.83000000000004"/>
    <n v="173.82"/>
    <m/>
    <n v="-726.56380000000013"/>
    <n v="-726.56380000000013"/>
    <n v="-548.56540000000007"/>
    <n v="0"/>
    <n v="-64.329227457440936"/>
    <n v="0"/>
    <n v="0"/>
    <n v="-2.8598031652071954"/>
    <n v="-36.216795321213432"/>
    <n v="-382.52381651536734"/>
    <n v="-169.29008658959381"/>
    <n v="-8.5168503924541987"/>
    <n v="0"/>
    <n v="0"/>
    <n v="0"/>
    <n v="0"/>
    <n v="-9.9429744838154406"/>
    <m/>
    <n v="-1.6322221575418738"/>
    <n v="-6.1000259756504827"/>
    <n v="-19.976760275892563"/>
    <n v="0"/>
    <n v="0"/>
    <n v="0"/>
    <n v="0"/>
    <n v="0"/>
    <n v="0"/>
    <n v="0"/>
    <n v="0"/>
    <n v="0"/>
    <n v="0"/>
    <m/>
    <n v="0"/>
    <n v="0"/>
    <n v="0"/>
    <n v="-0.5836628731388156"/>
    <n v="-5.0555841310092138"/>
    <n v="-19.544396012865278"/>
    <n v="0"/>
    <n v="0"/>
    <n v="0"/>
    <n v="28"/>
    <n v="0"/>
    <m/>
    <m/>
    <m/>
    <m/>
    <m/>
    <n v="-65.823639999999997"/>
    <m/>
    <m/>
    <m/>
    <n v="-194.47372960660715"/>
    <m/>
    <m/>
    <m/>
    <m/>
    <m/>
    <m/>
    <m/>
    <m/>
    <m/>
    <m/>
    <m/>
    <m/>
    <n v="-481.82399999999996"/>
    <n v="157.52004000000011"/>
    <m/>
    <m/>
    <m/>
    <m/>
    <n v="200.29028000000005"/>
    <n v="-22.291879999999999"/>
    <n v="31"/>
    <n v="-24.517784722736394"/>
    <n v="-0.59227398399235298"/>
    <n v="-1.9396172152530227"/>
    <n v="0"/>
    <n v="0"/>
    <n v="0"/>
    <n v="0"/>
    <n v="0"/>
    <n v="0.69442836496177307"/>
    <n v="0"/>
    <n v="0"/>
    <n v="-21.730253616669529"/>
    <n v="-0.64894009779535988"/>
    <n v="-7.4919580439977818E-2"/>
    <n v="0"/>
    <n v="-2.508739233938563"/>
    <n v="0"/>
    <n v="1.8800541922016833"/>
    <m/>
    <n v="0"/>
    <n v="0"/>
    <n v="9.4661666275468903E-2"/>
    <n v="0"/>
    <n v="0.25751960477544067"/>
    <n v="5.0295177137898994E-2"/>
    <n v="0"/>
    <n v="0"/>
    <m/>
    <m/>
    <m/>
    <n v="-382.52381651536734"/>
    <n v="0"/>
    <n v="0"/>
    <n v="200.29028000000005"/>
    <n v="-22.291879999999992"/>
    <n v="0"/>
    <n v="0"/>
    <n v="202.52608116348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40.668999999999997"/>
    <n v="40.668999999999997"/>
    <n v="40.668999999999997"/>
    <n v="40.668999999999997"/>
    <m/>
    <n v="516.83000000000004"/>
    <n v="173.82"/>
    <m/>
    <n v="28088.044849999998"/>
    <n v="28088.044849999998"/>
    <n v="21206.850049999997"/>
    <n v="0"/>
    <n v="2486.8872162230655"/>
    <n v="0"/>
    <n v="0"/>
    <n v="110.55640202073329"/>
    <n v="1400.095863990902"/>
    <n v="14787.890773634481"/>
    <n v="6544.5423303347816"/>
    <n v="329.25074962996177"/>
    <n v="0"/>
    <n v="0"/>
    <n v="0"/>
    <n v="0"/>
    <n v="384.38291756871683"/>
    <m/>
    <n v="63.099660575162034"/>
    <n v="235.81935019365918"/>
    <n v="772.27648636908225"/>
    <n v="0"/>
    <n v="0"/>
    <n v="0"/>
    <n v="0"/>
    <n v="0"/>
    <n v="0"/>
    <n v="0"/>
    <n v="0"/>
    <n v="0"/>
    <n v="0"/>
    <m/>
    <n v="0"/>
    <n v="0"/>
    <n v="0"/>
    <n v="22.563674322892098"/>
    <n v="195.44253899621074"/>
    <n v="755.56182647073945"/>
    <n v="0"/>
    <n v="0"/>
    <n v="0"/>
    <n v="1295.93"/>
    <n v="149"/>
    <m/>
    <m/>
    <m/>
    <m/>
    <m/>
    <n v="2544.6593299999995"/>
    <m/>
    <m/>
    <m/>
    <n v="7518.1103701246238"/>
    <m/>
    <m/>
    <m/>
    <m/>
    <m/>
    <m/>
    <m/>
    <m/>
    <m/>
    <m/>
    <m/>
    <m/>
    <n v="18662.649600000001"/>
    <n v="-6054.7785299999923"/>
    <m/>
    <m/>
    <m/>
    <m/>
    <n v="-7742.9709100000009"/>
    <n v="861.77610999999979"/>
    <n v="31"/>
    <n v="947.82679362069575"/>
    <n v="22.896569063673923"/>
    <n v="74.983167801449781"/>
    <n v="0"/>
    <n v="0"/>
    <n v="0"/>
    <n v="0"/>
    <n v="0"/>
    <n v="-26.845729253451054"/>
    <n v="0"/>
    <n v="0"/>
    <n v="840.06433872275011"/>
    <n v="25.087209921330299"/>
    <n v="2.8962969742523406"/>
    <n v="0"/>
    <n v="96.984710936356919"/>
    <n v="0"/>
    <n v="-72.680536067157846"/>
    <m/>
    <n v="0"/>
    <n v="0"/>
    <n v="-3.6595012412139454"/>
    <n v="0"/>
    <n v="-9.9553847971600931"/>
    <n v="-1.9443484401342346"/>
    <n v="0"/>
    <n v="0"/>
    <m/>
    <m/>
    <m/>
    <n v="14787.890773634481"/>
    <n v="0"/>
    <n v="0"/>
    <n v="-7742.97091"/>
    <n v="861.77610999999979"/>
    <n v="0"/>
    <n v="0"/>
    <n v="-7829.4041776024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"/>
    <s v="Regular"/>
    <s v="Verde"/>
    <s v="A4"/>
    <s v="Rural"/>
    <s v="Não se aplica"/>
    <s v="Não se aplica"/>
    <s v="Não se aplica"/>
    <s v="Ponta"/>
    <s v="CATIVO"/>
    <x v="0"/>
    <n v="0"/>
    <n v="0"/>
    <n v="43.212000000000003"/>
    <n v="41.483519999999999"/>
    <n v="43.212000000000003"/>
    <n v="41.483519999999999"/>
    <m/>
    <n v="1684.16"/>
    <n v="173.82"/>
    <m/>
    <n v="80287.031760000013"/>
    <n v="80287.031760000013"/>
    <n v="55115.177520000005"/>
    <n v="0"/>
    <n v="2298.8795455276804"/>
    <n v="0"/>
    <n v="0"/>
    <n v="777.79006673888625"/>
    <n v="11865.4071717275"/>
    <n v="50052.133586878037"/>
    <n v="6953.7673210166622"/>
    <n v="349.83853532198754"/>
    <n v="0"/>
    <n v="0"/>
    <n v="0"/>
    <n v="0"/>
    <n v="408.41807356904263"/>
    <m/>
    <n v="53.700877525310581"/>
    <n v="1670.409278499563"/>
    <n v="5371.1941716310566"/>
    <n v="0"/>
    <n v="0"/>
    <n v="0"/>
    <n v="0"/>
    <n v="0"/>
    <n v="0"/>
    <n v="0"/>
    <n v="0"/>
    <n v="0"/>
    <n v="0"/>
    <m/>
    <n v="0"/>
    <n v="0"/>
    <n v="0"/>
    <n v="8.0630837103785034"/>
    <n v="207.66340443837467"/>
    <n v="269.99850148604622"/>
    <n v="0"/>
    <n v="0"/>
    <n v="0"/>
    <n v="0"/>
    <n v="0"/>
    <m/>
    <m/>
    <m/>
    <m/>
    <m/>
    <n v="2204.6071008000063"/>
    <m/>
    <m/>
    <m/>
    <n v="7439.4923106514607"/>
    <m/>
    <m/>
    <m/>
    <m/>
    <m/>
    <m/>
    <m/>
    <m/>
    <m/>
    <m/>
    <m/>
    <m/>
    <n v="52906.080799999996"/>
    <n v="-24169.499689599994"/>
    <m/>
    <m/>
    <m/>
    <m/>
    <n v="-26087.516520000005"/>
    <n v="915.66228000000001"/>
    <n v="31"/>
    <n v="1327.8196174716395"/>
    <n v="162.18618776770109"/>
    <n v="521.50902037576998"/>
    <n v="0"/>
    <n v="0"/>
    <n v="0"/>
    <n v="0"/>
    <n v="0"/>
    <n v="-227.50978458448299"/>
    <n v="0"/>
    <n v="0"/>
    <n v="892.59288905277936"/>
    <n v="26.655893066476324"/>
    <n v="1.0349859078501211"/>
    <n v="0"/>
    <n v="34.657291703298938"/>
    <n v="0"/>
    <n v="-67.18591684931198"/>
    <m/>
    <n v="0"/>
    <n v="0"/>
    <n v="-3.8883269230947235"/>
    <n v="0"/>
    <n v="-10.577887035699973"/>
    <n v="-1.6547350096410938"/>
    <n v="0"/>
    <n v="0"/>
    <m/>
    <m/>
    <m/>
    <n v="50052.133586878037"/>
    <n v="0"/>
    <n v="0"/>
    <n v="-26087.516520000005"/>
    <n v="915.66227999999956"/>
    <n v="0"/>
    <n v="0"/>
    <n v="-26499.951196671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"/>
    <s v="Regular"/>
    <s v="Verde"/>
    <s v="A4"/>
    <s v="Rural"/>
    <s v="Não se aplica"/>
    <s v="Não se aplica"/>
    <s v="Não se aplica"/>
    <s v="Fora ponta"/>
    <s v="CATIVO"/>
    <x v="0"/>
    <n v="0"/>
    <n v="0"/>
    <n v="465.87599999999998"/>
    <n v="447.24095999999997"/>
    <n v="465.87599999999998"/>
    <n v="447.24095999999997"/>
    <m/>
    <n v="70.33"/>
    <n v="173.82"/>
    <m/>
    <n v="113743.62539999999"/>
    <n v="113743.62539999999"/>
    <n v="123145.00307999999"/>
    <n v="0"/>
    <n v="24784.615550130831"/>
    <n v="0"/>
    <n v="0"/>
    <n v="0"/>
    <n v="0"/>
    <n v="0"/>
    <n v="74969.760817503426"/>
    <n v="3771.6693853944794"/>
    <n v="0"/>
    <n v="0"/>
    <n v="0"/>
    <n v="0"/>
    <n v="4403.2254568650205"/>
    <m/>
    <n v="578.95839160375795"/>
    <n v="0"/>
    <n v="0"/>
    <n v="0"/>
    <n v="0"/>
    <n v="0"/>
    <n v="0"/>
    <n v="0"/>
    <n v="0"/>
    <n v="0"/>
    <n v="0"/>
    <n v="0"/>
    <n v="0"/>
    <m/>
    <n v="0"/>
    <n v="0"/>
    <n v="0"/>
    <n v="86.929491499034881"/>
    <n v="2238.8548599030878"/>
    <n v="2910.9002563712224"/>
    <n v="0"/>
    <n v="0"/>
    <n v="0"/>
    <n v="0"/>
    <n v="0"/>
    <m/>
    <m/>
    <m/>
    <m/>
    <m/>
    <n v="4925.8001232000006"/>
    <m/>
    <m/>
    <m/>
    <n v="80206.445425276775"/>
    <m/>
    <m/>
    <m/>
    <m/>
    <m/>
    <m/>
    <m/>
    <m/>
    <m/>
    <m/>
    <m/>
    <m/>
    <n v="118218.9492"/>
    <n v="9025.0388160000148"/>
    <m/>
    <m/>
    <m/>
    <m/>
    <n v="-470.53476000000234"/>
    <n v="9871.9124399999982"/>
    <n v="31"/>
    <n v="9397.2380756098428"/>
    <n v="0"/>
    <n v="0"/>
    <n v="0"/>
    <n v="0"/>
    <n v="0"/>
    <n v="0"/>
    <n v="0"/>
    <n v="0"/>
    <n v="0"/>
    <n v="0"/>
    <n v="9623.1973706459394"/>
    <n v="287.38176520961088"/>
    <n v="11.158360983189453"/>
    <n v="0"/>
    <n v="373.64621932717955"/>
    <n v="0"/>
    <n v="-724.34291858951474"/>
    <m/>
    <n v="0"/>
    <n v="0"/>
    <n v="-41.920720948432518"/>
    <n v="0"/>
    <n v="-114.04201843570627"/>
    <n v="-17.839982582420475"/>
    <n v="0"/>
    <n v="0"/>
    <m/>
    <m/>
    <m/>
    <n v="0"/>
    <n v="0"/>
    <n v="0"/>
    <n v="-470.53476000000228"/>
    <n v="9871.91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"/>
    <s v="Regular"/>
    <s v="Verde"/>
    <s v="A4"/>
    <s v="Rural"/>
    <s v="Não se aplica"/>
    <s v="Não se aplica"/>
    <s v="Não se aplica"/>
    <s v="Não se aplica"/>
    <s v="CATIVO"/>
    <x v="0"/>
    <n v="1629"/>
    <n v="1563.84"/>
    <n v="0"/>
    <n v="0"/>
    <n v="0"/>
    <n v="0"/>
    <n v="59.12"/>
    <m/>
    <m/>
    <n v="96306.48"/>
    <m/>
    <n v="96306.48"/>
    <n v="55434.87"/>
    <n v="0"/>
    <n v="0"/>
    <n v="0"/>
    <n v="0"/>
    <n v="931.88633187056803"/>
    <n v="8335.629898015437"/>
    <n v="78455.568538742198"/>
    <m/>
    <m/>
    <m/>
    <n v="0"/>
    <n v="0"/>
    <n v="0"/>
    <n v="0"/>
    <m/>
    <n v="0"/>
    <n v="1967.9494764591077"/>
    <n v="6615.3492304884821"/>
    <n v="0"/>
    <n v="0"/>
    <m/>
    <m/>
    <n v="0"/>
    <n v="0"/>
    <n v="0"/>
    <m/>
    <m/>
    <n v="0"/>
    <m/>
    <n v="0"/>
    <n v="0"/>
    <n v="0"/>
    <n v="0"/>
    <m/>
    <n v="0"/>
    <n v="0"/>
    <n v="0"/>
    <n v="0"/>
    <n v="7872.83"/>
    <n v="14"/>
    <m/>
    <m/>
    <m/>
    <m/>
    <m/>
    <n v="2217.3948000000028"/>
    <m/>
    <m/>
    <m/>
    <n v="0"/>
    <m/>
    <m/>
    <m/>
    <m/>
    <m/>
    <m/>
    <m/>
    <m/>
    <m/>
    <m/>
    <m/>
    <m/>
    <n v="53217.475200000001"/>
    <n v="-39236.775599999979"/>
    <m/>
    <m/>
    <m/>
    <m/>
    <n v="-40871.609999999993"/>
    <n v="0"/>
    <n v="31"/>
    <n v="673.55497648211531"/>
    <n v="191.07546121453743"/>
    <n v="642.30861637015732"/>
    <n v="0"/>
    <n v="0"/>
    <m/>
    <m/>
    <m/>
    <n v="-159.829101102578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455.568538742198"/>
    <m/>
    <n v="0"/>
    <n v="0"/>
    <n v="-40871.609999999993"/>
    <m/>
    <n v="0"/>
    <m/>
    <n v="-41538.06418211941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3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82.28800000000001"/>
    <n v="182.28800000000001"/>
    <n v="182.28800000000001"/>
    <n v="182.28800000000001"/>
    <m/>
    <n v="516.83000000000004"/>
    <n v="173.82"/>
    <m/>
    <n v="125897.20720000002"/>
    <n v="125897.20720000002"/>
    <n v="95054.077600000004"/>
    <n v="0"/>
    <n v="11146.811991218625"/>
    <n v="0"/>
    <n v="0"/>
    <n v="495.53973325027499"/>
    <n v="6275.5581611343669"/>
    <n v="66282.796069347227"/>
    <n v="29334.174243577832"/>
    <n v="1475.7791105890601"/>
    <n v="0"/>
    <n v="0"/>
    <n v="0"/>
    <n v="0"/>
    <n v="1722.8944227240961"/>
    <m/>
    <n v="282.82748351140032"/>
    <n v="1056.9976568910411"/>
    <n v="3461.5244079580834"/>
    <n v="0"/>
    <n v="0"/>
    <n v="0"/>
    <n v="0"/>
    <n v="0"/>
    <n v="0"/>
    <n v="0"/>
    <n v="0"/>
    <n v="0"/>
    <n v="0"/>
    <m/>
    <n v="0"/>
    <n v="0"/>
    <n v="0"/>
    <n v="101.13568233719431"/>
    <n v="876.01931565913264"/>
    <n v="3386.6053806018876"/>
    <n v="0"/>
    <n v="0"/>
    <n v="0"/>
    <n v="49798.25"/>
    <n v="243"/>
    <m/>
    <m/>
    <m/>
    <m/>
    <m/>
    <m/>
    <m/>
    <m/>
    <m/>
    <n v="33697.93462217605"/>
    <m/>
    <m/>
    <m/>
    <m/>
    <m/>
    <m/>
    <m/>
    <m/>
    <m/>
    <m/>
    <m/>
    <m/>
    <n v="95055.12049999999"/>
    <n v="-30842.116700000013"/>
    <m/>
    <m/>
    <m/>
    <m/>
    <n v="-34705.812320000012"/>
    <n v="3862.6827199999998"/>
    <n v="31"/>
    <n v="4248.3820737055066"/>
    <n v="102.62779467110067"/>
    <n v="336.09215107798764"/>
    <n v="0"/>
    <n v="0"/>
    <n v="0"/>
    <n v="0"/>
    <n v="0"/>
    <n v="-120.32885721687398"/>
    <n v="0"/>
    <n v="0"/>
    <n v="3765.3654669918797"/>
    <n v="112.44676097616025"/>
    <n v="12.981882584831453"/>
    <n v="0"/>
    <n v="434.70822954010737"/>
    <n v="0"/>
    <n v="-325.77121538788924"/>
    <m/>
    <n v="0"/>
    <n v="0"/>
    <n v="-16.402743176827926"/>
    <n v="0"/>
    <n v="-44.622370451811321"/>
    <n v="-8.7150259031495807"/>
    <n v="0"/>
    <n v="0"/>
    <m/>
    <m/>
    <m/>
    <n v="66282.796069347227"/>
    <n v="0"/>
    <n v="0"/>
    <n v="-34705.812320000019"/>
    <n v="3862.6827200000043"/>
    <n v="0"/>
    <n v="0"/>
    <n v="-35093.226504875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"/>
    <s v="Regular"/>
    <s v="Azul"/>
    <s v="A4"/>
    <s v="Poder público"/>
    <s v="Não se aplica"/>
    <s v="Não se aplica"/>
    <s v="Não se aplica"/>
    <s v="Ponta"/>
    <s v="CATIVO"/>
    <x v="0"/>
    <n v="537"/>
    <n v="537"/>
    <n v="27.978000000000002"/>
    <n v="27.978000000000002"/>
    <n v="27.978000000000002"/>
    <n v="27.978000000000002"/>
    <n v="67.099999999999994"/>
    <n v="70.33"/>
    <n v="173.82"/>
    <n v="36032.699999999997"/>
    <n v="6830.8287"/>
    <n v="42863.528699999995"/>
    <n v="29970.904739999998"/>
    <n v="0"/>
    <n v="1488.4303416822511"/>
    <n v="0"/>
    <n v="0"/>
    <n v="401.9005122539827"/>
    <n v="6131.0541965212096"/>
    <n v="25862.885393066026"/>
    <n v="4502.2795081783806"/>
    <n v="226.50612193924297"/>
    <n v="0"/>
    <n v="0"/>
    <n v="0"/>
    <n v="0"/>
    <n v="264.43397348687108"/>
    <m/>
    <n v="34.769118564360348"/>
    <n v="863.12026330606579"/>
    <n v="2775.3755796339365"/>
    <n v="0"/>
    <n v="0"/>
    <n v="0"/>
    <n v="0"/>
    <n v="0"/>
    <n v="0"/>
    <n v="0"/>
    <n v="0"/>
    <n v="0"/>
    <n v="0"/>
    <m/>
    <n v="0"/>
    <n v="0"/>
    <n v="0"/>
    <n v="5.2205164317543682"/>
    <n v="134.4535483054903"/>
    <n v="174.81297034565864"/>
    <n v="0"/>
    <n v="0"/>
    <n v="0"/>
    <n v="0"/>
    <n v="0"/>
    <m/>
    <m/>
    <m/>
    <m/>
    <m/>
    <m/>
    <m/>
    <m/>
    <m/>
    <n v="4816.7665432612848"/>
    <m/>
    <m/>
    <m/>
    <m/>
    <m/>
    <m/>
    <m/>
    <m/>
    <m/>
    <m/>
    <m/>
    <m/>
    <n v="29971.433399999998"/>
    <n v="-12892.125300000003"/>
    <m/>
    <m/>
    <m/>
    <m/>
    <n v="-13485.477779999997"/>
    <n v="592.85381999999993"/>
    <n v="31"/>
    <n v="800.06428889616654"/>
    <n v="83.803524616677691"/>
    <n v="269.47143474246832"/>
    <n v="0"/>
    <n v="0"/>
    <n v="0"/>
    <n v="0"/>
    <n v="0"/>
    <n v="-117.55810814899814"/>
    <n v="0"/>
    <n v="0"/>
    <n v="577.91733430340264"/>
    <n v="17.258598912660233"/>
    <n v="0.670110981436423"/>
    <n v="0"/>
    <n v="22.439176785959859"/>
    <n v="0"/>
    <n v="-43.500129168056219"/>
    <m/>
    <n v="0"/>
    <n v="0"/>
    <n v="-2.5175324135504979"/>
    <n v="0"/>
    <n v="-6.8487485764327403"/>
    <n v="-1.0713731393996682"/>
    <n v="0"/>
    <n v="0"/>
    <m/>
    <m/>
    <n v="25862.885393066026"/>
    <n v="0"/>
    <n v="0"/>
    <n v="0"/>
    <n v="-13485.477779999997"/>
    <n v="592.85381999999936"/>
    <n v="0"/>
    <n v="0"/>
    <n v="-13693.026682503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"/>
    <s v="Regular"/>
    <s v="Azul"/>
    <s v="A4"/>
    <s v="Poder público"/>
    <s v="Não se aplica"/>
    <s v="Não se aplica"/>
    <s v="Não se aplica"/>
    <s v="Fora ponta"/>
    <s v="CATIVO"/>
    <x v="0"/>
    <n v="532"/>
    <n v="532"/>
    <n v="162.83000000000001"/>
    <n v="162.83000000000001"/>
    <n v="162.83000000000001"/>
    <n v="162.83000000000001"/>
    <n v="59.12"/>
    <n v="70.33"/>
    <n v="173.82"/>
    <n v="31451.84"/>
    <n v="39754.944499999998"/>
    <n v="71206.784500000009"/>
    <n v="61144.813900000001"/>
    <n v="0"/>
    <n v="8662.5603165387438"/>
    <n v="0"/>
    <n v="0"/>
    <n v="304.33611329351885"/>
    <n v="2722.2560501806088"/>
    <n v="25622.076404303774"/>
    <n v="26202.951330212512"/>
    <n v="1318.2497617902256"/>
    <n v="0"/>
    <n v="0"/>
    <n v="0"/>
    <n v="0"/>
    <n v="1538.9872007601409"/>
    <m/>
    <n v="202.3538342924725"/>
    <n v="642.69436554711194"/>
    <n v="2160.4455436586081"/>
    <n v="0"/>
    <n v="0"/>
    <n v="0"/>
    <n v="0"/>
    <n v="0"/>
    <n v="0"/>
    <n v="0"/>
    <n v="0"/>
    <n v="0"/>
    <n v="0"/>
    <m/>
    <n v="0"/>
    <n v="0"/>
    <n v="0"/>
    <n v="30.383039909306021"/>
    <n v="782.51023198881205"/>
    <n v="1017.3992408815354"/>
    <n v="0"/>
    <n v="0"/>
    <n v="0"/>
    <n v="0"/>
    <n v="0"/>
    <m/>
    <m/>
    <m/>
    <m/>
    <m/>
    <m/>
    <m/>
    <m/>
    <m/>
    <n v="28033.243842992168"/>
    <m/>
    <m/>
    <m/>
    <m/>
    <m/>
    <m/>
    <m/>
    <m/>
    <m/>
    <m/>
    <m/>
    <m/>
    <n v="61144.813900000001"/>
    <n v="-10062.000599999992"/>
    <m/>
    <m/>
    <m/>
    <m/>
    <n v="-13512.338299999998"/>
    <n v="3450.3676999999998"/>
    <n v="31"/>
    <n v="3504.4326240715673"/>
    <n v="62.401562532924459"/>
    <n v="209.76561320375913"/>
    <n v="0"/>
    <n v="0"/>
    <n v="0"/>
    <n v="0"/>
    <n v="0"/>
    <n v="-52.197103613610125"/>
    <n v="0"/>
    <n v="0"/>
    <n v="3363.4383996219585"/>
    <n v="100.44383661978941"/>
    <n v="3.899998967306189"/>
    <n v="0"/>
    <n v="130.59443691678598"/>
    <n v="0"/>
    <n v="-253.16770435465878"/>
    <m/>
    <n v="0"/>
    <n v="0"/>
    <n v="-14.651862281021749"/>
    <n v="0"/>
    <n v="-39.859236925460891"/>
    <n v="-6.2353166162144475"/>
    <n v="0"/>
    <n v="0"/>
    <m/>
    <m/>
    <n v="25622.076404303774"/>
    <n v="0"/>
    <n v="0"/>
    <n v="0"/>
    <n v="-13512.338300000003"/>
    <n v="3450.3677000000025"/>
    <n v="0"/>
    <n v="0"/>
    <n v="-13565.531089556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"/>
    <s v="Regular"/>
    <s v="Azul"/>
    <s v="A4"/>
    <s v="Poder público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7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93.07400000000001"/>
    <n v="293.07400000000001"/>
    <n v="293.07400000000001"/>
    <n v="293.07400000000001"/>
    <m/>
    <n v="284.26"/>
    <n v="95.6"/>
    <m/>
    <n v="111327.08964000001"/>
    <n v="111327.08964000001"/>
    <n v="84050.692460000006"/>
    <n v="0"/>
    <n v="9856.7235782548905"/>
    <n v="0"/>
    <n v="0"/>
    <n v="438.18790310072615"/>
    <n v="5549.2496098698839"/>
    <n v="58611.484553976697"/>
    <n v="25939.151673419477"/>
    <n v="1304.9782096530105"/>
    <n v="0"/>
    <n v="0"/>
    <n v="0"/>
    <n v="0"/>
    <n v="1523.4933622893052"/>
    <m/>
    <n v="250.09413700540469"/>
    <n v="934.66488311148646"/>
    <n v="3060.9011146419361"/>
    <n v="0"/>
    <n v="0"/>
    <n v="0"/>
    <n v="0"/>
    <n v="0"/>
    <n v="0"/>
    <n v="0"/>
    <n v="0"/>
    <n v="0"/>
    <n v="0"/>
    <m/>
    <n v="0"/>
    <n v="0"/>
    <n v="0"/>
    <n v="89.430634111460819"/>
    <n v="774.632267097213"/>
    <n v="2994.6529224248593"/>
    <n v="0"/>
    <n v="0"/>
    <n v="0"/>
    <n v="30306.67"/>
    <n v="15"/>
    <m/>
    <m/>
    <m/>
    <m/>
    <m/>
    <m/>
    <m/>
    <m/>
    <m/>
    <n v="29797.867497053008"/>
    <m/>
    <m/>
    <m/>
    <m/>
    <m/>
    <m/>
    <m/>
    <m/>
    <m/>
    <m/>
    <m/>
    <m/>
    <n v="84049.545299999998"/>
    <n v="-27277.574339999992"/>
    <m/>
    <m/>
    <m/>
    <m/>
    <n v="-30690.709280000003"/>
    <n v="3414.3121000000019"/>
    <n v="31"/>
    <n v="3756.69095238312"/>
    <n v="90.750055201061969"/>
    <n v="297.1941603219384"/>
    <n v="0"/>
    <n v="0"/>
    <n v="0"/>
    <n v="0"/>
    <n v="0"/>
    <n v="-106.40246601523995"/>
    <n v="0"/>
    <n v="0"/>
    <n v="3329.5767981448334"/>
    <n v="99.432612758272285"/>
    <n v="11.479410280253191"/>
    <n v="0"/>
    <n v="384.39679965401365"/>
    <n v="0"/>
    <n v="-288.06772935260778"/>
    <m/>
    <n v="0"/>
    <n v="0"/>
    <n v="-14.504353849914196"/>
    <n v="0"/>
    <n v="-39.45795186071814"/>
    <n v="-7.7063828987475631"/>
    <n v="0"/>
    <n v="0"/>
    <m/>
    <m/>
    <m/>
    <n v="58611.484553976697"/>
    <n v="0"/>
    <n v="0"/>
    <n v="-30690.709280000003"/>
    <n v="3414.3120999999992"/>
    <n v="0"/>
    <n v="0"/>
    <n v="-31031.67375570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8.3520000000000003"/>
    <n v="7.8508800000000001"/>
    <n v="8.3520000000000003"/>
    <n v="7.8508800000000001"/>
    <m/>
    <n v="516.83000000000004"/>
    <n v="173.82"/>
    <m/>
    <n v="5768.3088000000007"/>
    <n v="5768.3088000000007"/>
    <n v="4355.1504000000004"/>
    <n v="0"/>
    <n v="510.72025449101397"/>
    <n v="0"/>
    <n v="0"/>
    <n v="22.704444900960549"/>
    <n v="287.53105943229519"/>
    <n v="3036.9191212322703"/>
    <n v="1344.0216760420985"/>
    <n v="67.616667754541325"/>
    <n v="0"/>
    <n v="0"/>
    <n v="0"/>
    <n v="0"/>
    <n v="78.938900084435886"/>
    <m/>
    <n v="12.95847857394461"/>
    <n v="48.429103563339197"/>
    <n v="158.59876599263754"/>
    <n v="0"/>
    <n v="0"/>
    <n v="0"/>
    <n v="0"/>
    <n v="0"/>
    <n v="0"/>
    <n v="0"/>
    <n v="0"/>
    <n v="0"/>
    <n v="0"/>
    <m/>
    <n v="0"/>
    <n v="0"/>
    <n v="0"/>
    <n v="4.63379497761919"/>
    <n v="40.137108994476193"/>
    <n v="155.1661554177289"/>
    <n v="0"/>
    <n v="0"/>
    <n v="0"/>
    <n v="2402.2800000000002"/>
    <n v="8"/>
    <m/>
    <m/>
    <m/>
    <m/>
    <n v="261.30902400000014"/>
    <m/>
    <m/>
    <m/>
    <m/>
    <n v="1543.9587354319228"/>
    <m/>
    <m/>
    <m/>
    <m/>
    <m/>
    <m/>
    <m/>
    <m/>
    <m/>
    <m/>
    <m/>
    <m/>
    <n v="4093.3824999999997"/>
    <n v="-1328.8577720000012"/>
    <m/>
    <m/>
    <m/>
    <m/>
    <n v="-1590.1372800000004"/>
    <n v="176.97887999999998"/>
    <n v="31"/>
    <n v="194.65070152499629"/>
    <n v="4.7021599945856707"/>
    <n v="15.398938195620957"/>
    <n v="0"/>
    <n v="0"/>
    <n v="0"/>
    <n v="0"/>
    <n v="0"/>
    <n v="-5.513180327148973"/>
    <n v="0"/>
    <n v="0"/>
    <n v="172.5200363178933"/>
    <n v="5.1520415368696177"/>
    <n v="0.59479879832195337"/>
    <n v="0"/>
    <n v="19.917290952333531"/>
    <n v="0"/>
    <n v="-14.926057617175331"/>
    <m/>
    <n v="0"/>
    <n v="0"/>
    <n v="-0.75153444556342208"/>
    <n v="0"/>
    <n v="-2.0444902462780163"/>
    <n v="-0.39930163446362421"/>
    <n v="0"/>
    <n v="0"/>
    <m/>
    <m/>
    <m/>
    <n v="3036.9191212322703"/>
    <n v="0"/>
    <n v="0"/>
    <n v="-1590.1372800000008"/>
    <n v="176.97888000000012"/>
    <n v="0"/>
    <n v="0"/>
    <n v="-1607.887670986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"/>
    <s v="Regular"/>
    <s v="Azul"/>
    <s v="A4"/>
    <s v="Serviço público"/>
    <s v="Água, esgoto e saneamento"/>
    <s v="Não se aplica"/>
    <s v="Não se aplica"/>
    <s v="Ponta"/>
    <s v="CATIVO"/>
    <x v="0"/>
    <n v="100"/>
    <n v="94"/>
    <n v="3.2"/>
    <n v="3.008"/>
    <n v="3.2"/>
    <n v="3.008"/>
    <n v="67.099999999999994"/>
    <n v="70.33"/>
    <n v="173.82"/>
    <n v="6709.9999999999991"/>
    <n v="781.28000000000009"/>
    <n v="7491.2799999999988"/>
    <n v="5049.8559999999998"/>
    <n v="0"/>
    <n v="170.24008483033825"/>
    <n v="0"/>
    <n v="0"/>
    <n v="74.841808613404609"/>
    <n v="1141.7233140635399"/>
    <n v="4816.1797752450702"/>
    <n v="514.95083373260479"/>
    <n v="25.906769254613536"/>
    <n v="0"/>
    <n v="0"/>
    <n v="0"/>
    <n v="0"/>
    <n v="30.24478930438157"/>
    <m/>
    <n v="3.9767381301720324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59709959902830723"/>
    <n v="15.378202679875935"/>
    <n v="19.994335017017217"/>
    <n v="0"/>
    <n v="0"/>
    <n v="0"/>
    <n v="0"/>
    <n v="0"/>
    <m/>
    <m/>
    <m/>
    <m/>
    <n v="302.99136000000004"/>
    <m/>
    <m/>
    <m/>
    <m/>
    <n v="550.92047102852621"/>
    <m/>
    <m/>
    <m/>
    <m/>
    <m/>
    <m/>
    <m/>
    <m/>
    <m/>
    <m/>
    <m/>
    <m/>
    <n v="4747.3932999999997"/>
    <n v="-2294.4399000000003"/>
    <m/>
    <m/>
    <m/>
    <m/>
    <n v="-2509.2319999999995"/>
    <n v="67.807999999999993"/>
    <n v="31"/>
    <n v="108.442696545118"/>
    <n v="15.60587050589902"/>
    <n v="50.180900324482081"/>
    <n v="0"/>
    <n v="0"/>
    <n v="0"/>
    <n v="0"/>
    <n v="0"/>
    <n v="-21.891640251209992"/>
    <n v="0"/>
    <n v="0"/>
    <n v="66.099630773139211"/>
    <n v="1.973962274662691"/>
    <n v="7.6644332711292895E-2"/>
    <n v="0"/>
    <n v="2.5664938778708795"/>
    <n v="0"/>
    <n v="-4.975352539058548"/>
    <m/>
    <n v="0"/>
    <n v="0"/>
    <n v="-0.28794423201664188"/>
    <n v="0"/>
    <n v="-0.7833295962751059"/>
    <n v="-0.12253892508681652"/>
    <n v="0"/>
    <n v="0"/>
    <m/>
    <m/>
    <n v="4816.1797752450702"/>
    <n v="0"/>
    <n v="0"/>
    <n v="0"/>
    <n v="-2509.2319999999991"/>
    <n v="67.807999999999993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"/>
    <s v="Regular"/>
    <s v="Azul"/>
    <s v="A4"/>
    <s v="Serviço público"/>
    <s v="Água, esgoto e saneamento"/>
    <s v="Não se aplica"/>
    <s v="Não se aplica"/>
    <s v="Fora ponta"/>
    <s v="CATIVO"/>
    <x v="0"/>
    <n v="100"/>
    <n v="94"/>
    <n v="33.780999999999999"/>
    <n v="31.754139999999996"/>
    <n v="33.780999999999999"/>
    <n v="31.754139999999996"/>
    <n v="59.12"/>
    <n v="70.33"/>
    <n v="173.82"/>
    <n v="5912"/>
    <n v="8247.6311499999993"/>
    <n v="14159.631149999997"/>
    <n v="12332.331729999998"/>
    <n v="0"/>
    <n v="1797.1500955167676"/>
    <n v="0"/>
    <n v="0"/>
    <n v="57.206036333368203"/>
    <n v="511.70226507154302"/>
    <n v="4816.1797752450702"/>
    <n v="5436.1106607253505"/>
    <n v="273.48642880940616"/>
    <n v="0"/>
    <n v="0"/>
    <n v="0"/>
    <n v="0"/>
    <n v="319.28100859103552"/>
    <m/>
    <n v="41.980684617294187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3033192358672636"/>
    <n v="162.34095772777778"/>
    <n v="211.07144725308078"/>
    <n v="0"/>
    <n v="0"/>
    <n v="0"/>
    <n v="0"/>
    <n v="0"/>
    <m/>
    <m/>
    <m/>
    <m/>
    <n v="739.93990380000071"/>
    <m/>
    <m/>
    <m/>
    <m/>
    <n v="5815.8263849420764"/>
    <m/>
    <m/>
    <m/>
    <m/>
    <m/>
    <m/>
    <m/>
    <m/>
    <m/>
    <m/>
    <m/>
    <m/>
    <n v="11591.297500000001"/>
    <n v="-1718.7857809999987"/>
    <m/>
    <m/>
    <m/>
    <m/>
    <n v="-2543.1188099999999"/>
    <n v="715.81938999999988"/>
    <n v="31"/>
    <n v="722.74817226026062"/>
    <n v="11.729617017467007"/>
    <n v="39.429626542059964"/>
    <n v="0"/>
    <n v="0"/>
    <n v="0"/>
    <n v="0"/>
    <n v="0"/>
    <n v="-9.8114856416560201"/>
    <n v="0"/>
    <n v="0"/>
    <n v="697.78488348356768"/>
    <n v="20.838256125118875"/>
    <n v="0.80910068853755757"/>
    <n v="0"/>
    <n v="27.093353027611329"/>
    <n v="0"/>
    <n v="-52.522620038105515"/>
    <m/>
    <n v="0"/>
    <n v="0"/>
    <n v="-3.039701281798159"/>
    <n v="0"/>
    <n v="-8.269267841177907"/>
    <n v="-1.2935898213617918"/>
    <n v="0"/>
    <n v="0"/>
    <m/>
    <m/>
    <n v="4816.1797752450702"/>
    <n v="0"/>
    <n v="0"/>
    <n v="0"/>
    <n v="-2543.118809999999"/>
    <n v="715.81938999999966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"/>
    <s v="Regular"/>
    <s v="Azul"/>
    <s v="A4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237.2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70899999999999996"/>
    <n v="0.70899999999999996"/>
    <n v="0.70899999999999996"/>
    <n v="0.70899999999999996"/>
    <m/>
    <n v="516.83000000000004"/>
    <n v="173.82"/>
    <m/>
    <n v="489.67085000000003"/>
    <n v="489.67085000000003"/>
    <n v="369.70804999999996"/>
    <n v="0"/>
    <n v="43.354964132438802"/>
    <n v="0"/>
    <n v="0"/>
    <n v="1.9273768480341269"/>
    <n v="24.40846756914479"/>
    <n v="257.80359877318961"/>
    <n v="114.09379409888024"/>
    <n v="5.739968562975311"/>
    <n v="0"/>
    <n v="0"/>
    <n v="0"/>
    <n v="0"/>
    <n v="6.7011111302520403"/>
    <m/>
    <n v="1.10004326016843"/>
    <n v="4.1111391794070267"/>
    <n v="13.463424938790709"/>
    <n v="0"/>
    <n v="0"/>
    <n v="0"/>
    <n v="0"/>
    <n v="0"/>
    <n v="0"/>
    <n v="0"/>
    <n v="0"/>
    <n v="0"/>
    <n v="0"/>
    <m/>
    <n v="0"/>
    <n v="0"/>
    <n v="0"/>
    <n v="0.39336214548994319"/>
    <n v="3.4072330312600116"/>
    <n v="13.172031153157301"/>
    <n v="0"/>
    <n v="0"/>
    <n v="0"/>
    <n v="200.98"/>
    <n v="6"/>
    <m/>
    <m/>
    <m/>
    <m/>
    <m/>
    <m/>
    <m/>
    <m/>
    <m/>
    <n v="131.0664204287875"/>
    <m/>
    <m/>
    <m/>
    <m/>
    <m/>
    <m/>
    <m/>
    <m/>
    <m/>
    <m/>
    <m/>
    <m/>
    <n v="370.22949999999997"/>
    <n v="-119.47135000000003"/>
    <m/>
    <m/>
    <m/>
    <m/>
    <n v="-134.98651000000001"/>
    <n v="15.023709999999998"/>
    <n v="31"/>
    <n v="16.523868220931803"/>
    <n v="0.39916564130283039"/>
    <n v="1.3072135034357348"/>
    <n v="0"/>
    <n v="0"/>
    <n v="0"/>
    <n v="0"/>
    <n v="0"/>
    <n v="-0.46801303303982422"/>
    <n v="0"/>
    <n v="0"/>
    <n v="14.645199443173652"/>
    <n v="0.43735601647995237"/>
    <n v="5.0492378832646678E-2"/>
    <n v="0"/>
    <n v="1.6907757764852107"/>
    <n v="0"/>
    <n v="-1.2670707436036039"/>
    <m/>
    <n v="0"/>
    <n v="0"/>
    <n v="-6.379764390618714E-2"/>
    <n v="0"/>
    <n v="-0.17355646367470268"/>
    <n v="-3.3896654553964067E-2"/>
    <n v="0"/>
    <n v="0"/>
    <m/>
    <m/>
    <m/>
    <n v="257.80359877318961"/>
    <n v="0"/>
    <n v="0"/>
    <n v="-134.98651000000004"/>
    <n v="15.023710000000008"/>
    <n v="0"/>
    <n v="0"/>
    <n v="-136.4933379704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85.58"/>
    <n v="6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4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.3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5"/>
    <s v="Regular"/>
    <s v="Convencional"/>
    <s v="B2"/>
    <s v="Rural"/>
    <s v="Agropecuária rural"/>
    <s v="IRRIG./AQUIC."/>
    <s v="Não se aplica"/>
    <s v="Não se aplica"/>
    <s v="CATIVO"/>
    <x v="0"/>
    <n v="0"/>
    <n v="0"/>
    <n v="5.3019999999999996"/>
    <n v="5.3019999999999996"/>
    <n v="5.3019999999999996"/>
    <n v="5.3019999999999996"/>
    <m/>
    <n v="516.83000000000004"/>
    <n v="173.82"/>
    <m/>
    <n v="3661.8263000000002"/>
    <n v="3661.8263000000002"/>
    <n v="2764.7278999999999"/>
    <n v="0"/>
    <n v="324.21441442904165"/>
    <n v="0"/>
    <n v="0"/>
    <n v="14.413190477118393"/>
    <n v="182.5298942899939"/>
    <n v="1927.8909459738379"/>
    <n v="853.20916264070945"/>
    <n v="42.924278308737797"/>
    <n v="0"/>
    <n v="0"/>
    <n v="0"/>
    <n v="0"/>
    <n v="50.111835278697207"/>
    <m/>
    <n v="8.2262755506530549"/>
    <n v="30.743667036976099"/>
    <n v="100.68135264523038"/>
    <n v="0"/>
    <n v="0"/>
    <n v="0"/>
    <n v="0"/>
    <n v="0"/>
    <n v="0"/>
    <n v="0"/>
    <n v="0"/>
    <n v="0"/>
    <n v="0"/>
    <m/>
    <n v="0"/>
    <n v="0"/>
    <n v="0"/>
    <n v="2.9416164956102659"/>
    <n v="25.479759565219439"/>
    <n v="98.502269638984501"/>
    <n v="0"/>
    <n v="0"/>
    <n v="0"/>
    <n v="0"/>
    <n v="0"/>
    <m/>
    <m/>
    <m/>
    <m/>
    <m/>
    <n v="331.74613999999997"/>
    <m/>
    <m/>
    <m/>
    <n v="980.13280834052352"/>
    <m/>
    <m/>
    <m/>
    <m/>
    <m/>
    <m/>
    <m/>
    <m/>
    <m/>
    <m/>
    <m/>
    <m/>
    <n v="2432.0639999999999"/>
    <n v="-790.36254000000054"/>
    <m/>
    <m/>
    <m/>
    <m/>
    <n v="-1009.4477800000002"/>
    <n v="112.34937999999998"/>
    <n v="31"/>
    <n v="123.5677705322712"/>
    <n v="2.9850158394747623"/>
    <n v="9.7755232654672284"/>
    <n v="0"/>
    <n v="0"/>
    <n v="0"/>
    <n v="0"/>
    <n v="0"/>
    <n v="-3.4998661511666569"/>
    <n v="0"/>
    <n v="0"/>
    <n v="109.51882573724504"/>
    <n v="3.2706087438317439"/>
    <n v="0.37758898811099106"/>
    <n v="0"/>
    <n v="12.643854960401384"/>
    <n v="0"/>
    <n v="-9.4753301587959413"/>
    <m/>
    <n v="0"/>
    <n v="0"/>
    <n v="-0.47708759942257473"/>
    <n v="0"/>
    <n v="-1.2978792248283142"/>
    <n v="-0.25348386804671108"/>
    <n v="0"/>
    <n v="0"/>
    <m/>
    <m/>
    <m/>
    <n v="1927.8909459738379"/>
    <n v="0"/>
    <n v="0"/>
    <n v="-1009.4477800000002"/>
    <n v="112.34938"/>
    <n v="0"/>
    <n v="0"/>
    <n v="-1020.716047841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2"/>
    <n v="0.2"/>
    <n v="0.2"/>
    <n v="0.2"/>
    <m/>
    <n v="516.83000000000004"/>
    <n v="173.82"/>
    <m/>
    <n v="138.13000000000002"/>
    <n v="138.13000000000002"/>
    <n v="104.28999999999999"/>
    <n v="0"/>
    <n v="12.22989115160474"/>
    <n v="0"/>
    <n v="0"/>
    <n v="0.54368881467817409"/>
    <n v="6.8853223044131999"/>
    <n v="72.723159033339797"/>
    <n v="32.1844271082878"/>
    <n v="1.619173078413346"/>
    <n v="0"/>
    <n v="0"/>
    <n v="0"/>
    <n v="0"/>
    <n v="1.8902993315238481"/>
    <m/>
    <n v="0.31030839496993801"/>
    <n v="1.159700755827088"/>
    <n v="3.7978631703217802"/>
    <n v="0"/>
    <n v="0"/>
    <n v="0"/>
    <n v="0"/>
    <n v="0"/>
    <n v="0"/>
    <n v="0"/>
    <n v="0"/>
    <n v="0"/>
    <n v="0"/>
    <m/>
    <n v="0"/>
    <n v="0"/>
    <n v="0"/>
    <n v="0.11096252341042122"/>
    <n v="0.96113766749224594"/>
    <n v="3.7156646412291403"/>
    <n v="0"/>
    <n v="0"/>
    <n v="0"/>
    <n v="0"/>
    <n v="0"/>
    <m/>
    <m/>
    <m/>
    <m/>
    <m/>
    <n v="12.513999999999999"/>
    <m/>
    <m/>
    <m/>
    <n v="36.972191940419606"/>
    <m/>
    <m/>
    <m/>
    <m/>
    <m/>
    <m/>
    <m/>
    <m/>
    <m/>
    <m/>
    <m/>
    <m/>
    <n v="91.77600000000001"/>
    <n v="-29.808000000000007"/>
    <m/>
    <m/>
    <m/>
    <m/>
    <n v="-38.07800000000001"/>
    <n v="4.2379999999999995"/>
    <n v="31"/>
    <n v="4.6611758028016226"/>
    <n v="0.1125996167285841"/>
    <n v="0.36874852001008041"/>
    <n v="0"/>
    <n v="0"/>
    <n v="0"/>
    <n v="0"/>
    <n v="0"/>
    <n v="-0.13202060170375951"/>
    <n v="0"/>
    <n v="0"/>
    <n v="4.1312269233212007"/>
    <n v="0.12337264216641819"/>
    <n v="1.4243266243341809E-2"/>
    <n v="0"/>
    <n v="0.47694662242177976"/>
    <n v="0"/>
    <n v="-0.35742475136913932"/>
    <m/>
    <n v="0"/>
    <n v="0"/>
    <n v="-1.7996514501040117E-2"/>
    <n v="0"/>
    <n v="-4.8958099767194119E-2"/>
    <n v="-9.561820748649974E-3"/>
    <n v="0"/>
    <n v="0"/>
    <m/>
    <m/>
    <m/>
    <n v="72.723159033339797"/>
    <n v="0"/>
    <n v="0"/>
    <n v="-38.078000000000017"/>
    <n v="4.2379999999999995"/>
    <n v="0"/>
    <n v="0"/>
    <n v="-38.50305725541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2.5000000000000001E-2"/>
    <n v="0.01"/>
    <n v="2.5000000000000001E-2"/>
    <n v="0.01"/>
    <m/>
    <n v="516.83000000000004"/>
    <n v="173.82"/>
    <m/>
    <n v="17.266250000000003"/>
    <n v="17.266250000000003"/>
    <n v="13.036249999999999"/>
    <n v="0"/>
    <n v="1.5287363939505925"/>
    <n v="0"/>
    <n v="0"/>
    <n v="6.7961101834771762E-2"/>
    <n v="0.86066528805164999"/>
    <n v="9.0903948791674747"/>
    <n v="4.0230533885359749"/>
    <n v="0.20239663480166825"/>
    <n v="0"/>
    <n v="0"/>
    <n v="0"/>
    <n v="0"/>
    <n v="0.23628741644048101"/>
    <m/>
    <n v="3.8788549371242251E-2"/>
    <n v="0.144962594478386"/>
    <n v="0.47473289629022253"/>
    <n v="0"/>
    <n v="0"/>
    <n v="0"/>
    <n v="0"/>
    <n v="0"/>
    <n v="0"/>
    <n v="0"/>
    <n v="0"/>
    <n v="0"/>
    <n v="0"/>
    <m/>
    <n v="0"/>
    <n v="0"/>
    <n v="0"/>
    <n v="1.3870315426302652E-2"/>
    <n v="0.12014220843653074"/>
    <n v="0.46445808015364254"/>
    <n v="0"/>
    <n v="0"/>
    <n v="0"/>
    <n v="0"/>
    <n v="0"/>
    <m/>
    <m/>
    <m/>
    <m/>
    <m/>
    <m/>
    <n v="8.4474499999999999"/>
    <m/>
    <m/>
    <n v="4.6215239925524507"/>
    <m/>
    <m/>
    <m/>
    <m/>
    <m/>
    <m/>
    <m/>
    <m/>
    <m/>
    <m/>
    <m/>
    <m/>
    <n v="4.5888"/>
    <n v="-1.5188999999999995"/>
    <m/>
    <m/>
    <m/>
    <m/>
    <n v="-4.7597500000000013"/>
    <n v="0.52974999999999994"/>
    <n v="31"/>
    <n v="0.58264697535020282"/>
    <n v="1.4074952091073012E-2"/>
    <n v="4.6093565001260051E-2"/>
    <n v="0"/>
    <n v="0"/>
    <n v="0"/>
    <n v="0"/>
    <n v="0"/>
    <n v="-1.6502575212969939E-2"/>
    <n v="0"/>
    <n v="0"/>
    <n v="0.51640336541515008"/>
    <n v="1.5421580270802274E-2"/>
    <n v="1.7804082804177262E-3"/>
    <n v="0"/>
    <n v="5.9618327802722471E-2"/>
    <n v="0"/>
    <n v="-4.4678093921142414E-2"/>
    <m/>
    <n v="0"/>
    <n v="0"/>
    <n v="-2.2495643126300147E-3"/>
    <n v="0"/>
    <n v="-6.1197624708992648E-3"/>
    <n v="-1.1952275935812467E-3"/>
    <n v="0"/>
    <n v="0"/>
    <m/>
    <m/>
    <m/>
    <n v="9.0903948791674747"/>
    <n v="0"/>
    <n v="0"/>
    <n v="-4.7597500000000021"/>
    <n v="0.52974999999999994"/>
    <n v="0"/>
    <n v="0"/>
    <n v="-4.8128821569268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"/>
    <s v="Regular"/>
    <s v="Verde"/>
    <s v="A4"/>
    <s v="Rural"/>
    <s v="Agropecuária rural"/>
    <s v="Não se aplica"/>
    <s v="Não se aplica"/>
    <s v="Ponta"/>
    <s v="CATIVO"/>
    <x v="0"/>
    <n v="0"/>
    <n v="0"/>
    <n v="0.08"/>
    <n v="7.6799999999999993E-2"/>
    <n v="0.08"/>
    <n v="7.6799999999999993E-2"/>
    <m/>
    <n v="1684.16"/>
    <n v="173.82"/>
    <m/>
    <n v="148.63839999999999"/>
    <n v="148.63839999999999"/>
    <n v="102.0368"/>
    <n v="0"/>
    <n v="4.2560021207584562"/>
    <n v="0"/>
    <n v="0"/>
    <n v="1.4399519887788321"/>
    <n v="21.96687433440248"/>
    <n v="92.663396439652004"/>
    <n v="12.873770843315119"/>
    <n v="0.64766923136533838"/>
    <n v="0"/>
    <n v="0"/>
    <n v="0"/>
    <n v="0"/>
    <n v="0.75611973260953924"/>
    <m/>
    <n v="9.9418453254300806E-2"/>
    <n v="3.0924914903259522"/>
    <n v="9.9438936807017608"/>
    <n v="0"/>
    <n v="0"/>
    <n v="0"/>
    <n v="0"/>
    <n v="0"/>
    <n v="0"/>
    <n v="0"/>
    <n v="0"/>
    <n v="0"/>
    <n v="0"/>
    <m/>
    <n v="0"/>
    <n v="0"/>
    <n v="0"/>
    <n v="1.492748997570768E-2"/>
    <n v="0.38445506699689835"/>
    <n v="0.49985837542543038"/>
    <n v="0"/>
    <n v="0"/>
    <n v="0"/>
    <n v="0"/>
    <n v="0"/>
    <m/>
    <m/>
    <m/>
    <m/>
    <m/>
    <n v="4.0814720000000113"/>
    <m/>
    <m/>
    <m/>
    <n v="13.773011775713156"/>
    <m/>
    <m/>
    <m/>
    <m/>
    <m/>
    <m/>
    <m/>
    <m/>
    <m/>
    <m/>
    <m/>
    <m/>
    <n v="102.0368"/>
    <n v="-40.686063999999988"/>
    <m/>
    <m/>
    <m/>
    <m/>
    <n v="-48.296800000000005"/>
    <n v="1.6951999999999998"/>
    <n v="31"/>
    <n v="2.4582423724366294"/>
    <n v="0.30026138622179177"/>
    <n v="0.96548925368095873"/>
    <n v="0"/>
    <n v="0"/>
    <n v="0"/>
    <n v="0"/>
    <n v="0"/>
    <n v="-0.42119741661479537"/>
    <n v="0"/>
    <n v="0"/>
    <n v="1.6524907693284803"/>
    <n v="4.9349056866567265E-2"/>
    <n v="1.916108317782321E-3"/>
    <n v="0"/>
    <n v="6.4162346946771975E-2"/>
    <n v="0"/>
    <n v="-0.12438381347646388"/>
    <m/>
    <n v="0"/>
    <n v="0"/>
    <n v="-7.1986058004159803E-3"/>
    <n v="0"/>
    <n v="-1.9583239906877603E-2"/>
    <n v="-3.0634731271704102E-3"/>
    <n v="0"/>
    <n v="0"/>
    <m/>
    <m/>
    <m/>
    <n v="92.663396439652004"/>
    <n v="0"/>
    <n v="0"/>
    <n v="-48.29679999999999"/>
    <n v="1.6951999999999998"/>
    <n v="0"/>
    <n v="0"/>
    <n v="-49.060355820922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"/>
    <s v="Regular"/>
    <s v="Verde"/>
    <s v="A4"/>
    <s v="Rural"/>
    <s v="Agropecuária rural"/>
    <s v="Não se aplica"/>
    <s v="Não se aplica"/>
    <s v="Fora ponta"/>
    <s v="CATIVO"/>
    <x v="0"/>
    <n v="0"/>
    <n v="0"/>
    <n v="5.7839999999999998"/>
    <n v="5.5526399999999994"/>
    <n v="5.7839999999999998"/>
    <n v="5.5526399999999994"/>
    <m/>
    <n v="70.33"/>
    <n v="173.82"/>
    <m/>
    <n v="1412.1635999999999"/>
    <n v="1412.1635999999999"/>
    <n v="1528.8847199999998"/>
    <n v="0"/>
    <n v="307.70895333083638"/>
    <n v="0"/>
    <n v="0"/>
    <n v="0"/>
    <n v="0"/>
    <n v="0"/>
    <n v="930.77363197168313"/>
    <n v="46.826485427713962"/>
    <n v="0"/>
    <n v="0"/>
    <n v="0"/>
    <n v="0"/>
    <n v="54.667456667669683"/>
    <m/>
    <n v="7.1879541702859475"/>
    <n v="0"/>
    <n v="0"/>
    <n v="0"/>
    <n v="0"/>
    <n v="0"/>
    <n v="0"/>
    <n v="0"/>
    <n v="0"/>
    <n v="0"/>
    <n v="0"/>
    <n v="0"/>
    <n v="0"/>
    <m/>
    <n v="0"/>
    <n v="0"/>
    <n v="0"/>
    <n v="1.0792575252436651"/>
    <n v="27.796101343875751"/>
    <n v="36.139760543258618"/>
    <n v="0"/>
    <n v="0"/>
    <n v="0"/>
    <n v="0"/>
    <n v="0"/>
    <m/>
    <m/>
    <m/>
    <m/>
    <m/>
    <n v="61.155388800000118"/>
    <m/>
    <m/>
    <m/>
    <n v="995.78875138406113"/>
    <m/>
    <m/>
    <m/>
    <m/>
    <m/>
    <m/>
    <m/>
    <m/>
    <m/>
    <m/>
    <m/>
    <m/>
    <n v="1467.0314999999998"/>
    <n v="111.32444400000008"/>
    <m/>
    <m/>
    <m/>
    <m/>
    <n v="-5.8418400000000297"/>
    <n v="122.56295999999999"/>
    <n v="31"/>
    <n v="116.66972548344847"/>
    <n v="0"/>
    <n v="0"/>
    <n v="0"/>
    <n v="0"/>
    <n v="0"/>
    <n v="0"/>
    <n v="0"/>
    <n v="0"/>
    <n v="0"/>
    <n v="0"/>
    <n v="119.47508262244912"/>
    <n v="3.5679368114528138"/>
    <n v="0.13853463137566191"/>
    <n v="0"/>
    <n v="4.6389376842516157"/>
    <n v="0"/>
    <n v="-8.9929497143483559"/>
    <m/>
    <n v="0"/>
    <n v="0"/>
    <n v="-0.52045919937008023"/>
    <n v="0"/>
    <n v="-1.4158682452672551"/>
    <n v="-0.22148910709442049"/>
    <n v="0"/>
    <n v="0"/>
    <m/>
    <m/>
    <m/>
    <n v="0"/>
    <n v="0"/>
    <n v="0"/>
    <n v="-5.8418399999999906"/>
    <n v="122.56295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"/>
    <s v="Regular"/>
    <s v="Verde"/>
    <s v="A4"/>
    <s v="Rural"/>
    <s v="Agropecuária rural"/>
    <s v="Não se aplica"/>
    <s v="Não se aplica"/>
    <s v="Não se aplica"/>
    <s v="CATIVO"/>
    <x v="0"/>
    <n v="225"/>
    <n v="216"/>
    <n v="0"/>
    <n v="0"/>
    <n v="0"/>
    <n v="0"/>
    <n v="59.12"/>
    <m/>
    <m/>
    <n v="13302"/>
    <m/>
    <n v="13302"/>
    <n v="7656.75"/>
    <n v="0"/>
    <n v="0"/>
    <n v="0"/>
    <n v="0"/>
    <n v="128.71358175007845"/>
    <n v="1151.3300964109719"/>
    <n v="10836.404494301409"/>
    <m/>
    <m/>
    <m/>
    <n v="0"/>
    <n v="0"/>
    <n v="0"/>
    <n v="0"/>
    <m/>
    <n v="0"/>
    <n v="271.81622603026352"/>
    <n v="913.7222694044865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.3"/>
    <n v="9"/>
    <m/>
    <m/>
    <m/>
    <m/>
    <m/>
    <n v="306.27"/>
    <m/>
    <m/>
    <m/>
    <n v="0"/>
    <m/>
    <m/>
    <m/>
    <m/>
    <m/>
    <m/>
    <m/>
    <m/>
    <m/>
    <m/>
    <m/>
    <m/>
    <n v="7350.4800000000005"/>
    <n v="-5419.47"/>
    <m/>
    <m/>
    <m/>
    <m/>
    <n v="-5645.2499999999991"/>
    <n v="0"/>
    <n v="31"/>
    <n v="93.032455315209063"/>
    <n v="26.391638289300715"/>
    <n v="88.716659719635004"/>
    <n v="0"/>
    <n v="0"/>
    <m/>
    <m/>
    <m/>
    <n v="-22.0758426937261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836.404494301409"/>
    <m/>
    <n v="0"/>
    <n v="0"/>
    <n v="-5645.25"/>
    <m/>
    <n v="0"/>
    <m/>
    <n v="-5737.301682613178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1"/>
    <s v="Regular"/>
    <s v="Verde"/>
    <s v="A4"/>
    <s v="Rural"/>
    <s v="Agropecuária rural"/>
    <s v="IRRIG./AQUIC. PR"/>
    <s v="Não se aplica"/>
    <s v="Fora ponta"/>
    <s v="CATIVO"/>
    <x v="0"/>
    <n v="0"/>
    <n v="0"/>
    <n v="2.8130000000000002"/>
    <n v="0.84389999999999998"/>
    <n v="2.8130000000000002"/>
    <n v="0.84389999999999998"/>
    <m/>
    <n v="70.33"/>
    <n v="173.82"/>
    <m/>
    <n v="686.79395"/>
    <n v="686.79395"/>
    <n v="743.56029000000001"/>
    <n v="0"/>
    <n v="149.65167457116922"/>
    <n v="0"/>
    <n v="0"/>
    <n v="0"/>
    <n v="0"/>
    <n v="0"/>
    <n v="452.67396727806789"/>
    <n v="22.773669347883711"/>
    <n v="0"/>
    <n v="0"/>
    <n v="0"/>
    <n v="0"/>
    <n v="26.587060097882922"/>
    <m/>
    <n v="3.495801362554352"/>
    <n v="0"/>
    <n v="0"/>
    <n v="0"/>
    <n v="0"/>
    <n v="0"/>
    <n v="0"/>
    <n v="0"/>
    <n v="0"/>
    <n v="0"/>
    <n v="0"/>
    <n v="0"/>
    <n v="0"/>
    <m/>
    <n v="0"/>
    <n v="0"/>
    <n v="0"/>
    <n v="0.52488786627082129"/>
    <n v="13.518401293278439"/>
    <n v="17.576270125896698"/>
    <n v="0"/>
    <n v="0"/>
    <n v="0"/>
    <n v="0"/>
    <n v="0"/>
    <m/>
    <m/>
    <m/>
    <m/>
    <m/>
    <m/>
    <n v="520.49220300000002"/>
    <m/>
    <m/>
    <n v="484.29352656351386"/>
    <m/>
    <m/>
    <m/>
    <m/>
    <m/>
    <m/>
    <m/>
    <m/>
    <m/>
    <m/>
    <m/>
    <m/>
    <n v="222.03719999999998"/>
    <n v="15.969015000000013"/>
    <m/>
    <m/>
    <m/>
    <m/>
    <n v="-2.8411300000000144"/>
    <n v="59.607469999999999"/>
    <n v="31"/>
    <n v="56.741344706940367"/>
    <n v="0"/>
    <n v="0"/>
    <n v="0"/>
    <n v="0"/>
    <n v="0"/>
    <n v="0"/>
    <n v="0"/>
    <n v="0"/>
    <n v="0"/>
    <n v="0"/>
    <n v="58.105706676512739"/>
    <n v="1.7352362120706726"/>
    <n v="6.7375158724020889E-2"/>
    <n v="0"/>
    <n v="2.2561085245158701"/>
    <n v="0"/>
    <n v="-4.3736458413661694"/>
    <m/>
    <n v="0"/>
    <n v="0"/>
    <n v="-0.25312097645712583"/>
    <n v="0"/>
    <n v="-0.6885956732255849"/>
    <n v="-0.10771937383412933"/>
    <n v="0"/>
    <n v="0"/>
    <m/>
    <m/>
    <m/>
    <n v="0"/>
    <n v="0"/>
    <n v="0"/>
    <n v="-2.841130000000021"/>
    <n v="59.60746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4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3"/>
    <s v="Regular"/>
    <s v="Convencional"/>
    <s v="B2"/>
    <s v="Rural"/>
    <s v="Aquicultura"/>
    <s v="IRRIG./AQUIC."/>
    <s v="Não se aplica"/>
    <s v="Não se aplica"/>
    <s v="CATIVO"/>
    <x v="0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1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"/>
    <s v="Regular"/>
    <s v="Convencional"/>
    <s v="B1"/>
    <s v="Residencial"/>
    <s v="Residencial"/>
    <s v="Não se aplica"/>
    <s v="Não se aplica"/>
    <s v="Não se aplica"/>
    <s v="CATIVO"/>
    <x v="1"/>
    <n v="0"/>
    <n v="0"/>
    <n v="1925.547"/>
    <n v="1925.547"/>
    <n v="1925.547"/>
    <n v="1925.547"/>
    <m/>
    <n v="516.83000000000004"/>
    <n v="173.82"/>
    <m/>
    <n v="1329879.0355500001"/>
    <n v="1329879.0355500001"/>
    <n v="1004076.48315"/>
    <n v="0"/>
    <n v="117746.15108649526"/>
    <n v="0"/>
    <n v="0"/>
    <n v="5234.4918301855696"/>
    <n v="66290.058536479613"/>
    <n v="700159.30353585177"/>
    <n v="309863.13532541122"/>
    <n v="15588.969318097914"/>
    <n v="0"/>
    <n v="0"/>
    <n v="0"/>
    <n v="0"/>
    <n v="18199.301034588756"/>
    <m/>
    <n v="2987.566995045896"/>
    <n v="11165.29155640291"/>
    <n v="36564.820170117964"/>
    <n v="0"/>
    <n v="0"/>
    <n v="0"/>
    <n v="0"/>
    <n v="0"/>
    <n v="0"/>
    <n v="0"/>
    <n v="0"/>
    <n v="0"/>
    <n v="0"/>
    <m/>
    <n v="0"/>
    <n v="0"/>
    <n v="0"/>
    <n v="1068.3177703268316"/>
    <n v="9253.5787611334581"/>
    <n v="35773.434514624234"/>
    <n v="0"/>
    <n v="0"/>
    <n v="0"/>
    <n v="509646.93"/>
    <n v="12994"/>
    <m/>
    <m/>
    <m/>
    <m/>
    <m/>
    <m/>
    <m/>
    <m/>
    <m/>
    <n v="355958.4663714958"/>
    <m/>
    <m/>
    <m/>
    <m/>
    <m/>
    <m/>
    <m/>
    <m/>
    <m/>
    <m/>
    <m/>
    <m/>
    <n v="1004078.0475"/>
    <n v="-325801.01805000019"/>
    <m/>
    <m/>
    <m/>
    <m/>
    <n v="-366604.89333000011"/>
    <n v="40802.340929999998"/>
    <n v="31"/>
    <n v="44876.565417786245"/>
    <n v="1084.0792709643738"/>
    <n v="3550.2130322992525"/>
    <n v="0"/>
    <n v="0"/>
    <n v="0"/>
    <n v="0"/>
    <n v="0"/>
    <n v="-1271.0593677443394"/>
    <n v="0"/>
    <n v="0"/>
    <n v="39774.358042601845"/>
    <n v="1187.7991050280998"/>
    <n v="137.1303929253404"/>
    <n v="0"/>
    <n v="4591.9156898219589"/>
    <n v="0"/>
    <n v="-3441.1907886229747"/>
    <m/>
    <n v="0"/>
    <n v="0"/>
    <n v="-173.26567253967005"/>
    <n v="0"/>
    <n v="-471.35561066210721"/>
    <n v="-92.05867628550368"/>
    <n v="0"/>
    <n v="0"/>
    <m/>
    <m/>
    <m/>
    <n v="700159.30353585177"/>
    <n v="0"/>
    <n v="0"/>
    <n v="-366604.89333000011"/>
    <n v="40802.340930000006"/>
    <n v="0"/>
    <n v="0"/>
    <n v="-370697.23194496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3.4740000000000002"/>
    <n v="-3.4740000000000002"/>
    <n v="-3.4740000000000002"/>
    <n v="-3.4740000000000002"/>
    <m/>
    <n v="516.83000000000004"/>
    <n v="173.82"/>
    <m/>
    <n v="-2399.3181000000004"/>
    <n v="-2399.3181000000004"/>
    <n v="-1811.5173"/>
    <n v="0"/>
    <n v="-212.43320930337435"/>
    <n v="0"/>
    <n v="0"/>
    <n v="-9.443874710959884"/>
    <n v="-119.59804842765728"/>
    <n v="-1263.2012724091123"/>
    <n v="-559.04349887095907"/>
    <n v="-28.125036372039819"/>
    <n v="0"/>
    <n v="0"/>
    <n v="0"/>
    <n v="0"/>
    <n v="-32.834499388569242"/>
    <m/>
    <n v="-5.390056820627823"/>
    <n v="-20.144002128716519"/>
    <n v="-65.968883268489321"/>
    <n v="0"/>
    <n v="0"/>
    <n v="0"/>
    <n v="0"/>
    <n v="0"/>
    <n v="0"/>
    <n v="0"/>
    <n v="0"/>
    <n v="0"/>
    <n v="0"/>
    <m/>
    <n v="0"/>
    <n v="0"/>
    <n v="0"/>
    <n v="-1.9274190316390165"/>
    <n v="-16.694961284340312"/>
    <n v="-64.541094818150171"/>
    <n v="0"/>
    <n v="0"/>
    <n v="0"/>
    <n v="-1006.65"/>
    <n v="0"/>
    <m/>
    <m/>
    <m/>
    <m/>
    <m/>
    <m/>
    <m/>
    <m/>
    <m/>
    <n v="-642.20697400508868"/>
    <m/>
    <m/>
    <m/>
    <m/>
    <m/>
    <m/>
    <m/>
    <m/>
    <m/>
    <m/>
    <m/>
    <m/>
    <n v="-1809.4315000000001"/>
    <n v="589.85659999999962"/>
    <m/>
    <m/>
    <m/>
    <m/>
    <n v="661.4148600000002"/>
    <n v="-73.614059999999995"/>
    <n v="31"/>
    <n v="-80.964623694663715"/>
    <n v="-1.9558553425755072"/>
    <n v="-6.4051617925751003"/>
    <n v="0"/>
    <n v="0"/>
    <n v="0"/>
    <n v="0"/>
    <n v="0"/>
    <n v="2.2931978515942859"/>
    <n v="0"/>
    <n v="0"/>
    <n v="-71.759411658089334"/>
    <n v="-2.142982794430683"/>
    <n v="-0.24740553464684711"/>
    <n v="0"/>
    <n v="-8.2845628314663173"/>
    <n v="0"/>
    <n v="6.2084679312819731"/>
    <m/>
    <n v="0"/>
    <n v="0"/>
    <n v="0.31259945688306345"/>
    <n v="0"/>
    <n v="0.85040219295616026"/>
    <n v="0.16608882640405032"/>
    <n v="0"/>
    <n v="0"/>
    <m/>
    <m/>
    <m/>
    <n v="-1263.2012724091123"/>
    <n v="0"/>
    <n v="0"/>
    <n v="661.41486000000009"/>
    <n v="-73.614059999999995"/>
    <n v="0"/>
    <n v="0"/>
    <n v="668.79810452656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27.716999999999999"/>
    <n v="27.716999999999999"/>
    <n v="27.716999999999999"/>
    <n v="27.716999999999999"/>
    <m/>
    <n v="516.83000000000004"/>
    <n v="173.82"/>
    <m/>
    <n v="19142.746050000002"/>
    <n v="19142.746050000002"/>
    <n v="14453.029649999999"/>
    <n v="0"/>
    <n v="1694.8794652451427"/>
    <n v="0"/>
    <n v="0"/>
    <n v="75.347114382174738"/>
    <n v="954.20239155710317"/>
    <n v="10078.338994635396"/>
    <n v="4460.2788308020645"/>
    <n v="224.39310107191352"/>
    <n v="0"/>
    <n v="0"/>
    <n v="0"/>
    <n v="0"/>
    <n v="261.96713285923244"/>
    <m/>
    <n v="43.004088916908856"/>
    <n v="160.71712924629699"/>
    <n v="526.32686745904391"/>
    <n v="0"/>
    <n v="0"/>
    <n v="0"/>
    <n v="0"/>
    <n v="0"/>
    <n v="0"/>
    <n v="0"/>
    <n v="0"/>
    <n v="0"/>
    <n v="0"/>
    <m/>
    <n v="0"/>
    <n v="0"/>
    <n v="0"/>
    <n v="15.377741306833222"/>
    <n v="133.1992636494129"/>
    <n v="514.93538430474041"/>
    <n v="0"/>
    <n v="0"/>
    <n v="0"/>
    <n v="16800.330000000002"/>
    <n v="234"/>
    <m/>
    <m/>
    <m/>
    <m/>
    <m/>
    <m/>
    <m/>
    <m/>
    <m/>
    <n v="5123.7912200630508"/>
    <m/>
    <m/>
    <m/>
    <m/>
    <m/>
    <m/>
    <m/>
    <m/>
    <m/>
    <m/>
    <m/>
    <m/>
    <n v="14454.593999999997"/>
    <n v="-4688.1820499999994"/>
    <m/>
    <m/>
    <m/>
    <m/>
    <n v="-5277.0396300000011"/>
    <n v="587.32322999999997"/>
    <n v="31"/>
    <n v="645.96904863126292"/>
    <n v="15.604617884330821"/>
    <n v="51.103013645596889"/>
    <n v="0"/>
    <n v="0"/>
    <n v="0"/>
    <n v="0"/>
    <n v="0"/>
    <n v="-18.296075087115469"/>
    <n v="0"/>
    <n v="0"/>
    <n v="572.52608316846818"/>
    <n v="17.097597614633059"/>
    <n v="1.9739030523335224"/>
    <n v="0"/>
    <n v="66.097647668322338"/>
    <n v="0"/>
    <n v="-49.533709168492123"/>
    <m/>
    <n v="0"/>
    <n v="0"/>
    <n v="-2.4940469621266175"/>
    <n v="0"/>
    <n v="-6.7848582562365607"/>
    <n v="-1.3251249284516646"/>
    <n v="0"/>
    <n v="0"/>
    <m/>
    <m/>
    <m/>
    <n v="10078.338994635396"/>
    <n v="0"/>
    <n v="0"/>
    <n v="-5277.0396300000011"/>
    <n v="587.32322999999997"/>
    <n v="0"/>
    <n v="0"/>
    <n v="-5335.9461897417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8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3.88"/>
    <n v="23.88"/>
    <n v="23.88"/>
    <n v="23.88"/>
    <m/>
    <n v="446.23"/>
    <n v="173.82"/>
    <m/>
    <n v="14806.794"/>
    <n v="14806.794"/>
    <n v="10814.774399999998"/>
    <n v="0"/>
    <n v="0"/>
    <n v="0"/>
    <n v="0"/>
    <n v="64.916444472573971"/>
    <n v="822.10748314693592"/>
    <n v="8683.145188580771"/>
    <n v="3842.820596729563"/>
    <n v="193.32926556255347"/>
    <n v="0"/>
    <n v="0"/>
    <n v="0"/>
    <n v="0"/>
    <n v="0"/>
    <m/>
    <n v="37.050822359410596"/>
    <n v="138.4682702457543"/>
    <n v="453.46486253642053"/>
    <n v="0"/>
    <n v="0"/>
    <n v="0"/>
    <n v="0"/>
    <n v="0"/>
    <n v="0"/>
    <n v="0"/>
    <n v="0"/>
    <n v="0"/>
    <n v="0"/>
    <m/>
    <n v="0"/>
    <n v="0"/>
    <n v="0"/>
    <n v="13.248925295204291"/>
    <n v="114.75983749857416"/>
    <n v="443.65035816275929"/>
    <n v="0"/>
    <n v="0"/>
    <n v="0"/>
    <n v="1605.76"/>
    <n v="40"/>
    <m/>
    <m/>
    <m/>
    <m/>
    <m/>
    <m/>
    <m/>
    <n v="7029.5555999999997"/>
    <m/>
    <n v="4414.4797176861002"/>
    <m/>
    <m/>
    <m/>
    <m/>
    <m/>
    <m/>
    <m/>
    <m/>
    <m/>
    <m/>
    <m/>
    <m/>
    <n v="3785.2188000000001"/>
    <n v="-1397.2488000000008"/>
    <m/>
    <m/>
    <m/>
    <m/>
    <n v="-4498.0367999999999"/>
    <n v="506.01719999999995"/>
    <n v="31"/>
    <n v="605.0665032801935"/>
    <n v="13.444394237392942"/>
    <n v="44.028573289203564"/>
    <n v="0"/>
    <n v="0"/>
    <n v="0"/>
    <n v="0"/>
    <n v="0"/>
    <n v="-15.763259843428841"/>
    <n v="0"/>
    <n v="0"/>
    <n v="493.26849464455108"/>
    <n v="14.730693474670332"/>
    <n v="1.7006459894550119"/>
    <n v="0"/>
    <n v="56.947426717160567"/>
    <n v="0"/>
    <n v="0"/>
    <m/>
    <n v="0"/>
    <n v="0"/>
    <n v="-2.1487838314241685"/>
    <n v="0"/>
    <n v="0"/>
    <n v="-1.1416813973888083"/>
    <n v="0"/>
    <n v="0"/>
    <m/>
    <m/>
    <m/>
    <n v="8683.145188580771"/>
    <n v="0"/>
    <n v="0"/>
    <n v="-4498.0368000000008"/>
    <n v="506.01720000000023"/>
    <n v="0"/>
    <n v="0"/>
    <n v="-4597.265036296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"/>
    <s v="Refaturamento - 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.4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8.116"/>
    <n v="48.116"/>
    <n v="48.116"/>
    <n v="48.116"/>
    <m/>
    <n v="446.23"/>
    <n v="173.82"/>
    <m/>
    <n v="29834.325799999999"/>
    <n v="29834.325799999999"/>
    <n v="21790.774080000003"/>
    <n v="0"/>
    <n v="0"/>
    <n v="0"/>
    <n v="0"/>
    <n v="130.8006550352751"/>
    <n v="1656.4708399957276"/>
    <n v="17495.737600240889"/>
    <n v="7742.929473711878"/>
    <n v="389.54065920468275"/>
    <n v="0"/>
    <n v="0"/>
    <n v="0"/>
    <n v="0"/>
    <n v="0"/>
    <m/>
    <n v="74.653993661867673"/>
    <n v="279.00080783688082"/>
    <n v="913.68992151601378"/>
    <n v="0"/>
    <n v="0"/>
    <n v="0"/>
    <n v="0"/>
    <n v="0"/>
    <n v="0"/>
    <n v="0"/>
    <n v="0"/>
    <n v="0"/>
    <n v="0"/>
    <m/>
    <n v="0"/>
    <n v="0"/>
    <n v="0"/>
    <n v="26.695363882079135"/>
    <n v="231.23050004528451"/>
    <n v="893.9145993869065"/>
    <n v="0"/>
    <n v="0"/>
    <n v="0"/>
    <n v="6105.23"/>
    <n v="163"/>
    <m/>
    <m/>
    <m/>
    <m/>
    <m/>
    <m/>
    <m/>
    <n v="8716.6945599999999"/>
    <m/>
    <n v="8894.7699370261471"/>
    <m/>
    <m/>
    <m/>
    <m/>
    <m/>
    <m/>
    <m/>
    <m/>
    <m/>
    <m/>
    <m/>
    <m/>
    <n v="13075.166399999998"/>
    <n v="-4825.4590800000005"/>
    <m/>
    <m/>
    <m/>
    <m/>
    <n v="-9063.1297599999998"/>
    <n v="1019.5780399999999"/>
    <n v="31"/>
    <n v="1219.1532609643946"/>
    <n v="27.089215792562754"/>
    <n v="88.713518944025168"/>
    <n v="0"/>
    <n v="0"/>
    <n v="0"/>
    <n v="0"/>
    <n v="0"/>
    <n v="-31.761516357890514"/>
    <n v="0"/>
    <n v="0"/>
    <n v="993.89057321261498"/>
    <n v="29.680990252396867"/>
    <n v="3.4266449928231708"/>
    <n v="0"/>
    <n v="114.74381842223193"/>
    <n v="0"/>
    <n v="0"/>
    <m/>
    <n v="0"/>
    <n v="0"/>
    <n v="-4.3296014586601927"/>
    <n v="0"/>
    <n v="0"/>
    <n v="-2.3003828357102094"/>
    <n v="0"/>
    <n v="0"/>
    <m/>
    <m/>
    <m/>
    <n v="17495.737600240889"/>
    <n v="0"/>
    <n v="0"/>
    <n v="-9063.1297599999998"/>
    <n v="1019.5780400000003"/>
    <n v="0"/>
    <n v="0"/>
    <n v="-9263.06551450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"/>
    <s v="Refaturamento - 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-7.0000000000000007E-2"/>
    <n v="-7.0000000000000007E-2"/>
    <n v="-7.0000000000000007E-2"/>
    <n v="-7.0000000000000007E-2"/>
    <m/>
    <n v="446.23"/>
    <n v="173.82"/>
    <m/>
    <n v="-43.403500000000008"/>
    <n v="-43.403500000000008"/>
    <n v="-31.701600000000003"/>
    <n v="0"/>
    <n v="0"/>
    <n v="0"/>
    <n v="0"/>
    <n v="-0.19029108513736093"/>
    <n v="-2.4098628065446199"/>
    <n v="-25.453105661668932"/>
    <n v="-11.26454948790073"/>
    <n v="-0.56671057744467113"/>
    <n v="0"/>
    <n v="0"/>
    <n v="0"/>
    <n v="0"/>
    <n v="0"/>
    <m/>
    <n v="-0.1086079382394783"/>
    <n v="-0.40589526453948083"/>
    <n v="-1.3292521096126231"/>
    <n v="0"/>
    <n v="0"/>
    <n v="0"/>
    <n v="0"/>
    <n v="0"/>
    <n v="0"/>
    <n v="0"/>
    <n v="0"/>
    <n v="0"/>
    <n v="0"/>
    <m/>
    <n v="0"/>
    <n v="0"/>
    <n v="0"/>
    <n v="-3.8836883193647427E-2"/>
    <n v="-0.33639818362228613"/>
    <n v="-1.3004826244301992"/>
    <n v="0"/>
    <n v="0"/>
    <n v="0"/>
    <n v="-9.3000000000000007"/>
    <n v="0"/>
    <m/>
    <m/>
    <m/>
    <m/>
    <m/>
    <m/>
    <m/>
    <n v="-12.6812"/>
    <m/>
    <n v="-12.940267179146863"/>
    <m/>
    <m/>
    <m/>
    <m/>
    <m/>
    <m/>
    <m/>
    <m/>
    <m/>
    <m/>
    <m/>
    <m/>
    <n v="-19.020400000000002"/>
    <n v="6.9916999999999945"/>
    <m/>
    <m/>
    <m/>
    <m/>
    <n v="13.185200000000002"/>
    <n v="-1.4833000000000001"/>
    <n v="31"/>
    <n v="-1.7736455288782835"/>
    <n v="-3.9409865855004445E-2"/>
    <n v="-0.12906198200352814"/>
    <n v="0"/>
    <n v="0"/>
    <n v="0"/>
    <n v="0"/>
    <n v="0"/>
    <n v="4.6207210596315829E-2"/>
    <n v="0"/>
    <n v="0"/>
    <n v="-1.4459294231624202"/>
    <n v="-4.318042475824635E-2"/>
    <n v="-4.985143185169634E-3"/>
    <n v="0"/>
    <n v="-0.16693131784762305"/>
    <n v="0"/>
    <n v="0"/>
    <m/>
    <n v="0"/>
    <n v="0"/>
    <n v="6.2987800753639966E-3"/>
    <n v="0"/>
    <n v="0"/>
    <n v="3.3466372620274965E-3"/>
    <n v="0"/>
    <n v="0"/>
    <m/>
    <m/>
    <m/>
    <n v="-25.453105661668932"/>
    <n v="0"/>
    <n v="0"/>
    <n v="13.185200000000002"/>
    <n v="-1.4832999999999998"/>
    <n v="0"/>
    <n v="0"/>
    <n v="13.47607003939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45.575000000000003"/>
    <n v="45.575000000000003"/>
    <n v="45.575000000000003"/>
    <n v="45.575000000000003"/>
    <m/>
    <n v="446.23"/>
    <n v="173.82"/>
    <m/>
    <n v="28258.778750000001"/>
    <n v="28258.778750000001"/>
    <n v="20640.006000000001"/>
    <n v="0"/>
    <n v="0"/>
    <n v="0"/>
    <n v="0"/>
    <n v="123.89308864478892"/>
    <n v="1568.9928201181579"/>
    <n v="16571.789864722308"/>
    <n v="7334.0263273010823"/>
    <n v="368.96906524344121"/>
    <n v="0"/>
    <n v="0"/>
    <n v="0"/>
    <n v="0"/>
    <n v="0"/>
    <m/>
    <n v="70.711525503774624"/>
    <n v="264.26680973409771"/>
    <n v="865.43806993707574"/>
    <n v="0"/>
    <n v="0"/>
    <n v="0"/>
    <n v="0"/>
    <n v="0"/>
    <n v="0"/>
    <n v="0"/>
    <n v="0"/>
    <n v="0"/>
    <n v="0"/>
    <m/>
    <n v="0"/>
    <n v="0"/>
    <n v="0"/>
    <n v="25.285585022149736"/>
    <n v="219.01924597979556"/>
    <n v="846.70708012009038"/>
    <n v="0"/>
    <n v="0"/>
    <n v="0"/>
    <n v="10114.280000000001"/>
    <n v="402"/>
    <m/>
    <m/>
    <m/>
    <m/>
    <m/>
    <m/>
    <m/>
    <n v="2063.6360000000004"/>
    <m/>
    <n v="8425.0382384231179"/>
    <m/>
    <m/>
    <m/>
    <m/>
    <m/>
    <m/>
    <m/>
    <m/>
    <m/>
    <m/>
    <m/>
    <m/>
    <n v="18578.407999999999"/>
    <n v="-6854.7507499999992"/>
    <m/>
    <m/>
    <m/>
    <m/>
    <n v="-8584.5070000000014"/>
    <n v="965.73424999999997"/>
    <n v="31"/>
    <n v="1154.7699282661106"/>
    <n v="25.658637662026081"/>
    <n v="84.028568997296929"/>
    <n v="0"/>
    <n v="0"/>
    <n v="0"/>
    <n v="0"/>
    <n v="0"/>
    <n v="-30.084194613244108"/>
    <n v="0"/>
    <n v="0"/>
    <n v="941.40333515181919"/>
    <n v="28.113540833672545"/>
    <n v="3.2456842952015137"/>
    <n v="0"/>
    <n v="108.68421158436308"/>
    <n v="0"/>
    <n v="0"/>
    <m/>
    <n v="0"/>
    <n v="0"/>
    <n v="-4.1009557419244516"/>
    <n v="0"/>
    <n v="0"/>
    <n v="-2.1788999030986247"/>
    <n v="0"/>
    <n v="0"/>
    <m/>
    <m/>
    <m/>
    <n v="16571.789864722308"/>
    <n v="0"/>
    <n v="0"/>
    <n v="-8584.5070000000014"/>
    <n v="965.73425000000043"/>
    <n v="0"/>
    <n v="0"/>
    <n v="-8773.8841720777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"/>
    <s v="Refaturamento - 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-5.7000000000000002E-2"/>
    <n v="-5.7000000000000002E-2"/>
    <n v="-5.7000000000000002E-2"/>
    <n v="-5.7000000000000002E-2"/>
    <m/>
    <n v="446.23"/>
    <n v="173.82"/>
    <m/>
    <n v="-35.342849999999999"/>
    <n v="-35.342849999999999"/>
    <n v="-25.814160000000001"/>
    <n v="0"/>
    <n v="0"/>
    <n v="0"/>
    <n v="0"/>
    <n v="-0.15495131218327959"/>
    <n v="-1.9623168567577618"/>
    <n v="-20.726100324501843"/>
    <n v="-9.1725617258620229"/>
    <n v="-0.46146432734780357"/>
    <n v="0"/>
    <n v="0"/>
    <n v="0"/>
    <n v="0"/>
    <n v="0"/>
    <m/>
    <n v="-8.8437892566432322E-2"/>
    <n v="-0.33051471541072008"/>
    <n v="-1.0823910035417073"/>
    <n v="0"/>
    <n v="0"/>
    <n v="0"/>
    <n v="0"/>
    <n v="0"/>
    <n v="0"/>
    <n v="0"/>
    <n v="0"/>
    <n v="0"/>
    <n v="0"/>
    <m/>
    <n v="0"/>
    <n v="0"/>
    <n v="0"/>
    <n v="-3.1624319171970047E-2"/>
    <n v="-0.27392423523529008"/>
    <n v="-1.058964422750305"/>
    <n v="0"/>
    <n v="0"/>
    <n v="0"/>
    <n v="-15.23"/>
    <n v="0"/>
    <m/>
    <m/>
    <m/>
    <m/>
    <m/>
    <m/>
    <m/>
    <n v="-2.5809600000000001"/>
    <m/>
    <n v="-10.537074703019588"/>
    <m/>
    <m/>
    <m/>
    <m/>
    <m/>
    <m/>
    <m/>
    <m/>
    <m/>
    <m/>
    <m/>
    <m/>
    <n v="-24.456"/>
    <n v="7.3228499999999954"/>
    <m/>
    <m/>
    <m/>
    <m/>
    <n v="10.736520000000001"/>
    <n v="-1.20783"/>
    <n v="31"/>
    <n v="-1.4442542163723218"/>
    <n v="-3.2090890767646485E-2"/>
    <n v="-0.10509332820287298"/>
    <n v="0"/>
    <n v="0"/>
    <n v="0"/>
    <n v="0"/>
    <n v="0"/>
    <n v="3.7625871485571283E-2"/>
    <n v="0"/>
    <n v="0"/>
    <n v="-1.1773996731465424"/>
    <n v="-3.5161203017429199E-2"/>
    <n v="-4.0593308793524102E-3"/>
    <n v="0"/>
    <n v="-0.13592978739020722"/>
    <n v="0"/>
    <n v="0"/>
    <m/>
    <n v="0"/>
    <n v="0"/>
    <n v="5.1290066327963624E-3"/>
    <n v="0"/>
    <n v="0"/>
    <n v="2.7251189133652431E-3"/>
    <n v="0"/>
    <n v="0"/>
    <m/>
    <m/>
    <m/>
    <n v="-20.726100324501843"/>
    <n v="0"/>
    <n v="0"/>
    <n v="10.736520000000001"/>
    <n v="-1.2078299999999995"/>
    <n v="0"/>
    <n v="0"/>
    <n v="10.973371317793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4.583"/>
    <n v="14.583"/>
    <n v="14.583"/>
    <n v="14.583"/>
    <m/>
    <n v="446.23"/>
    <n v="173.82"/>
    <m/>
    <n v="9042.1891500000002"/>
    <n v="9042.1891500000002"/>
    <n v="6604.3490400000001"/>
    <n v="0"/>
    <n v="0"/>
    <n v="0"/>
    <n v="0"/>
    <n v="39.643069922259059"/>
    <n v="502.04327582628844"/>
    <n v="5302.6091409159717"/>
    <n v="2346.7275026008047"/>
    <n v="118.06200501250912"/>
    <n v="0"/>
    <n v="0"/>
    <n v="0"/>
    <n v="0"/>
    <n v="0"/>
    <m/>
    <n v="22.62613661923303"/>
    <n v="84.55958061113212"/>
    <n v="276.92119306401258"/>
    <n v="0"/>
    <n v="0"/>
    <n v="0"/>
    <n v="0"/>
    <n v="0"/>
    <n v="0"/>
    <n v="0"/>
    <n v="0"/>
    <n v="0"/>
    <n v="0"/>
    <m/>
    <n v="0"/>
    <n v="0"/>
    <n v="0"/>
    <n v="8.090832394470862"/>
    <n v="70.081353025197117"/>
    <n v="270.92768731522278"/>
    <n v="0"/>
    <n v="0"/>
    <n v="0"/>
    <n v="4834.41"/>
    <n v="190"/>
    <m/>
    <m/>
    <m/>
    <m/>
    <m/>
    <m/>
    <m/>
    <m/>
    <m/>
    <n v="2695.8273753356953"/>
    <m/>
    <m/>
    <m/>
    <m/>
    <m/>
    <m/>
    <m/>
    <m/>
    <m/>
    <m/>
    <m/>
    <m/>
    <n v="6602.9903999999997"/>
    <n v="-2439.2287500000011"/>
    <m/>
    <m/>
    <m/>
    <m/>
    <n v="-2746.8538800000001"/>
    <n v="309.01376999999997"/>
    <n v="31"/>
    <n v="369.5010392518866"/>
    <n v="8.2102010537647061"/>
    <n v="26.887298336535025"/>
    <n v="0"/>
    <n v="0"/>
    <n v="0"/>
    <n v="0"/>
    <n v="0"/>
    <n v="-9.6262821732295833"/>
    <n v="0"/>
    <n v="0"/>
    <n v="301.22841111396565"/>
    <n v="8.9957162035643705"/>
    <n v="1.0385477581332676"/>
    <n v="0"/>
    <n v="34.776562973884097"/>
    <n v="0"/>
    <n v="0"/>
    <m/>
    <n v="0"/>
    <n v="0"/>
    <n v="-1.3122158548433305"/>
    <n v="0"/>
    <n v="0"/>
    <n v="-0.69720015988781725"/>
    <n v="0"/>
    <n v="0"/>
    <m/>
    <m/>
    <m/>
    <n v="5302.6091409159717"/>
    <n v="0"/>
    <n v="0"/>
    <n v="-2746.8538800000006"/>
    <n v="309.01377000000002"/>
    <n v="0"/>
    <n v="0"/>
    <n v="-2807.4504197785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"/>
    <s v="Regular"/>
    <s v="Convencional"/>
    <s v="B3"/>
    <s v="Industrial"/>
    <s v="Não se aplica"/>
    <s v="Não se aplica"/>
    <s v="Não se aplica"/>
    <s v="Não se aplica"/>
    <s v="CATIVO"/>
    <x v="1"/>
    <n v="0"/>
    <n v="0"/>
    <n v="72.203999999999994"/>
    <n v="72.203999999999994"/>
    <n v="72.203999999999994"/>
    <n v="72.203999999999994"/>
    <m/>
    <n v="516.83000000000004"/>
    <n v="173.82"/>
    <m/>
    <n v="49867.692599999995"/>
    <n v="49867.692599999995"/>
    <n v="37650.775799999996"/>
    <n v="0"/>
    <n v="4415.2353035523429"/>
    <n v="0"/>
    <n v="0"/>
    <n v="196.28253587511438"/>
    <n v="2485.739058339253"/>
    <n v="26254.514874216333"/>
    <n v="11619.22187463406"/>
    <n v="584.55386476878607"/>
    <n v="0"/>
    <n v="0"/>
    <n v="0"/>
    <n v="0"/>
    <n v="682.43586466673946"/>
    <m/>
    <n v="112.027536752047"/>
    <n v="418.67516686869527"/>
    <n v="1371.1045617495688"/>
    <n v="0"/>
    <n v="0"/>
    <n v="0"/>
    <n v="0"/>
    <n v="0"/>
    <n v="0"/>
    <n v="0"/>
    <n v="0"/>
    <n v="0"/>
    <n v="0"/>
    <m/>
    <n v="0"/>
    <n v="0"/>
    <n v="0"/>
    <n v="40.059690201630261"/>
    <n v="346.9899207180506"/>
    <n v="1341.429248776544"/>
    <n v="0"/>
    <n v="0"/>
    <n v="0"/>
    <n v="9581.4599999999991"/>
    <n v="29"/>
    <m/>
    <m/>
    <m/>
    <m/>
    <m/>
    <m/>
    <m/>
    <m/>
    <m/>
    <n v="13347.700734330285"/>
    <m/>
    <m/>
    <m/>
    <m/>
    <m/>
    <m/>
    <m/>
    <m/>
    <m/>
    <m/>
    <m/>
    <m/>
    <n v="37648.69"/>
    <n v="-12219.032599999999"/>
    <m/>
    <m/>
    <m/>
    <m/>
    <n v="-13746.919560000002"/>
    <n v="1530.0027599999996"/>
    <n v="31"/>
    <n v="1682.7776883274382"/>
    <n v="40.650713631353426"/>
    <n v="133.12559069403915"/>
    <n v="0"/>
    <n v="0"/>
    <n v="0"/>
    <n v="0"/>
    <n v="0"/>
    <n v="-47.662077627091094"/>
    <n v="0"/>
    <n v="0"/>
    <n v="1491.4555438574189"/>
    <n v="44.539991274920283"/>
    <n v="5.1421039791712602"/>
    <n v="0"/>
    <n v="172.18726962671099"/>
    <n v="0"/>
    <n v="-129.03748373928738"/>
    <m/>
    <n v="0"/>
    <n v="0"/>
    <n v="-6.4971016651654736"/>
    <n v="0"/>
    <n v="-17.674853177952286"/>
    <n v="-3.4520085266776164"/>
    <n v="0"/>
    <n v="0"/>
    <m/>
    <m/>
    <m/>
    <n v="26254.514874216333"/>
    <n v="0"/>
    <n v="0"/>
    <n v="-13746.919560000002"/>
    <n v="1530.0027599999994"/>
    <n v="0"/>
    <n v="0"/>
    <n v="-13900.37373034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34599999999999997"/>
    <n v="0.34599999999999997"/>
    <n v="0.34599999999999997"/>
    <n v="0.34599999999999997"/>
    <m/>
    <n v="516.83000000000004"/>
    <n v="173.82"/>
    <m/>
    <n v="238.9649"/>
    <n v="238.9649"/>
    <n v="180.42169999999999"/>
    <n v="0"/>
    <n v="21.157711692276198"/>
    <n v="0"/>
    <n v="0"/>
    <n v="0.94058164939324096"/>
    <n v="11.911607586634833"/>
    <n v="125.81106512767785"/>
    <n v="55.679058897337889"/>
    <n v="2.8011694256550879"/>
    <n v="0"/>
    <n v="0"/>
    <n v="0"/>
    <n v="0"/>
    <n v="3.2702178435362566"/>
    <m/>
    <n v="0.53683352329799272"/>
    <n v="2.0062823075808622"/>
    <n v="6.5703032846566787"/>
    <n v="0"/>
    <n v="0"/>
    <n v="0"/>
    <n v="0"/>
    <n v="0"/>
    <n v="0"/>
    <n v="0"/>
    <n v="0"/>
    <n v="0"/>
    <n v="0"/>
    <m/>
    <n v="0"/>
    <n v="0"/>
    <n v="0"/>
    <n v="0.19196516550002868"/>
    <n v="1.6627681647615853"/>
    <n v="6.4280998293264116"/>
    <n v="0"/>
    <n v="0"/>
    <n v="0"/>
    <n v="215.89"/>
    <n v="3"/>
    <m/>
    <m/>
    <m/>
    <m/>
    <m/>
    <m/>
    <m/>
    <m/>
    <m/>
    <n v="63.961892056925919"/>
    <m/>
    <m/>
    <m/>
    <m/>
    <m/>
    <m/>
    <m/>
    <m/>
    <m/>
    <m/>
    <m/>
    <m/>
    <n v="182.50749999999999"/>
    <n v="-56.48739999999998"/>
    <m/>
    <m/>
    <m/>
    <m/>
    <n v="-65.874940000000009"/>
    <n v="7.331739999999999"/>
    <n v="31"/>
    <n v="8.0638341388468291"/>
    <n v="0.19479733694045009"/>
    <n v="0.63793493961743941"/>
    <n v="0"/>
    <n v="0"/>
    <n v="0"/>
    <n v="0"/>
    <n v="0"/>
    <n v="-0.22839564094750209"/>
    <n v="0"/>
    <n v="0"/>
    <n v="7.1470225773456804"/>
    <n v="0.21343467094790336"/>
    <n v="2.4640850600981312E-2"/>
    <n v="0"/>
    <n v="0.82511765678968008"/>
    <n v="0"/>
    <n v="-0.61834481986861434"/>
    <m/>
    <n v="0"/>
    <n v="0"/>
    <n v="-3.1133970086798968E-2"/>
    <n v="0"/>
    <n v="-8.4697512597245339E-2"/>
    <n v="-1.6541949895164554E-2"/>
    <n v="0"/>
    <n v="0"/>
    <m/>
    <m/>
    <m/>
    <n v="125.81106512767785"/>
    <n v="0"/>
    <n v="0"/>
    <n v="-65.874940000000024"/>
    <n v="7.3317399999999964"/>
    <n v="0"/>
    <n v="0"/>
    <n v="-66.610289051868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"/>
    <s v="Regular"/>
    <s v="Azul"/>
    <s v="A4"/>
    <s v="Industrial"/>
    <s v="Não se aplica"/>
    <s v="Não se aplica"/>
    <s v="Não se aplica"/>
    <s v="Ponta"/>
    <s v="CATIVO"/>
    <x v="1"/>
    <n v="1200"/>
    <n v="1200"/>
    <n v="52.070999999999998"/>
    <n v="52.070999999999998"/>
    <n v="52.070999999999998"/>
    <n v="52.070999999999998"/>
    <n v="67.099999999999994"/>
    <n v="70.33"/>
    <n v="173.82"/>
    <n v="80520"/>
    <n v="12713.13465"/>
    <n v="93233.134650000007"/>
    <n v="64211.927429999996"/>
    <n v="0"/>
    <n v="2770.1785803751695"/>
    <n v="0"/>
    <n v="0"/>
    <n v="898.10170336085525"/>
    <n v="13700.67976876248"/>
    <n v="57794.157302940846"/>
    <n v="8379.3765197782686"/>
    <n v="421.55980683030663"/>
    <n v="0"/>
    <n v="0"/>
    <n v="0"/>
    <n v="0"/>
    <n v="492.14888245889142"/>
    <m/>
    <n v="64.710228492558713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9.7161166315634322"/>
    <n v="250.23699741994366"/>
    <n v="325.35156833471979"/>
    <n v="0"/>
    <n v="0"/>
    <n v="0"/>
    <n v="0"/>
    <n v="0"/>
    <m/>
    <m/>
    <m/>
    <m/>
    <m/>
    <m/>
    <m/>
    <m/>
    <m/>
    <n v="8964.6812021644946"/>
    <m/>
    <m/>
    <m/>
    <m/>
    <m/>
    <m/>
    <m/>
    <m/>
    <m/>
    <m/>
    <m/>
    <m/>
    <n v="64211.663100000005"/>
    <n v="-29021.501549999986"/>
    <m/>
    <m/>
    <m/>
    <m/>
    <n v="-30124.591709999993"/>
    <n v="1103.3844899999999"/>
    <n v="31"/>
    <n v="1577.0716630165625"/>
    <n v="187.27044607078801"/>
    <n v="602.17080389378407"/>
    <n v="0"/>
    <n v="0"/>
    <n v="0"/>
    <n v="0"/>
    <n v="0"/>
    <n v="-262.69968301452172"/>
    <n v="0"/>
    <n v="0"/>
    <n v="1075.5855856212929"/>
    <n v="32.120684251237805"/>
    <n v="1.2471709526905403"/>
    <n v="0"/>
    <n v="41.762469598317068"/>
    <n v="0"/>
    <n v="-80.95986939416207"/>
    <m/>
    <n v="0"/>
    <n v="0"/>
    <n v="-4.685482532918229"/>
    <n v="0"/>
    <n v="-12.74648606488779"/>
    <n v="-1.9939763650611297"/>
    <n v="0"/>
    <n v="0"/>
    <m/>
    <m/>
    <n v="57794.157302940846"/>
    <n v="0"/>
    <n v="0"/>
    <n v="0"/>
    <n v="-30124.591710000008"/>
    <n v="1103.3844900000004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"/>
    <s v="Regular"/>
    <s v="Azul"/>
    <s v="A4"/>
    <s v="Industrial"/>
    <s v="Não se aplica"/>
    <s v="Não se aplica"/>
    <s v="Não se aplica"/>
    <s v="Fora ponta"/>
    <s v="CATIVO"/>
    <x v="1"/>
    <n v="1200"/>
    <n v="1200"/>
    <n v="513.28099999999995"/>
    <n v="513.28099999999995"/>
    <n v="513.28099999999995"/>
    <n v="513.28099999999995"/>
    <n v="59.12"/>
    <n v="70.33"/>
    <n v="173.82"/>
    <n v="70944"/>
    <n v="125317.55614999999"/>
    <n v="196261.55614999999"/>
    <n v="176511.56672999996"/>
    <n v="0"/>
    <n v="27306.562806812759"/>
    <n v="0"/>
    <n v="0"/>
    <n v="686.4724360004185"/>
    <n v="6140.4271808585163"/>
    <n v="57794.157302940846"/>
    <n v="82598.274652845343"/>
    <n v="4155.4538843054024"/>
    <n v="0"/>
    <n v="0"/>
    <n v="0"/>
    <n v="0"/>
    <n v="4851.2736559194609"/>
    <m/>
    <n v="637.87003881025953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95.774962277765155"/>
    <n v="2466.6685155404371"/>
    <n v="3207.0975849592537"/>
    <n v="0"/>
    <n v="0"/>
    <n v="0"/>
    <n v="0"/>
    <n v="0"/>
    <m/>
    <m/>
    <m/>
    <m/>
    <m/>
    <m/>
    <m/>
    <m/>
    <m/>
    <n v="88367.815715622797"/>
    <m/>
    <m/>
    <m/>
    <m/>
    <m/>
    <m/>
    <m/>
    <m/>
    <m/>
    <m/>
    <m/>
    <m/>
    <n v="176511.30239999999"/>
    <n v="-19750.283750000002"/>
    <m/>
    <m/>
    <m/>
    <m/>
    <n v="-30626.413809999998"/>
    <n v="10876.424389999998"/>
    <n v="31"/>
    <n v="10849.622847066668"/>
    <n v="140.75540420960397"/>
    <n v="473.15551850471911"/>
    <n v="0"/>
    <n v="0"/>
    <n v="0"/>
    <n v="0"/>
    <n v="0"/>
    <n v="-117.73782769987247"/>
    <n v="0"/>
    <n v="0"/>
    <n v="10602.401432146144"/>
    <n v="316.62416571910626"/>
    <n v="12.293774918245347"/>
    <n v="0"/>
    <n v="411.66642003982588"/>
    <n v="0"/>
    <n v="-798.04810206265756"/>
    <m/>
    <n v="0"/>
    <n v="0"/>
    <n v="-46.186344798041318"/>
    <n v="0"/>
    <n v="-125.64631203302633"/>
    <n v="-19.655281877339348"/>
    <n v="0"/>
    <n v="0"/>
    <m/>
    <m/>
    <n v="57794.157302940846"/>
    <n v="0"/>
    <n v="0"/>
    <n v="0"/>
    <n v="-30626.413809999998"/>
    <n v="10876.424389999986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451.1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0"/>
    <s v="Regular"/>
    <s v="Verde"/>
    <s v="A4"/>
    <s v="Industrial"/>
    <s v="Não se aplica"/>
    <s v="Não se aplica"/>
    <s v="Não se aplica"/>
    <s v="Ponta"/>
    <s v="CATIVO"/>
    <x v="1"/>
    <n v="0"/>
    <n v="0"/>
    <n v="36.783999999999999"/>
    <n v="36.783999999999999"/>
    <n v="36.783999999999999"/>
    <n v="36.783999999999999"/>
    <m/>
    <n v="1684.16"/>
    <n v="173.82"/>
    <m/>
    <n v="68343.936319999993"/>
    <n v="68343.936319999993"/>
    <n v="46916.520639999995"/>
    <n v="0"/>
    <n v="1956.909775124738"/>
    <n v="0"/>
    <n v="0"/>
    <n v="662.08992444050693"/>
    <n v="10100.368818958259"/>
    <n v="42606.629682951992"/>
    <n v="5919.3598337562917"/>
    <n v="297.79831258178257"/>
    <n v="0"/>
    <n v="0"/>
    <n v="0"/>
    <n v="0"/>
    <n v="347.66385305386609"/>
    <m/>
    <n v="45.712604806327505"/>
    <n v="1421.9275872518726"/>
    <n v="4572.2023143866691"/>
    <n v="0"/>
    <n v="0"/>
    <n v="0"/>
    <n v="0"/>
    <n v="0"/>
    <n v="0"/>
    <n v="0"/>
    <n v="0"/>
    <n v="0"/>
    <n v="0"/>
    <m/>
    <n v="0"/>
    <n v="0"/>
    <n v="0"/>
    <n v="6.863659890830391"/>
    <n v="176.77243980517386"/>
    <n v="229.83488102061287"/>
    <n v="0"/>
    <n v="0"/>
    <n v="0"/>
    <n v="0"/>
    <n v="0"/>
    <m/>
    <m/>
    <m/>
    <m/>
    <m/>
    <m/>
    <m/>
    <m/>
    <m/>
    <n v="6332.830814472909"/>
    <m/>
    <m/>
    <m/>
    <m/>
    <m/>
    <m/>
    <m/>
    <m/>
    <m/>
    <m/>
    <m/>
    <m/>
    <n v="46911.418799999999"/>
    <n v="-21432.547519999993"/>
    <m/>
    <m/>
    <m/>
    <m/>
    <n v="-22206.868640000001"/>
    <n v="779.45295999999985"/>
    <n v="31"/>
    <n v="1130.2998428463579"/>
    <n v="138.06018538477997"/>
    <n v="443.93195884250508"/>
    <n v="0"/>
    <n v="0"/>
    <n v="0"/>
    <n v="0"/>
    <n v="0"/>
    <n v="-193.66657215948362"/>
    <n v="0"/>
    <n v="0"/>
    <n v="759.81525573723502"/>
    <n v="22.690696347247638"/>
    <n v="0.8810266045163111"/>
    <n v="0"/>
    <n v="29.501847126125796"/>
    <n v="0"/>
    <n v="-57.191677436477903"/>
    <m/>
    <n v="0"/>
    <n v="0"/>
    <n v="-3.3099189470312922"/>
    <n v="0"/>
    <n v="-9.0043737091822891"/>
    <n v="-1.4085849438729525"/>
    <n v="0"/>
    <n v="0"/>
    <m/>
    <m/>
    <m/>
    <n v="42606.629682951992"/>
    <n v="0"/>
    <n v="0"/>
    <n v="-22206.868640000001"/>
    <n v="779.45295999999962"/>
    <n v="0"/>
    <n v="0"/>
    <n v="-22557.95160645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"/>
    <s v="Regular"/>
    <s v="Verde"/>
    <s v="A4"/>
    <s v="Industrial"/>
    <s v="Não se aplica"/>
    <s v="Não se aplica"/>
    <s v="Não se aplica"/>
    <s v="Fora ponta"/>
    <s v="CATIVO"/>
    <x v="1"/>
    <n v="0"/>
    <n v="0"/>
    <n v="771.21100000000001"/>
    <n v="771.21100000000001"/>
    <n v="771.21100000000001"/>
    <n v="771.21100000000001"/>
    <m/>
    <n v="70.33"/>
    <n v="173.82"/>
    <m/>
    <n v="188291.16564999998"/>
    <n v="188291.16564999998"/>
    <n v="203854.20362999997"/>
    <n v="0"/>
    <n v="41028.445644403124"/>
    <n v="0"/>
    <n v="0"/>
    <n v="0"/>
    <n v="0"/>
    <n v="0"/>
    <n v="124104.92107304871"/>
    <n v="6243.6204448811741"/>
    <n v="0"/>
    <n v="0"/>
    <n v="0"/>
    <n v="0"/>
    <n v="7289.0981888191918"/>
    <m/>
    <n v="958.40755940878216"/>
    <n v="0"/>
    <n v="0"/>
    <n v="0"/>
    <n v="0"/>
    <n v="0"/>
    <n v="0"/>
    <n v="0"/>
    <n v="0"/>
    <n v="0"/>
    <n v="0"/>
    <n v="0"/>
    <n v="0"/>
    <m/>
    <n v="0"/>
    <n v="0"/>
    <n v="0"/>
    <n v="143.90305589569368"/>
    <n v="3706.1997084218124"/>
    <n v="4818.7034696277697"/>
    <n v="0"/>
    <n v="0"/>
    <n v="0"/>
    <n v="0"/>
    <n v="0"/>
    <m/>
    <m/>
    <m/>
    <m/>
    <m/>
    <m/>
    <m/>
    <m/>
    <m/>
    <n v="132773.72730699397"/>
    <m/>
    <m/>
    <m/>
    <m/>
    <m/>
    <m/>
    <m/>
    <m/>
    <m/>
    <m/>
    <m/>
    <m/>
    <n v="203853.93929999997"/>
    <n v="15562.74364999996"/>
    <m/>
    <m/>
    <m/>
    <m/>
    <n v="-778.92311000000393"/>
    <n v="16341.961089999999"/>
    <n v="31"/>
    <n v="15556.185280051257"/>
    <n v="0"/>
    <n v="0"/>
    <n v="0"/>
    <n v="0"/>
    <n v="0"/>
    <n v="0"/>
    <n v="0"/>
    <n v="0"/>
    <n v="0"/>
    <n v="0"/>
    <n v="15930.238233807337"/>
    <n v="475.73169368902791"/>
    <n v="18.471547648315294"/>
    <n v="0"/>
    <n v="618.53384688958795"/>
    <n v="0"/>
    <n v="-1199.0770646874662"/>
    <m/>
    <n v="0"/>
    <n v="0"/>
    <n v="-69.395549724306875"/>
    <n v="0"/>
    <n v="-188.78512539778785"/>
    <n v="-29.53230217347766"/>
    <n v="0"/>
    <n v="0"/>
    <m/>
    <m/>
    <m/>
    <n v="0"/>
    <n v="0"/>
    <n v="0"/>
    <n v="-778.92311000000336"/>
    <n v="16341.96108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Não se aplica"/>
    <s v="CATIVO"/>
    <x v="1"/>
    <n v="4964"/>
    <n v="4964"/>
    <n v="0"/>
    <n v="0"/>
    <n v="0"/>
    <n v="0"/>
    <n v="59.12"/>
    <m/>
    <m/>
    <n v="293471.68"/>
    <m/>
    <n v="293471.68"/>
    <n v="168924.92"/>
    <n v="0"/>
    <n v="0"/>
    <n v="0"/>
    <n v="0"/>
    <n v="2839.7076435883978"/>
    <n v="25400.900438151395"/>
    <n v="239075.16404316528"/>
    <m/>
    <m/>
    <m/>
    <n v="0"/>
    <n v="0"/>
    <n v="0"/>
    <n v="0"/>
    <m/>
    <n v="0"/>
    <n v="5996.8699822854578"/>
    <n v="20158.7437569949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8441.98"/>
    <n v="26"/>
    <m/>
    <m/>
    <m/>
    <m/>
    <m/>
    <m/>
    <m/>
    <m/>
    <m/>
    <n v="0"/>
    <m/>
    <m/>
    <m/>
    <m/>
    <m/>
    <m/>
    <m/>
    <m/>
    <m/>
    <m/>
    <m/>
    <m/>
    <n v="168924.92"/>
    <n v="-124546.79000000001"/>
    <m/>
    <m/>
    <m/>
    <m/>
    <n v="-124546.75999999998"/>
    <n v="0"/>
    <n v="31"/>
    <n v="2052.5027030431083"/>
    <n v="582.25818874706147"/>
    <n v="1957.2866615478561"/>
    <n v="0"/>
    <n v="0"/>
    <m/>
    <m/>
    <m/>
    <n v="-487.042147251806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9075.16404316528"/>
    <m/>
    <n v="0"/>
    <n v="0"/>
    <n v="-124546.75999999998"/>
    <m/>
    <n v="0"/>
    <m/>
    <n v="-126577.6246777413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3"/>
    <s v="Regular"/>
    <s v="Convencional"/>
    <s v="B3"/>
    <s v="Comercial"/>
    <s v="Não se aplica"/>
    <s v="Não se aplica"/>
    <s v="Não se aplica"/>
    <s v="Não se aplica"/>
    <s v="CATIVO"/>
    <x v="1"/>
    <n v="0"/>
    <n v="0"/>
    <n v="368.06900000000002"/>
    <n v="368.06900000000002"/>
    <n v="368.06900000000002"/>
    <n v="368.06900000000002"/>
    <m/>
    <n v="516.83000000000004"/>
    <n v="173.82"/>
    <m/>
    <n v="254206.85485"/>
    <n v="254206.85485"/>
    <n v="191929.58004999999"/>
    <n v="0"/>
    <n v="22507.219031400025"/>
    <n v="0"/>
    <n v="0"/>
    <n v="1000.5749916489042"/>
    <n v="12671.368476315311"/>
    <n v="133835.70211121175"/>
    <n v="59230.449506601908"/>
    <n v="2979.8370789926089"/>
    <n v="0"/>
    <n v="0"/>
    <n v="0"/>
    <n v="0"/>
    <n v="3478.8029232732561"/>
    <m/>
    <n v="571.07450314095058"/>
    <n v="2134.2494874826025"/>
    <n v="6989.3784961858364"/>
    <n v="0"/>
    <n v="0"/>
    <n v="0"/>
    <n v="0"/>
    <n v="0"/>
    <n v="0"/>
    <n v="0"/>
    <n v="0"/>
    <n v="0"/>
    <n v="0"/>
    <m/>
    <n v="0"/>
    <n v="0"/>
    <n v="0"/>
    <n v="204.20932514575162"/>
    <n v="1768.8249006810174"/>
    <n v="6838.1048441628418"/>
    <n v="0"/>
    <n v="0"/>
    <n v="0"/>
    <n v="100682.1"/>
    <n v="531"/>
    <m/>
    <m/>
    <m/>
    <m/>
    <m/>
    <m/>
    <m/>
    <m/>
    <m/>
    <n v="68041.588576591515"/>
    <m/>
    <m/>
    <m/>
    <m/>
    <m/>
    <m/>
    <m/>
    <m/>
    <m/>
    <m/>
    <m/>
    <m/>
    <n v="191930.10149999999"/>
    <n v="-62276.783350000042"/>
    <m/>
    <m/>
    <m/>
    <m/>
    <n v="-70076.65691000002"/>
    <n v="7799.3821099999996"/>
    <n v="31"/>
    <n v="8578.1715828069573"/>
    <n v="207.22214164836578"/>
    <n v="678.62449505795121"/>
    <n v="0"/>
    <n v="0"/>
    <n v="0"/>
    <n v="0"/>
    <n v="0"/>
    <n v="-242.96345424250467"/>
    <n v="0"/>
    <n v="0"/>
    <n v="7602.8828121995539"/>
    <n v="227.04822514775674"/>
    <n v="26.212523814602889"/>
    <n v="0"/>
    <n v="877.74633184081176"/>
    <n v="0"/>
    <n v="-657.78485405844185"/>
    <m/>
    <n v="0"/>
    <n v="0"/>
    <n v="-33.119795479416098"/>
    <n v="0"/>
    <n v="-90.099794116056728"/>
    <n v="-17.597049005674307"/>
    <n v="0"/>
    <n v="0"/>
    <m/>
    <m/>
    <m/>
    <n v="133835.70211121175"/>
    <n v="0"/>
    <n v="0"/>
    <n v="-70076.656910000005"/>
    <n v="7799.3821099999986"/>
    <n v="0"/>
    <n v="0"/>
    <n v="-70858.9089047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0.93300000000000005"/>
    <n v="-0.93300000000000005"/>
    <n v="-0.93300000000000005"/>
    <n v="-0.93300000000000005"/>
    <m/>
    <n v="516.83000000000004"/>
    <n v="173.82"/>
    <m/>
    <n v="-644.37644999999998"/>
    <n v="-644.37644999999998"/>
    <n v="-486.51285000000007"/>
    <n v="0"/>
    <n v="-57.052442222236117"/>
    <n v="0"/>
    <n v="0"/>
    <n v="-2.5363083204736818"/>
    <n v="-32.120028550087575"/>
    <n v="-339.2535368905302"/>
    <n v="-150.14035246016257"/>
    <n v="-7.553442410798259"/>
    <n v="0"/>
    <n v="0"/>
    <n v="0"/>
    <n v="0"/>
    <n v="-8.8182463815587511"/>
    <m/>
    <n v="-1.4475886625347607"/>
    <n v="-5.4100040259333655"/>
    <n v="-17.717031689551106"/>
    <n v="0"/>
    <n v="0"/>
    <n v="0"/>
    <n v="0"/>
    <n v="0"/>
    <n v="0"/>
    <n v="0"/>
    <n v="0"/>
    <n v="0"/>
    <n v="0"/>
    <m/>
    <n v="0"/>
    <n v="0"/>
    <n v="0"/>
    <n v="-0.51764017170961496"/>
    <n v="-4.4837072188513272"/>
    <n v="-17.33357555133394"/>
    <n v="0"/>
    <n v="0"/>
    <n v="0"/>
    <n v="-269.16000000000003"/>
    <n v="0"/>
    <m/>
    <m/>
    <m/>
    <m/>
    <m/>
    <m/>
    <m/>
    <m/>
    <m/>
    <n v="-172.47527540205746"/>
    <m/>
    <m/>
    <m/>
    <m/>
    <m/>
    <m/>
    <m/>
    <m/>
    <m/>
    <m/>
    <m/>
    <m/>
    <n v="-484.94849999999997"/>
    <n v="159.39795000000004"/>
    <m/>
    <m/>
    <m/>
    <m/>
    <n v="177.63387000000006"/>
    <n v="-19.77027"/>
    <n v="31"/>
    <n v="-21.744385120069637"/>
    <n v="-0.52527721203884514"/>
    <n v="-1.7202118458470217"/>
    <n v="0"/>
    <n v="0"/>
    <n v="0"/>
    <n v="0"/>
    <n v="0"/>
    <n v="0.61587610694803629"/>
    <n v="0"/>
    <n v="0"/>
    <n v="-19.272173597293431"/>
    <n v="-0.57553337570634078"/>
    <n v="-6.6444837025189551E-2"/>
    <n v="0"/>
    <n v="-2.2249559935976038"/>
    <n v="0"/>
    <n v="1.6673864651370423"/>
    <m/>
    <n v="0"/>
    <n v="0"/>
    <n v="8.3953740147351574E-2"/>
    <n v="0"/>
    <n v="0.22838953541396023"/>
    <n v="4.4605893792452056E-2"/>
    <n v="0"/>
    <n v="0"/>
    <m/>
    <m/>
    <m/>
    <n v="-339.2535368905302"/>
    <n v="0"/>
    <n v="0"/>
    <n v="177.63387"/>
    <n v="-19.770270000000011"/>
    <n v="0"/>
    <n v="0"/>
    <n v="179.61676209651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30.048999999999999"/>
    <n v="30.048999999999999"/>
    <n v="30.048999999999999"/>
    <n v="30.048999999999999"/>
    <m/>
    <n v="516.83000000000004"/>
    <n v="173.82"/>
    <m/>
    <n v="20753.341850000001"/>
    <n v="20753.341850000001"/>
    <n v="15669.05105"/>
    <n v="0"/>
    <n v="1837.4799960728542"/>
    <n v="0"/>
    <n v="0"/>
    <n v="81.686525961322261"/>
    <n v="1034.4852496265612"/>
    <n v="10926.291028964139"/>
    <n v="4835.5492508847001"/>
    <n v="243.27265916621315"/>
    <n v="0"/>
    <n v="0"/>
    <n v="0"/>
    <n v="0"/>
    <n v="284.00802306480051"/>
    <m/>
    <n v="46.622284802258335"/>
    <n v="174.23924005924084"/>
    <n v="570.60995202499578"/>
    <n v="0"/>
    <n v="0"/>
    <n v="0"/>
    <n v="0"/>
    <n v="0"/>
    <n v="0"/>
    <n v="0"/>
    <n v="0"/>
    <n v="0"/>
    <n v="0"/>
    <m/>
    <n v="0"/>
    <n v="0"/>
    <n v="0"/>
    <n v="16.671564329798734"/>
    <n v="144.40612885237249"/>
    <n v="558.26003402147217"/>
    <n v="0"/>
    <n v="0"/>
    <n v="0"/>
    <n v="12334.69"/>
    <n v="34"/>
    <m/>
    <m/>
    <m/>
    <m/>
    <m/>
    <m/>
    <m/>
    <m/>
    <m/>
    <n v="5554.8869780883433"/>
    <m/>
    <m/>
    <m/>
    <m/>
    <m/>
    <m/>
    <m/>
    <m/>
    <m/>
    <m/>
    <m/>
    <m/>
    <n v="15669.572500000002"/>
    <n v="-5083.7993499999975"/>
    <m/>
    <m/>
    <m/>
    <m/>
    <n v="-5721.0291100000013"/>
    <n v="636.73830999999996"/>
    <n v="31"/>
    <n v="700.31835849192976"/>
    <n v="16.917529415386099"/>
    <n v="55.402621388914554"/>
    <n v="0"/>
    <n v="0"/>
    <n v="0"/>
    <n v="0"/>
    <n v="0"/>
    <n v="-19.835435302981409"/>
    <n v="0"/>
    <n v="0"/>
    <n v="620.69618909439396"/>
    <n v="18.536122622293504"/>
    <n v="2.1399795367308876"/>
    <n v="0"/>
    <n v="71.658845285760322"/>
    <n v="0"/>
    <n v="-53.7012817694565"/>
    <m/>
    <n v="0"/>
    <n v="0"/>
    <n v="-2.7038863212087563"/>
    <n v="0"/>
    <n v="-7.3557096995220377"/>
    <n v="-1.436615758380924"/>
    <n v="0"/>
    <n v="0"/>
    <m/>
    <m/>
    <m/>
    <n v="10926.291028964139"/>
    <n v="0"/>
    <n v="0"/>
    <n v="-5721.0291100000013"/>
    <n v="636.73831000000064"/>
    <n v="0"/>
    <n v="0"/>
    <n v="-5784.891837339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"/>
    <s v="Regular"/>
    <s v="Verde"/>
    <s v="A4"/>
    <s v="Comercial"/>
    <s v="Não se aplica"/>
    <s v="Não se aplica"/>
    <s v="Não se aplica"/>
    <s v="Ponta"/>
    <s v="CATIVO"/>
    <x v="1"/>
    <n v="0"/>
    <n v="0"/>
    <n v="18.952999999999999"/>
    <n v="18.952999999999999"/>
    <n v="18.952999999999999"/>
    <n v="18.952999999999999"/>
    <m/>
    <n v="1684.16"/>
    <n v="173.82"/>
    <m/>
    <n v="35214.29494"/>
    <n v="35214.29494"/>
    <n v="24173.793379999999"/>
    <n v="0"/>
    <n v="1008.3001024341877"/>
    <n v="0"/>
    <n v="0"/>
    <n v="341.14262554156505"/>
    <n v="5204.2271157491268"/>
    <n v="21953.116909009055"/>
    <n v="3049.957234916893"/>
    <n v="153.44093677584073"/>
    <n v="0"/>
    <n v="0"/>
    <n v="0"/>
    <n v="0"/>
    <n v="179.13421615185743"/>
    <m/>
    <n v="23.553474306609537"/>
    <n v="732.64989020184703"/>
    <n v="2355.8327116292558"/>
    <n v="0"/>
    <n v="0"/>
    <n v="0"/>
    <n v="0"/>
    <n v="0"/>
    <n v="0"/>
    <n v="0"/>
    <n v="0"/>
    <n v="0"/>
    <n v="0"/>
    <m/>
    <n v="0"/>
    <n v="0"/>
    <n v="0"/>
    <n v="3.5365089688698457"/>
    <n v="91.082211059902676"/>
    <n v="118.42269736797728"/>
    <n v="0"/>
    <n v="0"/>
    <n v="0"/>
    <n v="0"/>
    <n v="0"/>
    <m/>
    <m/>
    <m/>
    <m/>
    <m/>
    <m/>
    <m/>
    <m/>
    <m/>
    <n v="3262.9986523136431"/>
    <m/>
    <m/>
    <m/>
    <m/>
    <m/>
    <m/>
    <m/>
    <m/>
    <m/>
    <m/>
    <m/>
    <m/>
    <n v="24169.967000000001"/>
    <n v="-11044.357939999998"/>
    <m/>
    <m/>
    <m/>
    <m/>
    <n v="-11442.11563"/>
    <n v="401.61406999999997"/>
    <n v="31"/>
    <n v="582.38834605989541"/>
    <n v="71.135675663270263"/>
    <n v="228.73647281269041"/>
    <n v="0"/>
    <n v="0"/>
    <n v="0"/>
    <n v="0"/>
    <n v="0"/>
    <n v="-99.786932963752406"/>
    <n v="0"/>
    <n v="0"/>
    <n v="391.49571938853387"/>
    <n v="11.691408434900623"/>
    <n v="0.45395001183660399"/>
    <n v="0"/>
    <n v="15.200862021027106"/>
    <n v="0"/>
    <n v="-29.468080210242761"/>
    <m/>
    <n v="0"/>
    <n v="0"/>
    <n v="-1.7054396966910588"/>
    <n v="0"/>
    <n v="-4.6395143244381245"/>
    <n v="-0.72577507724075829"/>
    <n v="0"/>
    <n v="0"/>
    <m/>
    <m/>
    <m/>
    <n v="21953.116909009055"/>
    <n v="0"/>
    <n v="0"/>
    <n v="-11442.11563"/>
    <n v="401.61407000000008"/>
    <n v="0"/>
    <n v="0"/>
    <n v="-11623.011548424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7"/>
    <s v="Sistema de Compensação"/>
    <s v="Verde"/>
    <s v="A4"/>
    <s v="Comercial"/>
    <s v="Não se aplica"/>
    <s v="Não se aplica"/>
    <s v="Não se aplica"/>
    <s v="Ponta"/>
    <s v="CATIVO"/>
    <x v="1"/>
    <n v="0"/>
    <n v="0"/>
    <n v="3.0470000000000002"/>
    <n v="3.0470000000000002"/>
    <n v="3.0470000000000002"/>
    <n v="3.0470000000000002"/>
    <m/>
    <n v="1684.16"/>
    <n v="173.82"/>
    <m/>
    <n v="5661.2650600000006"/>
    <n v="5661.2650600000006"/>
    <n v="3886.3266200000003"/>
    <n v="0"/>
    <n v="162.10048077438771"/>
    <n v="0"/>
    <n v="0"/>
    <n v="54.844171372613772"/>
    <n v="836.66332621155436"/>
    <n v="3529.3171118952459"/>
    <n v="490.32974699476461"/>
    <n v="24.668101849627327"/>
    <n v="0"/>
    <n v="0"/>
    <n v="0"/>
    <n v="0"/>
    <n v="28.798710315765824"/>
    <m/>
    <n v="3.7866003383231819"/>
    <n v="117.7852696377897"/>
    <n v="378.73805056372834"/>
    <n v="0"/>
    <n v="0"/>
    <n v="0"/>
    <n v="0"/>
    <n v="0"/>
    <n v="0"/>
    <n v="0"/>
    <n v="0"/>
    <n v="0"/>
    <n v="0"/>
    <m/>
    <n v="0"/>
    <n v="0"/>
    <n v="0"/>
    <n v="0.56855077444976632"/>
    <n v="14.642932364244368"/>
    <n v="19.03835587401608"/>
    <n v="0"/>
    <n v="0"/>
    <n v="0"/>
    <n v="0"/>
    <n v="0"/>
    <m/>
    <m/>
    <m/>
    <m/>
    <m/>
    <m/>
    <m/>
    <m/>
    <m/>
    <n v="524.57958600747486"/>
    <m/>
    <m/>
    <m/>
    <m/>
    <m/>
    <m/>
    <m/>
    <m/>
    <m/>
    <m/>
    <m/>
    <m/>
    <n v="3890.1529999999998"/>
    <n v="-1771.1420600000015"/>
    <m/>
    <m/>
    <m/>
    <m/>
    <n v="-1839.5043700000001"/>
    <n v="64.565929999999994"/>
    <n v="31"/>
    <n v="93.628306360179977"/>
    <n v="11.436205547722494"/>
    <n v="36.773071949573534"/>
    <n v="0"/>
    <n v="0"/>
    <n v="0"/>
    <n v="0"/>
    <n v="0"/>
    <n v="-16.042356605315945"/>
    <n v="0"/>
    <n v="0"/>
    <n v="62.93924217679853"/>
    <n v="1.8795822034053788"/>
    <n v="7.2979775553534076E-2"/>
    <n v="0"/>
    <n v="2.4437833893351808"/>
    <n v="0"/>
    <n v="-4.7374684957848103"/>
    <m/>
    <n v="0"/>
    <n v="0"/>
    <n v="-0.27417689842334525"/>
    <n v="0"/>
    <n v="-0.74587664995319969"/>
    <n v="-0.11668003273110283"/>
    <n v="0"/>
    <n v="0"/>
    <m/>
    <m/>
    <m/>
    <n v="3529.3171118952459"/>
    <n v="0"/>
    <n v="0"/>
    <n v="-1839.5043700000006"/>
    <n v="64.56592999999998"/>
    <n v="0"/>
    <n v="0"/>
    <n v="-1868.5863023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8"/>
    <s v="Regular"/>
    <s v="Verde"/>
    <s v="A4"/>
    <s v="Comercial"/>
    <s v="Não se aplica"/>
    <s v="Não se aplica"/>
    <s v="Não se aplica"/>
    <s v="Fora ponta"/>
    <s v="CATIVO"/>
    <x v="1"/>
    <n v="0"/>
    <n v="0"/>
    <n v="254.10599999999999"/>
    <n v="254.10599999999999"/>
    <n v="254.10599999999999"/>
    <n v="254.10599999999999"/>
    <m/>
    <n v="70.33"/>
    <n v="173.82"/>
    <m/>
    <n v="62039.979899999991"/>
    <n v="62039.979899999991"/>
    <n v="67167.83898"/>
    <n v="0"/>
    <n v="13518.445936218102"/>
    <n v="0"/>
    <n v="0"/>
    <n v="0"/>
    <n v="0"/>
    <n v="0"/>
    <n v="40891.280173892897"/>
    <n v="2057.2079713165081"/>
    <n v="0"/>
    <n v="0"/>
    <n v="0"/>
    <n v="0"/>
    <n v="2401.6820096809943"/>
    <m/>
    <n v="315.78531853296698"/>
    <n v="0"/>
    <n v="0"/>
    <n v="0"/>
    <n v="0"/>
    <n v="0"/>
    <n v="0"/>
    <n v="0"/>
    <n v="0"/>
    <n v="0"/>
    <n v="0"/>
    <n v="0"/>
    <n v="0"/>
    <m/>
    <n v="0"/>
    <n v="0"/>
    <n v="0"/>
    <n v="47.414559597089692"/>
    <n v="1221.1542406789231"/>
    <n v="1587.7126543231802"/>
    <n v="0"/>
    <n v="0"/>
    <n v="0"/>
    <n v="0"/>
    <n v="0"/>
    <m/>
    <m/>
    <m/>
    <m/>
    <m/>
    <m/>
    <m/>
    <m/>
    <m/>
    <n v="43747.561628492091"/>
    <m/>
    <m/>
    <m/>
    <m/>
    <m/>
    <m/>
    <m/>
    <m/>
    <m/>
    <m/>
    <m/>
    <m/>
    <n v="67168.896299999993"/>
    <n v="5128.8863999999958"/>
    <m/>
    <m/>
    <m/>
    <m/>
    <n v="-256.64706000000132"/>
    <n v="5384.5061399999995"/>
    <n v="31"/>
    <n v="5125.6011866696645"/>
    <n v="0"/>
    <n v="0"/>
    <n v="0"/>
    <n v="0"/>
    <n v="0"/>
    <n v="0"/>
    <n v="0"/>
    <n v="0"/>
    <n v="0"/>
    <n v="0"/>
    <n v="5248.8477428872866"/>
    <n v="156.74864305169945"/>
    <n v="6.0861827524799352"/>
    <n v="0"/>
    <n v="203.80046666570547"/>
    <n v="0"/>
    <n v="-395.0834163406289"/>
    <m/>
    <n v="0"/>
    <n v="0"/>
    <n v="-22.865111569006103"/>
    <n v="0"/>
    <n v="-62.202734497212987"/>
    <n v="-9.7305862806595087"/>
    <n v="0"/>
    <n v="0"/>
    <m/>
    <m/>
    <m/>
    <n v="0"/>
    <n v="0"/>
    <n v="0"/>
    <n v="-256.64705999999933"/>
    <n v="5384.50613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9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29.882999999999999"/>
    <n v="29.882999999999999"/>
    <n v="29.882999999999999"/>
    <n v="29.882999999999999"/>
    <m/>
    <n v="70.33"/>
    <n v="173.82"/>
    <m/>
    <n v="7295.9344499999988"/>
    <n v="7295.9344499999988"/>
    <n v="7898.9733899999992"/>
    <n v="0"/>
    <n v="1589.7763921828118"/>
    <n v="0"/>
    <n v="0"/>
    <n v="0"/>
    <n v="0"/>
    <n v="0"/>
    <n v="4808.8361763848216"/>
    <n v="241.92874551113007"/>
    <n v="0"/>
    <n v="0"/>
    <n v="0"/>
    <n v="0"/>
    <n v="282.43907461963573"/>
    <m/>
    <n v="37.136520482478382"/>
    <n v="0"/>
    <n v="0"/>
    <n v="0"/>
    <n v="0"/>
    <n v="0"/>
    <n v="0"/>
    <n v="0"/>
    <n v="0"/>
    <n v="0"/>
    <n v="0"/>
    <n v="0"/>
    <n v="0"/>
    <m/>
    <n v="0"/>
    <n v="0"/>
    <n v="0"/>
    <n v="5.5759772868009074"/>
    <n v="143.60838458835391"/>
    <n v="186.7158479104767"/>
    <n v="0"/>
    <n v="0"/>
    <n v="0"/>
    <n v="0"/>
    <n v="0"/>
    <m/>
    <m/>
    <m/>
    <m/>
    <m/>
    <m/>
    <m/>
    <m/>
    <m/>
    <n v="5144.7363861704525"/>
    <m/>
    <m/>
    <m/>
    <m/>
    <m/>
    <m/>
    <m/>
    <m/>
    <m/>
    <m/>
    <m/>
    <m/>
    <n v="7898.1803999999993"/>
    <n v="602.21594999999979"/>
    <m/>
    <m/>
    <m/>
    <m/>
    <n v="-30.181830000000151"/>
    <n v="633.2207699999999"/>
    <n v="31"/>
    <n v="602.77341055012312"/>
    <n v="0"/>
    <n v="0"/>
    <n v="0"/>
    <n v="0"/>
    <n v="0"/>
    <n v="0"/>
    <n v="0"/>
    <n v="0"/>
    <n v="0"/>
    <n v="0"/>
    <n v="617.26727074803694"/>
    <n v="18.433723329295361"/>
    <n v="0.71573831075361394"/>
    <n v="0"/>
    <n v="23.967042672629844"/>
    <n v="0"/>
    <n v="-46.462018726464748"/>
    <m/>
    <n v="0"/>
    <n v="0"/>
    <n v="-2.6889492141729079"/>
    <n v="0"/>
    <n v="-7.3150744767152673"/>
    <n v="-1.1443220932404117"/>
    <n v="0"/>
    <n v="0"/>
    <m/>
    <m/>
    <m/>
    <n v="0"/>
    <n v="0"/>
    <n v="0"/>
    <n v="-30.181830000000446"/>
    <n v="633.22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0"/>
    <s v="Regular"/>
    <s v="Verde"/>
    <s v="A4"/>
    <s v="Comercial"/>
    <s v="Não se aplica"/>
    <s v="Não se aplica"/>
    <s v="Não se aplica"/>
    <s v="Não se aplica"/>
    <s v="CATIVO"/>
    <x v="1"/>
    <n v="2536"/>
    <n v="2536"/>
    <n v="0"/>
    <n v="0"/>
    <n v="0"/>
    <n v="0"/>
    <n v="59.12"/>
    <m/>
    <m/>
    <n v="149928.32000000001"/>
    <m/>
    <n v="149928.32000000001"/>
    <n v="86300.08"/>
    <n v="0"/>
    <n v="0"/>
    <n v="0"/>
    <n v="0"/>
    <n v="1450.7450814142176"/>
    <n v="12976.769442214332"/>
    <n v="122138.31910021498"/>
    <m/>
    <m/>
    <m/>
    <n v="0"/>
    <n v="0"/>
    <n v="0"/>
    <n v="0"/>
    <m/>
    <n v="0"/>
    <n v="3063.6708853899922"/>
    <n v="10298.665223154569"/>
    <n v="0"/>
    <n v="0"/>
    <m/>
    <m/>
    <n v="0"/>
    <n v="0"/>
    <n v="0"/>
    <m/>
    <m/>
    <n v="0"/>
    <m/>
    <n v="0"/>
    <n v="0"/>
    <n v="0"/>
    <n v="0"/>
    <m/>
    <n v="0"/>
    <n v="0"/>
    <n v="0"/>
    <n v="0"/>
    <n v="78050.880000000005"/>
    <n v="16"/>
    <m/>
    <m/>
    <m/>
    <m/>
    <m/>
    <m/>
    <m/>
    <m/>
    <m/>
    <n v="0"/>
    <m/>
    <m/>
    <m/>
    <m/>
    <m/>
    <m/>
    <m/>
    <m/>
    <m/>
    <m/>
    <m/>
    <m/>
    <n v="86300.08"/>
    <n v="-63628.270000000033"/>
    <m/>
    <m/>
    <m/>
    <m/>
    <n v="-63628.239999999991"/>
    <n v="0"/>
    <n v="31"/>
    <n v="1048.5791407972065"/>
    <n v="297.46308756296321"/>
    <n v="999.93532910663998"/>
    <n v="0"/>
    <n v="0"/>
    <m/>
    <m/>
    <m/>
    <n v="-248.819275872398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2138.31910021498"/>
    <m/>
    <n v="0"/>
    <n v="0"/>
    <n v="-63628.240000000005"/>
    <m/>
    <n v="0"/>
    <m/>
    <n v="-64665.76474269786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"/>
    <s v="Sistema de Compensação"/>
    <s v="Verde"/>
    <s v="A4"/>
    <s v="Comercial"/>
    <s v="Não se aplica"/>
    <s v="Não se aplica"/>
    <s v="Não se aplica"/>
    <s v="Não se aplica"/>
    <s v="CATIVO"/>
    <x v="1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0"/>
    <n v="0"/>
    <n v="7810.61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n v="31"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2"/>
    <s v="Regular"/>
    <s v="Convencional"/>
    <s v="B2"/>
    <s v="Rural"/>
    <s v="Não se aplica"/>
    <s v="Não se aplica"/>
    <s v="Não se aplica"/>
    <s v="Não se aplica"/>
    <s v="CATIVO"/>
    <x v="1"/>
    <n v="0"/>
    <n v="0"/>
    <n v="2379.12"/>
    <n v="2379.12"/>
    <n v="2379.12"/>
    <n v="2379.12"/>
    <m/>
    <n v="516.83000000000004"/>
    <n v="173.82"/>
    <m/>
    <n v="1643139.2280000001"/>
    <n v="1643139.2280000001"/>
    <n v="1240592.1239999998"/>
    <n v="0"/>
    <n v="145481.89318302934"/>
    <n v="0"/>
    <n v="0"/>
    <n v="6467.5046638856866"/>
    <n v="81905.040004377646"/>
    <n v="865085.61059699685"/>
    <n v="382853.07110934833"/>
    <n v="19261.035271573797"/>
    <n v="0"/>
    <n v="0"/>
    <n v="0"/>
    <n v="0"/>
    <n v="22486.244728075086"/>
    <m/>
    <n v="3691.3045432043941"/>
    <n v="13795.336311016707"/>
    <n v="45177.861128879762"/>
    <n v="0"/>
    <n v="0"/>
    <n v="0"/>
    <n v="0"/>
    <n v="0"/>
    <n v="0"/>
    <n v="0"/>
    <n v="0"/>
    <n v="0"/>
    <n v="0"/>
    <m/>
    <n v="0"/>
    <n v="0"/>
    <n v="0"/>
    <n v="1319.9657934810066"/>
    <n v="11433.309237420761"/>
    <n v="44200.060306205356"/>
    <n v="0"/>
    <n v="0"/>
    <n v="0"/>
    <n v="90938.58"/>
    <n v="10249"/>
    <m/>
    <m/>
    <m/>
    <m/>
    <m/>
    <n v="148861.53839999999"/>
    <m/>
    <m/>
    <m/>
    <n v="439806.4064464554"/>
    <m/>
    <m/>
    <m/>
    <m/>
    <m/>
    <m/>
    <m/>
    <m/>
    <m/>
    <m/>
    <m/>
    <m/>
    <n v="1091730.5855999999"/>
    <n v="-354227.20680000004"/>
    <m/>
    <m/>
    <m/>
    <m/>
    <n v="-452960.65680000006"/>
    <n v="50413.55279999999"/>
    <n v="31"/>
    <n v="55447.482879807008"/>
    <n v="1339.4400007565455"/>
    <n v="4386.4848946319107"/>
    <n v="0"/>
    <n v="0"/>
    <n v="0"/>
    <n v="0"/>
    <n v="0"/>
    <n v="-1570.4642696272349"/>
    <n v="0"/>
    <n v="0"/>
    <n v="49143.422989059705"/>
    <n v="1467.5916021548437"/>
    <n v="169.43219792429659"/>
    <n v="0"/>
    <n v="5673.566241680528"/>
    <n v="0"/>
    <n v="-4251.7818723867531"/>
    <m/>
    <n v="0"/>
    <n v="0"/>
    <n v="-214.0793378985727"/>
    <n v="0"/>
    <n v="-582.38597159063283"/>
    <n v="-113.74359489764083"/>
    <n v="0"/>
    <n v="0"/>
    <m/>
    <m/>
    <m/>
    <n v="865085.61059699685"/>
    <n v="0"/>
    <n v="0"/>
    <n v="-452960.65680000011"/>
    <n v="50413.552800000005"/>
    <n v="0"/>
    <n v="0"/>
    <n v="-458016.96788751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3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1.879"/>
    <n v="-1.879"/>
    <n v="-1.879"/>
    <n v="-1.879"/>
    <m/>
    <n v="516.83000000000004"/>
    <n v="173.82"/>
    <m/>
    <n v="-1297.73135"/>
    <n v="-1297.73135"/>
    <n v="-979.80455000000006"/>
    <n v="0"/>
    <n v="-114.89982736932653"/>
    <n v="0"/>
    <n v="0"/>
    <n v="-5.1079564139014453"/>
    <n v="-64.687603049962007"/>
    <n v="-683.23407911822744"/>
    <n v="-302.37269268236389"/>
    <n v="-15.212131071693385"/>
    <n v="0"/>
    <n v="0"/>
    <n v="0"/>
    <n v="0"/>
    <n v="-17.759362219666553"/>
    <m/>
    <n v="-2.9153473707425674"/>
    <n v="-10.895388600995492"/>
    <n v="-35.680924485173122"/>
    <n v="0"/>
    <n v="0"/>
    <n v="0"/>
    <n v="0"/>
    <n v="0"/>
    <n v="0"/>
    <n v="0"/>
    <n v="0"/>
    <n v="0"/>
    <n v="0"/>
    <m/>
    <n v="0"/>
    <n v="0"/>
    <n v="0"/>
    <n v="-1.0424929074409073"/>
    <n v="-9.0298883860896506"/>
    <n v="-34.908669304347768"/>
    <n v="0"/>
    <n v="-1"/>
    <n v="-4.51"/>
    <n v="-11.07"/>
    <n v="0"/>
    <m/>
    <m/>
    <m/>
    <m/>
    <m/>
    <n v="-117.56903"/>
    <m/>
    <m/>
    <m/>
    <n v="-347.35374328024221"/>
    <m/>
    <m/>
    <m/>
    <m/>
    <m/>
    <m/>
    <m/>
    <m/>
    <m/>
    <m/>
    <m/>
    <m/>
    <n v="-862.69439999999997"/>
    <n v="279.27543000000003"/>
    <m/>
    <m/>
    <m/>
    <m/>
    <n v="357.74281000000008"/>
    <n v="-39.816009999999999"/>
    <n v="31"/>
    <n v="-43.791746667321377"/>
    <n v="-1.0578733991650466"/>
    <n v="-3.4643923454947085"/>
    <n v="0"/>
    <n v="0"/>
    <n v="0"/>
    <n v="0"/>
    <n v="0"/>
    <n v="1.2403335530068134"/>
    <n v="0"/>
    <n v="0"/>
    <n v="-38.812876944602692"/>
    <n v="-1.1590859731534984"/>
    <n v="-0.13381548635619622"/>
    <n v="0"/>
    <n v="-4.4809135176526311"/>
    <n v="0"/>
    <n v="3.3580055391130799"/>
    <m/>
    <n v="0"/>
    <n v="0"/>
    <n v="0.16907725373727089"/>
    <n v="0"/>
    <n v="0.45996134731278815"/>
    <n v="8.9833305933566976E-2"/>
    <n v="0"/>
    <n v="0"/>
    <m/>
    <m/>
    <m/>
    <n v="-683.23407911822744"/>
    <n v="0"/>
    <n v="0"/>
    <n v="357.74281000000008"/>
    <n v="-39.816010000000006"/>
    <n v="0"/>
    <n v="0"/>
    <n v="361.73622291462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4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31.35"/>
    <n v="31.35"/>
    <n v="31.35"/>
    <n v="31.35"/>
    <m/>
    <n v="516.83000000000004"/>
    <n v="173.82"/>
    <m/>
    <n v="21651.877500000002"/>
    <n v="21651.877500000002"/>
    <n v="16347.4575"/>
    <n v="0"/>
    <n v="1917.0354380140429"/>
    <n v="0"/>
    <n v="0"/>
    <n v="85.223221700803776"/>
    <n v="1079.274271216769"/>
    <n v="11399.355178476015"/>
    <n v="5044.9089492241128"/>
    <n v="253.80538004129198"/>
    <n v="0"/>
    <n v="0"/>
    <n v="0"/>
    <n v="0"/>
    <n v="296.30442021636316"/>
    <m/>
    <n v="48.640840911537779"/>
    <n v="181.78309347589604"/>
    <n v="595.31505194793908"/>
    <n v="0"/>
    <n v="0"/>
    <n v="0"/>
    <n v="0"/>
    <n v="0"/>
    <n v="0"/>
    <n v="0"/>
    <n v="0"/>
    <n v="0"/>
    <n v="0"/>
    <m/>
    <n v="0"/>
    <n v="0"/>
    <n v="0"/>
    <n v="17.393375544583524"/>
    <n v="150.65832937940957"/>
    <n v="582.43043251266772"/>
    <n v="0"/>
    <n v="0"/>
    <n v="0"/>
    <n v="1315.31"/>
    <n v="153"/>
    <m/>
    <m/>
    <m/>
    <m/>
    <m/>
    <n v="1961.5695000000001"/>
    <m/>
    <m/>
    <m/>
    <n v="5795.391086660773"/>
    <m/>
    <m/>
    <m/>
    <m/>
    <m/>
    <m/>
    <m/>
    <m/>
    <m/>
    <m/>
    <m/>
    <m/>
    <n v="14385.887999999999"/>
    <n v="-4667.7315000000017"/>
    <m/>
    <m/>
    <m/>
    <m/>
    <n v="-5968.7265000000016"/>
    <n v="664.30649999999991"/>
    <n v="31"/>
    <n v="730.63930708915177"/>
    <n v="17.649989922205577"/>
    <n v="57.80133051158009"/>
    <n v="0"/>
    <n v="0"/>
    <n v="0"/>
    <n v="0"/>
    <n v="0"/>
    <n v="-20.694229317064128"/>
    <n v="0"/>
    <n v="0"/>
    <n v="647.56982023059845"/>
    <n v="19.338661659586052"/>
    <n v="2.2326319836438273"/>
    <n v="0"/>
    <n v="74.761383064614051"/>
    <n v="0"/>
    <n v="-56.026329777112551"/>
    <m/>
    <n v="0"/>
    <n v="0"/>
    <n v="-2.8209536480380279"/>
    <n v="0"/>
    <n v="-7.6741821385076605"/>
    <n v="-1.4988154023508855"/>
    <n v="0"/>
    <n v="0"/>
    <m/>
    <m/>
    <m/>
    <n v="11399.355178476015"/>
    <n v="0"/>
    <n v="0"/>
    <n v="-5968.7265000000025"/>
    <n v="664.3065000000006"/>
    <n v="0"/>
    <n v="0"/>
    <n v="-6035.3542247863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5"/>
    <s v="Regular"/>
    <s v="Verde"/>
    <s v="A4"/>
    <s v="Rural"/>
    <s v="Não se aplica"/>
    <s v="Não se aplica"/>
    <s v="Não se aplica"/>
    <s v="Ponta"/>
    <s v="CATIVO"/>
    <x v="1"/>
    <n v="0"/>
    <n v="0"/>
    <n v="47.832000000000001"/>
    <n v="45.91872"/>
    <n v="47.832000000000001"/>
    <n v="45.91872"/>
    <m/>
    <n v="1684.16"/>
    <n v="173.82"/>
    <m/>
    <n v="88870.89936000001"/>
    <n v="88870.89936000001"/>
    <n v="61007.80272"/>
    <n v="0"/>
    <n v="2544.6636680014808"/>
    <n v="0"/>
    <n v="0"/>
    <n v="860.94729409086369"/>
    <n v="13133.994164539241"/>
    <n v="55403.444731267933"/>
    <n v="7697.2275872181099"/>
    <n v="387.24143343333577"/>
    <n v="0"/>
    <n v="0"/>
    <n v="0"/>
    <n v="0"/>
    <n v="452.08398812724346"/>
    <m/>
    <n v="59.442293200746448"/>
    <n v="1849.0006620658867"/>
    <n v="5945.4540316915827"/>
    <n v="0"/>
    <n v="0"/>
    <n v="0"/>
    <n v="0"/>
    <n v="0"/>
    <n v="0"/>
    <n v="0"/>
    <n v="0"/>
    <n v="0"/>
    <n v="0"/>
    <m/>
    <n v="0"/>
    <n v="0"/>
    <n v="0"/>
    <n v="8.925146256475621"/>
    <n v="229.86568455744555"/>
    <n v="298.86532266686481"/>
    <n v="0"/>
    <n v="0"/>
    <n v="0"/>
    <n v="0"/>
    <n v="0"/>
    <m/>
    <m/>
    <m/>
    <m/>
    <m/>
    <n v="2440.3121088000003"/>
    <m/>
    <m/>
    <m/>
    <n v="8234.8837406988951"/>
    <m/>
    <m/>
    <m/>
    <m/>
    <m/>
    <m/>
    <m/>
    <m/>
    <m/>
    <m/>
    <m/>
    <m/>
    <n v="58569.123200000002"/>
    <n v="-26746.970185599988"/>
    <m/>
    <m/>
    <m/>
    <m/>
    <n v="-28876.656720000003"/>
    <n v="1013.5600799999999"/>
    <n v="31"/>
    <n v="1469.783114479862"/>
    <n v="179.52628282200953"/>
    <n v="577.26602477584584"/>
    <n v="0"/>
    <n v="0"/>
    <n v="0"/>
    <n v="0"/>
    <n v="0"/>
    <n v="-251.83393539398639"/>
    <n v="0"/>
    <n v="0"/>
    <n v="988.02423098149939"/>
    <n v="29.505801100520557"/>
    <n v="1.1456411632020504"/>
    <n v="0"/>
    <n v="38.362667239475002"/>
    <n v="0"/>
    <n v="-74.369082077577787"/>
    <m/>
    <n v="0"/>
    <n v="0"/>
    <n v="-4.3040464080687002"/>
    <n v="0"/>
    <n v="-11.708819140322078"/>
    <n v="-1.8316505827351861"/>
    <n v="0"/>
    <n v="0"/>
    <m/>
    <m/>
    <m/>
    <n v="55403.444731267933"/>
    <n v="0"/>
    <n v="0"/>
    <n v="-28876.656720000006"/>
    <n v="1013.5600799999993"/>
    <n v="0"/>
    <n v="0"/>
    <n v="-29333.1867453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6"/>
    <s v="Sistema de Compensação"/>
    <s v="Verde"/>
    <s v="A4"/>
    <s v="Rural"/>
    <s v="Não se aplica"/>
    <s v="Não se aplica"/>
    <s v="Não se aplica"/>
    <s v="Ponta"/>
    <s v="CATIVO"/>
    <x v="1"/>
    <n v="0"/>
    <n v="0"/>
    <n v="3.1549999999999998"/>
    <n v="3.0287999999999999"/>
    <n v="3.1549999999999998"/>
    <n v="3.0287999999999999"/>
    <m/>
    <n v="1684.16"/>
    <n v="173.82"/>
    <m/>
    <n v="5861.9269000000004"/>
    <n v="5861.9269000000004"/>
    <n v="4024.0763000000002"/>
    <n v="0"/>
    <n v="167.8460836374116"/>
    <n v="0"/>
    <n v="0"/>
    <n v="56.788106557465191"/>
    <n v="866.31860656299762"/>
    <n v="3654.4126970887755"/>
    <n v="507.70933763324001"/>
    <n v="25.542455311970528"/>
    <n v="0"/>
    <n v="0"/>
    <n v="0"/>
    <n v="0"/>
    <n v="29.8194719547887"/>
    <m/>
    <n v="3.9208152502164877"/>
    <n v="121.96013314972973"/>
    <n v="392.16230703267564"/>
    <n v="0"/>
    <n v="0"/>
    <n v="0"/>
    <n v="0"/>
    <n v="0"/>
    <n v="0"/>
    <n v="0"/>
    <n v="0"/>
    <n v="0"/>
    <n v="0"/>
    <m/>
    <n v="0"/>
    <n v="0"/>
    <n v="0"/>
    <n v="0.58870288591697162"/>
    <n v="15.161946704690179"/>
    <n v="19.713164680840411"/>
    <n v="0"/>
    <n v="0"/>
    <n v="0"/>
    <n v="0"/>
    <n v="0"/>
    <m/>
    <m/>
    <m/>
    <m/>
    <m/>
    <n v="160.96305199999983"/>
    <m/>
    <m/>
    <m/>
    <n v="543.17315190468764"/>
    <m/>
    <m/>
    <m/>
    <m/>
    <m/>
    <m/>
    <m/>
    <m/>
    <m/>
    <m/>
    <m/>
    <m/>
    <n v="3864.6437999999998"/>
    <n v="-1762.8360240000011"/>
    <m/>
    <m/>
    <m/>
    <m/>
    <n v="-1904.70505"/>
    <n v="66.854449999999986"/>
    <n v="31"/>
    <n v="96.946933562969662"/>
    <n v="11.841558419121924"/>
    <n v="38.076482442042845"/>
    <n v="0"/>
    <n v="0"/>
    <n v="0"/>
    <n v="0"/>
    <n v="0"/>
    <n v="-16.610973117745971"/>
    <n v="0"/>
    <n v="0"/>
    <n v="65.170104715391972"/>
    <n v="1.9462034301752471"/>
    <n v="7.5566521782540197E-2"/>
    <n v="0"/>
    <n v="2.5304025577133196"/>
    <n v="0"/>
    <n v="-4.9053866439780336"/>
    <m/>
    <n v="0"/>
    <n v="0"/>
    <n v="-0.28389501625390423"/>
    <n v="0"/>
    <n v="-0.77231402382748726"/>
    <n v="-0.12081572145278274"/>
    <n v="0"/>
    <n v="0"/>
    <m/>
    <m/>
    <m/>
    <n v="3654.4126970887755"/>
    <n v="0"/>
    <n v="0"/>
    <n v="-1904.70505"/>
    <n v="66.854450000000043"/>
    <n v="0"/>
    <n v="0"/>
    <n v="-1934.817782687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7"/>
    <s v="Regular"/>
    <s v="Verde"/>
    <s v="A4"/>
    <s v="Rural"/>
    <s v="Não se aplica"/>
    <s v="Não se aplica"/>
    <s v="Não se aplica"/>
    <s v="Fora ponta"/>
    <s v="CATIVO"/>
    <x v="1"/>
    <n v="0"/>
    <n v="0"/>
    <n v="522.11300000000006"/>
    <n v="501.22848000000005"/>
    <n v="522.11300000000006"/>
    <n v="501.22848000000005"/>
    <m/>
    <n v="70.33"/>
    <n v="173.82"/>
    <m/>
    <n v="127473.88895000001"/>
    <n v="127473.88895000001"/>
    <n v="138010.12929000001"/>
    <n v="0"/>
    <n v="27776.425440944498"/>
    <n v="0"/>
    <n v="0"/>
    <n v="0"/>
    <n v="0"/>
    <n v="0"/>
    <n v="84019.53895394734"/>
    <n v="4226.9565674481364"/>
    <n v="0"/>
    <n v="0"/>
    <n v="0"/>
    <n v="0"/>
    <n v="4934.7492743995545"/>
    <m/>
    <n v="648.84583604953446"/>
    <n v="0"/>
    <n v="0"/>
    <n v="0"/>
    <n v="0"/>
    <n v="0"/>
    <n v="0"/>
    <n v="0"/>
    <n v="0"/>
    <n v="0"/>
    <n v="0"/>
    <n v="0"/>
    <n v="0"/>
    <m/>
    <n v="0"/>
    <n v="0"/>
    <n v="0"/>
    <n v="97.422957171083311"/>
    <n v="2509.1123549368954"/>
    <n v="3262.281949606222"/>
    <n v="0"/>
    <n v="0"/>
    <n v="0"/>
    <n v="0"/>
    <n v="0"/>
    <m/>
    <m/>
    <m/>
    <m/>
    <m/>
    <n v="5520.4051716000022"/>
    <m/>
    <m/>
    <m/>
    <n v="89888.356215661537"/>
    <m/>
    <m/>
    <m/>
    <m/>
    <m/>
    <m/>
    <m/>
    <m/>
    <m/>
    <m/>
    <m/>
    <m/>
    <n v="132490.12589999998"/>
    <n v="10115.162507999994"/>
    <m/>
    <m/>
    <m/>
    <m/>
    <n v="-527.33413000000269"/>
    <n v="11063.57447"/>
    <n v="31"/>
    <n v="10531.60103411827"/>
    <n v="0"/>
    <n v="0"/>
    <n v="0"/>
    <n v="0"/>
    <n v="0"/>
    <n v="0"/>
    <n v="0"/>
    <n v="0"/>
    <n v="0"/>
    <n v="0"/>
    <n v="10784.836413080018"/>
    <n v="322.07230159717528"/>
    <n v="12.505313276528511"/>
    <n v="0"/>
    <n v="418.74994314274954"/>
    <n v="0"/>
    <n v="-811.78007507045913"/>
    <m/>
    <n v="0"/>
    <n v="0"/>
    <n v="-46.981070878407081"/>
    <n v="0"/>
    <n v="-127.80830171874459"/>
    <n v="-19.99348931057898"/>
    <n v="0"/>
    <n v="0"/>
    <m/>
    <m/>
    <m/>
    <n v="0"/>
    <n v="0"/>
    <n v="0"/>
    <n v="-527.33413000000292"/>
    <n v="11063.57447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8"/>
    <s v="Sistema de Compensação"/>
    <s v="Verde"/>
    <s v="A4"/>
    <s v="Rural"/>
    <s v="Não se aplica"/>
    <s v="Não se aplica"/>
    <s v="Não se aplica"/>
    <s v="Fora ponta"/>
    <s v="CATIVO"/>
    <x v="1"/>
    <n v="0"/>
    <n v="0"/>
    <n v="16.981000000000002"/>
    <n v="16.301760000000002"/>
    <n v="16.981000000000002"/>
    <n v="16.301760000000002"/>
    <m/>
    <n v="70.33"/>
    <n v="173.82"/>
    <m/>
    <n v="4145.9111499999999"/>
    <n v="4145.9111499999999"/>
    <n v="4488.5877300000002"/>
    <n v="0"/>
    <n v="903.38965015749181"/>
    <n v="0"/>
    <n v="0"/>
    <n v="0"/>
    <n v="0"/>
    <n v="0"/>
    <n v="2732.6187836291756"/>
    <n v="137.47589022268514"/>
    <n v="0"/>
    <n v="0"/>
    <n v="0"/>
    <n v="0"/>
    <n v="160.49586474303231"/>
    <m/>
    <n v="21.102809433891025"/>
    <n v="0"/>
    <n v="0"/>
    <n v="0"/>
    <n v="0"/>
    <n v="0"/>
    <n v="0"/>
    <n v="0"/>
    <n v="0"/>
    <n v="0"/>
    <n v="0"/>
    <n v="0"/>
    <n v="0"/>
    <m/>
    <n v="0"/>
    <n v="0"/>
    <n v="0"/>
    <n v="3.1685463409686516"/>
    <n v="81.605393658429151"/>
    <n v="106.10118841374043"/>
    <n v="0"/>
    <n v="0"/>
    <n v="0"/>
    <n v="0"/>
    <n v="0"/>
    <m/>
    <m/>
    <m/>
    <m/>
    <m/>
    <n v="179.54350920000002"/>
    <m/>
    <m/>
    <m/>
    <n v="2923.4939120423137"/>
    <m/>
    <m/>
    <m/>
    <m/>
    <m/>
    <m/>
    <m/>
    <m/>
    <m/>
    <m/>
    <m/>
    <m/>
    <n v="4308.5789999999997"/>
    <n v="328.47429599999941"/>
    <m/>
    <m/>
    <m/>
    <m/>
    <n v="-17.150810000000089"/>
    <n v="359.82738999999998"/>
    <n v="31"/>
    <n v="342.52569302117172"/>
    <n v="0"/>
    <n v="0"/>
    <n v="0"/>
    <n v="0"/>
    <n v="0"/>
    <n v="0"/>
    <n v="0"/>
    <n v="0"/>
    <n v="0"/>
    <n v="0"/>
    <n v="350.76182192458691"/>
    <n v="10.474954183139729"/>
    <n v="0.40671794180327003"/>
    <n v="0"/>
    <n v="13.619260168789197"/>
    <n v="0"/>
    <n v="-26.402019208047818"/>
    <m/>
    <n v="0"/>
    <n v="0"/>
    <n v="-1.5279940637107927"/>
    <n v="0"/>
    <n v="-4.1567874607335966"/>
    <n v="-0.65026046465600729"/>
    <n v="0"/>
    <n v="0"/>
    <m/>
    <m/>
    <m/>
    <n v="0"/>
    <n v="0"/>
    <n v="0"/>
    <n v="-17.150810000000092"/>
    <n v="359.8273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89"/>
    <s v="Regular"/>
    <s v="Verde"/>
    <s v="A4"/>
    <s v="Rural"/>
    <s v="Não se aplica"/>
    <s v="Não se aplica"/>
    <s v="Não se aplica"/>
    <s v="Não se aplica"/>
    <s v="CATIVO"/>
    <x v="1"/>
    <n v="2131"/>
    <n v="2045.76"/>
    <n v="0"/>
    <n v="0"/>
    <n v="0"/>
    <n v="0"/>
    <n v="59.12"/>
    <m/>
    <m/>
    <n v="125984.72"/>
    <m/>
    <n v="125984.72"/>
    <n v="72517.930000000008"/>
    <n v="0"/>
    <n v="0"/>
    <n v="0"/>
    <n v="0"/>
    <n v="1219.0606342640765"/>
    <n v="10904.375268674583"/>
    <n v="102632.79101047244"/>
    <m/>
    <m/>
    <m/>
    <n v="0"/>
    <n v="0"/>
    <n v="0"/>
    <n v="0"/>
    <m/>
    <n v="0"/>
    <n v="2574.4016785355179"/>
    <n v="8653.9651382264929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11.65"/>
    <n v="15"/>
    <m/>
    <m/>
    <m/>
    <m/>
    <m/>
    <n v="2900.7172000000005"/>
    <m/>
    <m/>
    <m/>
    <n v="0"/>
    <m/>
    <m/>
    <m/>
    <m/>
    <m/>
    <m/>
    <m/>
    <m/>
    <m/>
    <m/>
    <m/>
    <m/>
    <n v="69617.212800000008"/>
    <n v="-51328.148399999976"/>
    <m/>
    <m/>
    <m/>
    <m/>
    <n v="-53466.789999999994"/>
    <n v="0"/>
    <n v="31"/>
    <n v="881.12072122982863"/>
    <n v="249.95813864222146"/>
    <n v="840.2453416112985"/>
    <n v="0"/>
    <n v="0"/>
    <m/>
    <m/>
    <m/>
    <n v="-209.082759023691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632.79101047244"/>
    <m/>
    <n v="0"/>
    <n v="0"/>
    <n v="-53466.789999999994"/>
    <m/>
    <n v="0"/>
    <m/>
    <n v="-54338.6217139941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90"/>
    <s v="Sistema de Compensação"/>
    <s v="Verde"/>
    <s v="A4"/>
    <s v="Rural"/>
    <s v="Não se aplica"/>
    <s v="Não se aplica"/>
    <s v="Não se aplica"/>
    <s v="Não se aplica"/>
    <s v="CATIVO"/>
    <x v="1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1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n v="31"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91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89.196"/>
    <n v="189.196"/>
    <n v="189.196"/>
    <n v="189.196"/>
    <m/>
    <n v="516.83000000000004"/>
    <n v="173.82"/>
    <m/>
    <n v="130668.21739999999"/>
    <n v="130668.21739999999"/>
    <n v="98656.254199999996"/>
    <n v="0"/>
    <n v="11569.232431595052"/>
    <n v="0"/>
    <n v="0"/>
    <n v="514.31874490925907"/>
    <n v="6513.3771935287987"/>
    <n v="68794.653982358781"/>
    <n v="30445.82435589809"/>
    <n v="1531.7053487174569"/>
    <n v="0"/>
    <n v="0"/>
    <n v="0"/>
    <n v="0"/>
    <n v="1788.1853616349297"/>
    <m/>
    <n v="293.54553547366191"/>
    <n v="1097.0537209973086"/>
    <n v="3592.7026018609977"/>
    <n v="0"/>
    <n v="0"/>
    <n v="0"/>
    <n v="0"/>
    <n v="0"/>
    <n v="0"/>
    <n v="0"/>
    <n v="0"/>
    <n v="0"/>
    <n v="0"/>
    <m/>
    <n v="0"/>
    <n v="0"/>
    <n v="0"/>
    <n v="104.96832789579025"/>
    <n v="909.21701069431481"/>
    <n v="3514.9444373099418"/>
    <n v="0"/>
    <n v="0"/>
    <n v="0"/>
    <n v="49968.61"/>
    <n v="250"/>
    <m/>
    <m/>
    <m/>
    <m/>
    <m/>
    <m/>
    <m/>
    <m/>
    <m/>
    <n v="34974.954131798135"/>
    <m/>
    <m/>
    <m/>
    <m/>
    <m/>
    <m/>
    <m/>
    <m/>
    <m/>
    <m/>
    <m/>
    <m/>
    <n v="98658.34"/>
    <n v="-32009.907399999982"/>
    <m/>
    <m/>
    <m/>
    <m/>
    <n v="-36021.026440000009"/>
    <n v="4009.0632399999995"/>
    <n v="31"/>
    <n v="4409.3790859342771"/>
    <n v="106.51698543290604"/>
    <n v="348.82872495913534"/>
    <n v="0"/>
    <n v="0"/>
    <n v="0"/>
    <n v="0"/>
    <n v="0"/>
    <n v="-124.88884879972284"/>
    <n v="0"/>
    <n v="0"/>
    <n v="3908.0580449233894"/>
    <n v="116.70805203658813"/>
    <n v="13.47384500087648"/>
    <n v="0"/>
    <n v="451.18196587855573"/>
    <n v="0"/>
    <n v="-338.11666630018044"/>
    <m/>
    <n v="0"/>
    <n v="0"/>
    <n v="-17.02434278769374"/>
    <n v="0"/>
    <n v="-46.313383217770252"/>
    <n v="-9.0452911918079053"/>
    <n v="0"/>
    <n v="0"/>
    <m/>
    <m/>
    <m/>
    <n v="68794.653982358781"/>
    <n v="0"/>
    <n v="0"/>
    <n v="-36021.026440000001"/>
    <n v="4009.0632399999959"/>
    <n v="0"/>
    <n v="0"/>
    <n v="-36423.12210247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2"/>
    <s v="Refaturamento - Regular"/>
    <s v="Convencional"/>
    <s v="B3"/>
    <s v="Poder público"/>
    <s v="Não se aplica"/>
    <s v="Não se aplica"/>
    <s v="Não se aplica"/>
    <s v="Não se aplica"/>
    <s v="CATIVO"/>
    <x v="1"/>
    <n v="0"/>
    <n v="0"/>
    <n v="-5.8999999999999997E-2"/>
    <n v="-5.8999999999999997E-2"/>
    <n v="-5.8999999999999997E-2"/>
    <n v="-5.8999999999999997E-2"/>
    <m/>
    <n v="516.83000000000004"/>
    <n v="173.82"/>
    <m/>
    <n v="-40.748350000000002"/>
    <n v="-40.748350000000002"/>
    <n v="-30.765549999999998"/>
    <n v="0"/>
    <n v="-3.6078178897233979"/>
    <n v="0"/>
    <n v="0"/>
    <n v="-0.16038820033006132"/>
    <n v="-2.0311700798018939"/>
    <n v="-21.453331914835239"/>
    <n v="-9.4944059969449004"/>
    <n v="-0.47765605813193701"/>
    <n v="0"/>
    <n v="0"/>
    <n v="0"/>
    <n v="0"/>
    <n v="-0.55763830279953508"/>
    <m/>
    <n v="-9.1540976516131703E-2"/>
    <n v="-0.34211172296899095"/>
    <n v="-1.1203696352449251"/>
    <n v="0"/>
    <n v="0"/>
    <n v="0"/>
    <n v="0"/>
    <n v="0"/>
    <n v="0"/>
    <n v="0"/>
    <n v="0"/>
    <n v="0"/>
    <n v="0"/>
    <m/>
    <n v="0"/>
    <n v="0"/>
    <n v="0"/>
    <n v="-3.2733944406074258E-2"/>
    <n v="-0.28353561191021254"/>
    <n v="-1.0961210691625962"/>
    <n v="0"/>
    <n v="0"/>
    <n v="0"/>
    <n v="-16.61"/>
    <n v="0"/>
    <m/>
    <m/>
    <m/>
    <m/>
    <m/>
    <m/>
    <m/>
    <m/>
    <m/>
    <n v="-10.906796622423782"/>
    <m/>
    <m/>
    <m/>
    <m/>
    <m/>
    <m/>
    <m/>
    <m/>
    <m/>
    <m/>
    <m/>
    <m/>
    <n v="-31.286999999999999"/>
    <n v="9.4313499999999948"/>
    <m/>
    <m/>
    <m/>
    <m/>
    <n v="11.233010000000002"/>
    <n v="-1.2502099999999998"/>
    <n v="31"/>
    <n v="-1.3750468618264833"/>
    <n v="-3.3216886934932299E-2"/>
    <n v="-0.10878081340297374"/>
    <n v="0"/>
    <n v="0"/>
    <n v="0"/>
    <n v="0"/>
    <n v="0"/>
    <n v="3.8946077502609144E-2"/>
    <n v="0"/>
    <n v="0"/>
    <n v="-1.2187119423797537"/>
    <n v="-3.6394929439093338E-2"/>
    <n v="-4.2017635417858287E-3"/>
    <n v="0"/>
    <n v="-0.14069925361442515"/>
    <n v="0"/>
    <n v="0.10544030165389628"/>
    <m/>
    <n v="0"/>
    <n v="0"/>
    <n v="5.3089717778068146E-3"/>
    <n v="0"/>
    <n v="1.444263943132218E-2"/>
    <n v="2.820737120851749E-3"/>
    <n v="0"/>
    <n v="0"/>
    <m/>
    <m/>
    <m/>
    <n v="-21.453331914835239"/>
    <n v="0"/>
    <n v="0"/>
    <n v="11.23301"/>
    <n v="-1.2502099999999992"/>
    <n v="0"/>
    <n v="0"/>
    <n v="11.358401890347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3"/>
    <s v="Regular"/>
    <s v="Azul"/>
    <s v="A4"/>
    <s v="Poder público"/>
    <s v="Não se aplica"/>
    <s v="Não se aplica"/>
    <s v="Não se aplica"/>
    <s v="Ponta"/>
    <s v="CATIVO"/>
    <x v="1"/>
    <n v="512"/>
    <n v="512"/>
    <n v="26.559000000000001"/>
    <n v="26.559000000000001"/>
    <n v="26.559000000000001"/>
    <n v="26.559000000000001"/>
    <n v="67.099999999999994"/>
    <n v="70.33"/>
    <n v="173.82"/>
    <n v="34355.199999999997"/>
    <n v="6484.3798500000003"/>
    <n v="40839.579849999995"/>
    <n v="28544.820469999999"/>
    <n v="0"/>
    <n v="1412.939504065298"/>
    <n v="0"/>
    <n v="0"/>
    <n v="383.19006010063157"/>
    <n v="5845.6233680053247"/>
    <n v="24658.84044925476"/>
    <n v="4273.9309978450783"/>
    <n v="215.01808894790028"/>
    <n v="0"/>
    <n v="0"/>
    <n v="0"/>
    <n v="0"/>
    <n v="251.0222997297094"/>
    <m/>
    <n v="33.005683749762191"/>
    <n v="822.93775570336254"/>
    <n v="2646.1681504144794"/>
    <n v="0"/>
    <n v="0"/>
    <n v="0"/>
    <n v="0"/>
    <n v="0"/>
    <n v="0"/>
    <n v="0"/>
    <n v="0"/>
    <n v="0"/>
    <n v="0"/>
    <m/>
    <n v="0"/>
    <n v="0"/>
    <n v="0"/>
    <n v="4.9557400783102539"/>
    <n v="127.63427655463281"/>
    <n v="165.94673241155007"/>
    <n v="0"/>
    <n v="0"/>
    <n v="0"/>
    <n v="0"/>
    <n v="0"/>
    <m/>
    <m/>
    <m/>
    <m/>
    <m/>
    <m/>
    <m/>
    <m/>
    <m/>
    <n v="4572.4677468895716"/>
    <m/>
    <m/>
    <m/>
    <m/>
    <m/>
    <m/>
    <m/>
    <m/>
    <m/>
    <m/>
    <m/>
    <m/>
    <n v="28545.084800000001"/>
    <n v="-12294.52505"/>
    <m/>
    <m/>
    <m/>
    <m/>
    <n v="-12857.544589999998"/>
    <n v="562.78521000000001"/>
    <n v="31"/>
    <n v="760.46769496835441"/>
    <n v="79.902056990202937"/>
    <n v="256.92620966134791"/>
    <n v="0"/>
    <n v="0"/>
    <n v="0"/>
    <n v="0"/>
    <n v="0"/>
    <n v="-112.08519808619531"/>
    <n v="0"/>
    <n v="0"/>
    <n v="548.60627928243866"/>
    <n v="16.38327001648949"/>
    <n v="0.63612401014975806"/>
    <n v="0"/>
    <n v="21.30109715699146"/>
    <n v="0"/>
    <n v="-41.293871276517621"/>
    <m/>
    <n v="0"/>
    <n v="0"/>
    <n v="-2.3898471431656105"/>
    <n v="0"/>
    <n v="-6.5013908585845286"/>
    <n v="-1.0170347848064871"/>
    <n v="0"/>
    <n v="0"/>
    <m/>
    <m/>
    <n v="24658.84044925476"/>
    <n v="0"/>
    <n v="0"/>
    <n v="0"/>
    <n v="-12857.544589999998"/>
    <n v="562.78521000000001"/>
    <n v="0"/>
    <n v="0"/>
    <n v="-13055.54871776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4"/>
    <s v="Regular"/>
    <s v="Azul"/>
    <s v="A4"/>
    <s v="Poder público"/>
    <s v="Não se aplica"/>
    <s v="Não se aplica"/>
    <s v="Não se aplica"/>
    <s v="Fora ponta"/>
    <s v="CATIVO"/>
    <x v="1"/>
    <n v="508"/>
    <n v="508"/>
    <n v="156.22200000000001"/>
    <n v="156.22200000000001"/>
    <n v="156.22200000000001"/>
    <n v="156.22200000000001"/>
    <n v="59.12"/>
    <n v="70.33"/>
    <n v="173.82"/>
    <n v="30032.959999999999"/>
    <n v="38141.601300000002"/>
    <n v="68174.561300000001"/>
    <n v="58581.401259999999"/>
    <n v="0"/>
    <n v="8311.0145413640948"/>
    <n v="0"/>
    <n v="0"/>
    <n v="290.6066645735105"/>
    <n v="2599.4475065634388"/>
    <n v="24466.193258244955"/>
    <n v="25139.577858554683"/>
    <n v="1264.7522832794486"/>
    <n v="0"/>
    <n v="0"/>
    <n v="0"/>
    <n v="0"/>
    <n v="1476.5317108465929"/>
    <m/>
    <n v="194.14187005366725"/>
    <n v="613.70063477055044"/>
    <n v="2062.9818349221296"/>
    <n v="0"/>
    <n v="0"/>
    <n v="0"/>
    <n v="0"/>
    <n v="0"/>
    <n v="0"/>
    <n v="0"/>
    <n v="0"/>
    <n v="0"/>
    <n v="0"/>
    <m/>
    <n v="0"/>
    <n v="0"/>
    <n v="0"/>
    <n v="29.150029237312566"/>
    <n v="750.75424345486829"/>
    <n v="976.11093907139491"/>
    <n v="0"/>
    <n v="0"/>
    <n v="0"/>
    <n v="0"/>
    <n v="0"/>
    <m/>
    <m/>
    <m/>
    <m/>
    <m/>
    <m/>
    <m/>
    <m/>
    <m/>
    <n v="26895.593070318257"/>
    <m/>
    <m/>
    <m/>
    <m/>
    <m/>
    <m/>
    <m/>
    <m/>
    <m/>
    <m/>
    <m/>
    <m/>
    <n v="58580.872600000002"/>
    <n v="-9593.7186999999831"/>
    <m/>
    <m/>
    <m/>
    <m/>
    <n v="-12903.504219999999"/>
    <n v="3310.3441799999996"/>
    <n v="31"/>
    <n v="3361.2184384515858"/>
    <n v="59.586454448732411"/>
    <n v="200.30250283366468"/>
    <n v="0"/>
    <n v="0"/>
    <n v="0"/>
    <n v="0"/>
    <n v="0"/>
    <n v="-49.842347059613076"/>
    <n v="0"/>
    <n v="0"/>
    <n v="3226.9426620754239"/>
    <n v="96.367604522610804"/>
    <n v="3.741728420257374"/>
    <n v="0"/>
    <n v="125.29462705898266"/>
    <n v="0"/>
    <n v="-242.89360136150208"/>
    <m/>
    <n v="0"/>
    <n v="0"/>
    <n v="-14.057257441907268"/>
    <n v="0"/>
    <n v="-38.24166130915296"/>
    <n v="-5.9822737359101836"/>
    <n v="0"/>
    <n v="0"/>
    <m/>
    <m/>
    <n v="24466.193258244955"/>
    <n v="0"/>
    <n v="0"/>
    <n v="0"/>
    <n v="-12903.504219999999"/>
    <n v="3310.3441800000001"/>
    <n v="0"/>
    <n v="0"/>
    <n v="-12953.552243411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5"/>
    <s v="Regular"/>
    <s v="Azul"/>
    <s v="A4"/>
    <s v="Poder público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96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8.56299999999999"/>
    <n v="298.56299999999999"/>
    <n v="298.56299999999999"/>
    <n v="298.56299999999999"/>
    <m/>
    <n v="284.26"/>
    <n v="95.6"/>
    <m/>
    <n v="113412.14117999999"/>
    <n v="113412.14117999999"/>
    <n v="85624.882769999997"/>
    <n v="0"/>
    <n v="10041.330727715576"/>
    <n v="0"/>
    <n v="0"/>
    <n v="446.39474983608949"/>
    <n v="5653.181828724425"/>
    <n v="59709.222458795201"/>
    <n v="26424.967554512303"/>
    <n v="1329.4192224783901"/>
    <n v="0"/>
    <n v="0"/>
    <n v="0"/>
    <n v="0"/>
    <n v="1552.0269581238247"/>
    <m/>
    <n v="254.77816465037714"/>
    <n v="952.17027609550723"/>
    <n v="3118.2289097321504"/>
    <n v="0"/>
    <n v="0"/>
    <n v="0"/>
    <n v="0"/>
    <n v="0"/>
    <n v="0"/>
    <n v="0"/>
    <n v="0"/>
    <n v="0"/>
    <n v="0"/>
    <m/>
    <n v="0"/>
    <n v="0"/>
    <n v="0"/>
    <n v="91.105585661710265"/>
    <n v="789.14039990359151"/>
    <n v="3050.7399512680527"/>
    <n v="0"/>
    <n v="0"/>
    <n v="0"/>
    <n v="28490.98"/>
    <n v="15"/>
    <m/>
    <m/>
    <m/>
    <m/>
    <m/>
    <m/>
    <m/>
    <m/>
    <m/>
    <n v="30355.953491345655"/>
    <m/>
    <m/>
    <m/>
    <m/>
    <m/>
    <m/>
    <m/>
    <m/>
    <m/>
    <m/>
    <m/>
    <m/>
    <n v="85624.022400000002"/>
    <n v="-27788.148779999974"/>
    <m/>
    <m/>
    <m/>
    <m/>
    <n v="-31265.517359999998"/>
    <n v="3478.2589500000017"/>
    <n v="31"/>
    <n v="3827.0502358324957"/>
    <n v="92.449718265675983"/>
    <n v="302.76032704436057"/>
    <n v="0"/>
    <n v="0"/>
    <n v="0"/>
    <n v="0"/>
    <n v="0"/>
    <n v="-108.39528399280789"/>
    <n v="0"/>
    <n v="0"/>
    <n v="3391.9366357456347"/>
    <n v="101.29489194861378"/>
    <n v="11.694408823379874"/>
    <n v="0"/>
    <n v="391.59618968281484"/>
    <n v="0"/>
    <n v="-293.4629666183373"/>
    <m/>
    <n v="0"/>
    <n v="0"/>
    <n v="-14.776006737178704"/>
    <n v="0"/>
    <n v="-40.196962137179071"/>
    <n v="-7.8507161924932234"/>
    <n v="0"/>
    <n v="0"/>
    <m/>
    <m/>
    <m/>
    <n v="59709.222458795201"/>
    <n v="0"/>
    <n v="0"/>
    <n v="-31265.517359999998"/>
    <n v="3478.2589500000031"/>
    <n v="0"/>
    <n v="0"/>
    <n v="-31612.86777920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8.6240000000000006"/>
    <n v="8.10656"/>
    <n v="8.6240000000000006"/>
    <n v="8.10656"/>
    <m/>
    <n v="516.83000000000004"/>
    <n v="173.82"/>
    <m/>
    <n v="5956.1656000000012"/>
    <n v="5956.1656000000012"/>
    <n v="4496.9848000000002"/>
    <n v="0"/>
    <n v="527.35290645719635"/>
    <n v="0"/>
    <n v="0"/>
    <n v="23.443861688922865"/>
    <n v="296.89509776629717"/>
    <n v="3135.8226175176123"/>
    <n v="1387.7924969093699"/>
    <n v="69.818743141183475"/>
    <n v="0"/>
    <n v="0"/>
    <n v="0"/>
    <n v="0"/>
    <n v="81.509707175308321"/>
    <m/>
    <n v="13.380497991103727"/>
    <n v="50.006296591264039"/>
    <n v="163.76385990427517"/>
    <n v="0"/>
    <n v="0"/>
    <n v="0"/>
    <n v="0"/>
    <n v="0"/>
    <n v="0"/>
    <n v="0"/>
    <n v="0"/>
    <n v="0"/>
    <n v="0"/>
    <m/>
    <n v="0"/>
    <n v="0"/>
    <n v="0"/>
    <n v="4.7847040094573625"/>
    <n v="41.444256222265643"/>
    <n v="160.21945932980054"/>
    <n v="0"/>
    <n v="0"/>
    <n v="0"/>
    <n v="2306.62"/>
    <n v="8"/>
    <m/>
    <m/>
    <m/>
    <m/>
    <n v="269.81908800000031"/>
    <m/>
    <m/>
    <m/>
    <m/>
    <n v="1594.2409164708934"/>
    <m/>
    <m/>
    <m/>
    <m/>
    <m/>
    <m/>
    <m/>
    <m/>
    <m/>
    <m/>
    <m/>
    <m/>
    <n v="4228.9594999999999"/>
    <n v="-1369.8661640000018"/>
    <m/>
    <m/>
    <m/>
    <m/>
    <n v="-1641.9233600000005"/>
    <n v="182.74256"/>
    <n v="31"/>
    <n v="200.98990061680661"/>
    <n v="4.8552954733365468"/>
    <n v="15.900436182834653"/>
    <n v="0"/>
    <n v="0"/>
    <n v="0"/>
    <n v="0"/>
    <n v="0"/>
    <n v="-5.6927283454660937"/>
    <n v="0"/>
    <n v="0"/>
    <n v="178.13850493361019"/>
    <n v="5.3198283302159552"/>
    <n v="0.61416964041289912"/>
    <n v="0"/>
    <n v="20.56593835882714"/>
    <n v="0"/>
    <n v="-15.412155279037279"/>
    <m/>
    <n v="0"/>
    <n v="0"/>
    <n v="-0.77600970528483515"/>
    <n v="0"/>
    <n v="-2.1110732619613941"/>
    <n v="-0.4123057106817889"/>
    <n v="0"/>
    <n v="0"/>
    <m/>
    <m/>
    <m/>
    <n v="3135.8226175176123"/>
    <n v="0"/>
    <n v="0"/>
    <n v="-1641.9233600000007"/>
    <n v="182.74255999999991"/>
    <n v="0"/>
    <n v="0"/>
    <n v="-1660.2518288535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8"/>
    <s v="Regular"/>
    <s v="Azul"/>
    <s v="A4"/>
    <s v="Serviço público"/>
    <s v="Água, esgoto e saneamento"/>
    <s v="Não se aplica"/>
    <s v="Não se aplica"/>
    <s v="Ponta"/>
    <s v="CATIVO"/>
    <x v="1"/>
    <n v="100"/>
    <n v="94"/>
    <n v="3.46"/>
    <n v="3.2524000000000002"/>
    <n v="3.46"/>
    <n v="3.2524000000000002"/>
    <n v="67.099999999999994"/>
    <n v="70.33"/>
    <n v="173.82"/>
    <n v="6709.9999999999991"/>
    <n v="844.75900000000001"/>
    <n v="7554.7589999999991"/>
    <n v="5118.5817999999999"/>
    <n v="0"/>
    <n v="184.07209172280321"/>
    <n v="0"/>
    <n v="0"/>
    <n v="74.841808613404609"/>
    <n v="1141.7233140635399"/>
    <n v="4816.1797752450702"/>
    <n v="556.79058897337893"/>
    <n v="28.011694256550882"/>
    <n v="0"/>
    <n v="0"/>
    <n v="0"/>
    <n v="0"/>
    <n v="32.702178435362569"/>
    <m/>
    <n v="4.2998481032485092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64561394144935713"/>
    <n v="16.627681647615855"/>
    <n v="21.618874737149863"/>
    <n v="0"/>
    <n v="0"/>
    <n v="0"/>
    <n v="0"/>
    <n v="0"/>
    <m/>
    <m/>
    <m/>
    <m/>
    <n v="307.11490799999996"/>
    <m/>
    <m/>
    <m/>
    <m/>
    <n v="595.68275929959407"/>
    <m/>
    <m/>
    <m/>
    <m/>
    <m/>
    <m/>
    <m/>
    <m/>
    <m/>
    <m/>
    <m/>
    <m/>
    <n v="4810.8324999999995"/>
    <n v="-2290.6709600000004"/>
    <m/>
    <m/>
    <m/>
    <m/>
    <n v="-2509.4945999999995"/>
    <n v="73.317399999999992"/>
    <n v="31"/>
    <n v="113.68718627985072"/>
    <n v="15.60587050589902"/>
    <n v="50.180900324482081"/>
    <n v="0"/>
    <n v="0"/>
    <n v="0"/>
    <n v="0"/>
    <n v="0"/>
    <n v="-21.891640251209992"/>
    <n v="0"/>
    <n v="0"/>
    <n v="71.470225773456718"/>
    <n v="2.1343467094790327"/>
    <n v="8.287168474408535E-2"/>
    <n v="0"/>
    <n v="2.7750215054478886"/>
    <n v="0"/>
    <n v="-5.3795999328570474"/>
    <m/>
    <n v="0"/>
    <n v="0"/>
    <n v="-0.31133970086798968"/>
    <n v="0"/>
    <n v="-0.84697512597245606"/>
    <n v="-0.13249521275011933"/>
    <n v="0"/>
    <n v="0"/>
    <m/>
    <m/>
    <n v="4816.1797752450702"/>
    <n v="0"/>
    <n v="0"/>
    <n v="0"/>
    <n v="-2509.4945999999991"/>
    <n v="73.317400000000021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99"/>
    <s v="Regular"/>
    <s v="Azul"/>
    <s v="A4"/>
    <s v="Serviço público"/>
    <s v="Água, esgoto e saneamento"/>
    <s v="Não se aplica"/>
    <s v="Não se aplica"/>
    <s v="Fora ponta"/>
    <s v="CATIVO"/>
    <x v="1"/>
    <n v="100"/>
    <n v="94"/>
    <n v="32.008000000000003"/>
    <n v="30.087520000000001"/>
    <n v="32.008000000000003"/>
    <n v="30.087520000000001"/>
    <n v="59.12"/>
    <n v="70.33"/>
    <n v="173.82"/>
    <n v="5912"/>
    <n v="7814.753200000001"/>
    <n v="13726.753199999999"/>
    <n v="11863.674640000001"/>
    <n v="0"/>
    <n v="1702.8264485154584"/>
    <n v="0"/>
    <n v="0"/>
    <n v="57.206036333368203"/>
    <n v="511.70226507154302"/>
    <n v="4816.1797752450702"/>
    <n v="5150.7957144103793"/>
    <n v="259.13245946927191"/>
    <n v="0"/>
    <n v="0"/>
    <n v="0"/>
    <n v="0"/>
    <n v="302.52350501707667"/>
    <m/>
    <n v="39.777323147045756"/>
    <n v="120.807211569006"/>
    <n v="406.098786401994"/>
    <n v="0"/>
    <n v="0"/>
    <n v="0"/>
    <n v="0"/>
    <n v="0"/>
    <n v="0"/>
    <n v="0"/>
    <n v="0"/>
    <n v="0"/>
    <n v="0"/>
    <m/>
    <n v="0"/>
    <n v="0"/>
    <n v="0"/>
    <n v="5.9724887392806432"/>
    <n v="153.82047230545905"/>
    <n v="199.9933360077147"/>
    <n v="0"/>
    <n v="0"/>
    <n v="0"/>
    <n v="0"/>
    <n v="0"/>
    <m/>
    <m/>
    <m/>
    <m/>
    <n v="711.8204784000003"/>
    <m/>
    <m/>
    <m/>
    <m/>
    <n v="5510.5820114628332"/>
    <m/>
    <m/>
    <m/>
    <m/>
    <m/>
    <m/>
    <m/>
    <m/>
    <m/>
    <m/>
    <m/>
    <m/>
    <n v="11152.509699999999"/>
    <n v="-1750.6683080000021"/>
    <m/>
    <m/>
    <m/>
    <m/>
    <n v="-2541.3280799999998"/>
    <n v="678.24951999999996"/>
    <n v="31"/>
    <n v="686.98478649225581"/>
    <n v="11.729617017467007"/>
    <n v="39.429626542059964"/>
    <n v="0"/>
    <n v="0"/>
    <n v="0"/>
    <n v="0"/>
    <n v="0"/>
    <n v="-9.8114856416560201"/>
    <n v="0"/>
    <n v="0"/>
    <n v="661.16155680832526"/>
    <n v="19.744557652313574"/>
    <n v="0.76663493794470661"/>
    <n v="0"/>
    <n v="25.671355013403485"/>
    <n v="0"/>
    <n v="-49.76596377193323"/>
    <m/>
    <n v="0"/>
    <n v="0"/>
    <n v="-2.8801621807464244"/>
    <n v="0"/>
    <n v="-7.8352542867417583"/>
    <n v="-1.2256955981808844"/>
    <n v="0"/>
    <n v="0"/>
    <m/>
    <m/>
    <n v="4816.1797752450702"/>
    <n v="0"/>
    <n v="0"/>
    <n v="0"/>
    <n v="-2541.3280799999993"/>
    <n v="678.24951999999939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0"/>
    <s v="Regular"/>
    <s v="Azul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42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01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83599999999999997"/>
    <n v="0.83599999999999997"/>
    <n v="0.83599999999999997"/>
    <n v="0.83599999999999997"/>
    <m/>
    <n v="516.83000000000004"/>
    <n v="173.82"/>
    <m/>
    <n v="577.38339999999994"/>
    <n v="577.38339999999994"/>
    <n v="435.93219999999997"/>
    <n v="0"/>
    <n v="51.120945013707811"/>
    <n v="0"/>
    <n v="0"/>
    <n v="2.2726192453547673"/>
    <n v="28.780647232447173"/>
    <n v="303.98280475936036"/>
    <n v="134.530905312643"/>
    <n v="6.7681434677677856"/>
    <n v="0"/>
    <n v="0"/>
    <n v="0"/>
    <n v="0"/>
    <n v="7.9014512057696837"/>
    <m/>
    <n v="1.2970890909743407"/>
    <n v="4.8475491593572277"/>
    <n v="15.875068051945039"/>
    <n v="0"/>
    <n v="0"/>
    <n v="0"/>
    <n v="0"/>
    <n v="0"/>
    <n v="0"/>
    <n v="0"/>
    <n v="0"/>
    <n v="0"/>
    <n v="0"/>
    <m/>
    <n v="0"/>
    <n v="0"/>
    <n v="0"/>
    <n v="0.46382334785556062"/>
    <n v="4.0175554501175874"/>
    <n v="15.531478200337805"/>
    <n v="0"/>
    <n v="0"/>
    <n v="0"/>
    <n v="231.64"/>
    <n v="6"/>
    <m/>
    <m/>
    <m/>
    <m/>
    <m/>
    <m/>
    <m/>
    <m/>
    <m/>
    <n v="154.54376231095395"/>
    <m/>
    <m/>
    <m/>
    <m/>
    <m/>
    <m/>
    <m/>
    <m/>
    <m/>
    <m/>
    <m/>
    <m/>
    <n v="438.01799999999992"/>
    <n v="-139.3954"/>
    <m/>
    <m/>
    <m/>
    <m/>
    <n v="-159.16604000000004"/>
    <n v="17.714839999999999"/>
    <n v="31"/>
    <n v="19.483714855710787"/>
    <n v="0.47066639792548148"/>
    <n v="1.5413688136421371"/>
    <n v="0"/>
    <n v="0"/>
    <n v="0"/>
    <n v="0"/>
    <n v="0"/>
    <n v="-0.55184611512171244"/>
    <n v="0"/>
    <n v="0"/>
    <n v="17.268528539482617"/>
    <n v="0.5156976442556287"/>
    <n v="5.9536852897168757E-2"/>
    <n v="0"/>
    <n v="1.9936368817230417"/>
    <n v="0"/>
    <n v="-1.4940354607230049"/>
    <m/>
    <n v="0"/>
    <n v="0"/>
    <n v="-7.5225430614347388E-2"/>
    <n v="0"/>
    <n v="-0.20464485702687085"/>
    <n v="-3.9968410729356973E-2"/>
    <n v="0"/>
    <n v="0"/>
    <m/>
    <m/>
    <m/>
    <n v="303.98280475936036"/>
    <n v="0"/>
    <n v="0"/>
    <n v="-159.16604000000001"/>
    <n v="17.714840000000009"/>
    <n v="0"/>
    <n v="0"/>
    <n v="-160.94277932763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2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76.21"/>
    <n v="6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03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.4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04"/>
    <s v="Regular"/>
    <s v="Convencional"/>
    <s v="B2"/>
    <s v="Rural"/>
    <s v="Agropecuária rural"/>
    <s v="IRRIG./AQUIC."/>
    <s v="Não se aplica"/>
    <s v="Não se aplica"/>
    <s v="CATIVO"/>
    <x v="1"/>
    <n v="0"/>
    <n v="0"/>
    <n v="21.585000000000001"/>
    <n v="21.585000000000001"/>
    <n v="21.585000000000001"/>
    <n v="21.585000000000001"/>
    <m/>
    <n v="516.83000000000004"/>
    <n v="173.82"/>
    <m/>
    <n v="14907.680250000001"/>
    <n v="14907.680250000001"/>
    <n v="11255.498250000001"/>
    <n v="0"/>
    <n v="1319.9110025369416"/>
    <n v="0"/>
    <n v="0"/>
    <n v="58.677615324141932"/>
    <n v="743.09840970379457"/>
    <n v="7848.6469386731978"/>
    <n v="3473.5042956619609"/>
    <n v="174.74925448776037"/>
    <n v="0"/>
    <n v="0"/>
    <n v="0"/>
    <n v="0"/>
    <n v="204.0105553547113"/>
    <m/>
    <n v="33.490033527130556"/>
    <n v="125.16070407263848"/>
    <n v="409.88438265697812"/>
    <n v="0"/>
    <n v="0"/>
    <n v="0"/>
    <n v="0"/>
    <n v="0"/>
    <n v="0"/>
    <n v="0"/>
    <n v="0"/>
    <n v="0"/>
    <n v="0"/>
    <m/>
    <n v="0"/>
    <n v="0"/>
    <n v="0"/>
    <n v="11.97563033906971"/>
    <n v="103.73078276410064"/>
    <n v="401.01310640465499"/>
    <n v="0"/>
    <n v="0"/>
    <n v="0"/>
    <n v="0"/>
    <n v="0"/>
    <m/>
    <m/>
    <m/>
    <m/>
    <m/>
    <n v="1350.5734499999999"/>
    <m/>
    <m/>
    <m/>
    <n v="3990.2238151697861"/>
    <m/>
    <m/>
    <m/>
    <m/>
    <m/>
    <m/>
    <m/>
    <m/>
    <m/>
    <m/>
    <m/>
    <m/>
    <n v="9907.2191999999995"/>
    <n v="-3211.5262500000026"/>
    <m/>
    <m/>
    <m/>
    <m/>
    <n v="-4109.568150000001"/>
    <n v="457.38614999999999"/>
    <n v="31"/>
    <n v="503.05739851736325"/>
    <n v="12.152313635432421"/>
    <n v="39.797184022087947"/>
    <n v="0"/>
    <n v="0"/>
    <n v="0"/>
    <n v="0"/>
    <n v="0"/>
    <n v="-14.248323438878174"/>
    <n v="0"/>
    <n v="0"/>
    <n v="445.86266569944064"/>
    <n v="13.314992405810685"/>
    <n v="1.5372045093126641"/>
    <n v="0"/>
    <n v="51.474464224870587"/>
    <n v="0"/>
    <n v="-38.575066291514531"/>
    <m/>
    <n v="0"/>
    <n v="0"/>
    <n v="-1.9422738275247582"/>
    <n v="0"/>
    <n v="-5.2838029173744303"/>
    <n v="-1.0319595042980509"/>
    <n v="0"/>
    <n v="0"/>
    <m/>
    <m/>
    <m/>
    <n v="7848.6469386731978"/>
    <n v="0"/>
    <n v="0"/>
    <n v="-4109.5681500000019"/>
    <n v="457.38615000000027"/>
    <n v="0"/>
    <n v="0"/>
    <n v="-4155.4424542906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5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3"/>
    <n v="0.3"/>
    <n v="0.3"/>
    <n v="0.3"/>
    <m/>
    <n v="516.83000000000004"/>
    <n v="173.82"/>
    <m/>
    <n v="207.19499999999999"/>
    <n v="207.19499999999999"/>
    <n v="156.435"/>
    <n v="0"/>
    <n v="18.34483672740711"/>
    <n v="0"/>
    <n v="0"/>
    <n v="0.81553322201726097"/>
    <n v="10.327983456619799"/>
    <n v="109.0847385500097"/>
    <n v="48.276640662431696"/>
    <n v="2.4287596176200186"/>
    <n v="0"/>
    <n v="0"/>
    <n v="0"/>
    <n v="0"/>
    <n v="2.8354489972857717"/>
    <m/>
    <n v="0.46546259245490695"/>
    <n v="1.739551133740632"/>
    <n v="5.6967947554826699"/>
    <n v="0"/>
    <n v="0"/>
    <n v="0"/>
    <n v="0"/>
    <n v="0"/>
    <n v="0"/>
    <n v="0"/>
    <n v="0"/>
    <n v="0"/>
    <n v="0"/>
    <m/>
    <n v="0"/>
    <n v="0"/>
    <n v="0"/>
    <n v="0.16644378511563182"/>
    <n v="1.4417065012383687"/>
    <n v="5.57349696184371"/>
    <n v="0"/>
    <n v="0"/>
    <n v="0"/>
    <n v="0"/>
    <n v="0"/>
    <m/>
    <m/>
    <m/>
    <m/>
    <m/>
    <n v="18.770999999999997"/>
    <m/>
    <m/>
    <m/>
    <n v="55.458287910629409"/>
    <m/>
    <m/>
    <m/>
    <m/>
    <m/>
    <m/>
    <m/>
    <m/>
    <m/>
    <m/>
    <m/>
    <m/>
    <n v="137.66399999999999"/>
    <n v="-44.696999999999974"/>
    <m/>
    <m/>
    <m/>
    <m/>
    <n v="-57.117000000000012"/>
    <n v="6.3569999999999993"/>
    <n v="31"/>
    <n v="6.9917637042024126"/>
    <n v="0.16889942509287614"/>
    <n v="0.55312278001512016"/>
    <n v="0"/>
    <n v="0"/>
    <n v="0"/>
    <n v="0"/>
    <n v="0"/>
    <n v="-0.19803090255564015"/>
    <n v="0"/>
    <n v="0"/>
    <n v="6.1968403849818046"/>
    <n v="0.18505896324962734"/>
    <n v="2.1364899365012679E-2"/>
    <n v="0"/>
    <n v="0.71541993363267053"/>
    <n v="0"/>
    <n v="-0.53613712705370986"/>
    <m/>
    <n v="0"/>
    <n v="0"/>
    <n v="-2.6994771751559732E-2"/>
    <n v="0"/>
    <n v="-7.3437149650791067E-2"/>
    <n v="-1.4342731122975017E-2"/>
    <n v="0"/>
    <n v="0"/>
    <m/>
    <m/>
    <m/>
    <n v="109.0847385500097"/>
    <n v="0"/>
    <n v="0"/>
    <n v="-57.117000000000004"/>
    <n v="6.3569999999999993"/>
    <n v="0"/>
    <n v="0"/>
    <n v="-57.754585883122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6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7.7670000000000003"/>
    <n v="3.1067999999999998"/>
    <n v="7.7670000000000003"/>
    <n v="3.1067999999999998"/>
    <m/>
    <n v="516.83000000000004"/>
    <n v="173.82"/>
    <m/>
    <n v="5364.2785500000009"/>
    <n v="5364.2785500000009"/>
    <n v="4050.1021499999997"/>
    <n v="0"/>
    <n v="474.9478228725701"/>
    <n v="0"/>
    <n v="0"/>
    <n v="21.11415511802689"/>
    <n v="267.39149169188659"/>
    <n v="2824.2038810597514"/>
    <n v="1249.8822267503567"/>
    <n v="62.880586500182289"/>
    <n v="0"/>
    <n v="0"/>
    <n v="0"/>
    <n v="0"/>
    <n v="73.409774539728645"/>
    <m/>
    <n v="12.050826518657543"/>
    <n v="45.036978852544962"/>
    <n v="147.49001621944635"/>
    <n v="0"/>
    <n v="0"/>
    <n v="0"/>
    <n v="0"/>
    <n v="0"/>
    <n v="0"/>
    <n v="0"/>
    <n v="0"/>
    <n v="0"/>
    <n v="0"/>
    <m/>
    <n v="0"/>
    <n v="0"/>
    <n v="0"/>
    <n v="4.309229596643708"/>
    <n v="37.32578131706137"/>
    <n v="144.29783634213365"/>
    <n v="0"/>
    <n v="0"/>
    <n v="0"/>
    <n v="0"/>
    <n v="0"/>
    <m/>
    <m/>
    <m/>
    <m/>
    <m/>
    <m/>
    <n v="2624.4537660000001"/>
    <m/>
    <m/>
    <n v="1435.8150740061956"/>
    <m/>
    <m/>
    <m/>
    <m/>
    <m/>
    <m/>
    <m/>
    <m/>
    <m/>
    <m/>
    <m/>
    <m/>
    <n v="1427.1167999999998"/>
    <n v="-461.13303600000017"/>
    <m/>
    <m/>
    <m/>
    <m/>
    <n v="-1478.7591300000004"/>
    <n v="164.58273"/>
    <n v="31"/>
    <n v="181.01676230180055"/>
    <n v="4.3728061156545621"/>
    <n v="14.320348774591452"/>
    <n v="0"/>
    <n v="0"/>
    <n v="0"/>
    <n v="0"/>
    <n v="0"/>
    <n v="-5.1270200671654607"/>
    <n v="0"/>
    <n v="0"/>
    <n v="160.43619756717885"/>
    <n v="4.7911765585328538"/>
    <n v="0.55313724456017876"/>
    <n v="0"/>
    <n v="18.522222081749845"/>
    <n v="0"/>
    <n v="-13.880590219420583"/>
    <m/>
    <n v="0"/>
    <n v="0"/>
    <n v="-0.69889464064788598"/>
    <n v="0"/>
    <n v="-1.9012878044589883"/>
    <n v="-0.37133330877382242"/>
    <n v="0"/>
    <n v="0"/>
    <m/>
    <m/>
    <m/>
    <n v="2824.2038810597514"/>
    <n v="0"/>
    <n v="0"/>
    <n v="-1478.7591300000004"/>
    <n v="164.58272999999986"/>
    <n v="0"/>
    <n v="0"/>
    <n v="-1495.2662285140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7"/>
    <s v="Regular"/>
    <s v="Verde"/>
    <s v="A4"/>
    <s v="Rural"/>
    <s v="Agropecuária rural"/>
    <s v="Não se aplica"/>
    <s v="Não se aplica"/>
    <s v="Ponta"/>
    <s v="CATIVO"/>
    <x v="1"/>
    <n v="0"/>
    <n v="0"/>
    <n v="0.98299999999999998"/>
    <n v="0.94367999999999996"/>
    <n v="0.98299999999999998"/>
    <n v="0.94367999999999996"/>
    <m/>
    <n v="1684.16"/>
    <n v="173.82"/>
    <m/>
    <n v="1826.3943400000001"/>
    <n v="1826.3943400000001"/>
    <n v="1253.77718"/>
    <n v="0"/>
    <n v="52.295626058819529"/>
    <n v="0"/>
    <n v="0"/>
    <n v="17.693410062119899"/>
    <n v="269.91796838397045"/>
    <n v="1138.6014837522241"/>
    <n v="158.18645923723452"/>
    <n v="7.9582356804015948"/>
    <n v="0"/>
    <n v="0"/>
    <n v="0"/>
    <n v="0"/>
    <n v="9.2908212144397115"/>
    <m/>
    <n v="1.221604244362221"/>
    <n v="37.998989187380133"/>
    <n v="122.18559360162288"/>
    <n v="0"/>
    <n v="0"/>
    <n v="0"/>
    <n v="0"/>
    <n v="0"/>
    <n v="0"/>
    <n v="0"/>
    <n v="0"/>
    <n v="0"/>
    <n v="0"/>
    <m/>
    <n v="0"/>
    <n v="0"/>
    <n v="0"/>
    <n v="0.1834215330765081"/>
    <n v="4.7239916357243885"/>
    <n v="6.1420097880399753"/>
    <n v="0"/>
    <n v="0"/>
    <n v="0"/>
    <n v="0"/>
    <n v="0"/>
    <m/>
    <m/>
    <m/>
    <m/>
    <m/>
    <n v="50.151087200000028"/>
    <m/>
    <m/>
    <m/>
    <n v="169.2358821940754"/>
    <m/>
    <m/>
    <m/>
    <m/>
    <m/>
    <m/>
    <m/>
    <m/>
    <m/>
    <m/>
    <m/>
    <m/>
    <n v="1198.9323999999999"/>
    <n v="-554.43616640000027"/>
    <m/>
    <m/>
    <m/>
    <m/>
    <n v="-593.44693000000007"/>
    <n v="20.829769999999996"/>
    <n v="31"/>
    <n v="30.205653151315119"/>
    <n v="3.6894617832002723"/>
    <n v="11.863449204604791"/>
    <n v="0"/>
    <n v="0"/>
    <n v="0"/>
    <n v="0"/>
    <n v="0"/>
    <n v="-5.1754632566543251"/>
    <n v="0"/>
    <n v="0"/>
    <n v="20.304980328123719"/>
    <n v="0.60637653624794563"/>
    <n v="2.3544180954750277E-2"/>
    <n v="0"/>
    <n v="0.78839483810846112"/>
    <n v="0"/>
    <n v="-1.528366108092051"/>
    <m/>
    <n v="0"/>
    <n v="0"/>
    <n v="-8.8452868772611382E-2"/>
    <n v="0"/>
    <n v="-0.24062906035575793"/>
    <n v="-3.7642426050106259E-2"/>
    <n v="0"/>
    <n v="0"/>
    <m/>
    <m/>
    <m/>
    <n v="1138.6014837522241"/>
    <n v="0"/>
    <n v="0"/>
    <n v="-593.44692999999984"/>
    <n v="20.829769999999996"/>
    <n v="0"/>
    <n v="0"/>
    <n v="-602.82912214958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8"/>
    <s v="Regular"/>
    <s v="Verde"/>
    <s v="A4"/>
    <s v="Rural"/>
    <s v="Agropecuária rural"/>
    <s v="Não se aplica"/>
    <s v="Não se aplica"/>
    <s v="Fora ponta"/>
    <s v="CATIVO"/>
    <x v="1"/>
    <n v="0"/>
    <n v="0"/>
    <n v="51.247"/>
    <n v="49.197119999999998"/>
    <n v="51.247"/>
    <n v="49.197119999999998"/>
    <m/>
    <n v="70.33"/>
    <n v="173.82"/>
    <m/>
    <n v="12511.95505"/>
    <n v="12511.95505"/>
    <n v="13546.119509999999"/>
    <n v="0"/>
    <n v="2726.3417585313573"/>
    <n v="0"/>
    <n v="0"/>
    <n v="0"/>
    <n v="0"/>
    <n v="0"/>
    <n v="8246.7766800921236"/>
    <n v="414.88881374724366"/>
    <n v="0"/>
    <n v="0"/>
    <n v="0"/>
    <n v="0"/>
    <n v="484.36084921301318"/>
    <m/>
    <n v="63.686218424039417"/>
    <n v="0"/>
    <n v="0"/>
    <n v="0"/>
    <n v="0"/>
    <n v="0"/>
    <n v="0"/>
    <n v="0"/>
    <n v="0"/>
    <n v="0"/>
    <n v="0"/>
    <n v="0"/>
    <n v="0"/>
    <m/>
    <n v="0"/>
    <n v="0"/>
    <n v="0"/>
    <n v="9.562363484813643"/>
    <n v="246.27711022987563"/>
    <n v="320.20302706783787"/>
    <n v="0"/>
    <n v="0"/>
    <n v="0"/>
    <n v="0"/>
    <n v="0"/>
    <m/>
    <m/>
    <m/>
    <m/>
    <m/>
    <n v="541.84478040000045"/>
    <m/>
    <m/>
    <m/>
    <n v="8822.8191808746524"/>
    <m/>
    <m/>
    <m/>
    <m/>
    <m/>
    <m/>
    <m/>
    <m/>
    <m/>
    <m/>
    <m/>
    <m/>
    <n v="13005.036"/>
    <n v="993.52915200000098"/>
    <m/>
    <m/>
    <m/>
    <m/>
    <n v="-51.759470000000263"/>
    <n v="1085.9239299999999"/>
    <n v="31"/>
    <n v="1033.7090978302713"/>
    <n v="0"/>
    <n v="0"/>
    <n v="0"/>
    <n v="0"/>
    <n v="0"/>
    <n v="0"/>
    <n v="0"/>
    <n v="0"/>
    <n v="0"/>
    <n v="0"/>
    <n v="1058.5649306972082"/>
    <n v="31.612388965512139"/>
    <n v="1.2274350370173828"/>
    <n v="0"/>
    <n v="41.101597424765316"/>
    <n v="0"/>
    <n v="-79.678716115354291"/>
    <m/>
    <n v="0"/>
    <n v="0"/>
    <n v="-4.6113368931739842"/>
    <n v="0"/>
    <n v="-12.544778693846979"/>
    <n v="-1.9624225918512721"/>
    <n v="0"/>
    <n v="0"/>
    <m/>
    <m/>
    <m/>
    <n v="0"/>
    <n v="0"/>
    <n v="0"/>
    <n v="-51.75947000000042"/>
    <n v="1085.923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09"/>
    <s v="Regular"/>
    <s v="Verde"/>
    <s v="A4"/>
    <s v="Rural"/>
    <s v="Agropecuária rural"/>
    <s v="Não se aplica"/>
    <s v="Não se aplica"/>
    <s v="Não se aplica"/>
    <s v="CATIVO"/>
    <x v="1"/>
    <n v="1162"/>
    <n v="1115.52"/>
    <n v="0"/>
    <n v="0"/>
    <n v="0"/>
    <n v="0"/>
    <n v="59.12"/>
    <m/>
    <m/>
    <n v="68697.440000000002"/>
    <m/>
    <n v="68697.440000000002"/>
    <n v="39542.86"/>
    <n v="0"/>
    <n v="0"/>
    <n v="0"/>
    <n v="0"/>
    <n v="664.73414219373853"/>
    <n v="5945.9803201313298"/>
    <n v="55964.008988347719"/>
    <m/>
    <m/>
    <m/>
    <n v="0"/>
    <n v="0"/>
    <n v="0"/>
    <n v="0"/>
    <m/>
    <n v="0"/>
    <n v="1403.7797984318497"/>
    <n v="4718.8678979911701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.1"/>
    <n v="9"/>
    <m/>
    <m/>
    <m/>
    <m/>
    <m/>
    <n v="1581.7144000000008"/>
    <m/>
    <m/>
    <m/>
    <n v="0"/>
    <m/>
    <m/>
    <m/>
    <m/>
    <m/>
    <m/>
    <m/>
    <m/>
    <m/>
    <m/>
    <m/>
    <m/>
    <n v="37961.145600000003"/>
    <n v="-27988.426799999972"/>
    <m/>
    <m/>
    <m/>
    <m/>
    <n v="-29154.579999999994"/>
    <n v="0"/>
    <n v="31"/>
    <n v="480.46094700566027"/>
    <n v="136.29814974296664"/>
    <n v="458.1722604187371"/>
    <n v="0"/>
    <n v="0"/>
    <m/>
    <m/>
    <m/>
    <n v="-114.009463156043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964.008988347719"/>
    <m/>
    <n v="0"/>
    <n v="0"/>
    <n v="-29154.58"/>
    <m/>
    <n v="0"/>
    <m/>
    <n v="-29629.97580087339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10"/>
    <s v="Regular"/>
    <s v="Verde"/>
    <s v="A4"/>
    <s v="Rural"/>
    <s v="Agropecuária rural"/>
    <s v="IRRIG./AQUIC. PR"/>
    <s v="Não se aplica"/>
    <s v="Fora ponta"/>
    <s v="CATIVO"/>
    <x v="1"/>
    <n v="0"/>
    <n v="0"/>
    <n v="31.599"/>
    <n v="9.4796999999999993"/>
    <n v="31.599"/>
    <n v="9.4796999999999993"/>
    <m/>
    <n v="70.33"/>
    <n v="173.82"/>
    <m/>
    <n v="7714.895849999999"/>
    <n v="7714.895849999999"/>
    <n v="8352.5636699999995"/>
    <n v="0"/>
    <n v="1681.0676376730808"/>
    <n v="0"/>
    <n v="0"/>
    <n v="0"/>
    <n v="0"/>
    <n v="0"/>
    <n v="5084.9785609739311"/>
    <n v="255.82125052391658"/>
    <n v="0"/>
    <n v="0"/>
    <n v="0"/>
    <n v="0"/>
    <n v="298.65784288411038"/>
    <m/>
    <n v="39.269046304783139"/>
    <n v="0"/>
    <n v="0"/>
    <n v="0"/>
    <n v="0"/>
    <n v="0"/>
    <n v="0"/>
    <n v="0"/>
    <n v="0"/>
    <n v="0"/>
    <n v="0"/>
    <n v="0"/>
    <n v="0"/>
    <m/>
    <n v="0"/>
    <n v="0"/>
    <n v="0"/>
    <n v="5.8961719467798375"/>
    <n v="151.85494577543739"/>
    <n v="197.43781006335217"/>
    <n v="0"/>
    <n v="0"/>
    <n v="0"/>
    <n v="0"/>
    <n v="0"/>
    <m/>
    <m/>
    <m/>
    <m/>
    <m/>
    <m/>
    <n v="5846.7945690000006"/>
    <m/>
    <m/>
    <n v="5440.1674887595"/>
    <m/>
    <m/>
    <m/>
    <m/>
    <m/>
    <m/>
    <m/>
    <m/>
    <m/>
    <m/>
    <m/>
    <m/>
    <n v="2505.8483999999999"/>
    <n v="191.34964500000024"/>
    <m/>
    <m/>
    <m/>
    <m/>
    <n v="-31.914990000000163"/>
    <n v="669.58280999999988"/>
    <n v="31"/>
    <n v="637.38704279936155"/>
    <n v="0"/>
    <n v="0"/>
    <n v="0"/>
    <n v="0"/>
    <n v="0"/>
    <n v="0"/>
    <n v="0"/>
    <n v="0"/>
    <n v="0"/>
    <n v="0"/>
    <n v="652.71319775013308"/>
    <n v="19.492260599083238"/>
    <n v="0.75683883417004427"/>
    <n v="0"/>
    <n v="25.343325014638111"/>
    <n v="0"/>
    <n v="-49.130051525534782"/>
    <m/>
    <n v="0"/>
    <n v="0"/>
    <n v="-2.8433593085918005"/>
    <n v="0"/>
    <n v="-7.7351349727178444"/>
    <n v="-1.2100335918182239"/>
    <n v="0"/>
    <n v="0"/>
    <m/>
    <m/>
    <m/>
    <n v="0"/>
    <n v="0"/>
    <n v="0"/>
    <n v="-31.914990000000216"/>
    <n v="669.58280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1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4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12"/>
    <s v="Regular"/>
    <s v="Convencional"/>
    <s v="B2"/>
    <s v="Rural"/>
    <s v="Aquicultura"/>
    <s v="IRRIG./AQUIC."/>
    <s v="Não se aplica"/>
    <s v="Não se aplica"/>
    <s v="CATIVO"/>
    <x v="1"/>
    <n v="0"/>
    <n v="0"/>
    <n v="4.7E-2"/>
    <n v="4.7E-2"/>
    <n v="4.7E-2"/>
    <n v="4.7E-2"/>
    <m/>
    <n v="516.83000000000004"/>
    <n v="173.82"/>
    <m/>
    <n v="32.460550000000005"/>
    <n v="32.460550000000005"/>
    <n v="24.508150000000001"/>
    <n v="0"/>
    <n v="2.8740244206271139"/>
    <n v="0"/>
    <n v="0"/>
    <n v="0.12776687144937091"/>
    <n v="1.6180507415371019"/>
    <n v="17.089942372834852"/>
    <n v="7.5633403704476327"/>
    <n v="0.38050567342713626"/>
    <n v="0"/>
    <n v="0"/>
    <n v="0"/>
    <n v="0"/>
    <n v="0.44422034290810425"/>
    <m/>
    <n v="7.292247281793543E-2"/>
    <n v="0.2725296776193657"/>
    <n v="0.89249784502561835"/>
    <n v="0"/>
    <n v="0"/>
    <n v="0"/>
    <n v="0"/>
    <n v="0"/>
    <n v="0"/>
    <n v="0"/>
    <n v="0"/>
    <n v="0"/>
    <n v="0"/>
    <m/>
    <n v="0"/>
    <n v="0"/>
    <n v="0"/>
    <n v="2.6076193001448984E-2"/>
    <n v="0.2258673518606778"/>
    <n v="0.87318119068884792"/>
    <n v="0"/>
    <n v="0"/>
    <n v="0"/>
    <n v="0"/>
    <n v="0"/>
    <m/>
    <m/>
    <m/>
    <m/>
    <m/>
    <n v="2.9407899999999998"/>
    <m/>
    <m/>
    <m/>
    <n v="8.688465105998608"/>
    <m/>
    <m/>
    <m/>
    <m/>
    <m/>
    <m/>
    <m/>
    <m/>
    <m/>
    <m/>
    <m/>
    <m/>
    <n v="22.944000000000003"/>
    <n v="-5.6511899999999997"/>
    <m/>
    <m/>
    <m/>
    <m/>
    <n v="-8.9483300000000021"/>
    <n v="0.99592999999999987"/>
    <n v="31"/>
    <n v="1.0953763136583756"/>
    <n v="2.6460909931217247E-2"/>
    <n v="8.6655902202368851E-2"/>
    <n v="0"/>
    <n v="0"/>
    <n v="0"/>
    <n v="0"/>
    <n v="0"/>
    <n v="-3.1024841400383529E-2"/>
    <n v="0"/>
    <n v="0"/>
    <n v="0.97083832698048145"/>
    <n v="2.8992570909108284E-2"/>
    <n v="3.3471675671853246E-3"/>
    <n v="0"/>
    <n v="0.11208245626911839"/>
    <n v="0"/>
    <n v="-8.3994816571748121E-2"/>
    <m/>
    <n v="0"/>
    <n v="0"/>
    <n v="-4.2291809077443787E-3"/>
    <n v="0"/>
    <n v="-1.1505153445290572E-2"/>
    <n v="-2.2470278759327555E-3"/>
    <n v="0"/>
    <n v="0"/>
    <m/>
    <m/>
    <m/>
    <n v="17.089942372834852"/>
    <n v="0"/>
    <n v="0"/>
    <n v="-8.9483300000000039"/>
    <n v="0.99592999999999954"/>
    <n v="0"/>
    <n v="0"/>
    <n v="-9.048218455022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3"/>
    <s v="Regular"/>
    <s v="Convencional"/>
    <s v="B2"/>
    <s v="Rural"/>
    <s v="Aquicultura"/>
    <s v="IRRIG./AQUIC. PR"/>
    <s v="Não se aplica"/>
    <s v="Não se aplica"/>
    <s v="CATIVO"/>
    <x v="1"/>
    <n v="0"/>
    <n v="0"/>
    <n v="3.0000000000000001E-3"/>
    <n v="1.1999999999999999E-3"/>
    <n v="3.0000000000000001E-3"/>
    <n v="1.1999999999999999E-3"/>
    <m/>
    <n v="516.83000000000004"/>
    <n v="173.82"/>
    <m/>
    <n v="2.0719500000000002"/>
    <n v="2.0719500000000002"/>
    <n v="1.5643499999999999"/>
    <n v="0"/>
    <n v="0.1834483672740711"/>
    <n v="0"/>
    <n v="0"/>
    <n v="8.1553322201726106E-3"/>
    <n v="0.10327983456619799"/>
    <n v="1.0908473855000971"/>
    <n v="0.48276640662431697"/>
    <n v="2.4287596176200188E-2"/>
    <n v="0"/>
    <n v="0"/>
    <n v="0"/>
    <n v="0"/>
    <n v="2.8354489972857718E-2"/>
    <m/>
    <n v="4.65462592454907E-3"/>
    <n v="1.7395511337406321E-2"/>
    <n v="5.6967947554826703E-2"/>
    <n v="0"/>
    <n v="0"/>
    <n v="0"/>
    <n v="0"/>
    <n v="0"/>
    <n v="0"/>
    <n v="0"/>
    <n v="0"/>
    <n v="0"/>
    <n v="0"/>
    <m/>
    <n v="0"/>
    <n v="0"/>
    <n v="0"/>
    <n v="1.6644378511563181E-3"/>
    <n v="1.4417065012383689E-2"/>
    <n v="5.5734969618437102E-2"/>
    <n v="0"/>
    <n v="0"/>
    <n v="0"/>
    <n v="0"/>
    <n v="0"/>
    <m/>
    <m/>
    <m/>
    <m/>
    <m/>
    <m/>
    <n v="1.0136940000000001"/>
    <m/>
    <m/>
    <n v="0.55458287910629411"/>
    <m/>
    <m/>
    <m/>
    <m/>
    <m/>
    <m/>
    <m/>
    <m/>
    <m/>
    <m/>
    <m/>
    <m/>
    <n v="0"/>
    <n v="-0.75932399999999989"/>
    <m/>
    <m/>
    <m/>
    <m/>
    <n v="-0.57117000000000018"/>
    <n v="6.3569999999999988E-2"/>
    <n v="31"/>
    <n v="6.9917637042024139E-2"/>
    <n v="1.6889942509287596E-3"/>
    <n v="5.5312278001512019E-3"/>
    <n v="0"/>
    <n v="0"/>
    <n v="0"/>
    <n v="0"/>
    <n v="0"/>
    <n v="-1.9803090255563899E-3"/>
    <n v="0"/>
    <n v="0"/>
    <n v="6.1968403849817999E-2"/>
    <n v="1.8505896324962721E-3"/>
    <n v="2.1364899365012712E-4"/>
    <n v="0"/>
    <n v="7.1541993363267026E-3"/>
    <n v="0"/>
    <n v="-5.3613712705370964E-3"/>
    <m/>
    <n v="0"/>
    <n v="0"/>
    <n v="-2.6994771751559857E-4"/>
    <n v="0"/>
    <n v="-7.3437149650790873E-4"/>
    <n v="-1.434273112297501E-4"/>
    <n v="0"/>
    <n v="0"/>
    <m/>
    <m/>
    <m/>
    <n v="1.0908473855000971"/>
    <n v="0"/>
    <n v="0"/>
    <n v="-0.57117000000000018"/>
    <n v="6.3569999999999904E-2"/>
    <n v="0"/>
    <n v="0"/>
    <n v="-0.5775458588312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4"/>
    <s v="Regular"/>
    <s v="Convencional"/>
    <s v="B1"/>
    <s v="Residencial"/>
    <s v="Residencial"/>
    <s v="Não se aplica"/>
    <s v="Não se aplica"/>
    <s v="Não se aplica"/>
    <s v="CATIVO"/>
    <x v="2"/>
    <n v="0"/>
    <n v="0"/>
    <n v="1901.5709999999999"/>
    <n v="1901.5709999999999"/>
    <n v="1901.5709999999999"/>
    <n v="1901.5709999999999"/>
    <m/>
    <n v="516.83000000000004"/>
    <n v="173.82"/>
    <m/>
    <n v="1313320.0111499999"/>
    <n v="1313320.0111499999"/>
    <n v="991574.19794999994"/>
    <n v="0"/>
    <n v="116280.03173524087"/>
    <n v="0"/>
    <n v="0"/>
    <n v="5169.3144150819498"/>
    <n v="65464.646098626559"/>
    <n v="691441.25123093498"/>
    <n v="306004.86620366969"/>
    <n v="15394.862849457722"/>
    <n v="0"/>
    <n v="0"/>
    <n v="0"/>
    <n v="0"/>
    <n v="17972.691950725675"/>
    <m/>
    <n v="2950.3672246568995"/>
    <n v="11026.266629794358"/>
    <n v="36109.532333259784"/>
    <n v="0"/>
    <n v="0"/>
    <n v="0"/>
    <n v="0"/>
    <n v="0"/>
    <n v="0"/>
    <n v="0"/>
    <n v="0"/>
    <n v="0"/>
    <n v="0"/>
    <m/>
    <n v="0"/>
    <n v="0"/>
    <n v="0"/>
    <n v="1055.0155830203903"/>
    <n v="9138.3575775544869"/>
    <n v="35328.000637433688"/>
    <n v="0"/>
    <n v="4547.8900000000003"/>
    <n v="21251.46"/>
    <n v="510960.69"/>
    <n v="12999"/>
    <m/>
    <m/>
    <m/>
    <m/>
    <m/>
    <m/>
    <m/>
    <m/>
    <m/>
    <n v="351526.24000167823"/>
    <m/>
    <m/>
    <m/>
    <m/>
    <m/>
    <m/>
    <m/>
    <m/>
    <m/>
    <m/>
    <m/>
    <m/>
    <n v="991573.67649999983"/>
    <n v="-321746.36465000012"/>
    <m/>
    <m/>
    <m/>
    <m/>
    <n v="-362040.10269000009"/>
    <n v="40294.289489999996"/>
    <n v="30"/>
    <n v="44317.78366254631"/>
    <n v="1070.5808289109518"/>
    <n v="3506.0074597204439"/>
    <n v="0"/>
    <n v="0"/>
    <n v="0"/>
    <n v="0"/>
    <n v="0"/>
    <n v="-1255.2327380120987"/>
    <n v="0"/>
    <n v="0"/>
    <n v="39279.106559034088"/>
    <n v="1173.009192685191"/>
    <n v="135.42291016808849"/>
    <n v="0"/>
    <n v="4534.7393287260275"/>
    <n v="0"/>
    <n v="-3398.3427094288345"/>
    <m/>
    <n v="0"/>
    <n v="0"/>
    <n v="-171.10825038128678"/>
    <n v="0"/>
    <n v="-465.48651366201375"/>
    <n v="-90.912405214155569"/>
    <n v="0"/>
    <n v="0"/>
    <m/>
    <m/>
    <m/>
    <n v="691441.25123093498"/>
    <n v="0"/>
    <n v="0"/>
    <n v="-362040.10268999997"/>
    <n v="40294.289489999996"/>
    <n v="0"/>
    <n v="0"/>
    <n v="-366081.48544118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5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615"/>
    <n v="-1.615"/>
    <n v="-1.615"/>
    <n v="-1.615"/>
    <m/>
    <n v="516.83000000000004"/>
    <n v="173.82"/>
    <m/>
    <n v="-1115.39975"/>
    <n v="-1115.39975"/>
    <n v="-842.14175"/>
    <n v="0"/>
    <n v="-98.756371049208269"/>
    <n v="0"/>
    <n v="0"/>
    <n v="-4.3902871785262549"/>
    <n v="-55.598977608136586"/>
    <n v="-587.23950919421884"/>
    <n v="-259.88924889942399"/>
    <n v="-13.074822608187768"/>
    <n v="0"/>
    <n v="0"/>
    <n v="0"/>
    <n v="0"/>
    <n v="-15.264167102055072"/>
    <m/>
    <n v="-2.5057402893822491"/>
    <n v="-9.3645836033037355"/>
    <n v="-30.667745100348373"/>
    <n v="0"/>
    <n v="0"/>
    <n v="0"/>
    <n v="0"/>
    <n v="0"/>
    <n v="0"/>
    <n v="0"/>
    <n v="0"/>
    <n v="0"/>
    <n v="0"/>
    <m/>
    <n v="0"/>
    <n v="0"/>
    <n v="0"/>
    <n v="-0.89602237653915129"/>
    <n v="-7.7611866649998857"/>
    <n v="-30.003991977925306"/>
    <n v="0"/>
    <n v="0"/>
    <n v="0"/>
    <n v="-472.29"/>
    <n v="0"/>
    <m/>
    <m/>
    <m/>
    <m/>
    <m/>
    <m/>
    <m/>
    <m/>
    <m/>
    <n v="-298.55044991888838"/>
    <m/>
    <m/>
    <m/>
    <m/>
    <m/>
    <m/>
    <m/>
    <m/>
    <m/>
    <m/>
    <m/>
    <m/>
    <n v="-844.74900000000002"/>
    <n v="270.62075000000004"/>
    <m/>
    <m/>
    <m/>
    <m/>
    <n v="307.47985000000006"/>
    <n v="-34.221849999999996"/>
    <n v="30"/>
    <n v="-37.63899460762309"/>
    <n v="-0.90924190508331648"/>
    <n v="-2.9776442990814012"/>
    <n v="0"/>
    <n v="0"/>
    <n v="0"/>
    <n v="0"/>
    <n v="0"/>
    <n v="1.0660663587578583"/>
    <n v="0"/>
    <n v="0"/>
    <n v="-33.359657405818666"/>
    <n v="-0.99623408549382741"/>
    <n v="-0.11501437491498501"/>
    <n v="0"/>
    <n v="-3.8513439760558761"/>
    <n v="0"/>
    <n v="2.8862048673058069"/>
    <m/>
    <n v="0"/>
    <n v="0"/>
    <n v="0.14532185459589719"/>
    <n v="0"/>
    <n v="0.3953366556200919"/>
    <n v="7.7211702545348704E-2"/>
    <n v="0"/>
    <n v="0"/>
    <m/>
    <m/>
    <m/>
    <n v="-587.23950919421884"/>
    <n v="0"/>
    <n v="0"/>
    <n v="307.47985000000006"/>
    <n v="-34.221850000000018"/>
    <n v="0"/>
    <n v="0"/>
    <n v="310.9121873374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6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22.462"/>
    <n v="22.462"/>
    <n v="22.462"/>
    <n v="22.462"/>
    <m/>
    <n v="516.83000000000004"/>
    <n v="173.82"/>
    <m/>
    <n v="15513.380300000001"/>
    <n v="15513.380300000001"/>
    <n v="11712.8099"/>
    <n v="0"/>
    <n v="1373.5390752367282"/>
    <n v="0"/>
    <n v="0"/>
    <n v="61.061690776505721"/>
    <n v="773.2905480086464"/>
    <n v="8167.5379910343927"/>
    <n v="3614.6330085318027"/>
    <n v="181.84932843660286"/>
    <n v="0"/>
    <n v="0"/>
    <n v="0"/>
    <n v="0"/>
    <n v="212.29951792344335"/>
    <m/>
    <n v="34.850735839073735"/>
    <n v="130.24599188694026"/>
    <n v="426.53801265883914"/>
    <n v="0"/>
    <n v="0"/>
    <n v="0"/>
    <n v="0"/>
    <n v="0"/>
    <n v="0"/>
    <n v="0"/>
    <n v="0"/>
    <n v="0"/>
    <n v="0"/>
    <m/>
    <n v="0"/>
    <n v="0"/>
    <n v="0"/>
    <n v="12.462201004224406"/>
    <n v="107.94537143605413"/>
    <n v="417.30629585644471"/>
    <n v="0"/>
    <n v="53.64"/>
    <n v="255.08"/>
    <n v="15057.46"/>
    <n v="246"/>
    <m/>
    <m/>
    <m/>
    <m/>
    <m/>
    <m/>
    <m/>
    <m/>
    <m/>
    <n v="4152.3468768285265"/>
    <m/>
    <m/>
    <m/>
    <m/>
    <m/>
    <m/>
    <m/>
    <m/>
    <m/>
    <m/>
    <m/>
    <m/>
    <n v="11711.767"/>
    <n v="-3801.6433000000015"/>
    <m/>
    <m/>
    <m/>
    <m/>
    <n v="-4276.5401800000009"/>
    <n v="475.96977999999996"/>
    <n v="30"/>
    <n v="523.49665441265006"/>
    <n v="12.646062954787283"/>
    <n v="41.414146282332069"/>
    <n v="0"/>
    <n v="0"/>
    <n v="0"/>
    <n v="0"/>
    <n v="0"/>
    <n v="-14.827233777349193"/>
    <n v="0"/>
    <n v="0"/>
    <n v="463.97809575820384"/>
    <n v="13.855981441710426"/>
    <n v="1.5996612317897174"/>
    <n v="0"/>
    <n v="53.565875164190118"/>
    <n v="0"/>
    <n v="-40.142373826268113"/>
    <m/>
    <n v="0"/>
    <n v="0"/>
    <n v="-2.0211885436117996"/>
    <n v="0"/>
    <n v="-5.4984841848535382"/>
    <n v="-1.0738880882808814"/>
    <n v="0"/>
    <n v="0"/>
    <m/>
    <m/>
    <m/>
    <n v="8167.5379910343927"/>
    <n v="0"/>
    <n v="0"/>
    <n v="-4276.5401800000009"/>
    <n v="475.96978000000036"/>
    <n v="0"/>
    <n v="0"/>
    <n v="-4324.2783603556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7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4.15"/>
    <n v="24.15"/>
    <n v="24.15"/>
    <n v="24.15"/>
    <m/>
    <n v="446.23"/>
    <n v="173.82"/>
    <m/>
    <n v="14974.2075"/>
    <n v="14974.2075"/>
    <n v="10937.052"/>
    <n v="0"/>
    <n v="0"/>
    <n v="0"/>
    <n v="0"/>
    <n v="65.650424372389509"/>
    <n v="831.40266825789377"/>
    <n v="8781.3214532757811"/>
    <n v="3886.2695733257515"/>
    <n v="195.51514921841149"/>
    <n v="0"/>
    <n v="0"/>
    <n v="0"/>
    <n v="0"/>
    <n v="0"/>
    <m/>
    <n v="37.469738692620012"/>
    <n v="140.03386626612087"/>
    <n v="458.59197781635493"/>
    <n v="0"/>
    <n v="0"/>
    <n v="0"/>
    <n v="0"/>
    <n v="0"/>
    <n v="0"/>
    <n v="0"/>
    <n v="0"/>
    <n v="0"/>
    <n v="0"/>
    <m/>
    <n v="0"/>
    <n v="0"/>
    <n v="0"/>
    <n v="13.39872470180836"/>
    <n v="116.05737334968869"/>
    <n v="448.66650542841865"/>
    <n v="0"/>
    <n v="48.3"/>
    <n v="230.32"/>
    <n v="1650.66"/>
    <n v="39"/>
    <m/>
    <m/>
    <m/>
    <m/>
    <m/>
    <m/>
    <m/>
    <n v="7109.0355"/>
    <m/>
    <n v="4464.3921768056671"/>
    <m/>
    <m/>
    <m/>
    <m/>
    <m/>
    <m/>
    <m/>
    <m/>
    <m/>
    <m/>
    <m/>
    <m/>
    <n v="3828.0164999999997"/>
    <n v="-1413.0465000000004"/>
    <m/>
    <m/>
    <m/>
    <m/>
    <n v="-4548.8940000000002"/>
    <n v="511.73849999999993"/>
    <n v="30"/>
    <n v="611.90770746300768"/>
    <n v="13.596403719976536"/>
    <n v="44.526383791217199"/>
    <n v="0"/>
    <n v="0"/>
    <n v="0"/>
    <n v="0"/>
    <n v="0"/>
    <n v="-15.941487655728906"/>
    <n v="0"/>
    <n v="0"/>
    <n v="498.84565099103474"/>
    <n v="14.897246541594981"/>
    <n v="1.7198743988835226"/>
    <n v="0"/>
    <n v="57.59130465742993"/>
    <n v="0"/>
    <n v="0"/>
    <m/>
    <n v="0"/>
    <n v="0"/>
    <n v="-2.1730791260005731"/>
    <n v="0"/>
    <n v="0"/>
    <n v="-1.1545898553994931"/>
    <n v="0"/>
    <n v="0"/>
    <m/>
    <m/>
    <m/>
    <n v="8781.3214532757811"/>
    <n v="0"/>
    <n v="0"/>
    <n v="-4548.8940000000002"/>
    <n v="511.73849999999948"/>
    <n v="0"/>
    <n v="0"/>
    <n v="-4649.244163591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8"/>
    <s v="Sistema de Compensação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6.0000000000000001E-3"/>
    <n v="2.0999999999999999E-3"/>
    <n v="6.0000000000000001E-3"/>
    <n v="2.0999999999999999E-3"/>
    <m/>
    <n v="446.23"/>
    <n v="173.82"/>
    <m/>
    <n v="3.7203000000000004"/>
    <n v="3.7203000000000004"/>
    <n v="2.7172799999999997"/>
    <n v="0"/>
    <n v="0"/>
    <n v="0"/>
    <n v="0"/>
    <n v="1.6310664440345221E-2"/>
    <n v="0.20655966913239598"/>
    <n v="2.1816947710001942"/>
    <n v="0.96553281324863394"/>
    <n v="4.8575192352400376E-2"/>
    <n v="0"/>
    <n v="0"/>
    <n v="0"/>
    <n v="0"/>
    <n v="0"/>
    <m/>
    <n v="9.30925184909814E-3"/>
    <n v="3.4791022674812641E-2"/>
    <n v="0.11393589510965341"/>
    <n v="0"/>
    <n v="0"/>
    <n v="0"/>
    <n v="0"/>
    <n v="0"/>
    <n v="0"/>
    <n v="0"/>
    <n v="0"/>
    <n v="0"/>
    <n v="0"/>
    <m/>
    <n v="0"/>
    <n v="0"/>
    <n v="0"/>
    <n v="3.3288757023126362E-3"/>
    <n v="2.8834130024767379E-2"/>
    <n v="0.1114699392368742"/>
    <n v="0"/>
    <n v="0.01"/>
    <n v="0.05"/>
    <n v="1.35"/>
    <n v="0"/>
    <m/>
    <m/>
    <m/>
    <m/>
    <m/>
    <m/>
    <m/>
    <n v="2.3844090000000002"/>
    <m/>
    <n v="1.1091657582125882"/>
    <m/>
    <m/>
    <m/>
    <m/>
    <m/>
    <m/>
    <m/>
    <m/>
    <m/>
    <m/>
    <m/>
    <m/>
    <n v="0"/>
    <n v="-0.48574200000000001"/>
    <m/>
    <m/>
    <m/>
    <m/>
    <n v="-1.1301600000000001"/>
    <n v="0.12713999999999998"/>
    <n v="30"/>
    <n v="0.15202675961813861"/>
    <n v="3.3779885018575193E-3"/>
    <n v="1.1062455600302404E-2"/>
    <n v="0"/>
    <n v="0"/>
    <n v="0"/>
    <n v="0"/>
    <n v="0"/>
    <n v="-3.9606180511127798E-3"/>
    <n v="0"/>
    <n v="0"/>
    <n v="0.123936807699636"/>
    <n v="3.7011792649925442E-3"/>
    <n v="4.2729798730025423E-4"/>
    <n v="0"/>
    <n v="1.4308398672653405E-2"/>
    <n v="0"/>
    <n v="0"/>
    <m/>
    <n v="0"/>
    <n v="0"/>
    <n v="-5.3989543503119714E-4"/>
    <n v="0"/>
    <n v="0"/>
    <n v="-2.8685462245950019E-4"/>
    <n v="0"/>
    <n v="0"/>
    <m/>
    <m/>
    <m/>
    <n v="2.1816947710001942"/>
    <n v="0"/>
    <n v="0"/>
    <n v="-1.1301600000000003"/>
    <n v="0.12713999999999981"/>
    <n v="0"/>
    <n v="0"/>
    <n v="-1.1550917176624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19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8.936"/>
    <n v="48.936"/>
    <n v="48.936"/>
    <n v="48.936"/>
    <m/>
    <n v="446.23"/>
    <n v="173.82"/>
    <m/>
    <n v="30342.766799999998"/>
    <n v="30342.766799999998"/>
    <n v="22162.135679999999"/>
    <n v="0"/>
    <n v="0"/>
    <n v="0"/>
    <n v="0"/>
    <n v="133.02977917545562"/>
    <n v="1684.7006614438217"/>
    <n v="17793.902552277581"/>
    <n v="7874.8856248558586"/>
    <n v="396.17926882617746"/>
    <n v="0"/>
    <n v="0"/>
    <n v="0"/>
    <n v="0"/>
    <n v="0"/>
    <m/>
    <n v="75.926258081244427"/>
    <n v="283.75558093577189"/>
    <n v="929.26116051433314"/>
    <n v="0"/>
    <n v="0"/>
    <n v="0"/>
    <n v="0"/>
    <n v="0"/>
    <n v="0"/>
    <n v="0"/>
    <n v="0"/>
    <n v="0"/>
    <n v="0"/>
    <m/>
    <n v="0"/>
    <n v="0"/>
    <n v="0"/>
    <n v="27.150310228061862"/>
    <n v="235.17116448200272"/>
    <n v="909.14882441594602"/>
    <n v="0"/>
    <n v="102.9"/>
    <n v="478.85"/>
    <n v="6123.96"/>
    <n v="166"/>
    <m/>
    <m/>
    <m/>
    <m/>
    <m/>
    <m/>
    <m/>
    <n v="8865.2457599999998"/>
    <m/>
    <n v="9046.3559239818696"/>
    <m/>
    <m/>
    <m/>
    <m/>
    <m/>
    <m/>
    <m/>
    <m/>
    <m/>
    <m/>
    <m/>
    <m/>
    <n v="13297.9768"/>
    <n v="-4907.7132799999999"/>
    <m/>
    <m/>
    <m/>
    <m/>
    <n v="-9217.5849600000001"/>
    <n v="1036.9538399999999"/>
    <n v="30"/>
    <n v="1239.9302514455358"/>
    <n v="27.550874221149968"/>
    <n v="90.225387876066407"/>
    <n v="0"/>
    <n v="0"/>
    <n v="0"/>
    <n v="0"/>
    <n v="0"/>
    <n v="-32.302800824875931"/>
    <n v="0"/>
    <n v="0"/>
    <n v="1010.828603598231"/>
    <n v="30.186818085279185"/>
    <n v="3.485042384420872"/>
    <n v="0"/>
    <n v="116.69929957416105"/>
    <n v="0"/>
    <n v="0"/>
    <m/>
    <n v="0"/>
    <n v="0"/>
    <n v="-4.4033871681144774"/>
    <n v="0"/>
    <n v="0"/>
    <n v="-2.3395863007796862"/>
    <n v="0"/>
    <n v="0"/>
    <m/>
    <m/>
    <m/>
    <n v="17793.902552277581"/>
    <n v="0"/>
    <n v="0"/>
    <n v="-9217.5849600000001"/>
    <n v="1036.9538400000001"/>
    <n v="0"/>
    <n v="0"/>
    <n v="-9420.9280492549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0"/>
    <s v="Sistema de Compensação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639999999999999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2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44.26"/>
    <n v="44.26"/>
    <n v="44.26"/>
    <n v="44.26"/>
    <m/>
    <n v="446.23"/>
    <n v="173.82"/>
    <m/>
    <n v="27443.413"/>
    <n v="27443.413"/>
    <n v="20044.468799999999"/>
    <n v="0"/>
    <n v="0"/>
    <n v="0"/>
    <n v="0"/>
    <n v="120.3183346882799"/>
    <n v="1523.7218259666411"/>
    <n v="16093.635094078098"/>
    <n v="7122.4137190640895"/>
    <n v="358.32300225287344"/>
    <n v="0"/>
    <n v="0"/>
    <n v="0"/>
    <n v="0"/>
    <n v="0"/>
    <m/>
    <n v="68.671247806847276"/>
    <n v="256.64177726453454"/>
    <n v="840.46711959220988"/>
    <n v="0"/>
    <n v="0"/>
    <n v="0"/>
    <n v="0"/>
    <n v="0"/>
    <n v="0"/>
    <n v="0"/>
    <n v="0"/>
    <n v="0"/>
    <n v="0"/>
    <m/>
    <n v="0"/>
    <n v="0"/>
    <n v="0"/>
    <n v="24.556006430726214"/>
    <n v="212.69976581603402"/>
    <n v="822.27658510400863"/>
    <n v="0"/>
    <n v="108.37"/>
    <n v="497.7"/>
    <n v="9825.44"/>
    <n v="438"/>
    <m/>
    <m/>
    <m/>
    <m/>
    <m/>
    <m/>
    <m/>
    <n v="2004.0927999999999"/>
    <m/>
    <n v="8181.9460764148589"/>
    <m/>
    <m/>
    <m/>
    <m/>
    <m/>
    <m/>
    <m/>
    <m/>
    <m/>
    <m/>
    <m/>
    <m/>
    <n v="18040.375999999997"/>
    <n v="-6658.9470000000001"/>
    <m/>
    <m/>
    <m/>
    <m/>
    <n v="-8336.8135999999995"/>
    <n v="937.86939999999981"/>
    <n v="30"/>
    <n v="1121.4507301164685"/>
    <n v="24.918295182035706"/>
    <n v="81.604047478230768"/>
    <n v="0"/>
    <n v="0"/>
    <n v="0"/>
    <n v="0"/>
    <n v="0"/>
    <n v="-29.216159157042057"/>
    <n v="0"/>
    <n v="0"/>
    <n v="914.24051813098231"/>
    <n v="27.302365711428337"/>
    <n v="3.15203481965154"/>
    <n v="0"/>
    <n v="105.54828754194"/>
    <n v="0"/>
    <n v="0"/>
    <m/>
    <n v="0"/>
    <n v="0"/>
    <n v="-3.9826286590801487"/>
    <n v="0"/>
    <n v="0"/>
    <n v="-2.1160309316762493"/>
    <n v="0"/>
    <n v="0"/>
    <m/>
    <m/>
    <m/>
    <n v="16093.635094078098"/>
    <n v="0"/>
    <n v="0"/>
    <n v="-8336.8136000000013"/>
    <n v="937.86939999999959"/>
    <n v="0"/>
    <n v="0"/>
    <n v="-8520.7265706233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2"/>
    <s v="Sistema de Compensação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1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23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1.597"/>
    <n v="11.597"/>
    <n v="11.597"/>
    <n v="11.597"/>
    <m/>
    <n v="446.23"/>
    <n v="173.82"/>
    <m/>
    <n v="7190.7198500000004"/>
    <n v="7190.7198500000004"/>
    <n v="5252.0493599999991"/>
    <n v="0"/>
    <n v="0"/>
    <n v="0"/>
    <n v="0"/>
    <n v="31.525795919113918"/>
    <n v="399.24541382139932"/>
    <n v="4216.8523765482078"/>
    <n v="1866.2140058740679"/>
    <n v="93.887750951797855"/>
    <n v="0"/>
    <n v="0"/>
    <n v="0"/>
    <n v="0"/>
    <n v="0"/>
    <m/>
    <n v="17.993232282331853"/>
    <n v="67.2452483266337"/>
    <n v="220.2190959311084"/>
    <n v="0"/>
    <n v="0"/>
    <n v="0"/>
    <n v="0"/>
    <n v="0"/>
    <n v="0"/>
    <n v="0"/>
    <n v="0"/>
    <n v="0"/>
    <n v="0"/>
    <m/>
    <n v="0"/>
    <n v="0"/>
    <n v="0"/>
    <n v="6.434161919953274"/>
    <n v="55.73156764953788"/>
    <n v="215.45281422167167"/>
    <n v="0"/>
    <n v="37.86"/>
    <n v="173.33"/>
    <n v="3865.74"/>
    <n v="161"/>
    <m/>
    <m/>
    <m/>
    <m/>
    <m/>
    <m/>
    <m/>
    <m/>
    <m/>
    <n v="2143.832549665231"/>
    <m/>
    <m/>
    <m/>
    <m/>
    <m/>
    <m/>
    <m/>
    <m/>
    <m/>
    <m/>
    <m/>
    <m/>
    <n v="5253.4079999999994"/>
    <n v="-1937.3418500000016"/>
    <m/>
    <m/>
    <m/>
    <m/>
    <n v="-2184.4109200000003"/>
    <n v="245.74042999999998"/>
    <n v="30"/>
    <n v="293.84238854859223"/>
    <n v="6.5290887760069438"/>
    <n v="21.381882932784521"/>
    <n v="0"/>
    <n v="0"/>
    <n v="0"/>
    <n v="0"/>
    <n v="0"/>
    <n v="-7.655214589792422"/>
    <n v="0"/>
    <n v="0"/>
    <n v="239.54919314877998"/>
    <n v="7.153762656019758"/>
    <n v="0.82589579312017403"/>
    <n v="0"/>
    <n v="27.655749901126939"/>
    <n v="0"/>
    <n v="0"/>
    <m/>
    <n v="0"/>
    <n v="0"/>
    <n v="-1.0435278933427981"/>
    <n v="0"/>
    <n v="0"/>
    <n v="-0.55444217611047009"/>
    <n v="0"/>
    <n v="0"/>
    <m/>
    <m/>
    <m/>
    <n v="4216.8523765482078"/>
    <n v="0"/>
    <n v="0"/>
    <n v="-2184.4109200000007"/>
    <n v="245.74043000000006"/>
    <n v="0"/>
    <n v="0"/>
    <n v="-2232.5997749552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4"/>
    <s v="Regular"/>
    <s v="Convencional"/>
    <s v="B3"/>
    <s v="Industrial"/>
    <s v="Não se aplica"/>
    <s v="Não se aplica"/>
    <s v="Não se aplica"/>
    <s v="Não se aplica"/>
    <s v="CATIVO"/>
    <x v="2"/>
    <n v="0"/>
    <n v="0"/>
    <n v="78.064999999999998"/>
    <n v="78.064999999999998"/>
    <n v="78.064999999999998"/>
    <n v="78.064999999999998"/>
    <m/>
    <n v="516.83000000000004"/>
    <n v="173.82"/>
    <m/>
    <n v="53915.592250000002"/>
    <n v="53915.592250000002"/>
    <n v="40706.994249999996"/>
    <n v="0"/>
    <n v="4773.6322637501198"/>
    <n v="0"/>
    <n v="0"/>
    <n v="212.21533658925827"/>
    <n v="2687.5134284700821"/>
    <n v="28385.667049688356"/>
    <n v="12562.386511042434"/>
    <n v="632.00373183168915"/>
    <n v="0"/>
    <n v="0"/>
    <n v="0"/>
    <n v="0"/>
    <n v="737.83108657704588"/>
    <m/>
    <n v="121.12112426664105"/>
    <n v="452.66019751820812"/>
    <n v="1482.4009419558488"/>
    <n v="0"/>
    <n v="0"/>
    <n v="0"/>
    <n v="0"/>
    <n v="0"/>
    <n v="0"/>
    <n v="0"/>
    <n v="0"/>
    <n v="0"/>
    <n v="0"/>
    <m/>
    <n v="0"/>
    <n v="0"/>
    <n v="0"/>
    <n v="43.311446950172659"/>
    <n v="375.1560600639109"/>
    <n v="1450.3168010877641"/>
    <n v="0"/>
    <n v="193.49"/>
    <n v="921.17"/>
    <n v="11051.52"/>
    <n v="32"/>
    <m/>
    <m/>
    <m/>
    <m/>
    <m/>
    <m/>
    <m/>
    <m/>
    <m/>
    <n v="14431.170819144281"/>
    <m/>
    <m/>
    <m/>
    <m/>
    <m/>
    <m/>
    <m/>
    <m/>
    <m/>
    <m/>
    <m/>
    <m/>
    <n v="40709.60149999999"/>
    <n v="-13206.020750000018"/>
    <m/>
    <m/>
    <m/>
    <m/>
    <n v="-14862.795350000002"/>
    <n v="1654.1973499999997"/>
    <n v="30"/>
    <n v="1819.3734452285353"/>
    <n v="43.950445399584567"/>
    <n v="143.93176607293458"/>
    <n v="0"/>
    <n v="0"/>
    <n v="0"/>
    <n v="0"/>
    <n v="0"/>
    <n v="-51.530941360019824"/>
    <n v="0"/>
    <n v="0"/>
    <n v="1612.5211488453479"/>
    <n v="48.155426553607128"/>
    <n v="5.5595028964323845"/>
    <n v="0"/>
    <n v="186.16419039678135"/>
    <n v="0"/>
    <n v="-139.51181607815943"/>
    <m/>
    <n v="0"/>
    <n v="0"/>
    <n v="-7.0244895226184099"/>
    <n v="0"/>
    <n v="-19.109570291630007"/>
    <n v="-3.7322176837168115"/>
    <n v="0"/>
    <n v="0"/>
    <m/>
    <m/>
    <m/>
    <n v="28385.667049688356"/>
    <n v="0"/>
    <n v="0"/>
    <n v="-14862.79535"/>
    <n v="1654.1973499999986"/>
    <n v="0"/>
    <n v="0"/>
    <n v="-15028.70582321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5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1.1739999999999999"/>
    <n v="1.1739999999999999"/>
    <n v="1.1739999999999999"/>
    <n v="1.1739999999999999"/>
    <m/>
    <n v="516.83000000000004"/>
    <n v="173.82"/>
    <m/>
    <n v="810.82309999999995"/>
    <n v="810.82309999999995"/>
    <n v="612.18229999999994"/>
    <n v="0"/>
    <n v="71.789461059919816"/>
    <n v="0"/>
    <n v="0"/>
    <n v="3.1914533421608815"/>
    <n v="40.416841926905477"/>
    <n v="426.88494352570461"/>
    <n v="188.92258712564936"/>
    <n v="9.5045459702863386"/>
    <n v="0"/>
    <n v="0"/>
    <n v="0"/>
    <n v="0"/>
    <n v="11.096057076044987"/>
    <m/>
    <n v="1.821510278473536"/>
    <n v="6.8074434367050056"/>
    <n v="22.293456809788847"/>
    <n v="0"/>
    <n v="0"/>
    <n v="0"/>
    <n v="0"/>
    <n v="0"/>
    <n v="0"/>
    <n v="0"/>
    <n v="0"/>
    <n v="0"/>
    <n v="0"/>
    <m/>
    <n v="0"/>
    <n v="0"/>
    <n v="0"/>
    <n v="0.65135001241917245"/>
    <n v="5.6418781081794833"/>
    <n v="21.81095144401505"/>
    <n v="0"/>
    <n v="2.84"/>
    <n v="12.04"/>
    <n v="321.95999999999998"/>
    <n v="3"/>
    <m/>
    <m/>
    <m/>
    <m/>
    <m/>
    <m/>
    <m/>
    <m/>
    <m/>
    <n v="217.02676669026309"/>
    <m/>
    <m/>
    <m/>
    <m/>
    <m/>
    <m/>
    <m/>
    <m/>
    <m/>
    <m/>
    <m/>
    <m/>
    <n v="610.09649999999999"/>
    <n v="-200.75659999999993"/>
    <m/>
    <m/>
    <m/>
    <m/>
    <n v="-223.51786000000004"/>
    <n v="24.877059999999997"/>
    <n v="30"/>
    <n v="27.361101962445559"/>
    <n v="0.66095975019678921"/>
    <n v="2.1645538124591717"/>
    <n v="0"/>
    <n v="0"/>
    <n v="0"/>
    <n v="0"/>
    <n v="0"/>
    <n v="-0.77496093200106486"/>
    <n v="0"/>
    <n v="0"/>
    <n v="24.250302039895473"/>
    <n v="0.72419740951687483"/>
    <n v="8.3607972848416368E-2"/>
    <n v="0"/>
    <n v="2.7996766736158492"/>
    <n v="0"/>
    <n v="-2.0980832905368487"/>
    <m/>
    <n v="0"/>
    <n v="0"/>
    <n v="-0.10563954012110344"/>
    <n v="0"/>
    <n v="-0.2873840456334289"/>
    <n v="-5.612788779457567E-2"/>
    <n v="0"/>
    <n v="0"/>
    <m/>
    <m/>
    <m/>
    <n v="426.88494352570461"/>
    <n v="0"/>
    <n v="0"/>
    <n v="-223.51786000000004"/>
    <n v="24.87706"/>
    <n v="0"/>
    <n v="0"/>
    <n v="-226.01294608928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6"/>
    <s v="Regular"/>
    <s v="Azul"/>
    <s v="A4"/>
    <s v="Industrial"/>
    <s v="Não se aplica"/>
    <s v="Não se aplica"/>
    <s v="Não se aplica"/>
    <s v="Ponta"/>
    <s v="CATIVO"/>
    <x v="2"/>
    <n v="1200"/>
    <n v="1200"/>
    <n v="33.953000000000003"/>
    <n v="33.953000000000003"/>
    <n v="33.953000000000003"/>
    <n v="33.953000000000003"/>
    <n v="67.099999999999994"/>
    <n v="70.33"/>
    <n v="173.82"/>
    <n v="80520"/>
    <n v="8289.6249500000013"/>
    <n v="88809.624949999998"/>
    <n v="59422.796489999993"/>
    <n v="0"/>
    <n v="1806.3005000763983"/>
    <n v="0"/>
    <n v="0"/>
    <n v="898.10170336085525"/>
    <n v="13700.67976876248"/>
    <n v="57794.157302940846"/>
    <n v="5463.7892680384784"/>
    <n v="274.87891765684168"/>
    <n v="0"/>
    <n v="0"/>
    <n v="0"/>
    <n v="0"/>
    <n v="320.90666601614606"/>
    <m/>
    <n v="42.194434291790941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6.3354133393150365"/>
    <n v="163.16753612182114"/>
    <n v="212.14614276024548"/>
    <n v="0"/>
    <n v="0"/>
    <n v="0"/>
    <n v="0"/>
    <n v="0"/>
    <m/>
    <m/>
    <m/>
    <m/>
    <m/>
    <m/>
    <m/>
    <m/>
    <m/>
    <n v="5845.43836025986"/>
    <m/>
    <m/>
    <m/>
    <m/>
    <m/>
    <m/>
    <m/>
    <m/>
    <m/>
    <m/>
    <m/>
    <m/>
    <n v="59422.003499999999"/>
    <n v="-29387.651449999983"/>
    <m/>
    <m/>
    <m/>
    <m/>
    <n v="-30106.292529999992"/>
    <n v="719.46406999999999"/>
    <n v="30"/>
    <n v="1211.6114129631096"/>
    <n v="187.27044607078801"/>
    <n v="602.17080389378407"/>
    <n v="0"/>
    <n v="0"/>
    <n v="0"/>
    <n v="0"/>
    <n v="0"/>
    <n v="-262.69968301452172"/>
    <n v="0"/>
    <n v="0"/>
    <n v="701.33773863762417"/>
    <n v="20.944356597381983"/>
    <n v="0.81322032142078893"/>
    <n v="0"/>
    <n v="27.231302073546885"/>
    <n v="0"/>
    <n v="-52.790045237079539"/>
    <m/>
    <n v="0"/>
    <n v="0"/>
    <n v="-3.0551782842690614"/>
    <n v="0"/>
    <n v="-8.311371806977661"/>
    <n v="-1.300176288585206"/>
    <n v="0"/>
    <n v="0"/>
    <m/>
    <m/>
    <n v="57794.157302940846"/>
    <n v="0"/>
    <n v="0"/>
    <n v="0"/>
    <n v="-30106.292529999999"/>
    <n v="719.46406999999999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7"/>
    <s v="Regular"/>
    <s v="Azul"/>
    <s v="A4"/>
    <s v="Industrial"/>
    <s v="Não se aplica"/>
    <s v="Não se aplica"/>
    <s v="Não se aplica"/>
    <s v="Fora ponta"/>
    <s v="CATIVO"/>
    <x v="2"/>
    <n v="1200"/>
    <n v="1200"/>
    <n v="339.90800000000002"/>
    <n v="339.90800000000002"/>
    <n v="339.90800000000002"/>
    <n v="339.90800000000002"/>
    <n v="59.12"/>
    <n v="70.33"/>
    <n v="173.82"/>
    <n v="70944"/>
    <n v="82988.538199999995"/>
    <n v="153932.53820000001"/>
    <n v="130683.88164000001"/>
    <n v="0"/>
    <n v="18083.114610784567"/>
    <n v="0"/>
    <n v="0"/>
    <n v="686.4724360004185"/>
    <n v="6140.4271808585163"/>
    <n v="57794.157302940846"/>
    <n v="54698.721247619447"/>
    <n v="2751.8494136866179"/>
    <n v="0"/>
    <n v="0"/>
    <n v="0"/>
    <n v="0"/>
    <n v="3212.6393258980406"/>
    <m/>
    <n v="422.41409510953599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63.424665783285576"/>
    <n v="1633.4919114097718"/>
    <n v="2123.8232584263401"/>
    <n v="0"/>
    <n v="0"/>
    <n v="0"/>
    <n v="0"/>
    <n v="0"/>
    <m/>
    <m/>
    <m/>
    <m/>
    <m/>
    <m/>
    <m/>
    <m/>
    <m/>
    <n v="58519.461083238843"/>
    <m/>
    <m/>
    <m/>
    <m/>
    <m/>
    <m/>
    <m/>
    <m/>
    <m/>
    <m/>
    <m/>
    <m/>
    <n v="130684.4103"/>
    <n v="-23248.157900000006"/>
    <m/>
    <m/>
    <m/>
    <m/>
    <n v="-30451.307079999999"/>
    <n v="7202.6505199999992"/>
    <n v="30"/>
    <n v="7352.4962363747909"/>
    <n v="140.75540420960397"/>
    <n v="473.15551850471911"/>
    <n v="0"/>
    <n v="0"/>
    <n v="0"/>
    <n v="0"/>
    <n v="0"/>
    <n v="-117.73782769987247"/>
    <n v="0"/>
    <n v="0"/>
    <n v="7021.1854052613126"/>
    <n v="209.67674026751433"/>
    <n v="8.1412568260094105"/>
    <n v="0"/>
    <n v="272.61618782479218"/>
    <n v="0"/>
    <n v="-528.48816588947375"/>
    <m/>
    <n v="0"/>
    <n v="0"/>
    <n v="-30.585796255097648"/>
    <n v="0"/>
    <n v="-83.206248878336737"/>
    <n v="-13.016237796377993"/>
    <n v="0"/>
    <n v="0"/>
    <m/>
    <m/>
    <n v="57794.157302940846"/>
    <n v="0"/>
    <n v="0"/>
    <n v="0"/>
    <n v="-30451.307080000006"/>
    <n v="7202.6505200000029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28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22.96"/>
    <n v="4390.38"/>
    <n v="49909.44000000000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29"/>
    <s v="Regular"/>
    <s v="Verde"/>
    <s v="A4"/>
    <s v="Industrial"/>
    <s v="Não se aplica"/>
    <s v="Não se aplica"/>
    <s v="Não se aplica"/>
    <s v="Ponta"/>
    <s v="CATIVO"/>
    <x v="2"/>
    <n v="0"/>
    <n v="0"/>
    <n v="34.962000000000003"/>
    <n v="34.962000000000003"/>
    <n v="34.962000000000003"/>
    <n v="34.962000000000003"/>
    <m/>
    <n v="1684.16"/>
    <n v="173.82"/>
    <m/>
    <n v="64958.696760000006"/>
    <n v="64958.696760000006"/>
    <n v="44592.632519999999"/>
    <n v="0"/>
    <n v="1859.9793268244644"/>
    <n v="0"/>
    <n v="0"/>
    <n v="629.29501789606911"/>
    <n v="9600.0732559922435"/>
    <n v="40496.220829038924"/>
    <n v="5626.1597027997905"/>
    <n v="283.04764583743702"/>
    <n v="0"/>
    <n v="0"/>
    <n v="0"/>
    <n v="0"/>
    <n v="330.44322614368389"/>
    <m/>
    <n v="43.448349533460814"/>
    <n v="1351.4960935596994"/>
    <n v="4345.730135808687"/>
    <n v="0"/>
    <n v="0"/>
    <n v="0"/>
    <n v="0"/>
    <n v="0"/>
    <n v="0"/>
    <n v="0"/>
    <n v="0"/>
    <n v="0"/>
    <n v="0"/>
    <m/>
    <n v="0"/>
    <n v="0"/>
    <n v="0"/>
    <n v="6.5236863066336497"/>
    <n v="168.01647565431952"/>
    <n v="218.45060652029872"/>
    <n v="0"/>
    <n v="0"/>
    <n v="0"/>
    <n v="0"/>
    <n v="0"/>
    <m/>
    <m/>
    <m/>
    <m/>
    <m/>
    <m/>
    <m/>
    <m/>
    <m/>
    <n v="6019.1504712810429"/>
    <m/>
    <m/>
    <m/>
    <m/>
    <m/>
    <m/>
    <m/>
    <m/>
    <m/>
    <m/>
    <m/>
    <m/>
    <n v="44590.081599999998"/>
    <n v="-20368.645160000015"/>
    <m/>
    <m/>
    <m/>
    <m/>
    <n v="-21106.909020000003"/>
    <n v="740.84478000000001"/>
    <n v="30"/>
    <n v="1074.3133728141183"/>
    <n v="131.22173231357851"/>
    <n v="421.94294108992199"/>
    <n v="0"/>
    <n v="0"/>
    <n v="0"/>
    <n v="0"/>
    <n v="0"/>
    <n v="-184.07380099608054"/>
    <n v="0"/>
    <n v="0"/>
    <n v="722.17977846577924"/>
    <n v="21.566771577111552"/>
    <n v="0.8373872375788185"/>
    <n v="0"/>
    <n v="28.040549674413057"/>
    <n v="0"/>
    <n v="-54.358836084551513"/>
    <m/>
    <n v="0"/>
    <n v="0"/>
    <n v="-3.1459706999268064"/>
    <n v="0"/>
    <n v="-8.5583654203031756"/>
    <n v="-1.3388143434016513"/>
    <n v="0"/>
    <n v="0"/>
    <m/>
    <m/>
    <m/>
    <n v="40496.220829038924"/>
    <n v="0"/>
    <n v="0"/>
    <n v="-21106.909020000006"/>
    <n v="740.84477999999945"/>
    <n v="0"/>
    <n v="0"/>
    <n v="-21440.602002638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0"/>
    <s v="Regular"/>
    <s v="Verde"/>
    <s v="A4"/>
    <s v="Industrial"/>
    <s v="Não se aplica"/>
    <s v="Não se aplica"/>
    <s v="Não se aplica"/>
    <s v="Fora ponta"/>
    <s v="CATIVO"/>
    <x v="2"/>
    <n v="0"/>
    <n v="0"/>
    <n v="724.33699999999999"/>
    <n v="724.33699999999999"/>
    <n v="724.33699999999999"/>
    <n v="724.33699999999999"/>
    <m/>
    <n v="70.33"/>
    <n v="173.82"/>
    <m/>
    <n v="176846.87854999999"/>
    <n v="176846.87854999999"/>
    <n v="191463.99920999998"/>
    <n v="0"/>
    <n v="38534.747601797724"/>
    <n v="0"/>
    <n v="0"/>
    <n v="0"/>
    <n v="0"/>
    <n v="0"/>
    <n v="116561.85689167929"/>
    <n v="5864.1348504934385"/>
    <n v="0"/>
    <n v="0"/>
    <n v="0"/>
    <n v="0"/>
    <n v="6846.068734489947"/>
    <m/>
    <n v="900.15580218575599"/>
    <n v="0"/>
    <n v="0"/>
    <n v="0"/>
    <n v="0"/>
    <n v="0"/>
    <n v="0"/>
    <n v="0"/>
    <n v="0"/>
    <n v="0"/>
    <n v="0"/>
    <n v="0"/>
    <n v="0"/>
    <m/>
    <n v="0"/>
    <n v="0"/>
    <n v="0"/>
    <n v="135.15666633167717"/>
    <n v="3480.9378732916548"/>
    <n v="4525.8239510066242"/>
    <n v="0"/>
    <n v="0"/>
    <n v="0"/>
    <n v="0"/>
    <n v="0"/>
    <m/>
    <m/>
    <m/>
    <m/>
    <m/>
    <m/>
    <m/>
    <m/>
    <m/>
    <n v="124703.77538230924"/>
    <m/>
    <m/>
    <m/>
    <m/>
    <m/>
    <m/>
    <m/>
    <m/>
    <m/>
    <m/>
    <m/>
    <m/>
    <n v="191464.7922"/>
    <n v="14617.883650000003"/>
    <m/>
    <m/>
    <m/>
    <m/>
    <n v="-731.58037000000365"/>
    <n v="15348.701029999998"/>
    <n v="30"/>
    <n v="14610.684465336322"/>
    <n v="0"/>
    <n v="0"/>
    <n v="0"/>
    <n v="0"/>
    <n v="0"/>
    <n v="0"/>
    <n v="0"/>
    <n v="0"/>
    <n v="0"/>
    <n v="0"/>
    <n v="14962.002579788561"/>
    <n v="446.81684754448406"/>
    <n v="17.348851882218668"/>
    <n v="0"/>
    <n v="580.93952375480058"/>
    <n v="0"/>
    <n v="-1126.1974787762665"/>
    <m/>
    <n v="0"/>
    <n v="0"/>
    <n v="-65.1777066206987"/>
    <n v="0"/>
    <n v="-177.31081555535002"/>
    <n v="-27.737336681440411"/>
    <n v="0"/>
    <n v="0"/>
    <m/>
    <m/>
    <m/>
    <n v="0"/>
    <n v="0"/>
    <n v="0"/>
    <n v="-731.58037000000331"/>
    <n v="15348.70102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1"/>
    <s v="Regular"/>
    <s v="Verde"/>
    <s v="A4"/>
    <s v="Industrial"/>
    <s v="Não se aplica"/>
    <s v="Não se aplica"/>
    <s v="Não se aplica"/>
    <s v="Não se aplica"/>
    <s v="CATIVO"/>
    <x v="2"/>
    <n v="4721"/>
    <n v="4721"/>
    <n v="0"/>
    <n v="0"/>
    <n v="0"/>
    <n v="0"/>
    <n v="59.12"/>
    <m/>
    <m/>
    <n v="279105.51999999996"/>
    <m/>
    <n v="279105.51999999996"/>
    <n v="160655.63"/>
    <n v="0"/>
    <n v="0"/>
    <n v="0"/>
    <n v="0"/>
    <n v="2700.6969752983127"/>
    <n v="24157.463934027546"/>
    <n v="227371.84718931976"/>
    <m/>
    <m/>
    <m/>
    <n v="0"/>
    <n v="0"/>
    <n v="0"/>
    <n v="0"/>
    <m/>
    <n v="0"/>
    <n v="5703.3084581727735"/>
    <n v="19171.923706038135"/>
    <n v="0"/>
    <n v="0"/>
    <m/>
    <m/>
    <n v="0"/>
    <n v="0"/>
    <n v="0"/>
    <m/>
    <m/>
    <n v="0"/>
    <m/>
    <n v="0"/>
    <n v="0"/>
    <n v="0"/>
    <n v="0"/>
    <m/>
    <n v="0"/>
    <n v="0"/>
    <n v="1961.14"/>
    <n v="9329.4599999999991"/>
    <n v="109677.21"/>
    <n v="26"/>
    <m/>
    <m/>
    <m/>
    <m/>
    <m/>
    <m/>
    <m/>
    <m/>
    <m/>
    <n v="0"/>
    <m/>
    <m/>
    <m/>
    <m/>
    <m/>
    <m/>
    <m/>
    <m/>
    <m/>
    <m/>
    <m/>
    <m/>
    <n v="160655.63"/>
    <n v="-118449.91999999998"/>
    <m/>
    <m/>
    <m/>
    <m/>
    <n v="-118449.88999999998"/>
    <n v="0"/>
    <n v="30"/>
    <n v="1952.0276513026838"/>
    <n v="553.75521939461669"/>
    <n v="1861.4726690506541"/>
    <n v="0"/>
    <n v="0"/>
    <m/>
    <m/>
    <m/>
    <n v="-463.200237142580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7371.84718931976"/>
    <m/>
    <n v="0"/>
    <n v="0"/>
    <n v="-118449.88999999996"/>
    <m/>
    <n v="0"/>
    <m/>
    <n v="-120381.3388605191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32"/>
    <s v="Refaturamento - Regular"/>
    <s v="Verde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732.4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33"/>
    <s v="Regular"/>
    <s v="Convencional"/>
    <s v="B3"/>
    <s v="Comercial"/>
    <s v="Não se aplica"/>
    <s v="Não se aplica"/>
    <s v="Não se aplica"/>
    <s v="Não se aplica"/>
    <s v="CATIVO"/>
    <x v="2"/>
    <n v="0"/>
    <n v="0"/>
    <n v="351.14600000000002"/>
    <n v="351.14600000000002"/>
    <n v="351.14600000000002"/>
    <n v="351.14600000000002"/>
    <m/>
    <n v="516.83000000000004"/>
    <n v="173.82"/>
    <m/>
    <n v="242518.98490000001"/>
    <n v="242518.98490000001"/>
    <n v="183105.08169999998"/>
    <n v="0"/>
    <n v="21472.38679160699"/>
    <n v="0"/>
    <n v="0"/>
    <n v="954.57076259491055"/>
    <n v="12088.766929527386"/>
    <n v="127682.23200960569"/>
    <n v="56507.164206834139"/>
    <n v="2842.8307489626636"/>
    <n v="0"/>
    <n v="0"/>
    <n v="0"/>
    <n v="0"/>
    <n v="3318.8552453363654"/>
    <m/>
    <n v="544.81775830056927"/>
    <n v="2036.1214080282932"/>
    <n v="6668.0223040290593"/>
    <n v="0"/>
    <n v="0"/>
    <n v="0"/>
    <n v="0"/>
    <n v="0"/>
    <n v="0"/>
    <n v="0"/>
    <n v="0"/>
    <n v="0"/>
    <n v="0"/>
    <m/>
    <n v="0"/>
    <n v="0"/>
    <n v="0"/>
    <n v="194.82023122737883"/>
    <n v="1687.4982369461609"/>
    <n v="6523.7038805452385"/>
    <n v="0"/>
    <n v="855.77"/>
    <n v="3965.53"/>
    <n v="98998.95"/>
    <n v="521"/>
    <m/>
    <m/>
    <m/>
    <m/>
    <m/>
    <m/>
    <m/>
    <m/>
    <m/>
    <n v="64913.186555552915"/>
    <m/>
    <m/>
    <m/>
    <m/>
    <m/>
    <m/>
    <m/>
    <m/>
    <m/>
    <m/>
    <m/>
    <m/>
    <n v="183107.16749999998"/>
    <n v="-59411.847400000057"/>
    <m/>
    <m/>
    <m/>
    <m/>
    <n v="-66854.686940000014"/>
    <n v="7440.7837399999999"/>
    <n v="30"/>
    <n v="8183.7661922528932"/>
    <n v="197.69452507887695"/>
    <n v="647.42283903729822"/>
    <n v="0"/>
    <n v="0"/>
    <n v="0"/>
    <n v="0"/>
    <n v="0"/>
    <n v="-231.79253102933944"/>
    <n v="0"/>
    <n v="0"/>
    <n v="7253.3190460827318"/>
    <n v="216.60904903084543"/>
    <n v="25.007329841422518"/>
    <n v="0"/>
    <n v="837.38949338459224"/>
    <n v="0"/>
    <n v="-627.54135872134066"/>
    <m/>
    <n v="0"/>
    <n v="0"/>
    <n v="-31.597020404910836"/>
    <n v="0"/>
    <n v="-85.95720450425506"/>
    <n v="-16.787975543027301"/>
    <n v="0"/>
    <n v="0"/>
    <m/>
    <m/>
    <m/>
    <n v="127682.23200960569"/>
    <n v="0"/>
    <n v="0"/>
    <n v="-66854.686940000014"/>
    <n v="7440.7837399999917"/>
    <n v="0"/>
    <n v="0"/>
    <n v="-67600.97271505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4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39.298999999999999"/>
    <n v="39.298999999999999"/>
    <n v="39.298999999999999"/>
    <n v="39.298999999999999"/>
    <m/>
    <n v="516.83000000000004"/>
    <n v="173.82"/>
    <m/>
    <n v="27141.854350000001"/>
    <n v="27141.854350000001"/>
    <n v="20492.46355"/>
    <n v="0"/>
    <n v="2403.1124618345734"/>
    <n v="0"/>
    <n v="0"/>
    <n v="106.83213364018781"/>
    <n v="1352.9314062056717"/>
    <n v="14289.737134256104"/>
    <n v="6324.0790046430111"/>
    <n v="318.15941404283041"/>
    <n v="0"/>
    <n v="0"/>
    <n v="0"/>
    <n v="0"/>
    <n v="371.43436714777852"/>
    <m/>
    <n v="60.974048069617965"/>
    <n v="227.87540001624365"/>
    <n v="746.26112365237816"/>
    <n v="0"/>
    <n v="0"/>
    <n v="0"/>
    <n v="0"/>
    <n v="0"/>
    <n v="0"/>
    <n v="0"/>
    <n v="0"/>
    <n v="0"/>
    <n v="0"/>
    <m/>
    <n v="0"/>
    <n v="0"/>
    <n v="0"/>
    <n v="21.803581037530716"/>
    <n v="188.85874597388886"/>
    <n v="730.10952367831987"/>
    <n v="0"/>
    <n v="96.98"/>
    <n v="453.24"/>
    <n v="15671.52"/>
    <n v="39"/>
    <m/>
    <m/>
    <m/>
    <m/>
    <m/>
    <m/>
    <m/>
    <m/>
    <m/>
    <n v="7264.8508553327501"/>
    <m/>
    <m/>
    <m/>
    <m/>
    <m/>
    <m/>
    <m/>
    <m/>
    <m/>
    <m/>
    <m/>
    <m/>
    <n v="20492.984999999997"/>
    <n v="-6648.8993499999997"/>
    <m/>
    <m/>
    <m/>
    <m/>
    <n v="-7482.1366100000014"/>
    <n v="832.74580999999989"/>
    <n v="30"/>
    <n v="915.89773937150312"/>
    <n v="22.125261689083146"/>
    <n v="72.457240439380712"/>
    <n v="0"/>
    <n v="0"/>
    <n v="0"/>
    <n v="0"/>
    <n v="0"/>
    <n v="-25.941388131780286"/>
    <n v="0"/>
    <n v="0"/>
    <n v="811.76543429799949"/>
    <n v="24.242107322490341"/>
    <n v="2.7987306004854453"/>
    <n v="0"/>
    <n v="93.717626572767699"/>
    <n v="0"/>
    <n v="-70.232176520279154"/>
    <m/>
    <n v="0"/>
    <n v="0"/>
    <n v="-3.5362251168818375"/>
    <n v="0"/>
    <n v="-9.6200218137548177"/>
    <n v="-1.87884996800598"/>
    <n v="0"/>
    <n v="0"/>
    <m/>
    <m/>
    <m/>
    <n v="14289.737134256104"/>
    <n v="0"/>
    <n v="0"/>
    <n v="-7482.1366100000014"/>
    <n v="832.74581000000035"/>
    <n v="0"/>
    <n v="0"/>
    <n v="-7565.6582354028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5"/>
    <s v="Regular"/>
    <s v="Verde"/>
    <s v="A4"/>
    <s v="Comercial"/>
    <s v="Não se aplica"/>
    <s v="Não se aplica"/>
    <s v="Não se aplica"/>
    <s v="Ponta"/>
    <s v="CATIVO"/>
    <x v="2"/>
    <n v="0"/>
    <n v="0"/>
    <n v="15.624000000000001"/>
    <n v="15.624000000000001"/>
    <n v="15.624000000000001"/>
    <n v="15.624000000000001"/>
    <m/>
    <n v="1684.16"/>
    <n v="173.82"/>
    <m/>
    <n v="29029.079520000003"/>
    <n v="29029.079520000003"/>
    <n v="19927.787040000003"/>
    <n v="0"/>
    <n v="831.19721418412655"/>
    <n v="0"/>
    <n v="0"/>
    <n v="281.22262340850591"/>
    <n v="4290.1305575088045"/>
    <n v="18097.161324664037"/>
    <n v="2514.2474456994428"/>
    <n v="126.48980088565058"/>
    <n v="0"/>
    <n v="0"/>
    <n v="0"/>
    <n v="0"/>
    <n v="147.67018377864301"/>
    <m/>
    <n v="19.416423920564949"/>
    <n v="603.96358806065848"/>
    <n v="1942.0424358410539"/>
    <n v="0"/>
    <n v="0"/>
    <n v="0"/>
    <n v="0"/>
    <n v="0"/>
    <n v="0"/>
    <n v="0"/>
    <n v="0"/>
    <n v="0"/>
    <n v="0"/>
    <m/>
    <n v="0"/>
    <n v="0"/>
    <n v="0"/>
    <n v="2.9153387922557101"/>
    <n v="75.08407458449426"/>
    <n v="97.62234072058655"/>
    <n v="0"/>
    <n v="0"/>
    <n v="0"/>
    <n v="0"/>
    <n v="0"/>
    <m/>
    <m/>
    <m/>
    <m/>
    <m/>
    <m/>
    <m/>
    <m/>
    <m/>
    <n v="2689.8691997967794"/>
    <m/>
    <m/>
    <m/>
    <m/>
    <m/>
    <m/>
    <m/>
    <m/>
    <m/>
    <m/>
    <m/>
    <m/>
    <n v="19922.6852"/>
    <n v="-9106.4243199999983"/>
    <m/>
    <m/>
    <m/>
    <m/>
    <n v="-9432.3650400000006"/>
    <n v="331.07255999999995"/>
    <n v="30"/>
    <n v="480.09473533687196"/>
    <n v="58.641048729115937"/>
    <n v="188.56005124389117"/>
    <n v="0"/>
    <n v="0"/>
    <n v="0"/>
    <n v="0"/>
    <n v="0"/>
    <n v="-82.25985546487027"/>
    <n v="0"/>
    <n v="0"/>
    <n v="322.73144724985241"/>
    <n v="9.6378708060405813"/>
    <n v="0.37421595446288736"/>
    <n v="0"/>
    <n v="12.530906358704584"/>
    <n v="0"/>
    <n v="-24.292158771953495"/>
    <m/>
    <n v="0"/>
    <n v="0"/>
    <n v="-1.4058877128212401"/>
    <n v="0"/>
    <n v="-3.8246067538131854"/>
    <n v="-0.59829630173638293"/>
    <n v="0"/>
    <n v="0"/>
    <m/>
    <m/>
    <m/>
    <n v="18097.161324664037"/>
    <n v="0"/>
    <n v="0"/>
    <n v="-9432.3650400000006"/>
    <n v="331.07256000000007"/>
    <n v="0"/>
    <n v="0"/>
    <n v="-9581.487491826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6"/>
    <s v="Sistema de Compensação"/>
    <s v="Verde"/>
    <s v="A4"/>
    <s v="Comercial"/>
    <s v="Não se aplica"/>
    <s v="Não se aplica"/>
    <s v="Não se aplica"/>
    <s v="Ponta"/>
    <s v="CATIVO"/>
    <x v="2"/>
    <n v="0"/>
    <n v="0"/>
    <n v="2.964"/>
    <n v="2.964"/>
    <n v="2.964"/>
    <n v="2.964"/>
    <m/>
    <n v="1684.16"/>
    <n v="173.82"/>
    <m/>
    <n v="5507.0527199999997"/>
    <n v="5507.0527199999997"/>
    <n v="3780.4634400000004"/>
    <n v="0"/>
    <n v="157.68487857410079"/>
    <n v="0"/>
    <n v="0"/>
    <n v="53.35022118425573"/>
    <n v="813.87269408961174"/>
    <n v="3433.1788380891066"/>
    <n v="476.97320974482517"/>
    <n v="23.996145022085784"/>
    <n v="0"/>
    <n v="0"/>
    <n v="0"/>
    <n v="0"/>
    <n v="28.014236093183428"/>
    <m/>
    <n v="3.6834536930718444"/>
    <n v="114.57680971657652"/>
    <n v="368.4212608700002"/>
    <n v="0"/>
    <n v="0"/>
    <n v="0"/>
    <n v="0"/>
    <n v="0"/>
    <n v="0"/>
    <n v="0"/>
    <n v="0"/>
    <n v="0"/>
    <n v="0"/>
    <m/>
    <n v="0"/>
    <n v="0"/>
    <n v="0"/>
    <n v="0.55306350359996947"/>
    <n v="14.244060232235084"/>
    <n v="18.519752809512195"/>
    <n v="0"/>
    <n v="0"/>
    <n v="0"/>
    <n v="0"/>
    <n v="0"/>
    <m/>
    <m/>
    <m/>
    <m/>
    <m/>
    <m/>
    <m/>
    <m/>
    <m/>
    <n v="510.29008629017238"/>
    <m/>
    <m/>
    <m/>
    <m/>
    <m/>
    <m/>
    <m/>
    <m/>
    <m/>
    <m/>
    <m/>
    <m/>
    <n v="3775.3616000000002"/>
    <n v="-1731.7211200000002"/>
    <m/>
    <m/>
    <m/>
    <m/>
    <n v="-1789.39644"/>
    <n v="62.807159999999996"/>
    <n v="30"/>
    <n v="91.0778798987767"/>
    <n v="11.124684359517389"/>
    <n v="35.771376848879584"/>
    <n v="0"/>
    <n v="0"/>
    <n v="0"/>
    <n v="0"/>
    <n v="0"/>
    <n v="-15.605364285578162"/>
    <n v="0"/>
    <n v="0"/>
    <n v="61.224783003620189"/>
    <n v="1.8283825569063179"/>
    <n v="7.0991813173835072E-2"/>
    <n v="0"/>
    <n v="2.3772149543779051"/>
    <n v="0"/>
    <n v="-4.608420289302984"/>
    <m/>
    <n v="0"/>
    <n v="0"/>
    <n v="-0.2667083449054104"/>
    <n v="0"/>
    <n v="-0.72555903854981807"/>
    <n v="-0.11350167936166322"/>
    <n v="0"/>
    <n v="0"/>
    <m/>
    <m/>
    <m/>
    <n v="3433.1788380891066"/>
    <n v="0"/>
    <n v="0"/>
    <n v="-1789.3964399999995"/>
    <n v="62.807160000000067"/>
    <n v="0"/>
    <n v="0"/>
    <n v="-1817.6861831651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7"/>
    <s v="Regular"/>
    <s v="Verde"/>
    <s v="A4"/>
    <s v="Comercial"/>
    <s v="Não se aplica"/>
    <s v="Não se aplica"/>
    <s v="Não se aplica"/>
    <s v="Fora ponta"/>
    <s v="CATIVO"/>
    <x v="2"/>
    <n v="0"/>
    <n v="0"/>
    <n v="241.9"/>
    <n v="241.9"/>
    <n v="241.9"/>
    <n v="241.9"/>
    <m/>
    <n v="70.33"/>
    <n v="173.82"/>
    <m/>
    <n v="59059.884999999995"/>
    <n v="59059.884999999995"/>
    <n v="63941.426999999996"/>
    <n v="0"/>
    <n v="12869.086412643383"/>
    <n v="0"/>
    <n v="0"/>
    <n v="0"/>
    <n v="0"/>
    <n v="0"/>
    <n v="38927.064587474095"/>
    <n v="1958.3898383409419"/>
    <n v="0"/>
    <n v="0"/>
    <n v="0"/>
    <n v="0"/>
    <n v="2286.3170414780943"/>
    <m/>
    <n v="300.61654802769203"/>
    <n v="0"/>
    <n v="0"/>
    <n v="0"/>
    <n v="0"/>
    <n v="0"/>
    <n v="0"/>
    <n v="0"/>
    <n v="0"/>
    <n v="0"/>
    <n v="0"/>
    <n v="0"/>
    <n v="0"/>
    <m/>
    <n v="0"/>
    <n v="0"/>
    <n v="0"/>
    <n v="45.136997814046097"/>
    <n v="1162.4960088318714"/>
    <n v="1511.4467626926451"/>
    <n v="0"/>
    <n v="0"/>
    <n v="0"/>
    <n v="0"/>
    <n v="0"/>
    <m/>
    <m/>
    <m/>
    <m/>
    <m/>
    <m/>
    <m/>
    <m/>
    <m/>
    <n v="41646.144356812649"/>
    <m/>
    <m/>
    <m/>
    <m/>
    <m/>
    <m/>
    <m/>
    <m/>
    <m/>
    <m/>
    <m/>
    <m/>
    <n v="63941.426999999996"/>
    <n v="4881.5119999999952"/>
    <m/>
    <m/>
    <m/>
    <m/>
    <n v="-244.31900000000124"/>
    <n v="5125.8609999999999"/>
    <n v="30"/>
    <n v="4879.3925647383221"/>
    <n v="0"/>
    <n v="0"/>
    <n v="0"/>
    <n v="0"/>
    <n v="0"/>
    <n v="0"/>
    <n v="0"/>
    <n v="0"/>
    <n v="0"/>
    <n v="0"/>
    <n v="4996.71896375699"/>
    <n v="149.2192107002827"/>
    <n v="5.7938325258942953"/>
    <n v="0"/>
    <n v="194.01089658030196"/>
    <n v="0"/>
    <n v="-376.10555599945837"/>
    <m/>
    <n v="0"/>
    <n v="0"/>
    <n v="-21.766784289007774"/>
    <n v="0"/>
    <n v="-59.214821668421337"/>
    <n v="-9.263176868281505"/>
    <n v="0"/>
    <n v="0"/>
    <m/>
    <m/>
    <m/>
    <n v="0"/>
    <n v="0"/>
    <n v="0"/>
    <n v="-244.31900000000314"/>
    <n v="5125.861000000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8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29.748000000000001"/>
    <n v="29.748000000000001"/>
    <n v="29.748000000000001"/>
    <n v="29.748000000000001"/>
    <m/>
    <n v="70.33"/>
    <n v="173.82"/>
    <m/>
    <n v="7262.9741999999997"/>
    <n v="7262.9741999999997"/>
    <n v="7863.2888399999993"/>
    <n v="0"/>
    <n v="1582.594388604032"/>
    <n v="0"/>
    <n v="0"/>
    <n v="0"/>
    <n v="0"/>
    <n v="0"/>
    <n v="4787.1116880867276"/>
    <n v="240.83580368320108"/>
    <n v="0"/>
    <n v="0"/>
    <n v="0"/>
    <n v="0"/>
    <n v="281.16312257085713"/>
    <m/>
    <n v="36.968751842611752"/>
    <n v="0"/>
    <n v="0"/>
    <n v="0"/>
    <n v="0"/>
    <n v="0"/>
    <n v="0"/>
    <n v="0"/>
    <n v="0"/>
    <n v="0"/>
    <n v="0"/>
    <n v="0"/>
    <n v="0"/>
    <m/>
    <n v="0"/>
    <n v="0"/>
    <n v="0"/>
    <n v="5.5507871474669006"/>
    <n v="142.95961666279666"/>
    <n v="185.87233690194628"/>
    <n v="0"/>
    <n v="0"/>
    <n v="0"/>
    <n v="0"/>
    <n v="0"/>
    <m/>
    <m/>
    <m/>
    <m/>
    <m/>
    <m/>
    <m/>
    <m/>
    <m/>
    <n v="5121.4944287989374"/>
    <m/>
    <m/>
    <m/>
    <m/>
    <m/>
    <m/>
    <m/>
    <m/>
    <m/>
    <m/>
    <m/>
    <m/>
    <n v="7863.8174999999992"/>
    <n v="600.81329999999889"/>
    <m/>
    <m/>
    <m/>
    <m/>
    <n v="-30.045480000000154"/>
    <n v="630.36011999999994"/>
    <n v="30"/>
    <n v="600.05031011093524"/>
    <n v="0"/>
    <n v="0"/>
    <n v="0"/>
    <n v="0"/>
    <n v="0"/>
    <n v="0"/>
    <n v="0"/>
    <n v="0"/>
    <n v="0"/>
    <n v="0"/>
    <n v="614.47869257479579"/>
    <n v="18.350446795833051"/>
    <n v="0.71250487796735662"/>
    <n v="0"/>
    <n v="23.858768712157172"/>
    <n v="0"/>
    <n v="-46.252121041223063"/>
    <m/>
    <n v="0"/>
    <n v="0"/>
    <n v="-2.6768015668846772"/>
    <n v="0"/>
    <n v="-7.2820277593723972"/>
    <n v="-1.1391524823383108"/>
    <n v="0"/>
    <n v="0"/>
    <m/>
    <m/>
    <m/>
    <n v="0"/>
    <n v="0"/>
    <n v="0"/>
    <n v="-30.045480000000225"/>
    <n v="630.36012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39"/>
    <s v="Regular"/>
    <s v="Verde"/>
    <s v="A4"/>
    <s v="Comercial"/>
    <s v="Não se aplica"/>
    <s v="Não se aplica"/>
    <s v="Não se aplica"/>
    <s v="Não se aplica"/>
    <s v="CATIVO"/>
    <x v="2"/>
    <n v="3022"/>
    <n v="3022"/>
    <n v="0"/>
    <n v="0"/>
    <n v="0"/>
    <n v="0"/>
    <n v="59.12"/>
    <m/>
    <m/>
    <n v="178660.63999999998"/>
    <m/>
    <n v="178660.63999999998"/>
    <n v="102838.66"/>
    <n v="0"/>
    <n v="0"/>
    <n v="0"/>
    <n v="0"/>
    <n v="1728.7664179943872"/>
    <n v="15463.64245046203"/>
    <n v="145544.95280790603"/>
    <m/>
    <m/>
    <m/>
    <n v="0"/>
    <n v="0"/>
    <n v="0"/>
    <n v="0"/>
    <m/>
    <n v="0"/>
    <n v="3650.7939336153613"/>
    <n v="12272.305325068259"/>
    <n v="0"/>
    <n v="0"/>
    <m/>
    <m/>
    <n v="0"/>
    <n v="0"/>
    <n v="0"/>
    <m/>
    <m/>
    <n v="0"/>
    <m/>
    <n v="0"/>
    <n v="0"/>
    <n v="0"/>
    <n v="0"/>
    <m/>
    <n v="0"/>
    <n v="0"/>
    <n v="851.95"/>
    <n v="4052.92"/>
    <n v="89568.65"/>
    <n v="16"/>
    <m/>
    <m/>
    <m/>
    <m/>
    <m/>
    <m/>
    <m/>
    <m/>
    <m/>
    <n v="0"/>
    <m/>
    <m/>
    <m/>
    <m/>
    <m/>
    <m/>
    <m/>
    <m/>
    <m/>
    <m/>
    <m/>
    <m/>
    <n v="102838.66"/>
    <n v="-75822.010000000009"/>
    <m/>
    <m/>
    <m/>
    <m/>
    <n v="-75821.98"/>
    <n v="0"/>
    <n v="30"/>
    <n v="1249.5292442780628"/>
    <n v="354.46902626785277"/>
    <n v="1191.563314101053"/>
    <n v="0"/>
    <n v="0"/>
    <m/>
    <m/>
    <m/>
    <n v="-296.503096090846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5544.95280790603"/>
    <m/>
    <n v="0"/>
    <n v="0"/>
    <n v="-75821.979999999981"/>
    <m/>
    <n v="0"/>
    <m/>
    <n v="-77058.33637714233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40"/>
    <s v="Sistema de Compensação"/>
    <s v="Verde"/>
    <s v="A4"/>
    <s v="Comercial"/>
    <s v="Não se aplica"/>
    <s v="Não se aplica"/>
    <s v="Não se aplica"/>
    <s v="Não se aplica"/>
    <s v="CATIVO"/>
    <x v="2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75.209999999999994"/>
    <n v="357.81"/>
    <n v="8403.8700000000008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n v="30"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41"/>
    <s v="Regular"/>
    <s v="Convencional"/>
    <s v="B2"/>
    <s v="Rural"/>
    <s v="Não se aplica"/>
    <s v="Não se aplica"/>
    <s v="Não se aplica"/>
    <s v="Não se aplica"/>
    <s v="CATIVO"/>
    <x v="2"/>
    <n v="0"/>
    <n v="0"/>
    <n v="2379.913"/>
    <n v="2379.913"/>
    <n v="2379.913"/>
    <n v="2379.913"/>
    <m/>
    <n v="516.83000000000004"/>
    <n v="173.82"/>
    <m/>
    <n v="1643686.9134499999"/>
    <n v="1643686.9134499999"/>
    <n v="1241005.6338499999"/>
    <n v="0"/>
    <n v="145530.38470144547"/>
    <n v="0"/>
    <n v="0"/>
    <n v="6469.6603900358859"/>
    <n v="81932.340307314647"/>
    <n v="865373.95792256412"/>
    <n v="382980.68236283271"/>
    <n v="19267.455292829705"/>
    <n v="0"/>
    <n v="0"/>
    <n v="0"/>
    <n v="0"/>
    <n v="22493.739764924576"/>
    <m/>
    <n v="3692.5349159904499"/>
    <n v="13799.934524513563"/>
    <n v="45192.919656350095"/>
    <n v="0"/>
    <n v="0"/>
    <n v="0"/>
    <n v="0"/>
    <n v="0"/>
    <n v="0"/>
    <n v="0"/>
    <n v="0"/>
    <n v="0"/>
    <n v="0"/>
    <m/>
    <n v="0"/>
    <n v="0"/>
    <n v="0"/>
    <n v="1320.405759886329"/>
    <n v="11437.120148272368"/>
    <n v="44214.792916507831"/>
    <n v="0"/>
    <n v="5997.49"/>
    <n v="27668.47"/>
    <n v="96962.14"/>
    <n v="10254"/>
    <m/>
    <m/>
    <m/>
    <m/>
    <m/>
    <n v="148911.15641"/>
    <m/>
    <m/>
    <m/>
    <n v="439953.00118749921"/>
    <m/>
    <m/>
    <m/>
    <m/>
    <m/>
    <m/>
    <m/>
    <m/>
    <m/>
    <m/>
    <m/>
    <m/>
    <n v="1092093.1007999999"/>
    <n v="-354346.65321000014"/>
    <m/>
    <m/>
    <m/>
    <m/>
    <n v="-453111.63607000012"/>
    <n v="50430.356469999992"/>
    <n v="30"/>
    <n v="55465.964441864984"/>
    <n v="1339.8864582368733"/>
    <n v="4387.9469825137494"/>
    <n v="0"/>
    <n v="0"/>
    <n v="0"/>
    <n v="0"/>
    <n v="0"/>
    <n v="-1570.9877313129837"/>
    <n v="0"/>
    <n v="0"/>
    <n v="49159.803303810651"/>
    <n v="1468.0807746810333"/>
    <n v="169.4886724749515"/>
    <n v="0"/>
    <n v="5675.4573350384308"/>
    <n v="0"/>
    <n v="-4253.1990615259274"/>
    <m/>
    <n v="0"/>
    <n v="0"/>
    <n v="-214.15069407856572"/>
    <n v="0"/>
    <n v="-582.58009045620929"/>
    <n v="-113.78150751690919"/>
    <n v="0"/>
    <n v="0"/>
    <m/>
    <m/>
    <m/>
    <n v="865373.95792256412"/>
    <n v="0"/>
    <n v="0"/>
    <n v="-453111.63607000001"/>
    <n v="50430.356469999999"/>
    <n v="0"/>
    <n v="0"/>
    <n v="-458169.63250953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2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3.8250000000000002"/>
    <n v="-3.8250000000000002"/>
    <n v="-3.8250000000000002"/>
    <n v="-3.8250000000000002"/>
    <m/>
    <n v="516.83000000000004"/>
    <n v="173.82"/>
    <m/>
    <n v="-2641.7362499999999"/>
    <n v="-2641.7362499999999"/>
    <n v="-1994.5462499999999"/>
    <n v="0"/>
    <n v="-233.89666827444066"/>
    <n v="0"/>
    <n v="0"/>
    <n v="-10.398048580720079"/>
    <n v="-131.68178907190244"/>
    <n v="-1390.8304165126237"/>
    <n v="-615.52716844600411"/>
    <n v="-30.966685124655239"/>
    <n v="0"/>
    <n v="0"/>
    <n v="0"/>
    <n v="0"/>
    <n v="-36.151974715393592"/>
    <m/>
    <n v="-5.9346480538000641"/>
    <n v="-22.17927695519306"/>
    <n v="-72.634133132404045"/>
    <n v="0"/>
    <n v="0"/>
    <n v="0"/>
    <n v="0"/>
    <n v="0"/>
    <n v="0"/>
    <n v="0"/>
    <n v="0"/>
    <n v="0"/>
    <n v="0"/>
    <m/>
    <n v="0"/>
    <n v="0"/>
    <n v="0"/>
    <n v="-2.1221582602243059"/>
    <n v="-18.381757890789203"/>
    <n v="-71.062086263507311"/>
    <n v="0"/>
    <n v="-0.42"/>
    <n v="-1.92"/>
    <n v="-17.04"/>
    <n v="0"/>
    <m/>
    <m/>
    <m/>
    <m/>
    <m/>
    <n v="-239.33024999999998"/>
    <m/>
    <m/>
    <m/>
    <n v="-707.09317086052499"/>
    <m/>
    <m/>
    <m/>
    <m/>
    <m/>
    <m/>
    <m/>
    <m/>
    <m/>
    <m/>
    <m/>
    <m/>
    <n v="-1757.5104000000001"/>
    <n v="567.17984999999999"/>
    <m/>
    <m/>
    <m/>
    <m/>
    <n v="728.24175000000025"/>
    <n v="-81.051749999999998"/>
    <n v="30"/>
    <n v="-89.144987228580931"/>
    <n v="-2.1534676699341695"/>
    <n v="-7.0523154451927894"/>
    <n v="0"/>
    <n v="0"/>
    <n v="0"/>
    <n v="0"/>
    <n v="0"/>
    <n v="2.5248940075843791"/>
    <n v="0"/>
    <n v="0"/>
    <n v="-79.009714908518049"/>
    <n v="-2.3595017814327477"/>
    <n v="-0.27240246690391201"/>
    <n v="0"/>
    <n v="-9.1216041538165484"/>
    <n v="0"/>
    <n v="6.8357483699348052"/>
    <m/>
    <n v="0"/>
    <n v="0"/>
    <n v="0.34418333983238725"/>
    <n v="0"/>
    <n v="0.93632365804758422"/>
    <n v="0.18286982181793121"/>
    <n v="0"/>
    <n v="0"/>
    <m/>
    <m/>
    <m/>
    <n v="-1390.8304165126237"/>
    <n v="0"/>
    <n v="0"/>
    <n v="728.24175000000014"/>
    <n v="-81.05174999999997"/>
    <n v="0"/>
    <n v="0"/>
    <n v="736.37097000981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31.346"/>
    <n v="31.346"/>
    <n v="31.346"/>
    <n v="31.346"/>
    <m/>
    <n v="516.83000000000004"/>
    <n v="173.82"/>
    <m/>
    <n v="21649.1149"/>
    <n v="21649.1149"/>
    <n v="16345.3717"/>
    <n v="0"/>
    <n v="1916.7908401910108"/>
    <n v="0"/>
    <n v="0"/>
    <n v="85.212347924510212"/>
    <n v="1079.1365647706807"/>
    <n v="11397.900715295347"/>
    <n v="5044.2652606819465"/>
    <n v="253.7729965797237"/>
    <n v="0"/>
    <n v="0"/>
    <n v="0"/>
    <n v="0"/>
    <n v="296.26661422973268"/>
    <m/>
    <n v="48.634634743638379"/>
    <n v="181.75989946077951"/>
    <n v="595.23909468453257"/>
    <n v="0"/>
    <n v="0"/>
    <n v="0"/>
    <n v="0"/>
    <n v="0"/>
    <n v="0"/>
    <n v="0"/>
    <n v="0"/>
    <n v="0"/>
    <n v="0"/>
    <m/>
    <n v="0"/>
    <n v="0"/>
    <n v="0"/>
    <n v="17.391156294115316"/>
    <n v="150.63910662605971"/>
    <n v="582.35611921984309"/>
    <n v="0"/>
    <n v="78.900000000000006"/>
    <n v="368.65"/>
    <n v="1491.45"/>
    <n v="159"/>
    <m/>
    <m/>
    <m/>
    <m/>
    <m/>
    <n v="1961.3192199999999"/>
    <m/>
    <m/>
    <m/>
    <n v="5794.6516428219647"/>
    <m/>
    <m/>
    <m/>
    <m/>
    <m/>
    <m/>
    <m/>
    <m/>
    <m/>
    <m/>
    <m/>
    <m/>
    <n v="14385.887999999999"/>
    <n v="-4665.3004200000032"/>
    <m/>
    <m/>
    <m/>
    <m/>
    <n v="-5967.9649400000017"/>
    <n v="664.22173999999995"/>
    <n v="30"/>
    <n v="730.54608357309553"/>
    <n v="17.647737929870971"/>
    <n v="57.793955541179912"/>
    <n v="0"/>
    <n v="0"/>
    <n v="0"/>
    <n v="0"/>
    <n v="0"/>
    <n v="-20.69158890503013"/>
    <n v="0"/>
    <n v="0"/>
    <n v="647.48719569213245"/>
    <n v="19.336194206742704"/>
    <n v="2.2323471183189625"/>
    <n v="0"/>
    <n v="74.751844132165616"/>
    <n v="0"/>
    <n v="-56.019181282085356"/>
    <m/>
    <n v="0"/>
    <n v="0"/>
    <n v="-2.8205937177479825"/>
    <n v="0"/>
    <n v="-7.6732029765123002"/>
    <n v="-1.4986241659359152"/>
    <n v="0"/>
    <n v="0"/>
    <m/>
    <m/>
    <m/>
    <n v="11397.900715295347"/>
    <n v="0"/>
    <n v="0"/>
    <n v="-5967.9649400000017"/>
    <n v="664.22173999999995"/>
    <n v="0"/>
    <n v="0"/>
    <n v="-6034.5841636412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4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45"/>
    <s v="Regular"/>
    <s v="Verde"/>
    <s v="A4"/>
    <s v="Rural"/>
    <s v="Não se aplica"/>
    <s v="Não se aplica"/>
    <s v="Não se aplica"/>
    <s v="Ponta"/>
    <s v="CATIVO"/>
    <x v="2"/>
    <n v="0"/>
    <n v="0"/>
    <n v="45.895000000000003"/>
    <n v="44.059199999999997"/>
    <n v="45.895000000000003"/>
    <n v="44.059199999999997"/>
    <m/>
    <n v="1684.16"/>
    <n v="173.82"/>
    <m/>
    <n v="85271.992100000003"/>
    <n v="85271.992100000003"/>
    <n v="58537.236700000009"/>
    <n v="0"/>
    <n v="2441.6152166526167"/>
    <n v="0"/>
    <n v="0"/>
    <n v="826.08245656255633"/>
    <n v="12602.121219717523"/>
    <n v="53159.832244972866"/>
    <n v="7385.5214106743433"/>
    <n v="371.55974216890257"/>
    <n v="0"/>
    <n v="0"/>
    <n v="0"/>
    <n v="0"/>
    <n v="433.77643910143502"/>
    <m/>
    <n v="57.035123901326692"/>
    <n v="1774.1237118563697"/>
    <n v="5704.6875059475915"/>
    <n v="0"/>
    <n v="0"/>
    <n v="0"/>
    <n v="0"/>
    <n v="0"/>
    <n v="0"/>
    <n v="0"/>
    <n v="0"/>
    <n v="0"/>
    <n v="0"/>
    <m/>
    <n v="0"/>
    <n v="0"/>
    <n v="0"/>
    <n v="8.5637144054387999"/>
    <n v="220.55706624778315"/>
    <n v="286.76250175187658"/>
    <n v="0"/>
    <n v="0"/>
    <n v="0"/>
    <n v="0"/>
    <n v="0"/>
    <m/>
    <m/>
    <m/>
    <m/>
    <m/>
    <n v="2341.4894680000079"/>
    <m/>
    <m/>
    <m/>
    <n v="7901.404693079442"/>
    <m/>
    <m/>
    <m/>
    <m/>
    <m/>
    <m/>
    <m/>
    <m/>
    <m/>
    <m/>
    <m/>
    <m/>
    <n v="56196.767600000006"/>
    <n v="-25664.374815999981"/>
    <m/>
    <m/>
    <m/>
    <m/>
    <n v="-27707.270450000004"/>
    <n v="972.51504999999997"/>
    <n v="30"/>
    <n v="1410.262921037247"/>
    <n v="172.25620400811431"/>
    <n v="553.88911622109572"/>
    <n v="0"/>
    <n v="0"/>
    <n v="0"/>
    <n v="0"/>
    <n v="0"/>
    <n v="-241.63569294420085"/>
    <n v="0"/>
    <n v="0"/>
    <n v="948.0132982291334"/>
    <n v="28.310937061138816"/>
    <n v="1.0992473905577462"/>
    <n v="0"/>
    <n v="36.809136414026284"/>
    <n v="0"/>
    <n v="-71.357438993778487"/>
    <m/>
    <n v="0"/>
    <n v="0"/>
    <n v="-4.1297501651261541"/>
    <n v="0"/>
    <n v="-11.234659944076839"/>
    <n v="-1.7574762396435659"/>
    <n v="0"/>
    <n v="0"/>
    <m/>
    <m/>
    <m/>
    <n v="53159.832244972866"/>
    <n v="0"/>
    <n v="0"/>
    <n v="-27707.270450000004"/>
    <n v="972.51504999999997"/>
    <n v="0"/>
    <n v="0"/>
    <n v="-28145.312880015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6"/>
    <s v="Sistema de Compensação"/>
    <s v="Verde"/>
    <s v="A4"/>
    <s v="Rural"/>
    <s v="Não se aplica"/>
    <s v="Não se aplica"/>
    <s v="Não se aplica"/>
    <s v="Ponta"/>
    <s v="CATIVO"/>
    <x v="2"/>
    <n v="0"/>
    <n v="0"/>
    <n v="3.6840000000000002"/>
    <n v="3.5366399999999998"/>
    <n v="3.6840000000000002"/>
    <n v="3.5366399999999998"/>
    <m/>
    <n v="1684.16"/>
    <n v="173.82"/>
    <m/>
    <n v="6844.7983200000008"/>
    <n v="6844.7983200000008"/>
    <n v="4698.7946400000001"/>
    <n v="0"/>
    <n v="195.98889766092691"/>
    <n v="0"/>
    <n v="0"/>
    <n v="66.309789083265215"/>
    <n v="1011.5745630992342"/>
    <n v="4267.1494060459754"/>
    <n v="592.83714733466127"/>
    <n v="29.82516810437383"/>
    <n v="0"/>
    <n v="0"/>
    <n v="0"/>
    <n v="0"/>
    <n v="34.819313686669283"/>
    <m/>
    <n v="4.5782197723605522"/>
    <n v="142.40923312951008"/>
    <n v="457.91630399631606"/>
    <n v="0"/>
    <n v="0"/>
    <n v="0"/>
    <n v="0"/>
    <n v="0"/>
    <n v="0"/>
    <n v="0"/>
    <n v="0"/>
    <n v="0"/>
    <n v="0"/>
    <m/>
    <n v="0"/>
    <n v="0"/>
    <n v="0"/>
    <n v="0.68741091338133864"/>
    <n v="17.704155835207171"/>
    <n v="23.018478188341071"/>
    <n v="0"/>
    <n v="0"/>
    <n v="0"/>
    <n v="0"/>
    <n v="0"/>
    <m/>
    <m/>
    <m/>
    <m/>
    <m/>
    <n v="187.95178560000048"/>
    <m/>
    <m/>
    <m/>
    <n v="634.24719227159085"/>
    <m/>
    <m/>
    <m/>
    <m/>
    <m/>
    <m/>
    <m/>
    <m/>
    <m/>
    <m/>
    <m/>
    <m/>
    <n v="4515.1283999999996"/>
    <n v="-2055.9079872000002"/>
    <m/>
    <m/>
    <m/>
    <m/>
    <n v="-2224.0676400000002"/>
    <n v="78.063959999999994"/>
    <n v="30"/>
    <n v="113.20206125070717"/>
    <n v="13.827036835513525"/>
    <n v="44.46078013200821"/>
    <n v="0"/>
    <n v="0"/>
    <n v="0"/>
    <n v="0"/>
    <n v="0"/>
    <n v="-19.396141035111327"/>
    <n v="0"/>
    <n v="0"/>
    <n v="76.097199927576526"/>
    <n v="2.2725240687054225"/>
    <n v="8.8236788033875913E-2"/>
    <n v="0"/>
    <n v="2.9546760768988491"/>
    <n v="0"/>
    <n v="-5.727874610591158"/>
    <m/>
    <n v="0"/>
    <n v="0"/>
    <n v="-0.33149579710915589"/>
    <n v="0"/>
    <n v="-0.90180819771171628"/>
    <n v="-0.14107293750619743"/>
    <n v="0"/>
    <n v="0"/>
    <m/>
    <m/>
    <m/>
    <n v="4267.1494060459754"/>
    <n v="0"/>
    <n v="0"/>
    <n v="-2224.0676400000002"/>
    <n v="78.063959999999952"/>
    <n v="0"/>
    <n v="0"/>
    <n v="-2259.2293855534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7"/>
    <s v="Regular"/>
    <s v="Verde"/>
    <s v="A4"/>
    <s v="Rural"/>
    <s v="Não se aplica"/>
    <s v="Não se aplica"/>
    <s v="Não se aplica"/>
    <s v="Fora ponta"/>
    <s v="CATIVO"/>
    <x v="2"/>
    <n v="0"/>
    <n v="0"/>
    <n v="506.72899999999998"/>
    <n v="486.45983999999999"/>
    <n v="506.72899999999998"/>
    <n v="486.45983999999999"/>
    <m/>
    <n v="70.33"/>
    <n v="173.82"/>
    <m/>
    <n v="123717.88535"/>
    <n v="123717.88535"/>
    <n v="133943.67656999998"/>
    <n v="0"/>
    <n v="26957.996233122645"/>
    <n v="0"/>
    <n v="0"/>
    <n v="0"/>
    <n v="0"/>
    <n v="0"/>
    <n v="81543.912820777841"/>
    <n v="4102.4097742565818"/>
    <n v="0"/>
    <n v="0"/>
    <n v="0"/>
    <n v="0"/>
    <n v="4789.3474498187397"/>
    <m/>
    <n v="629.72766748873232"/>
    <n v="0"/>
    <n v="0"/>
    <n v="0"/>
    <n v="0"/>
    <n v="0"/>
    <n v="0"/>
    <n v="0"/>
    <n v="0"/>
    <n v="0"/>
    <n v="0"/>
    <n v="0"/>
    <n v="0"/>
    <m/>
    <n v="0"/>
    <n v="0"/>
    <n v="0"/>
    <n v="94.552400848754701"/>
    <n v="2435.1816455533913"/>
    <n v="3166.1591840119113"/>
    <n v="0"/>
    <n v="0"/>
    <n v="0"/>
    <n v="0"/>
    <n v="0"/>
    <m/>
    <m/>
    <m/>
    <m/>
    <m/>
    <n v="5357.7470627999992"/>
    <m/>
    <m/>
    <m/>
    <n v="87239.806051191888"/>
    <m/>
    <m/>
    <m/>
    <m/>
    <m/>
    <m/>
    <m/>
    <m/>
    <m/>
    <m/>
    <m/>
    <m/>
    <n v="128585.9718"/>
    <n v="9816.7718639999948"/>
    <m/>
    <m/>
    <m/>
    <m/>
    <n v="-511.79629000000256"/>
    <n v="10737.587509999999"/>
    <n v="30"/>
    <n v="10221.288610737"/>
    <n v="0"/>
    <n v="0"/>
    <n v="0"/>
    <n v="0"/>
    <n v="0"/>
    <n v="0"/>
    <n v="0"/>
    <n v="0"/>
    <n v="0"/>
    <n v="0"/>
    <n v="10467.062438138135"/>
    <n v="312.58247796173464"/>
    <n v="12.136845647018973"/>
    <n v="0"/>
    <n v="406.41152382488553"/>
    <n v="0"/>
    <n v="-787.86106773893698"/>
    <m/>
    <n v="0"/>
    <n v="0"/>
    <n v="-45.596778982987871"/>
    <n v="0"/>
    <n v="-124.04244468465276"/>
    <n v="-19.404383428224151"/>
    <n v="0"/>
    <n v="0"/>
    <m/>
    <m/>
    <m/>
    <n v="0"/>
    <n v="0"/>
    <n v="0"/>
    <n v="-511.79628999999841"/>
    <n v="10737.5875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8"/>
    <s v="Sistema de Compensação"/>
    <s v="Verde"/>
    <s v="A4"/>
    <s v="Rural"/>
    <s v="Não se aplica"/>
    <s v="Não se aplica"/>
    <s v="Não se aplica"/>
    <s v="Fora ponta"/>
    <s v="CATIVO"/>
    <x v="2"/>
    <n v="0"/>
    <n v="0"/>
    <n v="29.379000000000001"/>
    <n v="28.20384"/>
    <n v="29.379000000000001"/>
    <n v="28.20384"/>
    <m/>
    <n v="70.33"/>
    <n v="173.82"/>
    <m/>
    <n v="7172.88285"/>
    <n v="7172.88285"/>
    <n v="7765.7510700000003"/>
    <n v="0"/>
    <n v="1562.9635788220335"/>
    <n v="0"/>
    <n v="0"/>
    <n v="0"/>
    <n v="0"/>
    <n v="0"/>
    <n v="4727.7314200719366"/>
    <n v="237.84842935352845"/>
    <n v="0"/>
    <n v="0"/>
    <n v="0"/>
    <n v="0"/>
    <n v="277.67552030419563"/>
    <m/>
    <n v="36.510184226976293"/>
    <n v="0"/>
    <n v="0"/>
    <n v="0"/>
    <n v="0"/>
    <n v="0"/>
    <n v="0"/>
    <n v="0"/>
    <n v="0"/>
    <n v="0"/>
    <n v="0"/>
    <n v="0"/>
    <n v="0"/>
    <m/>
    <n v="0"/>
    <n v="0"/>
    <n v="0"/>
    <n v="5.481934099953949"/>
    <n v="141.18631766627348"/>
    <n v="183.56674014529651"/>
    <n v="0"/>
    <n v="0"/>
    <n v="0"/>
    <n v="0"/>
    <n v="0"/>
    <m/>
    <m/>
    <m/>
    <m/>
    <m/>
    <n v="310.63004280000041"/>
    <m/>
    <m/>
    <m/>
    <n v="5057.9664119834606"/>
    <m/>
    <m/>
    <m/>
    <m/>
    <m/>
    <m/>
    <m/>
    <m/>
    <m/>
    <m/>
    <m/>
    <m/>
    <n v="7454.1059999999989"/>
    <n v="568.108463999999"/>
    <m/>
    <m/>
    <m/>
    <m/>
    <n v="-29.672790000000152"/>
    <n v="622.54100999999991"/>
    <n v="30"/>
    <n v="592.60716891048651"/>
    <n v="0"/>
    <n v="0"/>
    <n v="0"/>
    <n v="0"/>
    <n v="0"/>
    <n v="0"/>
    <n v="0"/>
    <n v="0"/>
    <n v="0"/>
    <n v="0"/>
    <n v="606.85657890126822"/>
    <n v="18.122824271035995"/>
    <n v="0.70366682835158567"/>
    <n v="0"/>
    <n v="23.562819886865185"/>
    <n v="0"/>
    <n v="-45.67840070156285"/>
    <m/>
    <n v="0"/>
    <n v="0"/>
    <n v="-2.6435979976302519"/>
    <n v="0"/>
    <n v="-7.1917000653019159"/>
    <n v="-1.1250222125392426"/>
    <n v="0"/>
    <n v="0"/>
    <m/>
    <m/>
    <m/>
    <n v="0"/>
    <n v="0"/>
    <n v="0"/>
    <n v="-29.672790000000077"/>
    <n v="622.54100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49"/>
    <s v="Regular"/>
    <s v="Verde"/>
    <s v="A4"/>
    <s v="Rural"/>
    <s v="Não se aplica"/>
    <s v="Não se aplica"/>
    <s v="Não se aplica"/>
    <s v="Não se aplica"/>
    <s v="CATIVO"/>
    <x v="2"/>
    <n v="2172"/>
    <n v="2085.12"/>
    <n v="0"/>
    <n v="0"/>
    <n v="0"/>
    <n v="0"/>
    <n v="59.12"/>
    <m/>
    <m/>
    <n v="128408.64"/>
    <m/>
    <n v="128408.64"/>
    <n v="73913.16"/>
    <n v="0"/>
    <n v="0"/>
    <n v="0"/>
    <n v="0"/>
    <n v="1242.5151091607574"/>
    <n v="11114.173197353915"/>
    <n v="104607.42471832293"/>
    <m/>
    <m/>
    <m/>
    <n v="0"/>
    <n v="0"/>
    <n v="0"/>
    <n v="0"/>
    <m/>
    <n v="0"/>
    <n v="2623.9326352788103"/>
    <n v="8820.4656406513095"/>
    <n v="0"/>
    <n v="0"/>
    <m/>
    <m/>
    <n v="0"/>
    <n v="0"/>
    <n v="0"/>
    <m/>
    <m/>
    <n v="0"/>
    <m/>
    <n v="0"/>
    <n v="0"/>
    <n v="0"/>
    <n v="0"/>
    <m/>
    <n v="0"/>
    <n v="0"/>
    <n v="1344.12"/>
    <n v="6394.21"/>
    <n v="8611.76"/>
    <n v="15"/>
    <m/>
    <m/>
    <m/>
    <m/>
    <m/>
    <n v="2956.5264000000038"/>
    <m/>
    <m/>
    <m/>
    <n v="0"/>
    <m/>
    <m/>
    <m/>
    <m/>
    <m/>
    <m/>
    <m/>
    <m/>
    <m/>
    <m/>
    <m/>
    <m/>
    <n v="70956.633600000001"/>
    <n v="-52315.690799999968"/>
    <m/>
    <m/>
    <m/>
    <m/>
    <n v="-54495.479999999989"/>
    <n v="0"/>
    <n v="30"/>
    <n v="898.07330197615738"/>
    <n v="254.76728161938308"/>
    <n v="856.41148849354249"/>
    <n v="0"/>
    <n v="0"/>
    <m/>
    <m/>
    <m/>
    <n v="-213.105468136769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4607.42471832293"/>
    <m/>
    <n v="0"/>
    <n v="0"/>
    <n v="-54495.479999999996"/>
    <m/>
    <n v="0"/>
    <m/>
    <n v="-55384.08557615921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50"/>
    <s v="Sistema de Compensação"/>
    <s v="Verde"/>
    <s v="A4"/>
    <s v="Rural"/>
    <s v="Não se aplica"/>
    <s v="Não se aplica"/>
    <s v="Não se aplica"/>
    <s v="Não se aplica"/>
    <s v="CATIVO"/>
    <x v="2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93.61"/>
    <n v="445.33"/>
    <n v="7.2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n v="30"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51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2.65799999999999"/>
    <n v="182.65799999999999"/>
    <n v="182.65799999999999"/>
    <n v="182.65799999999999"/>
    <m/>
    <n v="516.83000000000004"/>
    <n v="173.82"/>
    <m/>
    <n v="126152.74769999999"/>
    <n v="126152.74769999999"/>
    <n v="95247.0141"/>
    <n v="0"/>
    <n v="11169.437289849093"/>
    <n v="0"/>
    <n v="0"/>
    <n v="496.5455575574295"/>
    <n v="6288.29600739753"/>
    <n v="66417.333913558905"/>
    <n v="29393.715433728161"/>
    <n v="1478.7745807841245"/>
    <n v="0"/>
    <n v="0"/>
    <n v="0"/>
    <n v="0"/>
    <n v="1726.391476487415"/>
    <m/>
    <n v="283.40155404209463"/>
    <n v="1059.1431032893211"/>
    <n v="3468.5504548231784"/>
    <n v="0"/>
    <n v="0"/>
    <n v="0"/>
    <n v="0"/>
    <n v="0"/>
    <n v="0"/>
    <n v="0"/>
    <n v="0"/>
    <n v="0"/>
    <n v="0"/>
    <m/>
    <n v="0"/>
    <n v="0"/>
    <n v="0"/>
    <n v="101.34096300550358"/>
    <n v="877.79742034399317"/>
    <n v="3393.4793601881611"/>
    <n v="0"/>
    <n v="440.29"/>
    <n v="2045.48"/>
    <n v="49278.91"/>
    <n v="259"/>
    <m/>
    <m/>
    <m/>
    <m/>
    <m/>
    <m/>
    <m/>
    <m/>
    <m/>
    <n v="33766.333177265813"/>
    <m/>
    <m/>
    <m/>
    <m/>
    <m/>
    <m/>
    <m/>
    <m/>
    <m/>
    <m/>
    <m/>
    <m/>
    <n v="95248.057000000001"/>
    <n v="-30904.720699999976"/>
    <m/>
    <m/>
    <m/>
    <m/>
    <n v="-34776.256620000007"/>
    <n v="3870.5230199999992"/>
    <n v="30"/>
    <n v="4257.0052489406953"/>
    <n v="102.83610396204858"/>
    <n v="336.77433584000619"/>
    <n v="0"/>
    <n v="0"/>
    <n v="0"/>
    <n v="0"/>
    <n v="0"/>
    <n v="-120.57309533002626"/>
    <n v="0"/>
    <n v="0"/>
    <n v="3773.0082368000221"/>
    <n v="112.67500036416811"/>
    <n v="13.008232627381631"/>
    <n v="0"/>
    <n v="435.5905807915874"/>
    <n v="0"/>
    <n v="-326.43245117792321"/>
    <m/>
    <n v="0"/>
    <n v="0"/>
    <n v="-16.436036728654699"/>
    <n v="0"/>
    <n v="-44.712942936380614"/>
    <n v="-8.7327152715345164"/>
    <n v="0"/>
    <n v="0"/>
    <m/>
    <m/>
    <m/>
    <n v="66417.333913558905"/>
    <n v="0"/>
    <n v="0"/>
    <n v="-34776.25662"/>
    <n v="3870.5230200000005"/>
    <n v="0"/>
    <n v="0"/>
    <n v="-35164.457160798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2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0.33900000000000002"/>
    <n v="0.33900000000000002"/>
    <n v="0.33900000000000002"/>
    <n v="0.33900000000000002"/>
    <m/>
    <n v="516.83000000000004"/>
    <n v="173.82"/>
    <m/>
    <n v="234.13035000000002"/>
    <n v="234.13035000000002"/>
    <n v="176.77154999999999"/>
    <n v="0"/>
    <n v="20.729665501970036"/>
    <n v="0"/>
    <n v="0"/>
    <n v="0.921552540879505"/>
    <n v="11.670621305980374"/>
    <n v="123.26575456151097"/>
    <n v="54.552603948547819"/>
    <n v="2.7444983679106212"/>
    <n v="0"/>
    <n v="0"/>
    <n v="0"/>
    <n v="0"/>
    <n v="3.2040573669329224"/>
    <m/>
    <n v="0.52597272947404494"/>
    <n v="1.9656927811269143"/>
    <n v="6.4373780736954176"/>
    <n v="0"/>
    <n v="0"/>
    <n v="0"/>
    <n v="0"/>
    <n v="0"/>
    <n v="0"/>
    <n v="0"/>
    <n v="0"/>
    <n v="0"/>
    <n v="0"/>
    <m/>
    <n v="0"/>
    <n v="0"/>
    <n v="0"/>
    <n v="0.18808147718066395"/>
    <n v="1.6291283463993569"/>
    <n v="6.2980515668833927"/>
    <n v="0"/>
    <n v="0.83"/>
    <n v="3.99"/>
    <n v="202.45"/>
    <n v="1"/>
    <m/>
    <m/>
    <m/>
    <m/>
    <m/>
    <m/>
    <m/>
    <m/>
    <m/>
    <n v="62.667865339011236"/>
    <m/>
    <m/>
    <m/>
    <m/>
    <m/>
    <m/>
    <m/>
    <m/>
    <m/>
    <m/>
    <m/>
    <m/>
    <n v="177.29300000000001"/>
    <n v="-56.867349999999988"/>
    <m/>
    <m/>
    <m/>
    <m/>
    <n v="-64.542210000000026"/>
    <n v="7.1834099999999994"/>
    <n v="30"/>
    <n v="7.9006929857487478"/>
    <n v="0.19085635035494986"/>
    <n v="0.62502874141708631"/>
    <n v="0"/>
    <n v="0"/>
    <n v="0"/>
    <n v="0"/>
    <n v="0"/>
    <n v="-0.22377491988787135"/>
    <n v="0"/>
    <n v="0"/>
    <n v="7.0024296350294435"/>
    <n v="0.2091166284720789"/>
    <n v="2.4142336282464372E-2"/>
    <n v="0"/>
    <n v="0.80842452500491735"/>
    <n v="0"/>
    <n v="-0.60583495357069239"/>
    <m/>
    <n v="0"/>
    <n v="0"/>
    <n v="-3.0504092079262524E-2"/>
    <n v="0"/>
    <n v="-8.2983979105393679E-2"/>
    <n v="-1.6207286168961721E-2"/>
    <n v="0"/>
    <n v="0"/>
    <m/>
    <m/>
    <m/>
    <n v="123.26575456151097"/>
    <n v="0"/>
    <n v="0"/>
    <n v="-64.542210000000011"/>
    <n v="7.183409999999995"/>
    <n v="0"/>
    <n v="0"/>
    <n v="-65.262682047928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3"/>
    <s v="Regular"/>
    <s v="Azul"/>
    <s v="A4"/>
    <s v="Poder público"/>
    <s v="Não se aplica"/>
    <s v="Não se aplica"/>
    <s v="Não se aplica"/>
    <s v="Ponta"/>
    <s v="CATIVO"/>
    <x v="2"/>
    <n v="500"/>
    <n v="500"/>
    <n v="25.507000000000001"/>
    <n v="25.507000000000001"/>
    <n v="25.507000000000001"/>
    <n v="25.507000000000001"/>
    <n v="67.099999999999994"/>
    <n v="70.33"/>
    <n v="173.82"/>
    <n v="33550"/>
    <n v="6227.5340500000002"/>
    <n v="39777.534050000002"/>
    <n v="27762.265309999999"/>
    <n v="0"/>
    <n v="1356.9730761773244"/>
    <n v="0"/>
    <n v="0"/>
    <n v="374.209043067023"/>
    <n v="5708.6165703177003"/>
    <n v="24080.89887622535"/>
    <n v="4104.6409112554848"/>
    <n v="206.50123855544606"/>
    <n v="0"/>
    <n v="0"/>
    <n v="0"/>
    <n v="0"/>
    <n v="241.07932524589395"/>
    <m/>
    <n v="31.698331089468134"/>
    <n v="803.65015205406496"/>
    <n v="2584.1485843891401"/>
    <n v="0"/>
    <n v="0"/>
    <n v="0"/>
    <n v="0"/>
    <n v="0"/>
    <n v="0"/>
    <n v="0"/>
    <n v="0"/>
    <n v="0"/>
    <n v="0"/>
    <m/>
    <n v="0"/>
    <n v="0"/>
    <n v="0"/>
    <n v="4.7594435851296977"/>
    <n v="122.57869242362359"/>
    <n v="159.37359477470568"/>
    <n v="0"/>
    <n v="0"/>
    <n v="0"/>
    <n v="0"/>
    <n v="0"/>
    <m/>
    <m/>
    <m/>
    <m/>
    <m/>
    <m/>
    <m/>
    <m/>
    <m/>
    <n v="4391.3526420389435"/>
    <m/>
    <m/>
    <m/>
    <m/>
    <m/>
    <m/>
    <m/>
    <m/>
    <m/>
    <m/>
    <m/>
    <m/>
    <n v="27763.058300000001"/>
    <n v="-12014.505750000008"/>
    <m/>
    <m/>
    <m/>
    <m/>
    <n v="-12555.762069999999"/>
    <n v="540.49333000000001"/>
    <n v="30"/>
    <n v="733.98026698754802"/>
    <n v="78.0293525294951"/>
    <n v="250.90450162240995"/>
    <n v="0"/>
    <n v="0"/>
    <n v="0"/>
    <n v="0"/>
    <n v="0"/>
    <n v="-109.45820125605042"/>
    <n v="0"/>
    <n v="0"/>
    <n v="526.8760256657697"/>
    <n v="15.734329918694144"/>
    <n v="0.61092718577092064"/>
    <n v="0"/>
    <n v="20.457362294641399"/>
    <n v="0"/>
    <n v="-39.658224129302198"/>
    <m/>
    <n v="0"/>
    <n v="0"/>
    <n v="-2.2951854768901114"/>
    <n v="0"/>
    <n v="-6.2438712538090897"/>
    <n v="-0.97675011318419536"/>
    <n v="0"/>
    <n v="0"/>
    <m/>
    <m/>
    <n v="24080.89887622535"/>
    <n v="0"/>
    <n v="0"/>
    <n v="0"/>
    <n v="-12555.762070000004"/>
    <n v="540.49333000000024"/>
    <n v="0"/>
    <n v="0"/>
    <n v="-12749.55929469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4"/>
    <s v="Regular"/>
    <s v="Azul"/>
    <s v="A4"/>
    <s v="Poder público"/>
    <s v="Não se aplica"/>
    <s v="Não se aplica"/>
    <s v="Não se aplica"/>
    <s v="Fora ponta"/>
    <s v="CATIVO"/>
    <x v="2"/>
    <n v="488"/>
    <n v="488"/>
    <n v="147.53"/>
    <n v="147.53"/>
    <n v="147.53"/>
    <n v="147.53"/>
    <n v="59.12"/>
    <n v="70.33"/>
    <n v="173.82"/>
    <n v="28850.559999999998"/>
    <n v="36019.449500000002"/>
    <n v="64870.0095"/>
    <n v="55603.244900000005"/>
    <n v="0"/>
    <n v="7848.599910943688"/>
    <n v="0"/>
    <n v="0"/>
    <n v="279.16545730683686"/>
    <n v="2497.1070535491299"/>
    <n v="23502.957303195944"/>
    <n v="23740.842656428493"/>
    <n v="1194.3830212916046"/>
    <n v="0"/>
    <n v="0"/>
    <n v="0"/>
    <n v="0"/>
    <n v="1394.3793018985664"/>
    <m/>
    <n v="183.34005510758746"/>
    <n v="589.53919245674933"/>
    <n v="1981.7620776417307"/>
    <n v="0"/>
    <n v="0"/>
    <n v="0"/>
    <n v="0"/>
    <n v="0"/>
    <n v="0"/>
    <n v="0"/>
    <n v="0"/>
    <n v="0"/>
    <n v="0"/>
    <m/>
    <n v="0"/>
    <n v="0"/>
    <n v="0"/>
    <n v="27.528157451451925"/>
    <n v="708.98320042565524"/>
    <n v="921.80132658142179"/>
    <n v="0"/>
    <n v="0"/>
    <n v="0"/>
    <n v="0"/>
    <n v="0"/>
    <m/>
    <m/>
    <m/>
    <m/>
    <m/>
    <m/>
    <m/>
    <m/>
    <m/>
    <n v="25399.155340887024"/>
    <m/>
    <m/>
    <m/>
    <m/>
    <m/>
    <m/>
    <m/>
    <m/>
    <m/>
    <m/>
    <m/>
    <m/>
    <n v="55603.244900000005"/>
    <n v="-9266.7946000000011"/>
    <m/>
    <m/>
    <m/>
    <m/>
    <n v="-12392.925299999999"/>
    <n v="3126.1606999999999"/>
    <n v="30"/>
    <n v="3177.6215608130005"/>
    <n v="57.240531045238868"/>
    <n v="192.41657752525271"/>
    <n v="0"/>
    <n v="0"/>
    <n v="0"/>
    <n v="0"/>
    <n v="0"/>
    <n v="-47.880049931281519"/>
    <n v="0"/>
    <n v="0"/>
    <n v="3047.3995399878877"/>
    <n v="91.005829494058275"/>
    <n v="3.5335432515303218"/>
    <n v="0"/>
    <n v="118.32338806321604"/>
    <n v="0"/>
    <n v="-229.37930002728444"/>
    <m/>
    <n v="0"/>
    <n v="0"/>
    <n v="-13.275128921692158"/>
    <n v="0"/>
    <n v="-36.113942293270611"/>
    <n v="-5.6494273806431181"/>
    <n v="0"/>
    <n v="0"/>
    <m/>
    <m/>
    <n v="23502.957303195944"/>
    <n v="0"/>
    <n v="0"/>
    <n v="0"/>
    <n v="-12392.925299999995"/>
    <n v="3126.1607000000004"/>
    <n v="0"/>
    <n v="0"/>
    <n v="-12443.56987162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5"/>
    <s v="Regular"/>
    <s v="Azul"/>
    <s v="A4"/>
    <s v="Poder público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42.47"/>
    <n v="2104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56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93400000000003"/>
    <n v="288.93400000000003"/>
    <n v="288.93400000000003"/>
    <n v="288.93400000000003"/>
    <m/>
    <n v="284.26"/>
    <n v="95.6"/>
    <m/>
    <n v="109754.46924000001"/>
    <n v="109754.46924000001"/>
    <n v="82863.381860000009"/>
    <n v="0"/>
    <n v="9717.4862674938704"/>
    <n v="0"/>
    <n v="0"/>
    <n v="431.99800594561515"/>
    <n v="5470.8602154341406"/>
    <n v="57783.531388382129"/>
    <n v="25572.731970791621"/>
    <n v="1286.5439241552745"/>
    <n v="0"/>
    <n v="0"/>
    <n v="0"/>
    <n v="0"/>
    <n v="1501.9723043999063"/>
    <m/>
    <n v="246.56127592867193"/>
    <n v="921.46169000639509"/>
    <n v="3017.6624424478227"/>
    <n v="0"/>
    <n v="0"/>
    <n v="0"/>
    <n v="0"/>
    <n v="0"/>
    <n v="0"/>
    <n v="0"/>
    <n v="0"/>
    <n v="0"/>
    <n v="0"/>
    <m/>
    <n v="0"/>
    <n v="0"/>
    <n v="0"/>
    <n v="88.167325782433181"/>
    <n v="763.68971475281376"/>
    <n v="2952.3500804844662"/>
    <n v="0"/>
    <n v="470.12"/>
    <n v="2236.62"/>
    <n v="31649.55"/>
    <n v="15"/>
    <m/>
    <m/>
    <m/>
    <m/>
    <m/>
    <m/>
    <m/>
    <m/>
    <m/>
    <n v="29376.939091811335"/>
    <m/>
    <m/>
    <m/>
    <m/>
    <m/>
    <m/>
    <m/>
    <m/>
    <m/>
    <m/>
    <m/>
    <m/>
    <n v="82862.234700000001"/>
    <n v="-26892.264539999989"/>
    <m/>
    <m/>
    <m/>
    <m/>
    <n v="-30257.168480000004"/>
    <n v="3366.0811000000022"/>
    <n v="30"/>
    <n v="3703.6234658682515"/>
    <n v="89.468108564607064"/>
    <n v="292.99595842162398"/>
    <n v="0"/>
    <n v="0"/>
    <n v="0"/>
    <n v="0"/>
    <n v="0"/>
    <n v="-104.89941146484307"/>
    <n v="0"/>
    <n v="0"/>
    <n v="3282.542779622825"/>
    <n v="98.028015227207675"/>
    <n v="11.31725069407274"/>
    <n v="0"/>
    <n v="378.96676235774157"/>
    <n v="0"/>
    <n v="-283.99844855826814"/>
    <m/>
    <n v="0"/>
    <n v="0"/>
    <n v="-14.299463532319805"/>
    <n v="0"/>
    <n v="-38.90056389486881"/>
    <n v="-7.5975215695241616"/>
    <n v="0"/>
    <n v="0"/>
    <m/>
    <m/>
    <m/>
    <n v="57783.531388382129"/>
    <n v="0"/>
    <n v="0"/>
    <n v="-30257.16848"/>
    <n v="3366.0811000000031"/>
    <n v="0"/>
    <n v="0"/>
    <n v="-30593.316448849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7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9.2629999999999999"/>
    <n v="8.7072199999999995"/>
    <n v="9.2629999999999999"/>
    <n v="8.7072199999999995"/>
    <m/>
    <n v="516.83000000000004"/>
    <n v="173.82"/>
    <m/>
    <n v="6397.4909500000003"/>
    <n v="6397.4909500000003"/>
    <n v="4830.1913500000001"/>
    <n v="0"/>
    <n v="566.42740868657347"/>
    <n v="0"/>
    <n v="0"/>
    <n v="25.18094745181963"/>
    <n v="318.89370252889734"/>
    <n v="3368.1731106291327"/>
    <n v="1490.6217415203494"/>
    <n v="74.992001126714115"/>
    <n v="0"/>
    <n v="0"/>
    <n v="0"/>
    <n v="0"/>
    <n v="87.549213539527017"/>
    <m/>
    <n v="14.371933313032677"/>
    <n v="53.711540506131577"/>
    <n v="175.89803273345325"/>
    <n v="0"/>
    <n v="0"/>
    <n v="0"/>
    <n v="0"/>
    <n v="0"/>
    <n v="0"/>
    <n v="0"/>
    <n v="0"/>
    <n v="0"/>
    <n v="0"/>
    <m/>
    <n v="0"/>
    <n v="0"/>
    <n v="0"/>
    <n v="5.1392292717536581"/>
    <n v="44.51509106990337"/>
    <n v="172.09100785852763"/>
    <n v="0"/>
    <n v="22.95"/>
    <n v="109.3"/>
    <n v="2651.8"/>
    <n v="7"/>
    <m/>
    <m/>
    <m/>
    <m/>
    <n v="289.81148100000019"/>
    <m/>
    <m/>
    <m/>
    <m/>
    <n v="1712.3670697205339"/>
    <m/>
    <m/>
    <m/>
    <m/>
    <m/>
    <m/>
    <m/>
    <m/>
    <m/>
    <m/>
    <m/>
    <m/>
    <n v="4541.8294999999998"/>
    <n v="-1471.841993"/>
    <m/>
    <m/>
    <m/>
    <m/>
    <n v="-1763.5825700000005"/>
    <n v="196.28296999999998"/>
    <n v="30"/>
    <n v="215.88235730675706"/>
    <n v="5.215051248784377"/>
    <n v="17.078587704266852"/>
    <n v="0"/>
    <n v="0"/>
    <n v="0"/>
    <n v="0"/>
    <n v="0"/>
    <n v="-6.1145341679095964"/>
    <n v="0"/>
    <n v="0"/>
    <n v="191.33777495362142"/>
    <n v="5.7140039219376533"/>
    <n v="0.65967687606037551"/>
    <n v="0"/>
    <n v="22.089782817464737"/>
    <n v="0"/>
    <n v="-16.55412735966172"/>
    <m/>
    <n v="0"/>
    <n v="0"/>
    <n v="-0.83350856911566495"/>
    <n v="0"/>
    <n v="-2.2674943907175873"/>
    <n v="-0.44285572797372375"/>
    <n v="0"/>
    <n v="0"/>
    <m/>
    <m/>
    <m/>
    <n v="3368.1731106291327"/>
    <n v="0"/>
    <n v="0"/>
    <n v="-1763.5825700000005"/>
    <n v="196.28296999999998"/>
    <n v="0"/>
    <n v="0"/>
    <n v="-1783.26909678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8"/>
    <s v="Regular"/>
    <s v="Azul"/>
    <s v="A4"/>
    <s v="Serviço público"/>
    <s v="Água, esgoto e saneamento"/>
    <s v="Não se aplica"/>
    <s v="Não se aplica"/>
    <s v="Ponta"/>
    <s v="CATIVO"/>
    <x v="2"/>
    <n v="100"/>
    <n v="94"/>
    <n v="3.1859999999999999"/>
    <n v="2.9948399999999999"/>
    <n v="3.1859999999999999"/>
    <n v="2.9948399999999999"/>
    <n v="67.099999999999994"/>
    <n v="70.33"/>
    <n v="173.82"/>
    <n v="6709.9999999999991"/>
    <n v="777.86189999999999"/>
    <n v="7487.8618999999999"/>
    <n v="5046.1553799999992"/>
    <n v="0"/>
    <n v="169.49528445920552"/>
    <n v="0"/>
    <n v="0"/>
    <n v="74.841808613404609"/>
    <n v="1141.7233140635399"/>
    <n v="4816.1797752450702"/>
    <n v="512.69792383502465"/>
    <n v="25.793427139124599"/>
    <n v="0"/>
    <n v="0"/>
    <n v="0"/>
    <n v="0"/>
    <n v="30.112468351174897"/>
    <m/>
    <n v="3.9593399008525294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59448728828255837"/>
    <n v="15.310923043151478"/>
    <n v="19.906859801317765"/>
    <n v="0"/>
    <n v="0"/>
    <n v="0"/>
    <n v="0"/>
    <n v="0"/>
    <m/>
    <m/>
    <m/>
    <m/>
    <n v="302.7693228"/>
    <m/>
    <m/>
    <m/>
    <m/>
    <n v="548.51019396777644"/>
    <m/>
    <m/>
    <m/>
    <m/>
    <m/>
    <m/>
    <m/>
    <m/>
    <m/>
    <m/>
    <m/>
    <m/>
    <n v="4742.1066999999994"/>
    <n v="-2296.5134860000007"/>
    <m/>
    <m/>
    <m/>
    <m/>
    <n v="-2509.2178599999997"/>
    <n v="67.51133999999999"/>
    <n v="30"/>
    <n v="108.16030094401731"/>
    <n v="15.60587050589902"/>
    <n v="50.180900324482081"/>
    <n v="0"/>
    <n v="0"/>
    <n v="0"/>
    <n v="0"/>
    <n v="0"/>
    <n v="-21.891640251209992"/>
    <n v="0"/>
    <n v="0"/>
    <n v="65.810444888506709"/>
    <n v="1.9653261897110408"/>
    <n v="7.6309013755680888E-2"/>
    <n v="0"/>
    <n v="2.5552654671551949"/>
    <n v="0"/>
    <n v="-4.9535853717001714"/>
    <m/>
    <n v="0"/>
    <n v="0"/>
    <n v="-0.2866844760015681"/>
    <n v="0"/>
    <n v="-0.77990252929140169"/>
    <n v="-0.12200281728956153"/>
    <n v="0"/>
    <n v="0"/>
    <m/>
    <m/>
    <n v="4816.1797752450702"/>
    <n v="0"/>
    <n v="0"/>
    <n v="0"/>
    <n v="-2509.2178599999997"/>
    <n v="67.511339999999905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59"/>
    <s v="Regular"/>
    <s v="Azul"/>
    <s v="A4"/>
    <s v="Serviço público"/>
    <s v="Água, esgoto e saneamento"/>
    <s v="Não se aplica"/>
    <s v="Não se aplica"/>
    <s v="Fora ponta"/>
    <s v="CATIVO"/>
    <x v="2"/>
    <n v="100"/>
    <n v="94"/>
    <n v="29.164000000000001"/>
    <n v="27.414159999999999"/>
    <n v="29.164000000000001"/>
    <n v="27.414159999999999"/>
    <n v="59.12"/>
    <n v="70.33"/>
    <n v="173.82"/>
    <n v="5912"/>
    <n v="7120.3905999999997"/>
    <n v="13032.390599999999"/>
    <n v="11111.920119999999"/>
    <n v="0"/>
    <n v="1551.5255731224952"/>
    <n v="0"/>
    <n v="0"/>
    <n v="57.206036333368203"/>
    <n v="511.70226507154302"/>
    <n v="4816.1797752450702"/>
    <n v="4693.1331609305271"/>
    <n v="236.10781829423411"/>
    <n v="0"/>
    <n v="0"/>
    <n v="0"/>
    <n v="0"/>
    <n v="275.64344852280755"/>
    <m/>
    <n v="36.242997133855361"/>
    <n v="120.807211569006"/>
    <n v="406.098786401994"/>
    <n v="0"/>
    <n v="0"/>
    <n v="0"/>
    <n v="0"/>
    <n v="0"/>
    <n v="0"/>
    <n v="0"/>
    <n v="0"/>
    <n v="0"/>
    <n v="0"/>
    <m/>
    <n v="0"/>
    <n v="0"/>
    <n v="0"/>
    <n v="5.4418164706442349"/>
    <n v="140.15309467371929"/>
    <n v="182.22337076134065"/>
    <n v="0"/>
    <n v="0"/>
    <n v="0"/>
    <n v="0"/>
    <n v="0"/>
    <m/>
    <m/>
    <m/>
    <m/>
    <n v="666.71520720000058"/>
    <m/>
    <m/>
    <m/>
    <m/>
    <n v="5020.9514428362309"/>
    <m/>
    <m/>
    <m/>
    <m/>
    <m/>
    <m/>
    <m/>
    <m/>
    <m/>
    <m/>
    <m/>
    <m/>
    <n v="10444.105299999999"/>
    <n v="-1806.3718640000006"/>
    <m/>
    <m/>
    <m/>
    <m/>
    <n v="-2538.4556399999997"/>
    <n v="617.98515999999995"/>
    <n v="30"/>
    <n v="629.61813724002241"/>
    <n v="11.729617017467007"/>
    <n v="39.429626542059964"/>
    <n v="0"/>
    <n v="0"/>
    <n v="0"/>
    <n v="0"/>
    <n v="0"/>
    <n v="-9.8114856416560201"/>
    <n v="0"/>
    <n v="0"/>
    <n v="602.41550995869784"/>
    <n v="17.990198680707124"/>
    <n v="0.69851728724754558"/>
    <n v="0"/>
    <n v="23.390383579445739"/>
    <n v="0"/>
    <n v="-45.344119202844922"/>
    <m/>
    <n v="0"/>
    <n v="0"/>
    <n v="-2.6242517445416524"/>
    <n v="0"/>
    <n v="-7.1390701080522376"/>
    <n v="-1.1167891285099714"/>
    <n v="0"/>
    <n v="0"/>
    <m/>
    <m/>
    <n v="4816.1797752450702"/>
    <n v="0"/>
    <n v="0"/>
    <n v="0"/>
    <n v="-2538.4556400000001"/>
    <n v="617.98516000000018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0"/>
    <s v="Regular"/>
    <s v="Azul"/>
    <s v="A4"/>
    <s v="Serviço público"/>
    <s v="Água, esgoto e saneamento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8.75"/>
    <n v="374.64"/>
    <n v="8788.0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61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84"/>
    <n v="0.84"/>
    <n v="0.84"/>
    <n v="0.84"/>
    <m/>
    <n v="516.83000000000004"/>
    <n v="173.82"/>
    <m/>
    <n v="580.14599999999996"/>
    <n v="580.14599999999996"/>
    <n v="438.01799999999992"/>
    <n v="0"/>
    <n v="51.365542836739905"/>
    <n v="0"/>
    <n v="0"/>
    <n v="2.2834930216483307"/>
    <n v="28.918353678535436"/>
    <n v="305.43726794002714"/>
    <n v="135.17459385480873"/>
    <n v="6.8005269293360522"/>
    <n v="0"/>
    <n v="0"/>
    <n v="0"/>
    <n v="0"/>
    <n v="7.9392571924001611"/>
    <m/>
    <n v="1.3032952588737394"/>
    <n v="4.8707431744737697"/>
    <n v="15.951025315351476"/>
    <n v="0"/>
    <n v="0"/>
    <n v="0"/>
    <n v="0"/>
    <n v="0"/>
    <n v="0"/>
    <n v="0"/>
    <n v="0"/>
    <n v="0"/>
    <n v="0"/>
    <m/>
    <n v="0"/>
    <n v="0"/>
    <n v="0"/>
    <n v="0.46604259832376904"/>
    <n v="4.0367782034674331"/>
    <n v="15.605791493162387"/>
    <n v="0"/>
    <n v="2"/>
    <n v="8.56"/>
    <n v="234.21"/>
    <n v="6"/>
    <m/>
    <m/>
    <m/>
    <m/>
    <m/>
    <m/>
    <m/>
    <m/>
    <m/>
    <n v="155.28320614976235"/>
    <m/>
    <m/>
    <m/>
    <m/>
    <m/>
    <m/>
    <m/>
    <m/>
    <m/>
    <m/>
    <m/>
    <m/>
    <n v="438.01799999999992"/>
    <n v="-142.15800000000002"/>
    <m/>
    <m/>
    <m/>
    <m/>
    <n v="-159.92760000000004"/>
    <n v="17.799599999999998"/>
    <n v="30"/>
    <n v="19.576938371766801"/>
    <n v="0.47291839026005267"/>
    <n v="1.5487437840423368"/>
    <n v="0"/>
    <n v="0"/>
    <n v="0"/>
    <n v="0"/>
    <n v="0"/>
    <n v="-0.55448652715578817"/>
    <n v="0"/>
    <n v="0"/>
    <n v="17.35115307794905"/>
    <n v="0.5181650970989562"/>
    <n v="5.9821718222035636E-2"/>
    <n v="0"/>
    <n v="2.0031758141714757"/>
    <n v="0"/>
    <n v="-1.5011839557503919"/>
    <m/>
    <n v="0"/>
    <n v="0"/>
    <n v="-7.558536090436796E-2"/>
    <n v="0"/>
    <n v="-0.20562401902221517"/>
    <n v="-4.0159647144329957E-2"/>
    <n v="0"/>
    <n v="0"/>
    <m/>
    <m/>
    <m/>
    <n v="305.43726794002714"/>
    <n v="0"/>
    <n v="0"/>
    <n v="-159.92760000000004"/>
    <n v="17.799599999999998"/>
    <n v="0"/>
    <n v="0"/>
    <n v="-161.71284047274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2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0.45"/>
    <n v="1335.94"/>
    <n v="542.04999999999995"/>
    <n v="6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63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2"/>
    <n v="3.57"/>
    <n v="27.3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64"/>
    <s v="Regular"/>
    <s v="Convencional"/>
    <s v="B2"/>
    <s v="Rural"/>
    <s v="Agropecuária rural"/>
    <s v="IRRIG./AQUIC."/>
    <s v="Não se aplica"/>
    <s v="Não se aplica"/>
    <s v="CATIVO"/>
    <x v="2"/>
    <n v="0"/>
    <n v="0"/>
    <n v="82.129000000000005"/>
    <n v="82.129000000000005"/>
    <n v="82.129000000000005"/>
    <n v="82.129000000000005"/>
    <m/>
    <n v="516.83000000000004"/>
    <n v="173.82"/>
    <m/>
    <n v="56722.393850000008"/>
    <n v="56722.393850000008"/>
    <n v="42826.167050000004"/>
    <n v="0"/>
    <n v="5022.1436519507288"/>
    <n v="0"/>
    <n v="0"/>
    <n v="223.26309330351879"/>
    <n v="2827.4231776957586"/>
    <n v="29863.401641245826"/>
    <n v="13216.374069882844"/>
    <n v="664.90532878504848"/>
    <n v="0"/>
    <n v="0"/>
    <n v="0"/>
    <n v="0"/>
    <n v="776.24196899361061"/>
    <m/>
    <n v="127.42659085243019"/>
    <n v="476.22531687661456"/>
    <n v="1559.5735215767875"/>
    <n v="0"/>
    <n v="0"/>
    <n v="0"/>
    <n v="0"/>
    <n v="0"/>
    <n v="0"/>
    <n v="0"/>
    <n v="0"/>
    <n v="0"/>
    <n v="0"/>
    <m/>
    <n v="0"/>
    <n v="0"/>
    <n v="0"/>
    <n v="45.566205425872418"/>
    <n v="394.68637746735334"/>
    <n v="1525.8191065975404"/>
    <n v="0"/>
    <n v="0"/>
    <n v="0"/>
    <n v="0"/>
    <n v="0"/>
    <m/>
    <m/>
    <m/>
    <m/>
    <m/>
    <n v="5138.8115299999999"/>
    <m/>
    <m/>
    <m/>
    <n v="15182.44575937361"/>
    <m/>
    <m/>
    <m/>
    <m/>
    <m/>
    <m/>
    <m/>
    <m/>
    <m/>
    <m/>
    <m/>
    <m/>
    <n v="37687.814400000003"/>
    <n v="-12227.757930000007"/>
    <m/>
    <m/>
    <m/>
    <m/>
    <n v="-15636.540310000004"/>
    <n v="1740.31351"/>
    <n v="30"/>
    <n v="1914.0885375414691"/>
    <n v="46.238469611509458"/>
    <n v="151.42473599953928"/>
    <n v="0"/>
    <n v="0"/>
    <n v="0"/>
    <n v="0"/>
    <n v="0"/>
    <n v="-54.213599986640475"/>
    <n v="0"/>
    <n v="0"/>
    <n v="1696.4676799272347"/>
    <n v="50.662358642428785"/>
    <n v="5.8489260664970999"/>
    <n v="0"/>
    <n v="195.85574576439171"/>
    <n v="0"/>
    <n v="-146.77468702598071"/>
    <m/>
    <n v="0"/>
    <n v="0"/>
    <n v="-7.3901786972795662"/>
    <n v="0"/>
    <n v="-20.10439887889936"/>
    <n v="-3.9265138813293845"/>
    <n v="0"/>
    <n v="0"/>
    <m/>
    <m/>
    <m/>
    <n v="29863.401641245826"/>
    <n v="0"/>
    <n v="0"/>
    <n v="-15636.540310000008"/>
    <n v="1740.31351"/>
    <n v="0"/>
    <n v="0"/>
    <n v="-15811.08794664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5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2"/>
    <n v="0.2"/>
    <n v="0.2"/>
    <n v="0.2"/>
    <m/>
    <n v="516.83000000000004"/>
    <n v="173.82"/>
    <m/>
    <n v="138.13000000000002"/>
    <n v="138.13000000000002"/>
    <n v="104.28999999999999"/>
    <n v="0"/>
    <n v="12.22989115160474"/>
    <n v="0"/>
    <n v="0"/>
    <n v="0.54368881467817409"/>
    <n v="6.8853223044131999"/>
    <n v="72.723159033339797"/>
    <n v="32.1844271082878"/>
    <n v="1.619173078413346"/>
    <n v="0"/>
    <n v="0"/>
    <n v="0"/>
    <n v="0"/>
    <n v="1.8902993315238481"/>
    <m/>
    <n v="0.31030839496993801"/>
    <n v="1.159700755827088"/>
    <n v="3.7978631703217802"/>
    <n v="0"/>
    <n v="0"/>
    <n v="0"/>
    <n v="0"/>
    <n v="0"/>
    <n v="0"/>
    <n v="0"/>
    <n v="0"/>
    <n v="0"/>
    <n v="0"/>
    <m/>
    <n v="0"/>
    <n v="0"/>
    <n v="0"/>
    <n v="0.11096252341042122"/>
    <n v="0.96113766749224594"/>
    <n v="3.7156646412291403"/>
    <n v="0"/>
    <n v="0"/>
    <n v="0"/>
    <n v="0"/>
    <n v="0"/>
    <m/>
    <m/>
    <m/>
    <m/>
    <m/>
    <n v="12.513999999999999"/>
    <m/>
    <m/>
    <m/>
    <n v="36.972191940419606"/>
    <m/>
    <m/>
    <m/>
    <m/>
    <m/>
    <m/>
    <m/>
    <m/>
    <m/>
    <m/>
    <m/>
    <m/>
    <n v="91.77600000000001"/>
    <n v="-29.808000000000007"/>
    <m/>
    <m/>
    <m/>
    <m/>
    <n v="-38.07800000000001"/>
    <n v="4.2379999999999995"/>
    <n v="30"/>
    <n v="4.6611758028016226"/>
    <n v="0.1125996167285841"/>
    <n v="0.36874852001008041"/>
    <n v="0"/>
    <n v="0"/>
    <n v="0"/>
    <n v="0"/>
    <n v="0"/>
    <n v="-0.13202060170375951"/>
    <n v="0"/>
    <n v="0"/>
    <n v="4.1312269233212007"/>
    <n v="0.12337264216641819"/>
    <n v="1.4243266243341809E-2"/>
    <n v="0"/>
    <n v="0.47694662242177976"/>
    <n v="0"/>
    <n v="-0.35742475136913932"/>
    <m/>
    <n v="0"/>
    <n v="0"/>
    <n v="-1.7996514501040117E-2"/>
    <n v="0"/>
    <n v="-4.8958099767194119E-2"/>
    <n v="-9.561820748649974E-3"/>
    <n v="0"/>
    <n v="0"/>
    <m/>
    <m/>
    <m/>
    <n v="72.723159033339797"/>
    <n v="0"/>
    <n v="0"/>
    <n v="-38.078000000000017"/>
    <n v="4.2379999999999995"/>
    <n v="0"/>
    <n v="0"/>
    <n v="-38.50305725541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6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31.27"/>
    <n v="12.507999999999999"/>
    <n v="31.27"/>
    <n v="12.507999999999999"/>
    <m/>
    <n v="516.83000000000004"/>
    <n v="173.82"/>
    <m/>
    <n v="21596.625500000002"/>
    <n v="21596.625500000002"/>
    <n v="16305.7415"/>
    <n v="0"/>
    <n v="1912.143481553401"/>
    <n v="0"/>
    <n v="0"/>
    <n v="85.005746174932511"/>
    <n v="1076.5201422950038"/>
    <n v="11370.265914862677"/>
    <n v="5032.0351783807973"/>
    <n v="253.15771080992661"/>
    <n v="0"/>
    <n v="0"/>
    <n v="0"/>
    <n v="0"/>
    <n v="295.54830048375362"/>
    <m/>
    <n v="48.516717553549803"/>
    <n v="181.3192131735652"/>
    <n v="593.79590667981029"/>
    <n v="0"/>
    <n v="0"/>
    <n v="0"/>
    <n v="0"/>
    <n v="0"/>
    <n v="0"/>
    <n v="0"/>
    <n v="0"/>
    <n v="0"/>
    <n v="0"/>
    <m/>
    <n v="0"/>
    <n v="0"/>
    <n v="0"/>
    <n v="17.348990535219357"/>
    <n v="150.27387431241266"/>
    <n v="580.94416665617609"/>
    <n v="0"/>
    <n v="0"/>
    <n v="0"/>
    <n v="0"/>
    <n v="0"/>
    <m/>
    <m/>
    <m/>
    <m/>
    <m/>
    <m/>
    <n v="10566.070459999999"/>
    <m/>
    <m/>
    <n v="5780.6022098846051"/>
    <m/>
    <m/>
    <m/>
    <m/>
    <m/>
    <m/>
    <m/>
    <m/>
    <m/>
    <m/>
    <m/>
    <m/>
    <n v="5740.5887999999995"/>
    <n v="-1861.4283600000008"/>
    <m/>
    <m/>
    <m/>
    <m/>
    <n v="-5953.4953000000014"/>
    <n v="662.61129999999991"/>
    <n v="30"/>
    <n v="728.77483676803604"/>
    <n v="17.604950075514125"/>
    <n v="57.653831103576067"/>
    <n v="0"/>
    <n v="0"/>
    <n v="0"/>
    <n v="0"/>
    <n v="0"/>
    <n v="-20.641421076382812"/>
    <n v="0"/>
    <n v="0"/>
    <n v="645.91732946127013"/>
    <n v="19.289312602719463"/>
    <n v="2.2269346771464882"/>
    <n v="0"/>
    <n v="74.570604415645334"/>
    <n v="0"/>
    <n v="-55.883359876565009"/>
    <m/>
    <n v="0"/>
    <n v="0"/>
    <n v="-2.8137550422376023"/>
    <n v="0"/>
    <n v="-7.6545988986007956"/>
    <n v="-1.4949906740514294"/>
    <n v="0"/>
    <n v="0"/>
    <m/>
    <m/>
    <m/>
    <n v="11370.265914862677"/>
    <n v="0"/>
    <n v="0"/>
    <n v="-5953.4953000000005"/>
    <n v="662.61130000000048"/>
    <n v="0"/>
    <n v="0"/>
    <n v="-6019.95300188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7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0.1"/>
    <n v="0.04"/>
    <n v="0.1"/>
    <n v="0.04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"/>
    <n v="0"/>
    <n v="0"/>
    <n v="0"/>
    <m/>
    <m/>
    <m/>
    <m/>
    <m/>
    <m/>
    <n v="33.7898"/>
    <m/>
    <m/>
    <n v="18.486095970209803"/>
    <m/>
    <m/>
    <m/>
    <m/>
    <m/>
    <m/>
    <m/>
    <m/>
    <m/>
    <m/>
    <m/>
    <m/>
    <n v="18.3552"/>
    <n v="-5.9856000000000051"/>
    <m/>
    <m/>
    <m/>
    <m/>
    <n v="-19.039000000000005"/>
    <n v="2.1189999999999998"/>
    <n v="30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8"/>
    <s v="Regular"/>
    <s v="Verde"/>
    <s v="A4"/>
    <s v="Rural"/>
    <s v="Agropecuária rural"/>
    <s v="Não se aplica"/>
    <s v="Não se aplica"/>
    <s v="Ponta"/>
    <s v="CATIVO"/>
    <x v="2"/>
    <n v="0"/>
    <n v="0"/>
    <n v="0.623"/>
    <n v="0.59807999999999995"/>
    <n v="0.623"/>
    <n v="0.59807999999999995"/>
    <m/>
    <n v="1684.16"/>
    <n v="173.82"/>
    <m/>
    <n v="1157.5215400000002"/>
    <n v="1157.5215400000002"/>
    <n v="794.61158"/>
    <n v="0"/>
    <n v="33.143616515406478"/>
    <n v="0"/>
    <n v="0"/>
    <n v="11.213626112615156"/>
    <n v="171.06703387915928"/>
    <n v="721.61619977378996"/>
    <n v="100.2544904423165"/>
    <n v="5.0437241392575727"/>
    <n v="0"/>
    <n v="0"/>
    <n v="0"/>
    <n v="0"/>
    <n v="5.8882824176967858"/>
    <m/>
    <n v="0.77422120471786748"/>
    <n v="24.08277748091335"/>
    <n v="77.438072038464952"/>
    <n v="0"/>
    <n v="0"/>
    <n v="0"/>
    <n v="0"/>
    <n v="0"/>
    <n v="0"/>
    <n v="0"/>
    <n v="0"/>
    <n v="0"/>
    <n v="0"/>
    <m/>
    <n v="0"/>
    <n v="0"/>
    <n v="0"/>
    <n v="0.11624782818582355"/>
    <n v="2.9939438342383462"/>
    <n v="3.892647098625539"/>
    <n v="0"/>
    <n v="0"/>
    <n v="0"/>
    <n v="0"/>
    <n v="0"/>
    <m/>
    <m/>
    <m/>
    <m/>
    <m/>
    <n v="31.784463200000069"/>
    <m/>
    <m/>
    <m/>
    <n v="107.25732920336621"/>
    <m/>
    <m/>
    <m/>
    <m/>
    <m/>
    <m/>
    <m/>
    <m/>
    <m/>
    <m/>
    <m/>
    <m/>
    <n v="765.27599999999995"/>
    <n v="-345.97467840000002"/>
    <m/>
    <m/>
    <m/>
    <m/>
    <n v="-376.11133000000001"/>
    <n v="13.201369999999999"/>
    <n v="30"/>
    <n v="19.143562475350279"/>
    <n v="2.3382855452022042"/>
    <n v="7.5187475630404776"/>
    <n v="0"/>
    <n v="0"/>
    <n v="0"/>
    <n v="0"/>
    <n v="0"/>
    <n v="-3.2800748818877139"/>
    <n v="0"/>
    <n v="0"/>
    <n v="12.868771866145536"/>
    <n v="0.38430578034839247"/>
    <n v="1.4921693524729829E-2"/>
    <n v="0"/>
    <n v="0.49966427684798731"/>
    <n v="0"/>
    <n v="-0.96863894744796397"/>
    <m/>
    <n v="0"/>
    <n v="0"/>
    <n v="-5.6059142670739526E-2"/>
    <n v="0"/>
    <n v="-0.15250448077480883"/>
    <n v="-2.3856796977839489E-2"/>
    <n v="0"/>
    <n v="0"/>
    <m/>
    <m/>
    <m/>
    <n v="721.61619977378996"/>
    <n v="0"/>
    <n v="0"/>
    <n v="-376.11133000000007"/>
    <n v="13.201369999999997"/>
    <n v="0"/>
    <n v="0"/>
    <n v="-382.05752095543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69"/>
    <s v="Regular"/>
    <s v="Verde"/>
    <s v="A4"/>
    <s v="Rural"/>
    <s v="Agropecuária rural"/>
    <s v="Não se aplica"/>
    <s v="Não se aplica"/>
    <s v="Fora ponta"/>
    <s v="CATIVO"/>
    <x v="2"/>
    <n v="0"/>
    <n v="0"/>
    <n v="90.587000000000003"/>
    <n v="86.963520000000003"/>
    <n v="90.587000000000003"/>
    <n v="86.963520000000003"/>
    <m/>
    <n v="70.33"/>
    <n v="173.82"/>
    <m/>
    <n v="22116.816050000001"/>
    <n v="22116.816050000001"/>
    <n v="23944.861709999997"/>
    <n v="0"/>
    <n v="4819.2308014143282"/>
    <n v="0"/>
    <n v="0"/>
    <n v="0"/>
    <n v="0"/>
    <n v="0"/>
    <n v="14577.453492292334"/>
    <n v="733.38015827114884"/>
    <n v="0"/>
    <n v="0"/>
    <n v="0"/>
    <n v="0"/>
    <n v="856.18272772375406"/>
    <m/>
    <n v="112.57524281184183"/>
    <n v="0"/>
    <n v="0"/>
    <n v="0"/>
    <n v="0"/>
    <n v="0"/>
    <n v="0"/>
    <n v="0"/>
    <n v="0"/>
    <n v="0"/>
    <n v="0"/>
    <n v="0"/>
    <n v="0"/>
    <m/>
    <n v="0"/>
    <n v="0"/>
    <n v="0"/>
    <n v="16.902956680367897"/>
    <n v="435.3328894256004"/>
    <n v="566.00838318329329"/>
    <n v="0"/>
    <n v="0"/>
    <n v="0"/>
    <n v="0"/>
    <n v="0"/>
    <m/>
    <m/>
    <m/>
    <m/>
    <m/>
    <n v="957.79446840000014"/>
    <m/>
    <m/>
    <m/>
    <n v="15595.697721581595"/>
    <m/>
    <m/>
    <m/>
    <m/>
    <m/>
    <m/>
    <m/>
    <m/>
    <m/>
    <m/>
    <m/>
    <m/>
    <n v="22986.136799999997"/>
    <n v="1753.9633919999978"/>
    <m/>
    <m/>
    <m/>
    <m/>
    <n v="-91.492870000000465"/>
    <n v="1919.5385299999998"/>
    <n v="30"/>
    <n v="1827.2407369241337"/>
    <n v="0"/>
    <n v="0"/>
    <n v="0"/>
    <n v="0"/>
    <n v="0"/>
    <n v="0"/>
    <n v="0"/>
    <n v="0"/>
    <n v="0"/>
    <n v="0"/>
    <n v="1871.177266514489"/>
    <n v="55.879787679646654"/>
    <n v="2.1696813022868362"/>
    <n v="0"/>
    <n v="72.653431535840468"/>
    <n v="0"/>
    <n v="-140.84445639240494"/>
    <m/>
    <n v="0"/>
    <n v="0"/>
    <n v="-8.1512512955285956"/>
    <n v="0"/>
    <n v="-22.174836918053984"/>
    <n v="-3.4688855021373115"/>
    <n v="0"/>
    <n v="0"/>
    <m/>
    <m/>
    <m/>
    <n v="0"/>
    <n v="0"/>
    <n v="0"/>
    <n v="-91.492870000000948"/>
    <n v="1919.5385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0"/>
    <s v="Regular"/>
    <s v="Verde"/>
    <s v="A4"/>
    <s v="Rural"/>
    <s v="Agropecuária rural"/>
    <s v="Não se aplica"/>
    <s v="Não se aplica"/>
    <s v="Não se aplica"/>
    <s v="CATIVO"/>
    <x v="2"/>
    <n v="1073"/>
    <n v="1030.08"/>
    <n v="0"/>
    <n v="0"/>
    <n v="0"/>
    <n v="0"/>
    <n v="59.12"/>
    <m/>
    <m/>
    <n v="63435.759999999995"/>
    <m/>
    <n v="63435.759999999995"/>
    <n v="36514.19"/>
    <n v="0"/>
    <n v="0"/>
    <n v="0"/>
    <n v="0"/>
    <n v="613.82076985704089"/>
    <n v="5490.5653042176564"/>
    <n v="51677.608988379601"/>
    <m/>
    <m/>
    <m/>
    <n v="0"/>
    <n v="0"/>
    <n v="0"/>
    <n v="0"/>
    <m/>
    <n v="0"/>
    <n v="1296.2613801354344"/>
    <n v="4357.4399780933954"/>
    <n v="0"/>
    <n v="0"/>
    <m/>
    <m/>
    <n v="0"/>
    <n v="0"/>
    <n v="0"/>
    <m/>
    <m/>
    <n v="0"/>
    <m/>
    <n v="0"/>
    <n v="0"/>
    <n v="0"/>
    <n v="0"/>
    <m/>
    <n v="0"/>
    <n v="0"/>
    <n v="397.7"/>
    <n v="1892.04"/>
    <n v="50.53"/>
    <n v="9"/>
    <m/>
    <m/>
    <m/>
    <m/>
    <m/>
    <n v="1460.5676000000026"/>
    <m/>
    <m/>
    <m/>
    <n v="0"/>
    <m/>
    <m/>
    <m/>
    <m/>
    <m/>
    <m/>
    <m/>
    <m/>
    <m/>
    <m/>
    <m/>
    <m/>
    <n v="35053.6224"/>
    <n v="-25844.737199999996"/>
    <m/>
    <m/>
    <m/>
    <m/>
    <n v="-26921.569999999996"/>
    <n v="0"/>
    <n v="30"/>
    <n v="443.66144245875512"/>
    <n v="125.85879059742092"/>
    <n v="423.07989279630419"/>
    <n v="0"/>
    <n v="0"/>
    <m/>
    <m/>
    <m/>
    <n v="-105.277240934969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677.608988379601"/>
    <m/>
    <n v="0"/>
    <n v="0"/>
    <n v="-26921.569999999992"/>
    <m/>
    <n v="0"/>
    <m/>
    <n v="-27360.55424641750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71"/>
    <s v="Regular"/>
    <s v="Verde"/>
    <s v="A4"/>
    <s v="Rural"/>
    <s v="Agropecuária rural"/>
    <s v="IRRIG./AQUIC. PR"/>
    <s v="Não se aplica"/>
    <s v="Fora ponta"/>
    <s v="CATIVO"/>
    <x v="2"/>
    <n v="0"/>
    <n v="0"/>
    <n v="45.994"/>
    <n v="13.7982"/>
    <n v="45.994"/>
    <n v="13.7982"/>
    <m/>
    <n v="70.33"/>
    <n v="173.82"/>
    <m/>
    <n v="11229.435099999999"/>
    <n v="11229.435099999999"/>
    <n v="12157.594019999999"/>
    <n v="0"/>
    <n v="2446.8820192770554"/>
    <n v="0"/>
    <n v="0"/>
    <n v="0"/>
    <n v="0"/>
    <n v="0"/>
    <n v="7401.4527020929445"/>
    <n v="372.36123284271713"/>
    <n v="0"/>
    <n v="0"/>
    <n v="0"/>
    <n v="0"/>
    <n v="434.7121372705393"/>
    <m/>
    <n v="57.158154237228885"/>
    <n v="0"/>
    <n v="0"/>
    <n v="0"/>
    <n v="0"/>
    <n v="0"/>
    <n v="0"/>
    <n v="0"/>
    <n v="0"/>
    <n v="0"/>
    <n v="0"/>
    <n v="0"/>
    <n v="0"/>
    <m/>
    <n v="0"/>
    <n v="0"/>
    <n v="0"/>
    <n v="8.582187174283737"/>
    <n v="221.0328293931918"/>
    <n v="287.38107649146554"/>
    <n v="0"/>
    <n v="0"/>
    <n v="0"/>
    <n v="0"/>
    <n v="0"/>
    <m/>
    <m/>
    <m/>
    <m/>
    <m/>
    <m/>
    <n v="8510.3158139999978"/>
    <m/>
    <m/>
    <n v="7918.448795151885"/>
    <m/>
    <m/>
    <m/>
    <m/>
    <m/>
    <m/>
    <m/>
    <m/>
    <m/>
    <m/>
    <m/>
    <m/>
    <n v="3647.7539999999999"/>
    <n v="278.89346999999998"/>
    <m/>
    <m/>
    <m/>
    <m/>
    <n v="-46.453940000000237"/>
    <n v="974.61285999999984"/>
    <n v="30"/>
    <n v="927.75023407429944"/>
    <n v="0"/>
    <n v="0"/>
    <n v="0"/>
    <n v="0"/>
    <n v="0"/>
    <n v="0"/>
    <n v="0"/>
    <n v="0"/>
    <n v="0"/>
    <n v="0"/>
    <n v="950.05825555617685"/>
    <n v="28.372006519011165"/>
    <n v="1.1016185746010017"/>
    <n v="0"/>
    <n v="36.888537318372926"/>
    <n v="0"/>
    <n v="-71.511363962956239"/>
    <m/>
    <n v="0"/>
    <n v="0"/>
    <n v="-4.1386584398041464"/>
    <n v="0"/>
    <n v="-11.25889420346158"/>
    <n v="-1.7612672876384394"/>
    <n v="0"/>
    <n v="0"/>
    <m/>
    <m/>
    <m/>
    <n v="0"/>
    <n v="0"/>
    <n v="0"/>
    <n v="-46.453939999999875"/>
    <n v="974.61285999999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1"/>
    <n v="0.56999999999999995"/>
    <n v="4.38999999999999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73"/>
    <s v="Regular"/>
    <s v="Convencional"/>
    <s v="B2"/>
    <s v="Rural"/>
    <s v="Aquicultura"/>
    <s v="IRRIG./AQUIC."/>
    <s v="Não se aplica"/>
    <s v="Não se aplica"/>
    <s v="CATIVO"/>
    <x v="2"/>
    <n v="0"/>
    <n v="0"/>
    <n v="4.8000000000000001E-2"/>
    <n v="4.8000000000000001E-2"/>
    <n v="4.8000000000000001E-2"/>
    <n v="4.8000000000000001E-2"/>
    <m/>
    <n v="516.83000000000004"/>
    <n v="173.82"/>
    <m/>
    <n v="33.151200000000003"/>
    <n v="33.151200000000003"/>
    <n v="25.029599999999999"/>
    <n v="0"/>
    <n v="2.9351738763851376"/>
    <n v="0"/>
    <n v="0"/>
    <n v="0.13048531552276177"/>
    <n v="1.6524773530591679"/>
    <n v="17.453558168001553"/>
    <n v="7.7242625059890715"/>
    <n v="0.38860153881920301"/>
    <n v="0"/>
    <n v="0"/>
    <n v="0"/>
    <n v="0"/>
    <n v="0.45367183956572349"/>
    <m/>
    <n v="7.447401479278512E-2"/>
    <n v="0.27832818139850113"/>
    <n v="0.91148716087722725"/>
    <n v="0"/>
    <n v="0"/>
    <n v="0"/>
    <n v="0"/>
    <n v="0"/>
    <n v="0"/>
    <n v="0"/>
    <n v="0"/>
    <n v="0"/>
    <n v="0"/>
    <m/>
    <n v="0"/>
    <n v="0"/>
    <n v="0"/>
    <n v="2.663100561850109E-2"/>
    <n v="0.23067304019813903"/>
    <n v="0.89175951389499364"/>
    <n v="0"/>
    <n v="0"/>
    <n v="0"/>
    <n v="0"/>
    <n v="0"/>
    <m/>
    <m/>
    <m/>
    <m/>
    <m/>
    <n v="3.0033599999999998"/>
    <m/>
    <m/>
    <m/>
    <n v="8.8733260657007058"/>
    <m/>
    <m/>
    <m/>
    <m/>
    <m/>
    <m/>
    <m/>
    <m/>
    <m/>
    <m/>
    <m/>
    <m/>
    <n v="22.944000000000003"/>
    <n v="-6.2589600000000019"/>
    <m/>
    <m/>
    <m/>
    <m/>
    <n v="-9.1387200000000028"/>
    <n v="1.0171199999999998"/>
    <n v="30"/>
    <n v="1.1186821926723862"/>
    <n v="2.7023908014860154E-2"/>
    <n v="8.8499644802419231E-2"/>
    <n v="0"/>
    <n v="0"/>
    <n v="0"/>
    <n v="0"/>
    <n v="0"/>
    <n v="-3.1684944408902238E-2"/>
    <n v="0"/>
    <n v="0"/>
    <n v="0.99149446159708798"/>
    <n v="2.9609434119940353E-2"/>
    <n v="3.4183838984020339E-3"/>
    <n v="0"/>
    <n v="0.11446718938122724"/>
    <n v="0"/>
    <n v="-8.5781940328593542E-2"/>
    <m/>
    <n v="0"/>
    <n v="0"/>
    <n v="-4.3191634802495771E-3"/>
    <n v="0"/>
    <n v="-1.174994394412654E-2"/>
    <n v="-2.2948369796760015E-3"/>
    <n v="0"/>
    <n v="0"/>
    <m/>
    <m/>
    <m/>
    <n v="17.453558168001553"/>
    <n v="0"/>
    <n v="0"/>
    <n v="-9.1387200000000028"/>
    <n v="1.0171199999999985"/>
    <n v="0"/>
    <n v="0"/>
    <n v="-9.240733741299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4"/>
    <s v="Regular"/>
    <s v="Convencional"/>
    <s v="B2"/>
    <s v="Rural"/>
    <s v="Aquicultura"/>
    <s v="IRRIG./AQUIC. PR"/>
    <s v="Não se aplica"/>
    <s v="Não se aplica"/>
    <s v="CATIVO"/>
    <x v="2"/>
    <n v="0"/>
    <n v="0"/>
    <n v="2E-3"/>
    <n v="8.0000000000000004E-4"/>
    <n v="2E-3"/>
    <n v="8.0000000000000004E-4"/>
    <m/>
    <n v="516.83000000000004"/>
    <n v="173.82"/>
    <m/>
    <n v="1.3813"/>
    <n v="1.3813"/>
    <n v="1.0428999999999999"/>
    <n v="0"/>
    <n v="0.1222989115160474"/>
    <n v="0"/>
    <n v="0"/>
    <n v="5.4368881467817404E-3"/>
    <n v="6.8853223044131995E-2"/>
    <n v="0.72723159033339801"/>
    <n v="0.321844271082878"/>
    <n v="1.6191730784133457E-2"/>
    <n v="0"/>
    <n v="0"/>
    <n v="0"/>
    <n v="0"/>
    <n v="1.8902993315238481E-2"/>
    <m/>
    <n v="3.1030839496993799E-3"/>
    <n v="1.159700755827088E-2"/>
    <n v="3.7978631703217802E-2"/>
    <n v="0"/>
    <n v="0"/>
    <n v="0"/>
    <n v="0"/>
    <n v="0"/>
    <n v="0"/>
    <n v="0"/>
    <n v="0"/>
    <n v="0"/>
    <n v="0"/>
    <m/>
    <n v="0"/>
    <n v="0"/>
    <n v="0"/>
    <n v="1.1096252341042121E-3"/>
    <n v="9.6113766749224595E-3"/>
    <n v="3.7156646412291404E-2"/>
    <n v="0"/>
    <n v="0"/>
    <n v="0"/>
    <n v="0"/>
    <n v="0"/>
    <m/>
    <m/>
    <m/>
    <m/>
    <m/>
    <m/>
    <n v="0.67579600000000006"/>
    <m/>
    <m/>
    <n v="0.36972191940419608"/>
    <m/>
    <m/>
    <m/>
    <m/>
    <m/>
    <m/>
    <m/>
    <m/>
    <m/>
    <m/>
    <m/>
    <m/>
    <n v="0"/>
    <n v="-0.51621600000000001"/>
    <m/>
    <m/>
    <m/>
    <m/>
    <n v="-0.38078000000000012"/>
    <n v="4.2379999999999994E-2"/>
    <n v="30"/>
    <n v="4.6611758028016093E-2"/>
    <n v="1.1259961672858403E-3"/>
    <n v="3.6874852001008013E-3"/>
    <n v="0"/>
    <n v="0"/>
    <n v="0"/>
    <n v="0"/>
    <n v="0"/>
    <n v="-1.3202060170375979E-3"/>
    <n v="0"/>
    <n v="0"/>
    <n v="4.1312269233212018E-2"/>
    <n v="1.233726421664182E-3"/>
    <n v="1.4243266243341808E-4"/>
    <n v="0"/>
    <n v="4.7694662242177971E-3"/>
    <n v="0"/>
    <n v="-3.5742475136913976E-3"/>
    <m/>
    <n v="0"/>
    <n v="0"/>
    <n v="-1.7996514501039673E-4"/>
    <n v="0"/>
    <n v="-4.8958099767194146E-4"/>
    <n v="-9.5618207486499775E-5"/>
    <n v="0"/>
    <n v="0"/>
    <m/>
    <m/>
    <m/>
    <n v="0.72723159033339801"/>
    <n v="0"/>
    <n v="0"/>
    <n v="-0.38078000000000001"/>
    <n v="4.2379999999999973E-2"/>
    <n v="0"/>
    <n v="0"/>
    <n v="-0.38503057255415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5"/>
    <s v="Regular"/>
    <s v="Convencional"/>
    <s v="B1"/>
    <s v="Residencial"/>
    <s v="Residencial"/>
    <s v="Não se aplica"/>
    <s v="Não se aplica"/>
    <s v="Não se aplica"/>
    <s v="CATIVO"/>
    <x v="3"/>
    <n v="0"/>
    <n v="0"/>
    <n v="1841.672"/>
    <n v="1841.672"/>
    <n v="1841.672"/>
    <n v="1841.672"/>
    <m/>
    <n v="516.83000000000004"/>
    <n v="173.82"/>
    <m/>
    <n v="1271950.7668000001"/>
    <n v="1271950.7668000001"/>
    <n v="960339.86440000008"/>
    <n v="0"/>
    <n v="112617.24048479102"/>
    <n v="0"/>
    <n v="0"/>
    <n v="5006.4823335299106"/>
    <n v="63402.526495066333"/>
    <n v="669661.02871624485"/>
    <n v="296365.79120687302"/>
    <n v="14909.928608338318"/>
    <n v="0"/>
    <n v="0"/>
    <n v="0"/>
    <n v="0"/>
    <n v="17406.556752430941"/>
    <m/>
    <n v="2857.4314119053784"/>
    <n v="10678.942051927925"/>
    <n v="34972.09130306427"/>
    <n v="0"/>
    <n v="0"/>
    <n v="0"/>
    <n v="0"/>
    <n v="0"/>
    <n v="0"/>
    <n v="0"/>
    <n v="0"/>
    <n v="0"/>
    <n v="0"/>
    <m/>
    <n v="0"/>
    <n v="0"/>
    <n v="0"/>
    <n v="1021.7828620715862"/>
    <n v="8850.5016518288976"/>
    <n v="34215.177655708765"/>
    <n v="0"/>
    <n v="10129.86"/>
    <n v="47738.36"/>
    <n v="525347.75"/>
    <n v="12984"/>
    <m/>
    <m/>
    <m/>
    <m/>
    <m/>
    <m/>
    <m/>
    <m/>
    <m/>
    <n v="340453.25337648223"/>
    <m/>
    <m/>
    <m/>
    <m/>
    <m/>
    <m/>
    <m/>
    <m/>
    <m/>
    <m/>
    <m/>
    <m/>
    <n v="960338.82150000008"/>
    <n v="-311611.97530000005"/>
    <m/>
    <m/>
    <m/>
    <m/>
    <n v="-350635.93208000006"/>
    <n v="39025.02968"/>
    <n v="31"/>
    <n v="42921.784815486404"/>
    <n v="1036.8578066988248"/>
    <n v="3395.5691217200219"/>
    <n v="0"/>
    <n v="0"/>
    <n v="0"/>
    <n v="0"/>
    <n v="0"/>
    <n v="-1215.6932279048342"/>
    <n v="0"/>
    <n v="0"/>
    <n v="38041.824751634034"/>
    <n v="1136.0597032195583"/>
    <n v="131.15712314453901"/>
    <n v="0"/>
    <n v="4391.896200043826"/>
    <n v="0"/>
    <n v="-3291.295783517533"/>
    <m/>
    <n v="0"/>
    <n v="0"/>
    <n v="-165.71838427079638"/>
    <n v="0"/>
    <n v="-450.82380757224018"/>
    <n v="-88.048687709038859"/>
    <n v="0"/>
    <n v="0"/>
    <m/>
    <m/>
    <m/>
    <n v="669661.02871624485"/>
    <n v="0"/>
    <n v="0"/>
    <n v="-350635.93208000006"/>
    <n v="39025.029680000036"/>
    <n v="0"/>
    <n v="0"/>
    <n v="-354550.012308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6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3.097"/>
    <n v="-3.097"/>
    <n v="-3.097"/>
    <n v="-3.097"/>
    <m/>
    <n v="516.83000000000004"/>
    <n v="173.82"/>
    <m/>
    <n v="-2138.9430499999999"/>
    <n v="-2138.9430499999999"/>
    <n v="-1614.93065"/>
    <n v="0"/>
    <n v="-189.3798644825994"/>
    <n v="0"/>
    <n v="0"/>
    <n v="-8.4190212952915253"/>
    <n v="-106.61921588383839"/>
    <n v="-1126.1181176312668"/>
    <n v="-498.37585377183655"/>
    <n v="-25.072895119230662"/>
    <n v="0"/>
    <n v="0"/>
    <n v="0"/>
    <n v="0"/>
    <n v="-29.271285148646786"/>
    <m/>
    <n v="-4.8051254961094898"/>
    <n v="-17.957966203982458"/>
    <n v="-58.809911192432764"/>
    <n v="0"/>
    <n v="0"/>
    <n v="0"/>
    <n v="0"/>
    <n v="0"/>
    <n v="0"/>
    <n v="0"/>
    <n v="0"/>
    <n v="0"/>
    <n v="0"/>
    <m/>
    <n v="0"/>
    <n v="0"/>
    <n v="0"/>
    <n v="-1.7182546750103724"/>
    <n v="-14.883216781117428"/>
    <n v="-57.537066969433234"/>
    <n v="0"/>
    <n v="-7.42"/>
    <n v="-35.99"/>
    <n v="-1039.72"/>
    <n v="0"/>
    <m/>
    <m/>
    <m/>
    <m/>
    <m/>
    <m/>
    <m/>
    <m/>
    <m/>
    <n v="-572.51439219739757"/>
    <m/>
    <m/>
    <m/>
    <m/>
    <m/>
    <m/>
    <m/>
    <m/>
    <m/>
    <m/>
    <m/>
    <m/>
    <n v="-1616.4949999999999"/>
    <n v="522.41805000000022"/>
    <m/>
    <m/>
    <m/>
    <m/>
    <n v="589.63783000000012"/>
    <n v="-65.625429999999994"/>
    <n v="31"/>
    <n v="-72.178307306383317"/>
    <n v="-1.7436050650421251"/>
    <n v="-5.7100708323560951"/>
    <n v="0"/>
    <n v="0"/>
    <n v="0"/>
    <n v="0"/>
    <n v="0"/>
    <n v="2.0443390173827112"/>
    <n v="0"/>
    <n v="0"/>
    <n v="-63.972048907628846"/>
    <n v="-1.9104253639469864"/>
    <n v="-0.22055697777814776"/>
    <n v="0"/>
    <n v="-7.3855184482012604"/>
    <n v="0"/>
    <n v="5.5347222749511502"/>
    <m/>
    <n v="0"/>
    <n v="0"/>
    <n v="0.27867602704860417"/>
    <n v="0"/>
    <n v="0.75811617489500094"/>
    <n v="0.14806479429284547"/>
    <n v="0"/>
    <n v="0"/>
    <m/>
    <m/>
    <m/>
    <n v="-1126.1181176312668"/>
    <n v="0"/>
    <n v="0"/>
    <n v="589.63783000000012"/>
    <n v="-65.625430000000051"/>
    <n v="0"/>
    <n v="0"/>
    <n v="596.21984160010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7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7.097999999999999"/>
    <n v="17.097999999999999"/>
    <n v="17.097999999999999"/>
    <n v="17.097999999999999"/>
    <m/>
    <n v="516.83000000000004"/>
    <n v="173.82"/>
    <m/>
    <n v="11808.733700000001"/>
    <n v="11808.733700000001"/>
    <n v="8915.7520999999979"/>
    <n v="0"/>
    <n v="1045.5333945506891"/>
    <n v="0"/>
    <n v="0"/>
    <n v="46.479956766837091"/>
    <n v="588.62620380428439"/>
    <n v="6217.1028657602192"/>
    <n v="2751.4466734875236"/>
    <n v="138.42310647355691"/>
    <n v="0"/>
    <n v="0"/>
    <n v="0"/>
    <n v="0"/>
    <n v="161.60168985197376"/>
    <m/>
    <n v="26.528264685979998"/>
    <n v="99.142817615657748"/>
    <n v="324.67932243080895"/>
    <n v="0"/>
    <n v="0"/>
    <n v="0"/>
    <n v="0"/>
    <n v="0"/>
    <n v="0"/>
    <n v="0"/>
    <n v="0"/>
    <n v="0"/>
    <n v="0"/>
    <m/>
    <n v="0"/>
    <n v="0"/>
    <n v="0"/>
    <n v="9.4861861263569089"/>
    <n v="82.167659193912101"/>
    <n v="317.65217017867917"/>
    <n v="0"/>
    <n v="93.23"/>
    <n v="443.53"/>
    <n v="14386.61"/>
    <n v="258"/>
    <m/>
    <m/>
    <m/>
    <m/>
    <m/>
    <m/>
    <m/>
    <m/>
    <m/>
    <n v="3160.7526889864721"/>
    <m/>
    <m/>
    <m/>
    <m/>
    <m/>
    <m/>
    <m/>
    <m/>
    <m/>
    <m/>
    <m/>
    <m/>
    <n v="8916.7950000000019"/>
    <n v="-2891.9686999999994"/>
    <m/>
    <m/>
    <m/>
    <m/>
    <n v="-3255.2882200000004"/>
    <n v="362.30661999999995"/>
    <n v="31"/>
    <n v="398.48391938151235"/>
    <n v="9.6261412341266492"/>
    <n v="31.524310975661763"/>
    <n v="0"/>
    <n v="0"/>
    <n v="0"/>
    <n v="0"/>
    <n v="0"/>
    <n v="-11.286441239654323"/>
    <n v="0"/>
    <n v="0"/>
    <n v="353.17858967472966"/>
    <n v="10.547127178807088"/>
    <n v="1.2176568311432909"/>
    <n v="0"/>
    <n v="40.774166750837992"/>
    <n v="0"/>
    <n v="-30.556241994547804"/>
    <m/>
    <n v="0"/>
    <n v="0"/>
    <n v="-1.53852202469389"/>
    <n v="0"/>
    <n v="-4.1854279490974307"/>
    <n v="-0.81744005580209134"/>
    <n v="0"/>
    <n v="0"/>
    <m/>
    <m/>
    <m/>
    <n v="6217.1028657602192"/>
    <n v="0"/>
    <n v="0"/>
    <n v="-3255.2882200000013"/>
    <n v="362.30661999999984"/>
    <n v="0"/>
    <n v="0"/>
    <n v="-3291.6263647654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8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-0.12"/>
    <n v="-0.12"/>
    <n v="-0.12"/>
    <n v="-0.12"/>
    <m/>
    <n v="516.83000000000004"/>
    <n v="173.82"/>
    <m/>
    <n v="-82.878"/>
    <n v="-82.878"/>
    <n v="-62.573999999999998"/>
    <n v="0"/>
    <n v="-7.3379346909628431"/>
    <n v="0"/>
    <n v="0"/>
    <n v="-0.32621328880690442"/>
    <n v="-4.1311933826479192"/>
    <n v="-43.633895420003881"/>
    <n v="-19.310656264972678"/>
    <n v="-0.97150384704800752"/>
    <n v="0"/>
    <n v="0"/>
    <n v="0"/>
    <n v="0"/>
    <n v="-1.1341795989143086"/>
    <m/>
    <n v="-0.18618503698196279"/>
    <n v="-0.69582045349625277"/>
    <n v="-2.2787179021930681"/>
    <n v="0"/>
    <n v="0"/>
    <n v="0"/>
    <n v="0"/>
    <n v="0"/>
    <n v="0"/>
    <n v="0"/>
    <n v="0"/>
    <n v="0"/>
    <n v="0"/>
    <m/>
    <n v="0"/>
    <n v="0"/>
    <n v="0"/>
    <n v="-6.6577514046252728E-2"/>
    <n v="-0.57668260049534747"/>
    <n v="-2.2293987847374841"/>
    <n v="0"/>
    <n v="-0.3"/>
    <n v="-1.38"/>
    <n v="-69.430000000000007"/>
    <n v="4"/>
    <m/>
    <m/>
    <m/>
    <m/>
    <m/>
    <m/>
    <m/>
    <m/>
    <m/>
    <n v="-22.183315164251759"/>
    <m/>
    <m/>
    <m/>
    <m/>
    <m/>
    <m/>
    <m/>
    <m/>
    <m/>
    <m/>
    <m/>
    <m/>
    <n v="-62.573999999999998"/>
    <n v="20.274000000000001"/>
    <m/>
    <m/>
    <m/>
    <m/>
    <n v="22.846800000000005"/>
    <n v="-2.5427999999999997"/>
    <n v="31"/>
    <n v="-2.7967054816809807"/>
    <n v="-6.7559770037150413E-2"/>
    <n v="-0.2212491120060478"/>
    <n v="0"/>
    <n v="0"/>
    <n v="0"/>
    <n v="0"/>
    <n v="0"/>
    <n v="7.9212361022254818E-2"/>
    <n v="0"/>
    <n v="0"/>
    <n v="-2.4787361539927204"/>
    <n v="-7.402358529985098E-2"/>
    <n v="-8.545959746005069E-3"/>
    <n v="0"/>
    <n v="-0.28616797345306777"/>
    <n v="0"/>
    <n v="0.21445485082148341"/>
    <m/>
    <n v="0"/>
    <n v="0"/>
    <n v="1.0797908700624026E-2"/>
    <n v="0"/>
    <n v="2.9374859860316294E-2"/>
    <n v="5.73709244918999E-3"/>
    <n v="0"/>
    <n v="0"/>
    <m/>
    <m/>
    <m/>
    <n v="-43.633895420003881"/>
    <n v="0"/>
    <n v="0"/>
    <n v="22.846800000000009"/>
    <n v="-2.5427999999999997"/>
    <n v="0"/>
    <n v="0"/>
    <n v="23.10183435324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79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4.48"/>
    <n v="24.48"/>
    <n v="24.48"/>
    <n v="24.48"/>
    <m/>
    <n v="446.23"/>
    <n v="173.82"/>
    <m/>
    <n v="15178.824000000001"/>
    <n v="15178.824000000001"/>
    <n v="11086.502400000001"/>
    <n v="0"/>
    <n v="0"/>
    <n v="0"/>
    <n v="0"/>
    <n v="66.547510916608502"/>
    <n v="842.76345006017561"/>
    <n v="8901.3146656807912"/>
    <n v="3939.3738780544268"/>
    <n v="198.18678479779354"/>
    <n v="0"/>
    <n v="0"/>
    <n v="0"/>
    <n v="0"/>
    <n v="0"/>
    <m/>
    <n v="37.981747544320413"/>
    <n v="141.94737251323556"/>
    <n v="464.85845204738587"/>
    <n v="0"/>
    <n v="0"/>
    <n v="0"/>
    <n v="0"/>
    <n v="0"/>
    <n v="0"/>
    <n v="0"/>
    <n v="0"/>
    <n v="0"/>
    <n v="0"/>
    <m/>
    <n v="0"/>
    <n v="0"/>
    <n v="0"/>
    <n v="13.581812865435557"/>
    <n v="117.6432505010509"/>
    <n v="454.79735208644678"/>
    <n v="0"/>
    <n v="106.05"/>
    <n v="499.35"/>
    <n v="1793.04"/>
    <n v="39"/>
    <m/>
    <m/>
    <m/>
    <m/>
    <m/>
    <m/>
    <m/>
    <n v="7206.1776"/>
    <m/>
    <n v="4525.3962935073596"/>
    <m/>
    <m/>
    <m/>
    <m/>
    <m/>
    <m/>
    <m/>
    <m/>
    <m/>
    <m/>
    <m/>
    <m/>
    <n v="3880.3248000000003"/>
    <n v="-1432.354800000001"/>
    <m/>
    <m/>
    <m/>
    <m/>
    <n v="-4611.0528000000004"/>
    <n v="518.73119999999994"/>
    <n v="31"/>
    <n v="620.26917924200734"/>
    <n v="13.78219308757869"/>
    <n v="45.134818849233852"/>
    <n v="0"/>
    <n v="0"/>
    <n v="0"/>
    <n v="0"/>
    <n v="0"/>
    <n v="-16.159321648540072"/>
    <n v="0"/>
    <n v="0"/>
    <n v="505.66217541451488"/>
    <n v="15.100811401169594"/>
    <n v="1.7433757881850358"/>
    <n v="0"/>
    <n v="58.37826658442583"/>
    <n v="0"/>
    <n v="0"/>
    <m/>
    <n v="0"/>
    <n v="0"/>
    <n v="-2.2027733749272898"/>
    <n v="0"/>
    <n v="0"/>
    <n v="-1.1703668596347612"/>
    <n v="0"/>
    <n v="0"/>
    <m/>
    <m/>
    <m/>
    <n v="8901.3146656807912"/>
    <n v="0"/>
    <n v="0"/>
    <n v="-4611.0527999999995"/>
    <n v="518.73120000000017"/>
    <n v="0"/>
    <n v="0"/>
    <n v="-4712.774208062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9.563000000000002"/>
    <n v="49.563000000000002"/>
    <n v="49.563000000000002"/>
    <n v="49.563000000000002"/>
    <m/>
    <n v="446.23"/>
    <n v="173.82"/>
    <m/>
    <n v="30731.53815"/>
    <n v="30731.53815"/>
    <n v="22446.09144"/>
    <n v="0"/>
    <n v="0"/>
    <n v="0"/>
    <n v="0"/>
    <n v="134.73424360947169"/>
    <n v="1706.2861468681572"/>
    <n v="18021.889655847102"/>
    <n v="7975.7838038403406"/>
    <n v="401.25537642700334"/>
    <n v="0"/>
    <n v="0"/>
    <n v="0"/>
    <n v="0"/>
    <n v="0"/>
    <m/>
    <n v="76.899074899475181"/>
    <n v="287.39124280528983"/>
    <n v="941.16746155329201"/>
    <n v="0"/>
    <n v="0"/>
    <n v="0"/>
    <n v="0"/>
    <n v="0"/>
    <n v="0"/>
    <n v="0"/>
    <n v="0"/>
    <n v="0"/>
    <n v="0"/>
    <m/>
    <n v="0"/>
    <n v="0"/>
    <n v="0"/>
    <n v="27.498177738953533"/>
    <n v="238.18433106959094"/>
    <n v="920.79743306619946"/>
    <n v="0"/>
    <n v="217.02"/>
    <n v="1034.9100000000001"/>
    <n v="6487.37"/>
    <n v="173"/>
    <m/>
    <m/>
    <m/>
    <m/>
    <m/>
    <m/>
    <m/>
    <n v="8978.8330800000003"/>
    <m/>
    <n v="9162.263745715085"/>
    <m/>
    <m/>
    <m/>
    <m/>
    <m/>
    <m/>
    <m/>
    <m/>
    <m/>
    <m/>
    <m/>
    <m/>
    <n v="13466.443200000002"/>
    <n v="-4972.509689999999"/>
    <m/>
    <m/>
    <m/>
    <m/>
    <n v="-9335.6866800000007"/>
    <n v="1050.2399699999999"/>
    <n v="31"/>
    <n v="1255.8170478256343"/>
    <n v="27.90387401959407"/>
    <n v="91.381414486297899"/>
    <n v="0"/>
    <n v="0"/>
    <n v="0"/>
    <n v="0"/>
    <n v="0"/>
    <n v="-32.716685411217213"/>
    <n v="0"/>
    <n v="0"/>
    <n v="1023.7800000028437"/>
    <n v="30.573591318470903"/>
    <n v="3.5296950240937477"/>
    <n v="0"/>
    <n v="118.19452723545339"/>
    <n v="0"/>
    <n v="0"/>
    <m/>
    <n v="0"/>
    <n v="0"/>
    <n v="-4.4598062410752277"/>
    <n v="0"/>
    <n v="0"/>
    <n v="-2.3695626088266977"/>
    <n v="0"/>
    <n v="0"/>
    <m/>
    <m/>
    <m/>
    <n v="18021.889655847102"/>
    <n v="0"/>
    <n v="0"/>
    <n v="-9335.6866800000007"/>
    <n v="1050.2399699999987"/>
    <n v="0"/>
    <n v="0"/>
    <n v="-9541.6351337507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43.814"/>
    <n v="43.814"/>
    <n v="43.814"/>
    <n v="43.814"/>
    <m/>
    <n v="446.23"/>
    <n v="173.82"/>
    <m/>
    <n v="27166.870699999999"/>
    <n v="27166.870699999999"/>
    <n v="19842.48432"/>
    <n v="0"/>
    <n v="0"/>
    <n v="0"/>
    <n v="0"/>
    <n v="119.10590863154758"/>
    <n v="1508.3675572277996"/>
    <n v="15931.462449433749"/>
    <n v="7050.6424466126082"/>
    <n v="354.71224628801167"/>
    <n v="0"/>
    <n v="0"/>
    <n v="0"/>
    <n v="0"/>
    <n v="0"/>
    <m/>
    <n v="67.979260086064315"/>
    <n v="254.05564457904018"/>
    <n v="831.99788472239231"/>
    <n v="0"/>
    <n v="0"/>
    <n v="0"/>
    <n v="0"/>
    <n v="0"/>
    <n v="0"/>
    <n v="0"/>
    <n v="0"/>
    <n v="0"/>
    <n v="0"/>
    <m/>
    <n v="0"/>
    <n v="0"/>
    <n v="0"/>
    <n v="24.308560003520974"/>
    <n v="210.55642881752632"/>
    <n v="813.99065295406774"/>
    <n v="0"/>
    <n v="227.71"/>
    <n v="1066.97"/>
    <n v="10121.049999999999"/>
    <n v="455"/>
    <m/>
    <m/>
    <m/>
    <m/>
    <m/>
    <m/>
    <m/>
    <n v="1983.8979200000001"/>
    <m/>
    <n v="8099.4980883877233"/>
    <m/>
    <m/>
    <m/>
    <m/>
    <m/>
    <m/>
    <m/>
    <m/>
    <m/>
    <m/>
    <m/>
    <m/>
    <n v="17856.955999999998"/>
    <n v="-6593.4766999999956"/>
    <m/>
    <m/>
    <m/>
    <m/>
    <n v="-8252.8050400000011"/>
    <n v="928.41865999999993"/>
    <n v="31"/>
    <n v="1110.1500743181878"/>
    <n v="24.667198036730895"/>
    <n v="80.781738278608373"/>
    <n v="0"/>
    <n v="0"/>
    <n v="0"/>
    <n v="0"/>
    <n v="0"/>
    <n v="-28.921753215242461"/>
    <n v="0"/>
    <n v="0"/>
    <n v="905.0278820919757"/>
    <n v="27.027244719397231"/>
    <n v="3.1202723359288882"/>
    <n v="0"/>
    <n v="104.48469657393935"/>
    <n v="0"/>
    <n v="0"/>
    <m/>
    <n v="0"/>
    <n v="0"/>
    <n v="-3.9424964317428248"/>
    <n v="0"/>
    <n v="0"/>
    <n v="-2.0947080714067567"/>
    <n v="0"/>
    <n v="0"/>
    <m/>
    <m/>
    <m/>
    <n v="15931.462449433749"/>
    <n v="0"/>
    <n v="0"/>
    <n v="-8252.8050400000011"/>
    <n v="928.41866000000027"/>
    <n v="0"/>
    <n v="0"/>
    <n v="-8434.8647529438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9.891"/>
    <n v="9.891"/>
    <n v="9.891"/>
    <n v="9.891"/>
    <m/>
    <n v="446.23"/>
    <n v="173.82"/>
    <m/>
    <n v="6132.9145499999995"/>
    <n v="6132.9145499999995"/>
    <n v="4479.4360799999995"/>
    <n v="0"/>
    <n v="0"/>
    <n v="0"/>
    <n v="0"/>
    <n v="26.888130329909096"/>
    <n v="340.51361456475479"/>
    <n v="3596.5238299938196"/>
    <n v="1591.6808426403732"/>
    <n v="80.076204592932015"/>
    <n v="0"/>
    <n v="0"/>
    <n v="0"/>
    <n v="0"/>
    <n v="0"/>
    <m/>
    <n v="15.346301673238283"/>
    <n v="57.353000879428635"/>
    <n v="187.82332308826363"/>
    <n v="0"/>
    <n v="0"/>
    <n v="0"/>
    <n v="0"/>
    <n v="0"/>
    <n v="0"/>
    <n v="0"/>
    <n v="0"/>
    <n v="0"/>
    <n v="0"/>
    <m/>
    <n v="0"/>
    <n v="0"/>
    <n v="0"/>
    <n v="5.4876515952623812"/>
    <n v="47.533063345829021"/>
    <n v="183.75819483198711"/>
    <n v="0"/>
    <n v="70.12"/>
    <n v="325.57"/>
    <n v="3461.29"/>
    <n v="149"/>
    <m/>
    <m/>
    <m/>
    <m/>
    <m/>
    <m/>
    <m/>
    <m/>
    <m/>
    <n v="1828.4597524134517"/>
    <m/>
    <m/>
    <m/>
    <m/>
    <m/>
    <m/>
    <m/>
    <m/>
    <m/>
    <m/>
    <m/>
    <m/>
    <n v="4478.9831999999997"/>
    <n v="-1653.9613500000005"/>
    <m/>
    <m/>
    <m/>
    <m/>
    <n v="-1863.0687600000001"/>
    <n v="209.59028999999998"/>
    <n v="31"/>
    <n v="250.61611323050192"/>
    <n v="5.5686140453121311"/>
    <n v="18.236458057098503"/>
    <n v="0"/>
    <n v="0"/>
    <n v="0"/>
    <n v="0"/>
    <n v="0"/>
    <n v="-6.5290788572594352"/>
    <n v="0"/>
    <n v="0"/>
    <n v="204.30982749284999"/>
    <n v="6.1013940183402084"/>
    <n v="0.70440073206446829"/>
    <n v="0"/>
    <n v="23.587395211869136"/>
    <n v="0"/>
    <n v="0"/>
    <m/>
    <n v="0"/>
    <n v="0"/>
    <n v="-0.89001762464893375"/>
    <n v="0"/>
    <n v="0"/>
    <n v="-0.47287984512448666"/>
    <n v="0"/>
    <n v="0"/>
    <m/>
    <m/>
    <m/>
    <n v="3596.5238299938196"/>
    <n v="0"/>
    <n v="0"/>
    <n v="-1863.0687600000001"/>
    <n v="209.59028999999987"/>
    <n v="0"/>
    <n v="0"/>
    <n v="-1904.1686965665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3"/>
    <s v="Regular"/>
    <s v="Convencional"/>
    <s v="B3"/>
    <s v="Industrial"/>
    <s v="Não se aplica"/>
    <s v="Não se aplica"/>
    <s v="Não se aplica"/>
    <s v="Não se aplica"/>
    <s v="CATIVO"/>
    <x v="3"/>
    <n v="0"/>
    <n v="0"/>
    <n v="70.260999999999996"/>
    <n v="70.260999999999996"/>
    <n v="70.260999999999996"/>
    <n v="70.260999999999996"/>
    <m/>
    <n v="516.83000000000004"/>
    <n v="173.82"/>
    <m/>
    <n v="48525.75965"/>
    <n v="48525.75965"/>
    <n v="36637.598449999998"/>
    <n v="0"/>
    <n v="4296.4219110145032"/>
    <n v="0"/>
    <n v="0"/>
    <n v="191.00059904051591"/>
    <n v="2418.8481521518788"/>
    <n v="25548.009384207438"/>
    <n v="11306.550165277044"/>
    <n v="568.8235983120004"/>
    <n v="0"/>
    <n v="0"/>
    <n v="0"/>
    <n v="0"/>
    <n v="664.07160666098537"/>
    <m/>
    <n v="109.01289069491406"/>
    <n v="407.40867402583513"/>
    <n v="1334.2083210498929"/>
    <n v="0"/>
    <n v="0"/>
    <n v="0"/>
    <n v="0"/>
    <n v="0"/>
    <n v="0"/>
    <n v="0"/>
    <n v="0"/>
    <n v="0"/>
    <n v="0"/>
    <m/>
    <n v="0"/>
    <n v="0"/>
    <n v="0"/>
    <n v="38.981689286698021"/>
    <n v="337.65246827836341"/>
    <n v="1305.3315667870029"/>
    <n v="0"/>
    <n v="389"/>
    <n v="1821.65"/>
    <n v="10356.56"/>
    <n v="34"/>
    <m/>
    <m/>
    <m/>
    <m/>
    <m/>
    <m/>
    <m/>
    <m/>
    <m/>
    <n v="12988.515889629109"/>
    <m/>
    <m/>
    <m/>
    <m/>
    <m/>
    <m/>
    <m/>
    <m/>
    <m/>
    <m/>
    <m/>
    <m/>
    <n v="36637.077000000005"/>
    <n v="-11888.712650000001"/>
    <m/>
    <m/>
    <m/>
    <m/>
    <n v="-13376.991790000002"/>
    <n v="1488.8305899999998"/>
    <n v="31"/>
    <n v="1637.4943654032359"/>
    <n v="39.556808354835198"/>
    <n v="129.54319882214122"/>
    <n v="0"/>
    <n v="0"/>
    <n v="0"/>
    <n v="0"/>
    <n v="0"/>
    <n v="-46.379497481539147"/>
    <n v="0"/>
    <n v="0"/>
    <n v="1451.3206742973562"/>
    <n v="43.341426056273576"/>
    <n v="5.0037306476171892"/>
    <n v="0"/>
    <n v="167.55373318988359"/>
    <n v="0"/>
    <n v="-125.56510227973649"/>
    <m/>
    <n v="0"/>
    <n v="0"/>
    <n v="-6.3222655267877599"/>
    <n v="0"/>
    <n v="-17.199225238714121"/>
    <n v="-3.3591154381044959"/>
    <n v="0"/>
    <n v="0"/>
    <m/>
    <m/>
    <m/>
    <n v="25548.009384207438"/>
    <n v="0"/>
    <n v="0"/>
    <n v="-13376.991790000004"/>
    <n v="1488.8305899999996"/>
    <n v="0"/>
    <n v="0"/>
    <n v="-13526.316529113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4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1.4219999999999999"/>
    <n v="1.4219999999999999"/>
    <n v="1.4219999999999999"/>
    <n v="1.4219999999999999"/>
    <m/>
    <n v="516.83000000000004"/>
    <n v="173.82"/>
    <m/>
    <n v="982.10429999999997"/>
    <n v="982.10429999999997"/>
    <n v="741.50189999999998"/>
    <n v="0"/>
    <n v="86.954526087909699"/>
    <n v="0"/>
    <n v="0"/>
    <n v="3.8656274723618171"/>
    <n v="48.954641584377846"/>
    <n v="517.06166072704593"/>
    <n v="228.83127673992624"/>
    <n v="11.512320587518888"/>
    <n v="0"/>
    <n v="0"/>
    <n v="0"/>
    <n v="0"/>
    <n v="13.440028247134558"/>
    <m/>
    <n v="2.206292688236259"/>
    <n v="8.2454723739305944"/>
    <n v="27.002807140987855"/>
    <n v="0"/>
    <n v="0"/>
    <n v="0"/>
    <n v="0"/>
    <n v="0"/>
    <n v="0"/>
    <n v="0"/>
    <n v="0"/>
    <n v="0"/>
    <n v="0"/>
    <m/>
    <n v="0"/>
    <n v="0"/>
    <n v="0"/>
    <n v="0.78894354144809475"/>
    <n v="6.8336888158698681"/>
    <n v="26.418375599139186"/>
    <n v="0"/>
    <n v="7.86"/>
    <n v="36.869999999999997"/>
    <n v="330.35"/>
    <n v="3"/>
    <m/>
    <m/>
    <m/>
    <m/>
    <m/>
    <m/>
    <m/>
    <m/>
    <m/>
    <n v="262.87228469638342"/>
    <m/>
    <m/>
    <m/>
    <m/>
    <m/>
    <m/>
    <m/>
    <m/>
    <m/>
    <m/>
    <m/>
    <m/>
    <n v="740.45899999999995"/>
    <n v="-241.67529999999999"/>
    <m/>
    <m/>
    <m/>
    <m/>
    <n v="-270.73458000000005"/>
    <n v="30.132179999999995"/>
    <n v="31"/>
    <n v="33.14095995791962"/>
    <n v="0.80058327494023374"/>
    <n v="2.6218019772716694"/>
    <n v="0"/>
    <n v="0"/>
    <n v="0"/>
    <n v="0"/>
    <n v="0"/>
    <n v="-0.93866647811373127"/>
    <n v="0"/>
    <n v="0"/>
    <n v="29.373023424813766"/>
    <n v="0.87717948580323313"/>
    <n v="0.10126962299016018"/>
    <n v="0"/>
    <n v="3.3910904854188573"/>
    <n v="0"/>
    <n v="-2.5412899822345878"/>
    <m/>
    <n v="0"/>
    <n v="0"/>
    <n v="-0.12795521810239308"/>
    <n v="0"/>
    <n v="-0.34809208934474967"/>
    <n v="-6.7984545522901563E-2"/>
    <n v="0"/>
    <n v="0"/>
    <m/>
    <m/>
    <m/>
    <n v="517.06166072704593"/>
    <n v="0"/>
    <n v="0"/>
    <n v="-270.73458000000005"/>
    <n v="30.132180000000005"/>
    <n v="0"/>
    <n v="0"/>
    <n v="-273.75673708600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5"/>
    <s v="Regular"/>
    <s v="Azul"/>
    <s v="A4"/>
    <s v="Industrial"/>
    <s v="Não se aplica"/>
    <s v="Não se aplica"/>
    <s v="Não se aplica"/>
    <s v="Ponta"/>
    <s v="CATIVO"/>
    <x v="3"/>
    <n v="1200"/>
    <n v="1200"/>
    <n v="48.942999999999998"/>
    <n v="48.942999999999998"/>
    <n v="48.942999999999998"/>
    <n v="48.942999999999998"/>
    <n v="67.099999999999994"/>
    <n v="70.33"/>
    <n v="173.82"/>
    <n v="80520"/>
    <n v="11949.43345"/>
    <n v="92469.433449999997"/>
    <n v="63385.103189999994"/>
    <n v="0"/>
    <n v="2603.768897453514"/>
    <n v="0"/>
    <n v="0"/>
    <n v="898.10170336085525"/>
    <n v="13700.67976876248"/>
    <n v="57794.157302940846"/>
    <n v="7876.0120798046482"/>
    <n v="396.2359398839219"/>
    <n v="0"/>
    <n v="0"/>
    <n v="0"/>
    <n v="0"/>
    <n v="462.58460091385842"/>
    <m/>
    <n v="60.822966970315548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9.132451773513262"/>
    <n v="235.20480430036494"/>
    <n v="305.80710585558546"/>
    <n v="0"/>
    <n v="0"/>
    <n v="0"/>
    <n v="0"/>
    <n v="0"/>
    <m/>
    <m/>
    <m/>
    <m/>
    <m/>
    <m/>
    <m/>
    <m/>
    <m/>
    <n v="8426.1564417341124"/>
    <m/>
    <m/>
    <m/>
    <m/>
    <m/>
    <m/>
    <m/>
    <m/>
    <m/>
    <m/>
    <m/>
    <m/>
    <n v="63384.3102"/>
    <n v="-29085.153249999981"/>
    <m/>
    <m/>
    <m/>
    <m/>
    <n v="-30121.432429999993"/>
    <n v="1037.1021699999999"/>
    <n v="31"/>
    <n v="1513.9764172848445"/>
    <n v="187.27044607078801"/>
    <n v="602.17080389378407"/>
    <n v="0"/>
    <n v="0"/>
    <n v="0"/>
    <n v="0"/>
    <n v="0"/>
    <n v="-262.69968301452172"/>
    <n v="0"/>
    <n v="0"/>
    <n v="1010.9731965405481"/>
    <n v="30.191136127755016"/>
    <n v="1.172251117465251"/>
    <n v="0"/>
    <n v="39.253721832698318"/>
    <n v="0"/>
    <n v="-76.096462287232498"/>
    <m/>
    <n v="0"/>
    <n v="0"/>
    <n v="-4.4040170461219645"/>
    <n v="0"/>
    <n v="-11.980781384528882"/>
    <n v="-1.8741945657887626"/>
    <n v="0"/>
    <n v="0"/>
    <m/>
    <m/>
    <n v="57794.157302940846"/>
    <n v="0"/>
    <n v="0"/>
    <n v="0"/>
    <n v="-30121.432430000001"/>
    <n v="1037.1021700000001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6"/>
    <s v="Regular"/>
    <s v="Azul"/>
    <s v="A4"/>
    <s v="Industrial"/>
    <s v="Não se aplica"/>
    <s v="Não se aplica"/>
    <s v="Não se aplica"/>
    <s v="Fora ponta"/>
    <s v="CATIVO"/>
    <x v="3"/>
    <n v="1200"/>
    <n v="1200"/>
    <n v="570.60299999999995"/>
    <n v="570.60299999999995"/>
    <n v="570.60299999999995"/>
    <n v="570.60299999999995"/>
    <n v="59.12"/>
    <n v="70.33"/>
    <n v="173.82"/>
    <n v="70944"/>
    <n v="139312.72244999997"/>
    <n v="210256.72245"/>
    <n v="191663.49098999996"/>
    <n v="0"/>
    <n v="30356.094726389212"/>
    <n v="0"/>
    <n v="0"/>
    <n v="686.4724360004185"/>
    <n v="6140.4271808585163"/>
    <n v="57794.157302940846"/>
    <n v="91822.653306351698"/>
    <n v="4619.5250803094514"/>
    <n v="0"/>
    <n v="0"/>
    <n v="0"/>
    <n v="0"/>
    <n v="5393.0523473275107"/>
    <m/>
    <n v="709.10584602829738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106.47088203260911"/>
    <n v="2742.1401824203899"/>
    <n v="3565.2586074109604"/>
    <n v="0"/>
    <n v="0"/>
    <n v="0"/>
    <n v="0"/>
    <n v="0"/>
    <m/>
    <m/>
    <m/>
    <m/>
    <m/>
    <m/>
    <m/>
    <m/>
    <m/>
    <n v="98236.522978215653"/>
    <m/>
    <m/>
    <m/>
    <m/>
    <m/>
    <m/>
    <m/>
    <m/>
    <m/>
    <m/>
    <m/>
    <m/>
    <n v="191662.698"/>
    <n v="-18594.054449999967"/>
    <m/>
    <m/>
    <m/>
    <m/>
    <n v="-30684.30903"/>
    <n v="12091.077569999998"/>
    <n v="31"/>
    <n v="12005.871464660479"/>
    <n v="140.75540420960397"/>
    <n v="473.15551850471911"/>
    <n v="0"/>
    <n v="0"/>
    <n v="0"/>
    <n v="0"/>
    <n v="0"/>
    <n v="-117.73782769987247"/>
    <n v="0"/>
    <n v="0"/>
    <n v="11786.452380639239"/>
    <n v="351.9839986904235"/>
    <n v="13.666714430644319"/>
    <n v="0"/>
    <n v="457.64034568586158"/>
    <n v="0"/>
    <n v="-887.17221401388088"/>
    <m/>
    <n v="0"/>
    <n v="0"/>
    <n v="-51.344325819184633"/>
    <n v="0"/>
    <n v="-139.67819300730116"/>
    <n v="-21.850336959785068"/>
    <n v="0"/>
    <n v="0"/>
    <m/>
    <m/>
    <n v="57794.157302940846"/>
    <n v="0"/>
    <n v="0"/>
    <n v="0"/>
    <n v="-30684.309030000004"/>
    <n v="12091.077569999994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7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63.56"/>
    <n v="13405.6"/>
    <n v="73586.3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3"/>
    <n v="0"/>
    <n v="0"/>
    <n v="39.768999999999998"/>
    <n v="39.768999999999998"/>
    <n v="39.768999999999998"/>
    <n v="39.768999999999998"/>
    <m/>
    <n v="1684.16"/>
    <n v="173.82"/>
    <m/>
    <n v="73890.00662"/>
    <n v="73890.00662"/>
    <n v="50723.76874"/>
    <n v="0"/>
    <n v="2115.7118542555377"/>
    <n v="0"/>
    <n v="0"/>
    <n v="715.81813302181718"/>
    <n v="10920.00781756065"/>
    <n v="46064.132662606506"/>
    <n v="6399.7124083474873"/>
    <n v="321.96447077710172"/>
    <n v="0"/>
    <n v="0"/>
    <n v="0"/>
    <n v="0"/>
    <n v="375.87657057685954"/>
    <m/>
    <n v="49.422155843378604"/>
    <n v="1537.3161759846598"/>
    <n v="4943.233847347854"/>
    <n v="0"/>
    <n v="0"/>
    <n v="0"/>
    <n v="0"/>
    <n v="0"/>
    <n v="0"/>
    <n v="0"/>
    <n v="0"/>
    <n v="0"/>
    <n v="0"/>
    <m/>
    <n v="0"/>
    <n v="0"/>
    <n v="0"/>
    <n v="7.4206418605489839"/>
    <n v="191.11741949249563"/>
    <n v="248.48584665367426"/>
    <n v="0"/>
    <n v="0"/>
    <n v="0"/>
    <n v="0"/>
    <n v="0"/>
    <m/>
    <m/>
    <m/>
    <m/>
    <m/>
    <m/>
    <m/>
    <m/>
    <m/>
    <n v="6846.7363163542059"/>
    <m/>
    <m/>
    <m/>
    <m/>
    <m/>
    <m/>
    <m/>
    <m/>
    <m/>
    <m/>
    <m/>
    <m/>
    <n v="50725.044200000011"/>
    <n v="-23164.992419999973"/>
    <m/>
    <m/>
    <m/>
    <m/>
    <n v="-24008.94299"/>
    <n v="842.70510999999988"/>
    <n v="31"/>
    <n v="1222.0230113679099"/>
    <n v="149.26368835818039"/>
    <n v="479.95677662047547"/>
    <n v="0"/>
    <n v="0"/>
    <n v="0"/>
    <n v="0"/>
    <n v="0"/>
    <n v="-209.38250076692202"/>
    <n v="0"/>
    <n v="0"/>
    <n v="821.47381756780396"/>
    <n v="24.53203303158142"/>
    <n v="0.95252139612356412"/>
    <n v="0"/>
    <n v="31.895904696577162"/>
    <n v="0"/>
    <n v="-61.832748476818324"/>
    <m/>
    <n v="0"/>
    <n v="0"/>
    <n v="-3.5785169259592635"/>
    <n v="0"/>
    <n v="-9.7350733482077203"/>
    <n v="-1.522890784930496"/>
    <n v="0"/>
    <n v="0"/>
    <m/>
    <m/>
    <m/>
    <n v="46064.132662606506"/>
    <n v="0"/>
    <n v="0"/>
    <n v="-24008.942989999996"/>
    <n v="842.70510999999988"/>
    <n v="0"/>
    <n v="0"/>
    <n v="-24388.51613302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3"/>
    <n v="0"/>
    <n v="0"/>
    <n v="735.35400000000004"/>
    <n v="735.35400000000004"/>
    <n v="735.35400000000004"/>
    <n v="735.35400000000004"/>
    <m/>
    <n v="70.33"/>
    <n v="173.82"/>
    <m/>
    <n v="179536.67910000001"/>
    <n v="179536.67910000001"/>
    <n v="194376.12281999999"/>
    <n v="0"/>
    <n v="39120.852293852673"/>
    <n v="0"/>
    <n v="0"/>
    <n v="0"/>
    <n v="0"/>
    <n v="0"/>
    <n v="118334.73605893934"/>
    <n v="5953.326999517838"/>
    <n v="0"/>
    <n v="0"/>
    <n v="0"/>
    <n v="0"/>
    <n v="6950.1958731669383"/>
    <m/>
    <n v="913.8469659295389"/>
    <n v="0"/>
    <n v="0"/>
    <n v="0"/>
    <n v="0"/>
    <n v="0"/>
    <n v="0"/>
    <n v="0"/>
    <n v="0"/>
    <n v="0"/>
    <n v="0"/>
    <n v="0"/>
    <n v="0"/>
    <m/>
    <n v="0"/>
    <n v="0"/>
    <n v="0"/>
    <n v="137.21236829495683"/>
    <n v="3533.8821417054651"/>
    <n v="4594.6606975323994"/>
    <n v="0"/>
    <n v="0"/>
    <n v="0"/>
    <n v="0"/>
    <n v="0"/>
    <m/>
    <m/>
    <m/>
    <m/>
    <m/>
    <m/>
    <m/>
    <m/>
    <m/>
    <n v="126600.49126647216"/>
    <m/>
    <m/>
    <m/>
    <m/>
    <m/>
    <m/>
    <m/>
    <m/>
    <m/>
    <m/>
    <m/>
    <m/>
    <n v="194375.0655"/>
    <n v="14838.35639999999"/>
    <m/>
    <m/>
    <m/>
    <m/>
    <n v="-742.70754000000386"/>
    <n v="15582.151259999999"/>
    <n v="31"/>
    <n v="14832.909632288443"/>
    <n v="0"/>
    <n v="0"/>
    <n v="0"/>
    <n v="0"/>
    <n v="0"/>
    <n v="0"/>
    <n v="0"/>
    <n v="0"/>
    <n v="0"/>
    <n v="0"/>
    <n v="15189.571214859694"/>
    <n v="453.61282953822138"/>
    <n v="17.612723948931261"/>
    <n v="0"/>
    <n v="589.7754809587077"/>
    <n v="0"/>
    <n v="-1143.326684689644"/>
    <m/>
    <n v="0"/>
    <n v="0"/>
    <n v="-66.169044621989087"/>
    <n v="0"/>
    <n v="-180.00767248102511"/>
    <n v="-28.159215224465811"/>
    <n v="0"/>
    <n v="0"/>
    <m/>
    <m/>
    <m/>
    <n v="0"/>
    <n v="0"/>
    <n v="0"/>
    <n v="-742.70754000001034"/>
    <n v="15582.1512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3"/>
    <n v="4655"/>
    <n v="4655"/>
    <n v="0"/>
    <n v="0"/>
    <n v="0"/>
    <n v="0"/>
    <n v="59.12"/>
    <m/>
    <m/>
    <n v="275203.59999999998"/>
    <m/>
    <n v="275203.59999999998"/>
    <n v="158409.65"/>
    <n v="0"/>
    <n v="0"/>
    <n v="0"/>
    <n v="0"/>
    <n v="2662.9409913182899"/>
    <n v="23819.740439080328"/>
    <n v="224193.16853765803"/>
    <m/>
    <m/>
    <m/>
    <n v="0"/>
    <n v="0"/>
    <n v="0"/>
    <n v="0"/>
    <m/>
    <n v="0"/>
    <n v="5623.5756985372291"/>
    <n v="18903.898507012822"/>
    <n v="0"/>
    <n v="0"/>
    <m/>
    <m/>
    <n v="0"/>
    <n v="0"/>
    <n v="0"/>
    <m/>
    <m/>
    <n v="0"/>
    <m/>
    <n v="0"/>
    <n v="0"/>
    <n v="0"/>
    <n v="0"/>
    <m/>
    <n v="0"/>
    <n v="0"/>
    <n v="4375.8500000000004"/>
    <n v="20485.79"/>
    <n v="114213.01"/>
    <n v="26"/>
    <m/>
    <m/>
    <m/>
    <m/>
    <m/>
    <m/>
    <m/>
    <m/>
    <m/>
    <n v="0"/>
    <m/>
    <m/>
    <m/>
    <m/>
    <m/>
    <m/>
    <m/>
    <m/>
    <m/>
    <m/>
    <m/>
    <m/>
    <n v="158409.65"/>
    <n v="-116793.98000000001"/>
    <m/>
    <m/>
    <m/>
    <m/>
    <n v="-116793.94999999998"/>
    <n v="0"/>
    <n v="31"/>
    <n v="1924.7381310768906"/>
    <n v="546.01367216308881"/>
    <n v="1835.4491155328906"/>
    <n v="0"/>
    <n v="0"/>
    <m/>
    <m/>
    <m/>
    <n v="-456.724656619087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4193.16853765803"/>
    <m/>
    <n v="0"/>
    <n v="0"/>
    <n v="-116793.94999999998"/>
    <m/>
    <n v="0"/>
    <m/>
    <n v="-118698.3970336193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3"/>
    <n v="0"/>
    <n v="0"/>
    <n v="328.30500000000001"/>
    <n v="328.30500000000001"/>
    <n v="328.30500000000001"/>
    <n v="328.30500000000001"/>
    <m/>
    <n v="516.83000000000004"/>
    <n v="173.82"/>
    <m/>
    <n v="226743.84825000004"/>
    <n v="226743.84825000004"/>
    <n v="171194.64225"/>
    <n v="0"/>
    <n v="20075.672072637972"/>
    <n v="0"/>
    <n v="0"/>
    <n v="892.47878151458963"/>
    <n v="11302.428695751878"/>
    <n v="119376.88363220311"/>
    <n v="52831.541708932127"/>
    <n v="2657.9130875424676"/>
    <n v="0"/>
    <n v="0"/>
    <n v="0"/>
    <n v="0"/>
    <n v="3102.9736101796843"/>
    <m/>
    <n v="509.37898805302746"/>
    <n v="1903.6777832090606"/>
    <n v="6234.2873406624603"/>
    <n v="0"/>
    <n v="0"/>
    <n v="0"/>
    <n v="0"/>
    <n v="0"/>
    <n v="0"/>
    <n v="0"/>
    <n v="0"/>
    <n v="0"/>
    <n v="0"/>
    <m/>
    <n v="0"/>
    <n v="0"/>
    <n v="0"/>
    <n v="182.14775624129169"/>
    <n v="1577.7315096302091"/>
    <n v="6099.3564001936647"/>
    <n v="0"/>
    <n v="1815.31"/>
    <n v="8510.85"/>
    <n v="97769.82"/>
    <n v="518"/>
    <m/>
    <m/>
    <m/>
    <m/>
    <m/>
    <m/>
    <m/>
    <m/>
    <m/>
    <n v="60690.777374997298"/>
    <m/>
    <m/>
    <m/>
    <m/>
    <m/>
    <m/>
    <m/>
    <m/>
    <m/>
    <m/>
    <m/>
    <m/>
    <n v="171197.24949999998"/>
    <n v="-55546.628750000091"/>
    <m/>
    <m/>
    <m/>
    <m/>
    <n v="-62505.988950000014"/>
    <n v="6956.7829499999998"/>
    <n v="31"/>
    <n v="7651.4366096939193"/>
    <n v="184.83508585038908"/>
    <n v="605.30991430954691"/>
    <n v="0"/>
    <n v="0"/>
    <n v="0"/>
    <n v="0"/>
    <n v="0"/>
    <n v="-216.71511821176318"/>
    <n v="0"/>
    <n v="0"/>
    <n v="6781.5122753048345"/>
    <n v="202.51927643222962"/>
    <n v="23.380677620101636"/>
    <n v="0"/>
    <n v="782.91980437091206"/>
    <n v="0"/>
    <n v="-586.72166499122977"/>
    <m/>
    <n v="0"/>
    <n v="0"/>
    <n v="-29.541728466319455"/>
    <n v="0"/>
    <n v="-80.365944720343123"/>
    <n v="-15.69596780442771"/>
    <n v="0"/>
    <n v="0"/>
    <m/>
    <m/>
    <m/>
    <n v="119376.88363220311"/>
    <n v="0"/>
    <n v="0"/>
    <n v="-62505.988950000028"/>
    <n v="6956.7829500000007"/>
    <n v="0"/>
    <n v="0"/>
    <n v="-63203.73106119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2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1.2999999999999999E-2"/>
    <n v="-1.2999999999999999E-2"/>
    <n v="-1.2999999999999999E-2"/>
    <n v="-1.2999999999999999E-2"/>
    <m/>
    <n v="516.83000000000004"/>
    <n v="173.82"/>
    <m/>
    <n v="-8.9784500000000005"/>
    <n v="-8.9784500000000005"/>
    <n v="-6.7788499999999994"/>
    <n v="0"/>
    <n v="-0.79494292485430806"/>
    <n v="0"/>
    <n v="0"/>
    <n v="-3.5339772954081312E-2"/>
    <n v="-0.44754594978685797"/>
    <n v="-4.7270053371670864"/>
    <n v="-2.0919877620387068"/>
    <n v="-0.10524625009686747"/>
    <n v="0"/>
    <n v="0"/>
    <n v="0"/>
    <n v="0"/>
    <n v="-0.12286945654905011"/>
    <m/>
    <n v="-2.0170045673045967E-2"/>
    <n v="-7.5380549128760715E-2"/>
    <n v="-0.24686110607091569"/>
    <n v="0"/>
    <n v="0"/>
    <n v="0"/>
    <n v="0"/>
    <n v="0"/>
    <n v="0"/>
    <n v="0"/>
    <n v="0"/>
    <n v="0"/>
    <n v="0"/>
    <m/>
    <n v="0"/>
    <n v="0"/>
    <n v="0"/>
    <n v="-7.2125640216773781E-3"/>
    <n v="-6.2473948386995978E-2"/>
    <n v="-0.2415182016798941"/>
    <n v="0"/>
    <n v="-0.03"/>
    <n v="-0.16"/>
    <n v="-3.66"/>
    <n v="0"/>
    <m/>
    <m/>
    <m/>
    <m/>
    <m/>
    <m/>
    <m/>
    <m/>
    <m/>
    <n v="-2.4031924761272743"/>
    <m/>
    <m/>
    <m/>
    <m/>
    <m/>
    <m/>
    <m/>
    <m/>
    <m/>
    <m/>
    <m/>
    <m/>
    <n v="-5.2145000000000001"/>
    <n v="3.733950000000001"/>
    <m/>
    <m/>
    <m/>
    <m/>
    <n v="2.4750700000000005"/>
    <n v="-0.27546999999999994"/>
    <n v="31"/>
    <n v="-0.30297642718210405"/>
    <n v="-7.3189750873579595E-3"/>
    <n v="-2.3968653800655243E-2"/>
    <n v="0"/>
    <n v="0"/>
    <n v="0"/>
    <n v="0"/>
    <n v="0"/>
    <n v="8.5813391107443793E-3"/>
    <n v="0"/>
    <n v="0"/>
    <n v="-0.26852975001587787"/>
    <n v="-8.0192217408171784E-3"/>
    <n v="-9.2581230581721685E-4"/>
    <n v="0"/>
    <n v="-3.1001530457415688E-2"/>
    <n v="0"/>
    <n v="2.323260883899414E-2"/>
    <m/>
    <n v="0"/>
    <n v="0"/>
    <n v="1.1697734425675926E-3"/>
    <n v="0"/>
    <n v="3.1822764848676161E-3"/>
    <n v="6.2151834866224984E-4"/>
    <n v="0"/>
    <n v="0"/>
    <m/>
    <m/>
    <m/>
    <n v="-4.7270053371670864"/>
    <n v="0"/>
    <n v="0"/>
    <n v="2.4750700000000005"/>
    <n v="-0.27546999999999988"/>
    <n v="0"/>
    <n v="0"/>
    <n v="2.502698721601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3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23.675000000000001"/>
    <n v="23.675000000000001"/>
    <n v="23.675000000000001"/>
    <n v="23.675000000000001"/>
    <m/>
    <n v="516.83000000000004"/>
    <n v="173.82"/>
    <m/>
    <n v="16351.138750000002"/>
    <n v="16351.138750000002"/>
    <n v="12345.328750000001"/>
    <n v="0"/>
    <n v="1447.713365071211"/>
    <n v="0"/>
    <n v="0"/>
    <n v="64.359163437528849"/>
    <n v="815.05002778491246"/>
    <n v="8608.6039505715999"/>
    <n v="3809.8315589435683"/>
    <n v="191.66961315717981"/>
    <n v="0"/>
    <n v="0"/>
    <n v="0"/>
    <n v="0"/>
    <n v="223.76418336913551"/>
    <m/>
    <n v="36.732756254566411"/>
    <n v="137.27957697103153"/>
    <n v="449.57205278684074"/>
    <n v="0"/>
    <n v="0"/>
    <n v="0"/>
    <n v="0"/>
    <n v="0"/>
    <n v="0"/>
    <n v="0"/>
    <n v="0"/>
    <n v="0"/>
    <n v="0"/>
    <m/>
    <n v="0"/>
    <n v="0"/>
    <n v="0"/>
    <n v="13.135188708708611"/>
    <n v="113.77467138939461"/>
    <n v="439.84180190549949"/>
    <n v="0"/>
    <n v="131.78"/>
    <n v="617.77"/>
    <n v="12920.82"/>
    <n v="41"/>
    <m/>
    <m/>
    <m/>
    <m/>
    <m/>
    <m/>
    <m/>
    <m/>
    <m/>
    <n v="4376.583220947171"/>
    <m/>
    <m/>
    <m/>
    <m/>
    <m/>
    <m/>
    <m/>
    <m/>
    <m/>
    <m/>
    <m/>
    <m/>
    <n v="12347.936"/>
    <n v="-4003.2327500000029"/>
    <m/>
    <m/>
    <m/>
    <m/>
    <n v="-4507.4832500000011"/>
    <n v="501.67324999999994"/>
    <n v="31"/>
    <n v="551.76668565664295"/>
    <n v="13.328979630246153"/>
    <n v="43.650606056193226"/>
    <n v="0"/>
    <n v="0"/>
    <n v="0"/>
    <n v="0"/>
    <n v="0"/>
    <n v="-15.627938726682487"/>
    <n v="0"/>
    <n v="0"/>
    <n v="489.03398704814708"/>
    <n v="14.604236516449745"/>
    <n v="1.6860466415555848"/>
    <n v="0"/>
    <n v="56.458556429178202"/>
    <n v="0"/>
    <n v="-42.310154943321777"/>
    <m/>
    <n v="0"/>
    <n v="0"/>
    <n v="-2.1303374040605831"/>
    <n v="0"/>
    <n v="-5.7954150599416039"/>
    <n v="-1.1318805311214462"/>
    <n v="0"/>
    <n v="0"/>
    <m/>
    <m/>
    <m/>
    <n v="8608.6039505715999"/>
    <n v="0"/>
    <n v="0"/>
    <n v="-4507.4832500000011"/>
    <n v="501.67324999999983"/>
    <n v="0"/>
    <n v="0"/>
    <n v="-4557.799402609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4"/>
    <s v="Regular"/>
    <s v="Verde"/>
    <s v="A4"/>
    <s v="Comercial"/>
    <s v="Não se aplica"/>
    <s v="Não se aplica"/>
    <s v="Não se aplica"/>
    <s v="Ponta"/>
    <s v="CATIVO"/>
    <x v="3"/>
    <n v="0"/>
    <n v="0"/>
    <n v="15.673999999999999"/>
    <n v="15.673999999999999"/>
    <n v="15.673999999999999"/>
    <n v="15.673999999999999"/>
    <m/>
    <n v="1684.16"/>
    <n v="173.82"/>
    <m/>
    <n v="29121.978520000001"/>
    <n v="29121.978520000001"/>
    <n v="19991.56004"/>
    <n v="0"/>
    <n v="833.85721550960045"/>
    <n v="0"/>
    <n v="0"/>
    <n v="282.12259340149268"/>
    <n v="4303.8598539678051"/>
    <n v="18155.075947438818"/>
    <n v="2522.2935524765148"/>
    <n v="126.89459415525391"/>
    <n v="0"/>
    <n v="0"/>
    <n v="0"/>
    <n v="0"/>
    <n v="148.14275861152396"/>
    <m/>
    <n v="19.478560453848882"/>
    <n v="605.89639524211213"/>
    <n v="1948.2573693914924"/>
    <n v="0"/>
    <n v="0"/>
    <n v="0"/>
    <n v="0"/>
    <n v="0"/>
    <n v="0"/>
    <n v="0"/>
    <n v="0"/>
    <n v="0"/>
    <n v="0"/>
    <m/>
    <n v="0"/>
    <n v="0"/>
    <n v="0"/>
    <n v="2.9246684734905268"/>
    <n v="75.324359001367313"/>
    <n v="97.93475220522744"/>
    <n v="0"/>
    <n v="0"/>
    <n v="0"/>
    <n v="0"/>
    <n v="0"/>
    <m/>
    <m/>
    <m/>
    <m/>
    <m/>
    <m/>
    <m/>
    <m/>
    <m/>
    <n v="2698.4773321565999"/>
    <m/>
    <m/>
    <m/>
    <m/>
    <m/>
    <m/>
    <m/>
    <m/>
    <m/>
    <m/>
    <m/>
    <m/>
    <n v="19986.458200000001"/>
    <n v="-9135.5503199999948"/>
    <m/>
    <m/>
    <m/>
    <m/>
    <n v="-9462.5505400000002"/>
    <n v="332.13205999999997"/>
    <n v="31"/>
    <n v="481.63113681964751"/>
    <n v="58.828712095504557"/>
    <n v="189.16348202744211"/>
    <n v="0"/>
    <n v="0"/>
    <n v="0"/>
    <n v="0"/>
    <n v="0"/>
    <n v="-82.523103850253392"/>
    <n v="0"/>
    <n v="0"/>
    <n v="323.7642539806825"/>
    <n v="9.6687139665821888"/>
    <n v="0.37541352216150159"/>
    <n v="0"/>
    <n v="12.571007825546303"/>
    <n v="0"/>
    <n v="-24.369898655376119"/>
    <m/>
    <n v="0"/>
    <n v="0"/>
    <n v="-1.4103868414465097"/>
    <n v="0"/>
    <n v="-3.8368462787549902"/>
    <n v="-0.60021097244085908"/>
    <n v="0"/>
    <n v="0"/>
    <m/>
    <m/>
    <m/>
    <n v="18155.075947438818"/>
    <n v="0"/>
    <n v="0"/>
    <n v="-9462.5505400000002"/>
    <n v="332.13205999999991"/>
    <n v="0"/>
    <n v="0"/>
    <n v="-9612.150214214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5"/>
    <s v="Sistema de Compensação"/>
    <s v="Verde"/>
    <s v="A4"/>
    <s v="Comercial"/>
    <s v="Não se aplica"/>
    <s v="Não se aplica"/>
    <s v="Não se aplica"/>
    <s v="Ponta"/>
    <s v="CATIVO"/>
    <x v="3"/>
    <n v="0"/>
    <n v="0"/>
    <n v="3.7130000000000001"/>
    <n v="3.7130000000000001"/>
    <n v="3.7130000000000001"/>
    <n v="3.7130000000000001"/>
    <m/>
    <n v="1684.16"/>
    <n v="173.82"/>
    <m/>
    <n v="6898.6797400000005"/>
    <n v="6898.6797400000005"/>
    <n v="4735.78298"/>
    <n v="0"/>
    <n v="197.53169842970183"/>
    <n v="0"/>
    <n v="0"/>
    <n v="66.831771679197544"/>
    <n v="1019.5375550454551"/>
    <n v="4300.7398872553485"/>
    <n v="597.503889265363"/>
    <n v="30.059948200743765"/>
    <n v="0"/>
    <n v="0"/>
    <n v="0"/>
    <n v="0"/>
    <n v="35.093407089740239"/>
    <m/>
    <n v="4.6142589616652359"/>
    <n v="143.53026129475325"/>
    <n v="461.52096545557043"/>
    <n v="0"/>
    <n v="0"/>
    <n v="0"/>
    <n v="0"/>
    <n v="0"/>
    <n v="0"/>
    <n v="0"/>
    <n v="0"/>
    <n v="0"/>
    <n v="0"/>
    <m/>
    <n v="0"/>
    <n v="0"/>
    <n v="0"/>
    <n v="0.69282212849753266"/>
    <n v="17.843520796993545"/>
    <n v="23.199676849432787"/>
    <n v="0"/>
    <n v="0"/>
    <n v="0"/>
    <n v="0"/>
    <n v="0"/>
    <m/>
    <m/>
    <m/>
    <m/>
    <m/>
    <m/>
    <m/>
    <m/>
    <m/>
    <n v="639.23990904028676"/>
    <m/>
    <m/>
    <m/>
    <m/>
    <m/>
    <m/>
    <m/>
    <m/>
    <m/>
    <m/>
    <m/>
    <m/>
    <n v="4731.9566000000004"/>
    <n v="-2166.7531400000007"/>
    <m/>
    <m/>
    <m/>
    <m/>
    <n v="-2241.5752300000004"/>
    <n v="78.67846999999999"/>
    <n v="31"/>
    <n v="114.09317411071515"/>
    <n v="13.93588158801893"/>
    <n v="44.810769986467562"/>
    <n v="0"/>
    <n v="0"/>
    <n v="0"/>
    <n v="0"/>
    <n v="0"/>
    <n v="-19.548825098634211"/>
    <n v="0"/>
    <n v="0"/>
    <n v="76.696227831458145"/>
    <n v="2.2904131018195528"/>
    <n v="8.8931377299071968E-2"/>
    <n v="0"/>
    <n v="2.9779349276670573"/>
    <n v="0"/>
    <n v="-5.7729637429763727"/>
    <m/>
    <n v="0"/>
    <n v="0"/>
    <n v="-0.33410529171180414"/>
    <n v="0"/>
    <n v="-0.90890712217795766"/>
    <n v="-0.14218344651479597"/>
    <n v="0"/>
    <n v="0"/>
    <m/>
    <m/>
    <m/>
    <n v="4300.7398872553485"/>
    <n v="0"/>
    <n v="0"/>
    <n v="-2241.5752300000004"/>
    <n v="78.678470000000061"/>
    <n v="0"/>
    <n v="0"/>
    <n v="-2277.0137645385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Fora ponta"/>
    <s v="CATIVO"/>
    <x v="3"/>
    <n v="0"/>
    <n v="0"/>
    <n v="291.52699999999999"/>
    <n v="291.52699999999999"/>
    <n v="291.52699999999999"/>
    <n v="291.52699999999999"/>
    <m/>
    <n v="70.33"/>
    <n v="173.82"/>
    <m/>
    <n v="71176.317049999998"/>
    <n v="71176.317049999998"/>
    <n v="77059.331909999994"/>
    <n v="0"/>
    <n v="15509.24412822938"/>
    <n v="0"/>
    <n v="0"/>
    <n v="0"/>
    <n v="0"/>
    <n v="0"/>
    <n v="46913.147407989083"/>
    <n v="2360.1633501530373"/>
    <n v="0"/>
    <n v="0"/>
    <n v="0"/>
    <n v="0"/>
    <n v="2755.3664661057637"/>
    <m/>
    <n v="362.28954277333185"/>
    <n v="0"/>
    <n v="0"/>
    <n v="0"/>
    <n v="0"/>
    <n v="0"/>
    <n v="0"/>
    <n v="0"/>
    <n v="0"/>
    <n v="0"/>
    <n v="0"/>
    <n v="0"/>
    <n v="0"/>
    <m/>
    <n v="0"/>
    <n v="0"/>
    <n v="0"/>
    <n v="54.397079626851657"/>
    <n v="1400.9879039550599"/>
    <n v="1821.527657658118"/>
    <n v="0"/>
    <n v="0"/>
    <n v="0"/>
    <n v="0"/>
    <n v="0"/>
    <m/>
    <m/>
    <m/>
    <m/>
    <m/>
    <m/>
    <m/>
    <m/>
    <m/>
    <n v="50190.060049229112"/>
    <m/>
    <m/>
    <m/>
    <m/>
    <m/>
    <m/>
    <m/>
    <m/>
    <m/>
    <m/>
    <m/>
    <m/>
    <n v="77060.124899999995"/>
    <n v="5883.7778500000131"/>
    <m/>
    <m/>
    <m/>
    <m/>
    <n v="-294.44227000000149"/>
    <n v="6177.4571299999989"/>
    <n v="31"/>
    <n v="5880.4244572983152"/>
    <n v="0"/>
    <n v="0"/>
    <n v="0"/>
    <n v="0"/>
    <n v="0"/>
    <n v="0"/>
    <n v="0"/>
    <n v="0"/>
    <n v="0"/>
    <n v="0"/>
    <n v="6021.8209563752971"/>
    <n v="179.83228126424683"/>
    <n v="6.9824663694765832"/>
    <n v="0"/>
    <n v="233.81320647939515"/>
    <n v="0"/>
    <n v="-453.26549989191335"/>
    <m/>
    <n v="0"/>
    <n v="0"/>
    <n v="-26.232349414723558"/>
    <n v="0"/>
    <n v="-71.36303975415376"/>
    <n v="-11.163564129307588"/>
    <n v="0"/>
    <n v="0"/>
    <m/>
    <m/>
    <m/>
    <n v="0"/>
    <n v="0"/>
    <n v="0"/>
    <n v="-294.44227000000319"/>
    <n v="6177.45713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7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27.928000000000001"/>
    <n v="27.928000000000001"/>
    <n v="27.928000000000001"/>
    <n v="27.928000000000001"/>
    <m/>
    <n v="70.33"/>
    <n v="173.82"/>
    <m/>
    <n v="6818.6211999999996"/>
    <n v="6818.6211999999996"/>
    <n v="7382.2082399999999"/>
    <n v="0"/>
    <n v="1485.7703403567771"/>
    <n v="0"/>
    <n v="0"/>
    <n v="0"/>
    <n v="0"/>
    <n v="0"/>
    <n v="4494.2334014013086"/>
    <n v="226.10132866963963"/>
    <n v="0"/>
    <n v="0"/>
    <n v="0"/>
    <n v="0"/>
    <n v="263.96139865399016"/>
    <m/>
    <n v="34.706982031076407"/>
    <n v="0"/>
    <n v="0"/>
    <n v="0"/>
    <n v="0"/>
    <n v="0"/>
    <n v="0"/>
    <n v="0"/>
    <n v="0"/>
    <n v="0"/>
    <n v="0"/>
    <n v="0"/>
    <n v="0"/>
    <m/>
    <n v="0"/>
    <n v="0"/>
    <n v="0"/>
    <n v="5.211186750519551"/>
    <n v="134.21326388861723"/>
    <n v="174.50055886101777"/>
    <n v="0"/>
    <n v="0"/>
    <n v="0"/>
    <n v="0"/>
    <n v="0"/>
    <m/>
    <m/>
    <m/>
    <m/>
    <m/>
    <m/>
    <m/>
    <m/>
    <m/>
    <n v="4808.158410901462"/>
    <m/>
    <m/>
    <m/>
    <m/>
    <m/>
    <m/>
    <m/>
    <m/>
    <m/>
    <m/>
    <m/>
    <m/>
    <n v="7382.7368999999999"/>
    <n v="564.08569999999963"/>
    <m/>
    <m/>
    <m/>
    <m/>
    <n v="-28.207280000000143"/>
    <n v="591.79431999999997"/>
    <n v="31"/>
    <n v="563.33888196780299"/>
    <n v="0"/>
    <n v="0"/>
    <n v="0"/>
    <n v="0"/>
    <n v="0"/>
    <n v="0"/>
    <n v="0"/>
    <n v="0"/>
    <n v="0"/>
    <n v="0"/>
    <n v="576.88452757257255"/>
    <n v="17.227755752118611"/>
    <n v="0.66891341373780833"/>
    <n v="0"/>
    <n v="22.399075319118083"/>
    <n v="0"/>
    <n v="-43.422389284633482"/>
    <m/>
    <n v="0"/>
    <n v="0"/>
    <n v="-2.5130332849252284"/>
    <n v="0"/>
    <n v="-6.8365090514910207"/>
    <n v="-1.0694584686951814"/>
    <n v="0"/>
    <n v="0"/>
    <m/>
    <m/>
    <m/>
    <n v="0"/>
    <n v="0"/>
    <n v="0"/>
    <n v="-28.207280000000083"/>
    <n v="591.7943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3"/>
    <n v="2975"/>
    <n v="2975"/>
    <n v="0"/>
    <n v="0"/>
    <n v="0"/>
    <n v="0"/>
    <n v="59.12"/>
    <m/>
    <m/>
    <n v="175882"/>
    <m/>
    <n v="175882"/>
    <n v="101239.25"/>
    <n v="0"/>
    <n v="0"/>
    <n v="0"/>
    <n v="0"/>
    <n v="1701.8795809177041"/>
    <n v="15223.142385878406"/>
    <n v="143281.34831354083"/>
    <m/>
    <m/>
    <m/>
    <n v="0"/>
    <n v="0"/>
    <n v="0"/>
    <n v="0"/>
    <m/>
    <n v="0"/>
    <n v="3594.0145441779287"/>
    <n v="12081.438895459321"/>
    <n v="0"/>
    <n v="0"/>
    <m/>
    <m/>
    <n v="0"/>
    <n v="0"/>
    <n v="0"/>
    <m/>
    <m/>
    <n v="0"/>
    <m/>
    <n v="0"/>
    <n v="0"/>
    <n v="0"/>
    <n v="0"/>
    <m/>
    <n v="0"/>
    <n v="0"/>
    <n v="2027.92"/>
    <n v="9493.9500000000007"/>
    <n v="99428.160000000003"/>
    <n v="16"/>
    <m/>
    <m/>
    <m/>
    <m/>
    <m/>
    <m/>
    <m/>
    <m/>
    <m/>
    <n v="0"/>
    <m/>
    <m/>
    <m/>
    <m/>
    <m/>
    <m/>
    <m/>
    <m/>
    <m/>
    <m/>
    <m/>
    <m/>
    <n v="101239.25"/>
    <n v="-74642.780000000028"/>
    <m/>
    <m/>
    <m/>
    <m/>
    <n v="-74642.749999999985"/>
    <n v="0"/>
    <n v="31"/>
    <n v="1230.09579805666"/>
    <n v="348.95610626964299"/>
    <n v="1173.0313896262851"/>
    <n v="0"/>
    <n v="0"/>
    <m/>
    <m/>
    <m/>
    <n v="-291.891697839268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3281.34831354083"/>
    <m/>
    <n v="0"/>
    <n v="0"/>
    <n v="-74642.75"/>
    <m/>
    <n v="0"/>
    <m/>
    <n v="-75859.87780344090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199"/>
    <s v="Sistema de Compensação"/>
    <s v="Verde"/>
    <s v="A4"/>
    <s v="Comercial"/>
    <s v="Não se aplica"/>
    <s v="Não se aplica"/>
    <s v="Não se aplica"/>
    <s v="Não se aplica"/>
    <s v="CATIVO"/>
    <x v="3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174.74"/>
    <n v="818.07"/>
    <n v="9188.52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n v="31"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00"/>
    <s v="Regular"/>
    <s v="Convencional"/>
    <s v="B2"/>
    <s v="Rural"/>
    <s v="Não se aplica"/>
    <s v="Não se aplica"/>
    <s v="Não se aplica"/>
    <s v="Não se aplica"/>
    <s v="CATIVO"/>
    <x v="3"/>
    <n v="0"/>
    <n v="0"/>
    <n v="2341.65"/>
    <n v="2341.65"/>
    <n v="2341.65"/>
    <n v="2341.65"/>
    <m/>
    <n v="516.83000000000004"/>
    <n v="173.82"/>
    <m/>
    <n v="1617260.5725000002"/>
    <n v="1617260.5725000002"/>
    <n v="1221053.3925000001"/>
    <n v="0"/>
    <n v="143190.62307577621"/>
    <n v="0"/>
    <n v="0"/>
    <n v="6365.6445644557316"/>
    <n v="80615.07487064584"/>
    <n v="851460.9267521007"/>
    <n v="376823.31869061064"/>
    <n v="18957.683195333058"/>
    <n v="0"/>
    <n v="0"/>
    <n v="0"/>
    <n v="0"/>
    <n v="22132.097148314093"/>
    <m/>
    <n v="3633.1682654067768"/>
    <n v="13578.066374412503"/>
    <n v="44466.331463919982"/>
    <n v="0"/>
    <n v="0"/>
    <n v="0"/>
    <n v="0"/>
    <n v="0"/>
    <n v="0"/>
    <n v="0"/>
    <n v="0"/>
    <n v="0"/>
    <n v="0"/>
    <m/>
    <n v="0"/>
    <n v="0"/>
    <n v="0"/>
    <n v="1299.1769647200642"/>
    <n v="11253.240095416089"/>
    <n v="43503.930535671083"/>
    <n v="0"/>
    <n v="12905.17"/>
    <n v="60660.62"/>
    <n v="97507.14"/>
    <n v="10272"/>
    <m/>
    <m/>
    <m/>
    <m/>
    <m/>
    <n v="146517.0405"/>
    <m/>
    <m/>
    <m/>
    <n v="432879.66628641787"/>
    <m/>
    <m/>
    <m/>
    <m/>
    <m/>
    <m/>
    <m/>
    <m/>
    <m/>
    <m/>
    <m/>
    <m/>
    <n v="1074536.352"/>
    <n v="-348648.29850000003"/>
    <m/>
    <m/>
    <m/>
    <m/>
    <n v="-445826.7435000001"/>
    <n v="49619.563499999997"/>
    <n v="31"/>
    <n v="54574.211593152024"/>
    <n v="1318.3444625624452"/>
    <n v="4317.3998594080258"/>
    <n v="0"/>
    <n v="0"/>
    <n v="0"/>
    <n v="0"/>
    <n v="0"/>
    <n v="-1545.730209898029"/>
    <n v="0"/>
    <n v="0"/>
    <n v="48369.437624975457"/>
    <n v="1444.4777376449656"/>
    <n v="166.76372199360662"/>
    <n v="0"/>
    <n v="5584.2102919698082"/>
    <n v="0"/>
    <n v="-4184.8183452177618"/>
    <m/>
    <n v="0"/>
    <n v="0"/>
    <n v="-210.70769090680187"/>
    <n v="0"/>
    <n v="-573.21367159924921"/>
    <n v="-111.95218778038134"/>
    <n v="0"/>
    <n v="0"/>
    <m/>
    <m/>
    <m/>
    <n v="851460.9267521007"/>
    <n v="0"/>
    <n v="0"/>
    <n v="-445826.7435000001"/>
    <n v="49619.563499999989"/>
    <n v="0"/>
    <n v="0"/>
    <n v="-450803.42011071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1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4.47"/>
    <n v="-4.47"/>
    <n v="-4.47"/>
    <n v="-4.47"/>
    <m/>
    <n v="516.83000000000004"/>
    <n v="173.82"/>
    <m/>
    <n v="-3087.2055"/>
    <n v="-3087.2055"/>
    <n v="-2330.8815"/>
    <n v="0"/>
    <n v="-273.33806723836591"/>
    <n v="0"/>
    <n v="0"/>
    <n v="-12.151445008057189"/>
    <n v="-153.886953503635"/>
    <n v="-1625.3626043951444"/>
    <n v="-719.3219458702323"/>
    <n v="-36.188518302538277"/>
    <n v="0"/>
    <n v="0"/>
    <n v="0"/>
    <n v="0"/>
    <n v="-42.248190059557999"/>
    <m/>
    <n v="-6.9353926275781133"/>
    <n v="-25.919311892735415"/>
    <n v="-84.882241856691778"/>
    <n v="0"/>
    <n v="0"/>
    <n v="0"/>
    <n v="0"/>
    <n v="0"/>
    <n v="0"/>
    <n v="0"/>
    <n v="0"/>
    <n v="0"/>
    <n v="0"/>
    <m/>
    <n v="0"/>
    <n v="0"/>
    <n v="0"/>
    <n v="-2.4800123982229141"/>
    <n v="-21.481426868451695"/>
    <n v="-83.045104731471284"/>
    <n v="0"/>
    <n v="-11.96"/>
    <n v="-56.19"/>
    <n v="-214.63"/>
    <n v="0"/>
    <m/>
    <m/>
    <m/>
    <m/>
    <m/>
    <n v="-279.68789999999996"/>
    <m/>
    <m/>
    <m/>
    <n v="-826.32848986837814"/>
    <m/>
    <m/>
    <m/>
    <m/>
    <m/>
    <m/>
    <m/>
    <m/>
    <m/>
    <m/>
    <m/>
    <m/>
    <n v="-2051.1935999999996"/>
    <n v="665.50829999999996"/>
    <m/>
    <m/>
    <m/>
    <m/>
    <n v="851.04330000000016"/>
    <n v="-94.71929999999999"/>
    <n v="31"/>
    <n v="-104.17727919261642"/>
    <n v="-2.5166014338838529"/>
    <n v="-8.2415294222252982"/>
    <n v="0"/>
    <n v="0"/>
    <n v="0"/>
    <n v="0"/>
    <n v="0"/>
    <n v="2.9506604480790202"/>
    <n v="0"/>
    <n v="0"/>
    <n v="-92.332921736228855"/>
    <n v="-2.7573785524194463"/>
    <n v="-0.31833700053868919"/>
    <n v="0"/>
    <n v="-10.659757011126786"/>
    <n v="0"/>
    <n v="7.988443193100295"/>
    <m/>
    <n v="0"/>
    <n v="0"/>
    <n v="0.40222209909823903"/>
    <n v="0"/>
    <n v="1.0942135297967823"/>
    <n v="0.21370669373232687"/>
    <n v="0"/>
    <n v="0"/>
    <m/>
    <m/>
    <m/>
    <n v="-1625.3626043951444"/>
    <n v="0"/>
    <n v="0"/>
    <n v="851.04330000000027"/>
    <n v="-94.719299999999976"/>
    <n v="0"/>
    <n v="0"/>
    <n v="860.54332965852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2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9.739999999999998"/>
    <n v="19.739999999999998"/>
    <n v="19.739999999999998"/>
    <n v="19.739999999999998"/>
    <m/>
    <n v="516.83000000000004"/>
    <n v="173.82"/>
    <m/>
    <n v="13633.431"/>
    <n v="13633.431"/>
    <n v="10293.422999999999"/>
    <n v="0"/>
    <n v="1207.0902566633877"/>
    <n v="0"/>
    <n v="0"/>
    <n v="53.66208600873577"/>
    <n v="679.58131144558274"/>
    <n v="7177.7757965906376"/>
    <n v="3176.6029555880054"/>
    <n v="159.81238283939723"/>
    <n v="0"/>
    <n v="0"/>
    <n v="0"/>
    <n v="0"/>
    <n v="186.57254402140379"/>
    <m/>
    <n v="30.627438583532875"/>
    <n v="114.46246460013357"/>
    <n v="374.84909491075967"/>
    <n v="0"/>
    <n v="0"/>
    <n v="0"/>
    <n v="0"/>
    <n v="0"/>
    <n v="0"/>
    <n v="0"/>
    <n v="0"/>
    <n v="0"/>
    <n v="0"/>
    <m/>
    <n v="0"/>
    <n v="0"/>
    <n v="0"/>
    <n v="10.952001060608573"/>
    <n v="94.864287781484663"/>
    <n v="366.7361000893161"/>
    <n v="0"/>
    <n v="115.7"/>
    <n v="546.37"/>
    <n v="1335.48"/>
    <n v="164"/>
    <m/>
    <m/>
    <m/>
    <m/>
    <m/>
    <n v="1235.1317999999999"/>
    <m/>
    <m/>
    <m/>
    <n v="3649.1553445194145"/>
    <m/>
    <m/>
    <m/>
    <m/>
    <m/>
    <m/>
    <m/>
    <m/>
    <m/>
    <m/>
    <m/>
    <m/>
    <n v="9058.2911999999997"/>
    <n v="-2939.1185999999998"/>
    <m/>
    <m/>
    <m/>
    <m/>
    <n v="-3758.2986000000005"/>
    <n v="418.29059999999993"/>
    <n v="31"/>
    <n v="460.05805173652061"/>
    <n v="11.113582171111247"/>
    <n v="36.395478924994904"/>
    <n v="0"/>
    <n v="0"/>
    <n v="0"/>
    <n v="0"/>
    <n v="0"/>
    <n v="-13.0304333881611"/>
    <n v="0"/>
    <n v="0"/>
    <n v="407.75209733180282"/>
    <n v="12.176879781825477"/>
    <n v="1.4058103782178346"/>
    <n v="0"/>
    <n v="47.074631633029696"/>
    <n v="0"/>
    <n v="-35.277822960134017"/>
    <m/>
    <n v="0"/>
    <n v="0"/>
    <n v="-1.7762559812526604"/>
    <n v="0"/>
    <n v="-4.8321644470220519"/>
    <n v="-0.943751707891753"/>
    <n v="0"/>
    <n v="0"/>
    <m/>
    <m/>
    <m/>
    <n v="7177.7757965906376"/>
    <n v="0"/>
    <n v="0"/>
    <n v="-3758.298600000001"/>
    <n v="418.29059999999981"/>
    <n v="0"/>
    <n v="0"/>
    <n v="-3800.2517511094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3"/>
    <s v="Regular"/>
    <s v="Verde"/>
    <s v="A4"/>
    <s v="Rural"/>
    <s v="Não se aplica"/>
    <s v="Não se aplica"/>
    <s v="Não se aplica"/>
    <s v="Ponta"/>
    <s v="CATIVO"/>
    <x v="3"/>
    <n v="0"/>
    <n v="0"/>
    <n v="43.137999999999998"/>
    <n v="41.412480000000002"/>
    <n v="43.137999999999998"/>
    <n v="41.412480000000002"/>
    <m/>
    <n v="1684.16"/>
    <n v="173.82"/>
    <m/>
    <n v="80149.541240000006"/>
    <n v="80149.541240000006"/>
    <n v="55020.79348"/>
    <n v="0"/>
    <n v="2294.9427435659782"/>
    <n v="0"/>
    <n v="0"/>
    <n v="776.45811114926573"/>
    <n v="11845.087812968175"/>
    <n v="49966.41994517135"/>
    <n v="6941.8590829865952"/>
    <n v="349.23944128297455"/>
    <n v="0"/>
    <n v="0"/>
    <n v="0"/>
    <n v="0"/>
    <n v="407.71866281637875"/>
    <m/>
    <n v="53.608915456050347"/>
    <n v="1667.5487238710114"/>
    <n v="5361.996069976406"/>
    <n v="0"/>
    <n v="0"/>
    <n v="0"/>
    <n v="0"/>
    <n v="0"/>
    <n v="0"/>
    <n v="0"/>
    <n v="0"/>
    <n v="0"/>
    <n v="0"/>
    <m/>
    <n v="0"/>
    <n v="0"/>
    <n v="0"/>
    <n v="8.0492757821509731"/>
    <n v="207.30778350140253"/>
    <n v="269.5361324887777"/>
    <n v="0"/>
    <n v="0"/>
    <n v="0"/>
    <n v="0"/>
    <n v="0"/>
    <m/>
    <m/>
    <m/>
    <m/>
    <m/>
    <n v="2200.8317391999949"/>
    <m/>
    <m/>
    <m/>
    <n v="7426.7522747589273"/>
    <m/>
    <m/>
    <m/>
    <m/>
    <m/>
    <m/>
    <m/>
    <m/>
    <m/>
    <m/>
    <m/>
    <m/>
    <n v="52816.798599999995"/>
    <n v="-24126.790990399997"/>
    <m/>
    <m/>
    <m/>
    <m/>
    <n v="-26042.841980000001"/>
    <n v="914.09421999999984"/>
    <n v="31"/>
    <n v="1325.5457432771436"/>
    <n v="161.90844598544572"/>
    <n v="520.61594281611633"/>
    <n v="0"/>
    <n v="0"/>
    <n v="0"/>
    <n v="0"/>
    <n v="0"/>
    <n v="-227.12017697411284"/>
    <n v="0"/>
    <n v="0"/>
    <n v="891.06433509114959"/>
    <n v="26.610245188874728"/>
    <n v="1.033213507656173"/>
    <n v="0"/>
    <n v="34.597941532373113"/>
    <n v="0"/>
    <n v="-67.070861821845938"/>
    <m/>
    <n v="0"/>
    <n v="0"/>
    <n v="-3.8816682127293234"/>
    <n v="0"/>
    <n v="-10.559772538786092"/>
    <n v="-1.6519012969984601"/>
    <n v="0"/>
    <n v="0"/>
    <m/>
    <m/>
    <m/>
    <n v="49966.41994517135"/>
    <n v="0"/>
    <n v="0"/>
    <n v="-26042.841980000005"/>
    <n v="914.09422000000086"/>
    <n v="0"/>
    <n v="0"/>
    <n v="-26454.57036753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4"/>
    <s v="Sistema de Compensação"/>
    <s v="Verde"/>
    <s v="A4"/>
    <s v="Rural"/>
    <s v="Não se aplica"/>
    <s v="Não se aplica"/>
    <s v="Não se aplica"/>
    <s v="Ponta"/>
    <s v="CATIVO"/>
    <x v="3"/>
    <n v="0"/>
    <n v="0"/>
    <n v="4.7439999999999998"/>
    <n v="4.5542400000000001"/>
    <n v="4.7439999999999998"/>
    <n v="4.5542400000000001"/>
    <m/>
    <n v="1684.16"/>
    <n v="173.82"/>
    <m/>
    <n v="8814.2571200000002"/>
    <n v="8814.2571200000002"/>
    <n v="6050.7822400000005"/>
    <n v="0"/>
    <n v="252.38092576097642"/>
    <n v="0"/>
    <n v="0"/>
    <n v="85.389152934584743"/>
    <n v="1302.6356480300669"/>
    <n v="5494.9394088713634"/>
    <n v="763.41461100858658"/>
    <n v="38.406785419964564"/>
    <n v="0"/>
    <n v="0"/>
    <n v="0"/>
    <n v="0"/>
    <n v="44.837900143745671"/>
    <m/>
    <n v="5.8955142779800376"/>
    <n v="183.38474537632894"/>
    <n v="589.67289526561433"/>
    <n v="0"/>
    <n v="0"/>
    <n v="0"/>
    <n v="0"/>
    <n v="0"/>
    <n v="0"/>
    <n v="0"/>
    <n v="0"/>
    <n v="0"/>
    <n v="0"/>
    <m/>
    <n v="0"/>
    <n v="0"/>
    <n v="0"/>
    <n v="0.88520015555946541"/>
    <n v="22.798185472916071"/>
    <n v="29.641601662728021"/>
    <n v="0"/>
    <n v="0"/>
    <n v="0"/>
    <n v="0"/>
    <n v="0"/>
    <m/>
    <m/>
    <m/>
    <m/>
    <m/>
    <n v="242.03128959999964"/>
    <m/>
    <m/>
    <m/>
    <n v="816.73959829979015"/>
    <m/>
    <m/>
    <m/>
    <m/>
    <m/>
    <m/>
    <m/>
    <m/>
    <m/>
    <m/>
    <m/>
    <m/>
    <n v="5803.3429999999998"/>
    <n v="-2658.3738352000009"/>
    <m/>
    <m/>
    <m/>
    <m/>
    <n v="-2864.0002399999998"/>
    <n v="100.52535999999998"/>
    <n v="31"/>
    <n v="145.77377268549162"/>
    <n v="17.80550020295226"/>
    <n v="57.253512743280908"/>
    <n v="0"/>
    <n v="0"/>
    <n v="0"/>
    <n v="0"/>
    <n v="0"/>
    <n v="-24.977006805257361"/>
    <n v="0"/>
    <n v="0"/>
    <n v="97.992702621178864"/>
    <n v="2.92639907218744"/>
    <n v="0.11362522324449165"/>
    <n v="0"/>
    <n v="3.8048271739435791"/>
    <n v="0"/>
    <n v="-7.3759601391543015"/>
    <m/>
    <n v="0"/>
    <n v="0"/>
    <n v="-0.42687732396466771"/>
    <n v="0"/>
    <n v="-1.1612861264778402"/>
    <n v="-0.1816639564412057"/>
    <n v="0"/>
    <n v="0"/>
    <m/>
    <m/>
    <m/>
    <n v="5494.9394088713634"/>
    <n v="0"/>
    <n v="0"/>
    <n v="-2864.0002399999994"/>
    <n v="100.52535999999998"/>
    <n v="0"/>
    <n v="0"/>
    <n v="-2909.279100180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5"/>
    <s v="Regular"/>
    <s v="Verde"/>
    <s v="A4"/>
    <s v="Rural"/>
    <s v="Não se aplica"/>
    <s v="Não se aplica"/>
    <s v="Não se aplica"/>
    <s v="Fora ponta"/>
    <s v="CATIVO"/>
    <x v="3"/>
    <n v="0"/>
    <n v="0"/>
    <n v="543.15700000000004"/>
    <n v="521.43071999999995"/>
    <n v="543.15700000000004"/>
    <n v="521.43071999999995"/>
    <m/>
    <n v="70.33"/>
    <n v="173.82"/>
    <m/>
    <n v="132611.78155000001"/>
    <n v="132611.78155000001"/>
    <n v="143572.68981000001"/>
    <n v="0"/>
    <n v="28895.966798810012"/>
    <n v="0"/>
    <n v="0"/>
    <n v="0"/>
    <n v="0"/>
    <n v="0"/>
    <n v="87405.984374281383"/>
    <n v="4397.3259587587891"/>
    <n v="0"/>
    <n v="0"/>
    <n v="0"/>
    <n v="0"/>
    <n v="5133.646570062494"/>
    <m/>
    <n v="674.99786017807833"/>
    <n v="0"/>
    <n v="0"/>
    <n v="0"/>
    <n v="0"/>
    <n v="0"/>
    <n v="0"/>
    <n v="0"/>
    <n v="0"/>
    <n v="0"/>
    <n v="0"/>
    <n v="0"/>
    <n v="0"/>
    <m/>
    <n v="0"/>
    <n v="0"/>
    <n v="0"/>
    <n v="101.3496334091932"/>
    <n v="2610.2432603104294"/>
    <n v="3393.7696952618812"/>
    <n v="0"/>
    <n v="0"/>
    <n v="0"/>
    <n v="0"/>
    <n v="0"/>
    <m/>
    <m/>
    <m/>
    <m/>
    <m/>
    <n v="5742.9075924000226"/>
    <m/>
    <m/>
    <m/>
    <n v="93511.346963262884"/>
    <m/>
    <m/>
    <m/>
    <m/>
    <m/>
    <m/>
    <m/>
    <m/>
    <m/>
    <m/>
    <m/>
    <m/>
    <n v="137829.59189999997"/>
    <n v="10522.251611999978"/>
    <m/>
    <m/>
    <m/>
    <m/>
    <n v="-548.58857000000285"/>
    <n v="11509.49683"/>
    <n v="31"/>
    <n v="10956.081964801822"/>
    <n v="0"/>
    <n v="0"/>
    <n v="0"/>
    <n v="0"/>
    <n v="0"/>
    <n v="0"/>
    <n v="0"/>
    <n v="0"/>
    <n v="0"/>
    <n v="0"/>
    <n v="11219.524109951875"/>
    <n v="335.05357100592573"/>
    <n v="13.009345569521159"/>
    <n v="0"/>
    <n v="435.62784850709841"/>
    <n v="0"/>
    <n v="-844.49923720544757"/>
    <m/>
    <n v="0"/>
    <n v="0"/>
    <n v="-48.874664134206796"/>
    <n v="0"/>
    <n v="-132.95967297624884"/>
    <n v="-20.79933591668123"/>
    <n v="0"/>
    <n v="0"/>
    <m/>
    <m/>
    <m/>
    <n v="0"/>
    <n v="0"/>
    <n v="0"/>
    <n v="-548.58857000000717"/>
    <n v="11509.4968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6"/>
    <s v="Sistema de Compensação"/>
    <s v="Verde"/>
    <s v="A4"/>
    <s v="Rural"/>
    <s v="Não se aplica"/>
    <s v="Não se aplica"/>
    <s v="Não se aplica"/>
    <s v="Fora ponta"/>
    <s v="CATIVO"/>
    <x v="3"/>
    <n v="0"/>
    <n v="0"/>
    <n v="28.78"/>
    <n v="27.628799999999998"/>
    <n v="28.78"/>
    <n v="27.628799999999998"/>
    <m/>
    <n v="70.33"/>
    <n v="173.82"/>
    <m/>
    <n v="7026.6370000000006"/>
    <n v="7026.6370000000006"/>
    <n v="7607.4173999999994"/>
    <n v="0"/>
    <n v="1531.0967629428546"/>
    <n v="0"/>
    <n v="0"/>
    <n v="0"/>
    <n v="0"/>
    <n v="0"/>
    <n v="4631.3390608826139"/>
    <n v="232.99900598368046"/>
    <n v="0"/>
    <n v="0"/>
    <n v="0"/>
    <n v="0"/>
    <n v="272.01407380628171"/>
    <m/>
    <n v="35.765788558234718"/>
    <n v="0"/>
    <n v="0"/>
    <n v="0"/>
    <n v="0"/>
    <n v="0"/>
    <n v="0"/>
    <n v="0"/>
    <n v="0"/>
    <n v="0"/>
    <n v="0"/>
    <n v="0"/>
    <n v="0"/>
    <m/>
    <n v="0"/>
    <n v="0"/>
    <n v="0"/>
    <n v="5.3701645187608378"/>
    <n v="138.30771035213419"/>
    <n v="179.8240505592986"/>
    <n v="0"/>
    <n v="0"/>
    <n v="0"/>
    <n v="0"/>
    <n v="0"/>
    <m/>
    <m/>
    <m/>
    <m/>
    <m/>
    <n v="304.29669600000074"/>
    <m/>
    <m/>
    <m/>
    <n v="4954.8409863128081"/>
    <m/>
    <m/>
    <m/>
    <m/>
    <m/>
    <m/>
    <m/>
    <m/>
    <m/>
    <m/>
    <m/>
    <m/>
    <n v="7303.4378999999999"/>
    <n v="557.83638000000064"/>
    <m/>
    <m/>
    <m/>
    <m/>
    <n v="-29.067800000000148"/>
    <n v="609.84819999999991"/>
    <n v="31"/>
    <n v="580.52467140623685"/>
    <n v="0"/>
    <n v="0"/>
    <n v="0"/>
    <n v="0"/>
    <n v="0"/>
    <n v="0"/>
    <n v="0"/>
    <n v="0"/>
    <n v="0"/>
    <n v="0"/>
    <n v="594.48355426592116"/>
    <n v="17.75332320774757"/>
    <n v="0.68931996732219059"/>
    <n v="0"/>
    <n v="23.082404314101211"/>
    <n v="0"/>
    <n v="-44.747076898157957"/>
    <m/>
    <n v="0"/>
    <n v="0"/>
    <n v="-2.5896984366996207"/>
    <n v="0"/>
    <n v="-7.0450705564991836"/>
    <n v="-1.1020844574995579"/>
    <n v="0"/>
    <n v="0"/>
    <m/>
    <m/>
    <m/>
    <n v="0"/>
    <n v="0"/>
    <n v="0"/>
    <n v="-29.067800000000261"/>
    <n v="609.8481999999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07"/>
    <s v="Regular"/>
    <s v="Verde"/>
    <s v="A4"/>
    <s v="Rural"/>
    <s v="Não se aplica"/>
    <s v="Não se aplica"/>
    <s v="Não se aplica"/>
    <s v="Não se aplica"/>
    <s v="CATIVO"/>
    <x v="3"/>
    <n v="2340"/>
    <n v="2246.4"/>
    <n v="0"/>
    <n v="0"/>
    <n v="0"/>
    <n v="0"/>
    <n v="59.12"/>
    <m/>
    <m/>
    <n v="138340.79999999999"/>
    <m/>
    <n v="138340.79999999999"/>
    <n v="79630.2"/>
    <n v="0"/>
    <n v="0"/>
    <n v="0"/>
    <n v="0"/>
    <n v="1338.6212502008159"/>
    <n v="11973.833002674108"/>
    <n v="112698.60674073464"/>
    <m/>
    <m/>
    <m/>
    <n v="0"/>
    <n v="0"/>
    <n v="0"/>
    <n v="0"/>
    <m/>
    <n v="0"/>
    <n v="2826.8887507147406"/>
    <n v="9502.711601806659"/>
    <n v="0"/>
    <n v="0"/>
    <m/>
    <m/>
    <n v="0"/>
    <n v="0"/>
    <n v="0"/>
    <m/>
    <m/>
    <n v="0"/>
    <m/>
    <n v="0"/>
    <n v="0"/>
    <n v="0"/>
    <n v="0"/>
    <m/>
    <n v="0"/>
    <n v="0"/>
    <n v="3186.31"/>
    <n v="14916.71"/>
    <n v="9487.67"/>
    <n v="15"/>
    <m/>
    <m/>
    <m/>
    <m/>
    <m/>
    <n v="3185.2079999999969"/>
    <m/>
    <m/>
    <m/>
    <n v="0"/>
    <m/>
    <m/>
    <m/>
    <m/>
    <m/>
    <m/>
    <m/>
    <m/>
    <m/>
    <m/>
    <m/>
    <m/>
    <n v="76444.992000000013"/>
    <n v="-56362.20600000002"/>
    <m/>
    <m/>
    <m/>
    <m/>
    <n v="-58710.599999999991"/>
    <n v="0"/>
    <n v="31"/>
    <n v="967.53753527817753"/>
    <n v="274.47303820872776"/>
    <n v="922.65326108420413"/>
    <n v="0"/>
    <n v="0"/>
    <m/>
    <m/>
    <m/>
    <n v="-229.588764014752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2698.60674073464"/>
    <m/>
    <n v="0"/>
    <n v="0"/>
    <n v="-58710.599999999991"/>
    <m/>
    <n v="0"/>
    <m/>
    <n v="-59667.93749917704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08"/>
    <s v="Sistema de Compensação"/>
    <s v="Verde"/>
    <s v="A4"/>
    <s v="Rural"/>
    <s v="Não se aplica"/>
    <s v="Não se aplica"/>
    <s v="Não se aplica"/>
    <s v="Não se aplica"/>
    <s v="CATIVO"/>
    <x v="3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226.67"/>
    <n v="1061.1500000000001"/>
    <n v="7.82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n v="31"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0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7.69800000000001"/>
    <n v="167.69800000000001"/>
    <n v="167.69800000000001"/>
    <n v="167.69800000000001"/>
    <m/>
    <n v="516.83000000000004"/>
    <n v="173.82"/>
    <m/>
    <n v="115820.62370000003"/>
    <n v="115820.62370000003"/>
    <n v="87446.122100000008"/>
    <n v="0"/>
    <n v="10254.641431709058"/>
    <n v="0"/>
    <n v="0"/>
    <n v="455.87763421950217"/>
    <n v="5773.2738990274238"/>
    <n v="60977.641617865091"/>
    <n v="26986.320286028236"/>
    <n v="1357.6604345188064"/>
    <n v="0"/>
    <n v="0"/>
    <n v="0"/>
    <n v="0"/>
    <n v="1584.9970864894312"/>
    <m/>
    <n v="260.19048609834329"/>
    <n v="972.39748675345504"/>
    <n v="3184.4702896831095"/>
    <n v="0"/>
    <n v="0"/>
    <n v="0"/>
    <n v="0"/>
    <n v="0"/>
    <n v="0"/>
    <n v="0"/>
    <n v="0"/>
    <n v="0"/>
    <n v="0"/>
    <m/>
    <n v="0"/>
    <n v="0"/>
    <n v="0"/>
    <n v="93.040966254404083"/>
    <n v="805.90432281557332"/>
    <n v="3115.5476450242218"/>
    <n v="0"/>
    <n v="927.39"/>
    <n v="4348.01"/>
    <n v="47866.79"/>
    <n v="259"/>
    <m/>
    <m/>
    <m/>
    <m/>
    <m/>
    <m/>
    <m/>
    <m/>
    <m/>
    <n v="31000.813220122436"/>
    <m/>
    <m/>
    <m/>
    <m/>
    <m/>
    <m/>
    <m/>
    <m/>
    <m/>
    <m/>
    <m/>
    <m/>
    <n v="87447.164999999994"/>
    <n v="-28373.488700000016"/>
    <m/>
    <m/>
    <m/>
    <m/>
    <n v="-31928.02222000001"/>
    <n v="3553.5206199999998"/>
    <n v="31"/>
    <n v="3908.3492988911385"/>
    <n v="94.413652630750448"/>
    <n v="309.19194654325202"/>
    <n v="0"/>
    <n v="0"/>
    <n v="0"/>
    <n v="0"/>
    <n v="0"/>
    <n v="-110.69795432258525"/>
    <n v="0"/>
    <n v="0"/>
    <n v="3463.9924629355955"/>
    <n v="103.44672673011996"/>
    <n v="11.942836312379669"/>
    <n v="0"/>
    <n v="399.91497343443871"/>
    <n v="0"/>
    <n v="-299.69707977551116"/>
    <m/>
    <n v="0"/>
    <n v="0"/>
    <n v="-15.089897443976952"/>
    <n v="0"/>
    <n v="-41.050877073794481"/>
    <n v="-8.0174910795355174"/>
    <n v="0"/>
    <n v="0"/>
    <m/>
    <m/>
    <m/>
    <n v="60977.641617865091"/>
    <n v="0"/>
    <n v="0"/>
    <n v="-31928.022220000013"/>
    <n v="3553.5206199999993"/>
    <n v="0"/>
    <n v="0"/>
    <n v="-32284.4284780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0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5.9550000000000001"/>
    <n v="5.9550000000000001"/>
    <n v="5.9550000000000001"/>
    <n v="5.9550000000000001"/>
    <m/>
    <n v="516.83000000000004"/>
    <n v="173.82"/>
    <m/>
    <n v="4112.8207499999999"/>
    <n v="4112.8207499999999"/>
    <n v="3105.2347499999996"/>
    <n v="0"/>
    <n v="364.14500903903115"/>
    <n v="0"/>
    <n v="0"/>
    <n v="16.188334457042632"/>
    <n v="205.01047161390301"/>
    <n v="2165.3320602176927"/>
    <n v="958.29131714926916"/>
    <n v="48.21087840975737"/>
    <n v="0"/>
    <n v="0"/>
    <n v="0"/>
    <n v="0"/>
    <n v="56.283662596122575"/>
    <m/>
    <n v="9.2394324602299029"/>
    <n v="34.530090004751543"/>
    <n v="113.081375896331"/>
    <n v="0"/>
    <n v="0"/>
    <n v="0"/>
    <n v="0"/>
    <n v="0"/>
    <n v="0"/>
    <n v="0"/>
    <n v="0"/>
    <n v="0"/>
    <n v="0"/>
    <m/>
    <n v="0"/>
    <n v="0"/>
    <n v="0"/>
    <n v="3.3039091345452918"/>
    <n v="28.617874049581623"/>
    <n v="110.63391469259764"/>
    <n v="0"/>
    <n v="14.84"/>
    <n v="70.62"/>
    <n v="1713.1"/>
    <n v="0"/>
    <m/>
    <m/>
    <m/>
    <m/>
    <m/>
    <m/>
    <m/>
    <m/>
    <m/>
    <n v="1100.8470150259936"/>
    <m/>
    <m/>
    <m/>
    <m/>
    <m/>
    <m/>
    <m/>
    <m/>
    <m/>
    <m/>
    <m/>
    <m/>
    <n v="3107.8419999999996"/>
    <n v="-1005.0087500000009"/>
    <m/>
    <m/>
    <m/>
    <m/>
    <n v="-1133.7724500000002"/>
    <n v="126.18644999999999"/>
    <n v="31"/>
    <n v="138.78650952841735"/>
    <n v="3.3526535880935953"/>
    <n v="10.979487183300151"/>
    <n v="0"/>
    <n v="0"/>
    <n v="0"/>
    <n v="0"/>
    <n v="0"/>
    <n v="-3.9309134157294352"/>
    <n v="0"/>
    <n v="0"/>
    <n v="123.00728164188877"/>
    <n v="3.6734204205051029"/>
    <n v="0.42409325239550189"/>
    <n v="0"/>
    <n v="14.201085682608507"/>
    <n v="0"/>
    <n v="-10.642321972016191"/>
    <m/>
    <n v="0"/>
    <n v="0"/>
    <n v="-0.5358462192684641"/>
    <n v="0"/>
    <n v="-1.4577274205682045"/>
    <n v="-0.28470321279105271"/>
    <n v="0"/>
    <n v="0"/>
    <m/>
    <m/>
    <m/>
    <n v="2165.3320602176927"/>
    <n v="0"/>
    <n v="0"/>
    <n v="-1133.7724500000002"/>
    <n v="126.18644999999992"/>
    <n v="0"/>
    <n v="0"/>
    <n v="-1146.4285297799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1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55000000000000004"/>
    <n v="2.59"/>
    <n v="131.05000000000001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1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2"/>
    <s v="Regular"/>
    <s v="Azul"/>
    <s v="A4"/>
    <s v="Poder público"/>
    <s v="Não se aplica"/>
    <s v="Não se aplica"/>
    <s v="Não se aplica"/>
    <s v="Ponta"/>
    <s v="CATIVO"/>
    <x v="3"/>
    <n v="498"/>
    <n v="498"/>
    <n v="24.786000000000001"/>
    <n v="24.786000000000001"/>
    <n v="24.786000000000001"/>
    <n v="24.786000000000001"/>
    <n v="67.099999999999994"/>
    <n v="70.33"/>
    <n v="173.82"/>
    <n v="33415.799999999996"/>
    <n v="6051.5019000000002"/>
    <n v="39467.301899999991"/>
    <n v="27487.603379999997"/>
    <n v="0"/>
    <n v="1318.6158570639886"/>
    <n v="0"/>
    <n v="0"/>
    <n v="372.7122068947549"/>
    <n v="5685.7821040364288"/>
    <n v="23984.575280720452"/>
    <n v="3988.6160515301071"/>
    <n v="200.66411960776597"/>
    <n v="0"/>
    <n v="0"/>
    <n v="0"/>
    <n v="0"/>
    <n v="234.26479615575047"/>
    <m/>
    <n v="30.802322279513746"/>
    <n v="800.43555144584877"/>
    <n v="2573.8119900515835"/>
    <n v="0"/>
    <n v="0"/>
    <n v="0"/>
    <n v="0"/>
    <n v="0"/>
    <n v="0"/>
    <n v="0"/>
    <n v="0"/>
    <n v="0"/>
    <n v="0"/>
    <m/>
    <n v="0"/>
    <n v="0"/>
    <n v="0"/>
    <n v="4.6249095817236316"/>
    <n v="119.11379113231405"/>
    <n v="154.86862116618397"/>
    <n v="0"/>
    <n v="0"/>
    <n v="0"/>
    <n v="0"/>
    <n v="0"/>
    <m/>
    <m/>
    <m/>
    <m/>
    <m/>
    <m/>
    <m/>
    <m/>
    <m/>
    <n v="4267.2233734103293"/>
    <m/>
    <m/>
    <m/>
    <m/>
    <m/>
    <m/>
    <m/>
    <m/>
    <m/>
    <m/>
    <m/>
    <m/>
    <n v="27488.6607"/>
    <n v="-11978.671199999997"/>
    <m/>
    <m/>
    <m/>
    <m/>
    <n v="-12504.913859999997"/>
    <n v="525.21533999999997"/>
    <n v="31"/>
    <n v="718.55899091925858"/>
    <n v="77.717235119377051"/>
    <n v="249.90088361592052"/>
    <n v="0"/>
    <n v="0"/>
    <n v="0"/>
    <n v="0"/>
    <n v="0"/>
    <n v="-109.02036845102521"/>
    <n v="0"/>
    <n v="0"/>
    <n v="511.98295260719624"/>
    <n v="15.28957154368419"/>
    <n v="0.59365825955690799"/>
    <n v="0"/>
    <n v="19.879099142783645"/>
    <n v="0"/>
    <n v="-38.537215010345335"/>
    <m/>
    <n v="0"/>
    <n v="0"/>
    <n v="-2.2303080421138759"/>
    <n v="0"/>
    <n v="-6.0673773041483514"/>
    <n v="-0.94914056162556903"/>
    <n v="0"/>
    <n v="0"/>
    <m/>
    <m/>
    <n v="23984.575280720452"/>
    <n v="0"/>
    <n v="0"/>
    <n v="0"/>
    <n v="-12504.913859999997"/>
    <n v="525.21533999999974"/>
    <n v="0"/>
    <n v="0"/>
    <n v="-12698.561057517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3"/>
    <s v="Regular"/>
    <s v="Azul"/>
    <s v="A4"/>
    <s v="Poder público"/>
    <s v="Não se aplica"/>
    <s v="Não se aplica"/>
    <s v="Não se aplica"/>
    <s v="Fora ponta"/>
    <s v="CATIVO"/>
    <x v="3"/>
    <n v="496"/>
    <n v="496"/>
    <n v="158.45400000000001"/>
    <n v="158.45400000000001"/>
    <n v="158.45400000000001"/>
    <n v="158.45400000000001"/>
    <n v="59.12"/>
    <n v="70.33"/>
    <n v="173.82"/>
    <n v="29323.52"/>
    <n v="38686.544099999999"/>
    <n v="68010.064100000003"/>
    <n v="58763.025819999995"/>
    <n v="0"/>
    <n v="8429.7570005332545"/>
    <n v="0"/>
    <n v="0"/>
    <n v="283.74194021350627"/>
    <n v="2538.0432347548535"/>
    <n v="23888.25168521555"/>
    <n v="25498.756065083177"/>
    <n v="1282.8222548345416"/>
    <n v="0"/>
    <n v="0"/>
    <n v="0"/>
    <n v="0"/>
    <n v="1497.6274513863991"/>
    <m/>
    <n v="196.91564489946225"/>
    <n v="599.2037693822698"/>
    <n v="2014.2499805538903"/>
    <n v="0"/>
    <n v="0"/>
    <n v="0"/>
    <n v="0"/>
    <n v="0"/>
    <n v="0"/>
    <n v="0"/>
    <n v="0"/>
    <n v="0"/>
    <n v="0"/>
    <m/>
    <n v="0"/>
    <n v="0"/>
    <n v="0"/>
    <n v="29.566506207634809"/>
    <n v="761.48053982408169"/>
    <n v="990.05698774576433"/>
    <n v="0"/>
    <n v="0"/>
    <n v="0"/>
    <n v="0"/>
    <n v="0"/>
    <m/>
    <m/>
    <m/>
    <m/>
    <m/>
    <m/>
    <m/>
    <m/>
    <m/>
    <n v="27279.860098860656"/>
    <m/>
    <m/>
    <m/>
    <m/>
    <m/>
    <m/>
    <m/>
    <m/>
    <m/>
    <m/>
    <m/>
    <m/>
    <n v="58761.968499999995"/>
    <n v="-9248.1256000000067"/>
    <m/>
    <m/>
    <m/>
    <m/>
    <n v="-12604.678539999999"/>
    <n v="3357.6402599999997"/>
    <n v="31"/>
    <n v="3401.2786347626825"/>
    <n v="58.17890040663633"/>
    <n v="195.57094764861745"/>
    <n v="0"/>
    <n v="0"/>
    <n v="0"/>
    <n v="0"/>
    <n v="0"/>
    <n v="-48.664968782614324"/>
    <n v="0"/>
    <n v="0"/>
    <n v="3273.0471545396867"/>
    <n v="97.744443209188148"/>
    <n v="3.7951878423235001"/>
    <n v="0"/>
    <n v="127.08475653879771"/>
    <n v="0"/>
    <n v="-246.36390975749418"/>
    <m/>
    <n v="0"/>
    <n v="0"/>
    <n v="-14.258098543738924"/>
    <n v="0"/>
    <n v="-38.788033702554912"/>
    <n v="-6.0677446361582383"/>
    <n v="0"/>
    <n v="0"/>
    <m/>
    <m/>
    <n v="23888.25168521555"/>
    <n v="0"/>
    <n v="0"/>
    <n v="0"/>
    <n v="-12604.678540000001"/>
    <n v="3357.6402600000001"/>
    <n v="0"/>
    <n v="0"/>
    <n v="-12647.562820338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4"/>
    <s v="Regular"/>
    <s v="Azul"/>
    <s v="A4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12.6"/>
    <n v="4740.43999999999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15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8.56299999999999"/>
    <n v="298.56299999999999"/>
    <n v="298.56299999999999"/>
    <n v="298.56299999999999"/>
    <m/>
    <n v="284.26"/>
    <n v="95.6"/>
    <m/>
    <n v="113412.14117999999"/>
    <n v="113412.14117999999"/>
    <n v="85624.882769999997"/>
    <n v="0"/>
    <n v="10041.330727715576"/>
    <n v="0"/>
    <n v="0"/>
    <n v="446.39474983608949"/>
    <n v="5653.181828724425"/>
    <n v="59709.222458795201"/>
    <n v="26424.967554512303"/>
    <n v="1329.4192224783901"/>
    <n v="0"/>
    <n v="0"/>
    <n v="0"/>
    <n v="0"/>
    <n v="1552.0269581238247"/>
    <m/>
    <n v="254.77816465037714"/>
    <n v="952.17027609550723"/>
    <n v="3118.2289097321504"/>
    <n v="0"/>
    <n v="0"/>
    <n v="0"/>
    <n v="0"/>
    <n v="0"/>
    <n v="0"/>
    <n v="0"/>
    <n v="0"/>
    <n v="0"/>
    <n v="0"/>
    <m/>
    <n v="0"/>
    <n v="0"/>
    <n v="0"/>
    <n v="91.105585661710265"/>
    <n v="789.14039990359151"/>
    <n v="3050.7399512680527"/>
    <n v="0"/>
    <n v="1068.6199999999999"/>
    <n v="5003.1499999999996"/>
    <n v="33523.050000000003"/>
    <n v="15"/>
    <m/>
    <m/>
    <m/>
    <m/>
    <m/>
    <m/>
    <m/>
    <m/>
    <m/>
    <n v="30355.953491345655"/>
    <m/>
    <m/>
    <m/>
    <m/>
    <m/>
    <m/>
    <m/>
    <m/>
    <m/>
    <m/>
    <m/>
    <m/>
    <n v="85624.022400000002"/>
    <n v="-27788.148779999974"/>
    <m/>
    <m/>
    <m/>
    <m/>
    <n v="-31265.517359999998"/>
    <n v="3478.2589500000017"/>
    <n v="31"/>
    <n v="3827.0502358324957"/>
    <n v="92.449718265675983"/>
    <n v="302.76032704436057"/>
    <n v="0"/>
    <n v="0"/>
    <n v="0"/>
    <n v="0"/>
    <n v="0"/>
    <n v="-108.39528399280789"/>
    <n v="0"/>
    <n v="0"/>
    <n v="3391.9366357456347"/>
    <n v="101.29489194861378"/>
    <n v="11.694408823379874"/>
    <n v="0"/>
    <n v="391.59618968281484"/>
    <n v="0"/>
    <n v="-293.4629666183373"/>
    <m/>
    <n v="0"/>
    <n v="0"/>
    <n v="-14.776006737178704"/>
    <n v="0"/>
    <n v="-40.196962137179071"/>
    <n v="-7.8507161924932234"/>
    <n v="0"/>
    <n v="0"/>
    <m/>
    <m/>
    <m/>
    <n v="59709.222458795201"/>
    <n v="0"/>
    <n v="0"/>
    <n v="-31265.517359999998"/>
    <n v="3478.2589500000031"/>
    <n v="0"/>
    <n v="0"/>
    <n v="-31612.86777920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6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7.9980000000000002"/>
    <n v="7.5181199999999997"/>
    <n v="7.9980000000000002"/>
    <n v="7.5181199999999997"/>
    <m/>
    <n v="516.83000000000004"/>
    <n v="173.82"/>
    <m/>
    <n v="5523.8186999999998"/>
    <n v="5523.8186999999998"/>
    <n v="4170.5571"/>
    <n v="0"/>
    <n v="489.07334715267353"/>
    <n v="0"/>
    <n v="0"/>
    <n v="21.742115698980179"/>
    <n v="275.34403895348385"/>
    <n v="2908.1991297432587"/>
    <n v="1287.055240060429"/>
    <n v="64.750731405749704"/>
    <n v="0"/>
    <n v="0"/>
    <n v="0"/>
    <n v="0"/>
    <n v="75.59307026763868"/>
    <m/>
    <n v="12.409232714847821"/>
    <n v="46.376433225525247"/>
    <n v="151.87654818116798"/>
    <n v="0"/>
    <n v="0"/>
    <n v="0"/>
    <n v="0"/>
    <n v="0"/>
    <n v="0"/>
    <n v="0"/>
    <n v="0"/>
    <n v="0"/>
    <n v="0"/>
    <m/>
    <n v="0"/>
    <n v="0"/>
    <n v="0"/>
    <n v="4.4373913111827443"/>
    <n v="38.435895323014918"/>
    <n v="148.58942900275332"/>
    <n v="0"/>
    <n v="44.13"/>
    <n v="206.78"/>
    <n v="2374.96"/>
    <n v="7"/>
    <m/>
    <m/>
    <m/>
    <m/>
    <n v="250.23342600000026"/>
    <m/>
    <m/>
    <m/>
    <m/>
    <n v="1478.5179556973799"/>
    <m/>
    <m/>
    <m/>
    <m/>
    <m/>
    <m/>
    <m/>
    <m/>
    <m/>
    <m/>
    <m/>
    <m/>
    <n v="3921.3039999999996"/>
    <n v="-1271.1155780000013"/>
    <m/>
    <m/>
    <m/>
    <m/>
    <n v="-1522.7392200000004"/>
    <n v="169.47761999999997"/>
    <n v="31"/>
    <n v="186.40042035403758"/>
    <n v="4.5028586729760818"/>
    <n v="14.74625331520312"/>
    <n v="0"/>
    <n v="0"/>
    <n v="0"/>
    <n v="0"/>
    <n v="0"/>
    <n v="-5.2795038621333106"/>
    <n v="0"/>
    <n v="0"/>
    <n v="165.20776466361485"/>
    <n v="4.9336719602350598"/>
    <n v="0.56958821707123874"/>
    <n v="0"/>
    <n v="19.073095430646987"/>
    <n v="0"/>
    <n v="-14.293415807251904"/>
    <m/>
    <n v="0"/>
    <n v="0"/>
    <n v="-0.71968061489658908"/>
    <n v="0"/>
    <n v="-1.9578344096900935"/>
    <n v="-0.38237721173851469"/>
    <n v="0"/>
    <n v="0"/>
    <m/>
    <m/>
    <m/>
    <n v="2908.1991297432587"/>
    <n v="0"/>
    <n v="0"/>
    <n v="-1522.7392200000004"/>
    <n v="169.47761999999989"/>
    <n v="0"/>
    <n v="0"/>
    <n v="-1539.7372596440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7"/>
    <s v="Regular"/>
    <s v="Azul"/>
    <s v="A4"/>
    <s v="Serviço público"/>
    <s v="Água, esgoto e saneamento"/>
    <s v="Não se aplica"/>
    <s v="Não se aplica"/>
    <s v="Ponta"/>
    <s v="CATIVO"/>
    <x v="3"/>
    <n v="100"/>
    <n v="94"/>
    <n v="3.3340000000000001"/>
    <n v="3.1339600000000001"/>
    <n v="3.3340000000000001"/>
    <n v="3.1339600000000001"/>
    <n v="67.099999999999994"/>
    <n v="70.33"/>
    <n v="173.82"/>
    <n v="6709.9999999999991"/>
    <n v="813.99610000000007"/>
    <n v="7523.9960999999994"/>
    <n v="5085.2762199999997"/>
    <n v="0"/>
    <n v="177.36888838260867"/>
    <n v="0"/>
    <n v="0"/>
    <n v="74.841808613404609"/>
    <n v="1141.7233140635399"/>
    <n v="4816.1797752450702"/>
    <n v="536.51439989515757"/>
    <n v="26.991615217150475"/>
    <n v="0"/>
    <n v="0"/>
    <n v="0"/>
    <n v="0"/>
    <n v="31.511289856502547"/>
    <m/>
    <n v="4.143264039372986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62210314473761752"/>
    <n v="16.02216491709574"/>
    <n v="20.831597795854812"/>
    <n v="0"/>
    <n v="0"/>
    <n v="0"/>
    <n v="0"/>
    <n v="0"/>
    <m/>
    <m/>
    <m/>
    <m/>
    <n v="305.1165732"/>
    <m/>
    <m/>
    <m/>
    <m/>
    <n v="573.99026575284574"/>
    <m/>
    <m/>
    <m/>
    <m/>
    <m/>
    <m/>
    <m/>
    <m/>
    <m/>
    <m/>
    <m/>
    <m/>
    <n v="4779.1129000000001"/>
    <n v="-2293.4734340000005"/>
    <m/>
    <m/>
    <m/>
    <m/>
    <n v="-2509.3673399999998"/>
    <n v="70.647459999999995"/>
    <n v="31"/>
    <n v="111.14562586994225"/>
    <n v="15.60587050589902"/>
    <n v="50.180900324482081"/>
    <n v="0"/>
    <n v="0"/>
    <n v="0"/>
    <n v="0"/>
    <n v="0"/>
    <n v="-21.891640251209992"/>
    <n v="0"/>
    <n v="0"/>
    <n v="68.867552811764426"/>
    <n v="2.0566219449141911"/>
    <n v="7.9853814143578283E-2"/>
    <n v="0"/>
    <n v="2.6739658090067238"/>
    <n v="0"/>
    <n v="-5.1836954266316582"/>
    <m/>
    <n v="0"/>
    <n v="0"/>
    <n v="-0.30000189673233635"/>
    <n v="0"/>
    <n v="-0.81613152311912529"/>
    <n v="-0.12767024257482706"/>
    <n v="0"/>
    <n v="0"/>
    <m/>
    <m/>
    <n v="4816.1797752450702"/>
    <n v="0"/>
    <n v="0"/>
    <n v="0"/>
    <n v="-2509.3673399999998"/>
    <n v="70.64745999999991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8"/>
    <s v="Regular"/>
    <s v="Azul"/>
    <s v="A4"/>
    <s v="Serviço público"/>
    <s v="Água, esgoto e saneamento"/>
    <s v="Não se aplica"/>
    <s v="Não se aplica"/>
    <s v="Fora ponta"/>
    <s v="CATIVO"/>
    <x v="3"/>
    <n v="100"/>
    <n v="94"/>
    <n v="31.262"/>
    <n v="29.386279999999999"/>
    <n v="31.262"/>
    <n v="29.386279999999999"/>
    <n v="59.12"/>
    <n v="70.33"/>
    <n v="173.82"/>
    <n v="5912"/>
    <n v="7632.6172999999999"/>
    <n v="13544.6173"/>
    <n v="11666.48446"/>
    <n v="0"/>
    <n v="1663.1392287393858"/>
    <n v="0"/>
    <n v="0"/>
    <n v="57.206036333368203"/>
    <n v="511.70226507154302"/>
    <n v="4816.1797752450702"/>
    <n v="5030.7478012964657"/>
    <n v="253.0929438867901"/>
    <n v="0"/>
    <n v="0"/>
    <n v="0"/>
    <n v="0"/>
    <n v="295.47268851049267"/>
    <m/>
    <n v="38.850246070449394"/>
    <n v="120.807211569006"/>
    <n v="406.098786401994"/>
    <n v="0"/>
    <n v="0"/>
    <n v="0"/>
    <n v="0"/>
    <n v="0"/>
    <n v="0"/>
    <n v="0"/>
    <n v="0"/>
    <n v="0"/>
    <n v="0"/>
    <m/>
    <n v="0"/>
    <n v="0"/>
    <n v="0"/>
    <n v="5.8332898952571686"/>
    <n v="150.23542880571296"/>
    <n v="195.33215665687257"/>
    <n v="0"/>
    <n v="0"/>
    <n v="0"/>
    <n v="0"/>
    <n v="0"/>
    <m/>
    <m/>
    <m/>
    <m/>
    <n v="699.98906760000034"/>
    <m/>
    <m/>
    <m/>
    <m/>
    <n v="5382.1486766543094"/>
    <m/>
    <m/>
    <m/>
    <m/>
    <m/>
    <m/>
    <m/>
    <m/>
    <m/>
    <m/>
    <m/>
    <m/>
    <n v="10967.4787"/>
    <n v="-1764.4915620000011"/>
    <m/>
    <m/>
    <m/>
    <m/>
    <n v="-2540.5746199999999"/>
    <n v="662.44177999999999"/>
    <n v="31"/>
    <n v="671.9371351764421"/>
    <n v="11.729617017467007"/>
    <n v="39.429626542059964"/>
    <n v="0"/>
    <n v="0"/>
    <n v="0"/>
    <n v="0"/>
    <n v="0"/>
    <n v="-9.8114856416560201"/>
    <n v="0"/>
    <n v="0"/>
    <n v="645.75208038433721"/>
    <n v="19.284377697032824"/>
    <n v="0.74876722788138661"/>
    <n v="0"/>
    <n v="25.073041128124828"/>
    <n v="0"/>
    <n v="-48.606084711265339"/>
    <m/>
    <n v="0"/>
    <n v="0"/>
    <n v="-2.8130351816575683"/>
    <n v="0"/>
    <n v="-7.652640574610075"/>
    <n v="-1.1971287112700111"/>
    <n v="0"/>
    <n v="0"/>
    <m/>
    <m/>
    <n v="4816.1797752450702"/>
    <n v="0"/>
    <n v="0"/>
    <n v="0"/>
    <n v="-2540.5746200000003"/>
    <n v="662.44178000000011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19"/>
    <s v="Regular"/>
    <s v="Azul"/>
    <s v="A4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80.85"/>
    <n v="846.65"/>
    <n v="9398.87000000000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20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81399999999999995"/>
    <n v="0.81399999999999995"/>
    <n v="0.81399999999999995"/>
    <n v="0.81399999999999995"/>
    <m/>
    <n v="516.83000000000004"/>
    <n v="173.82"/>
    <m/>
    <n v="562.18909999999994"/>
    <n v="562.18909999999994"/>
    <n v="424.46029999999996"/>
    <n v="0"/>
    <n v="49.77565698703129"/>
    <n v="0"/>
    <n v="0"/>
    <n v="2.2128134757401683"/>
    <n v="28.023261778961718"/>
    <n v="295.98325726569294"/>
    <n v="130.99061833073134"/>
    <n v="6.5900344291423174"/>
    <n v="0"/>
    <n v="0"/>
    <n v="0"/>
    <n v="0"/>
    <n v="7.6935182793020607"/>
    <m/>
    <n v="1.2629551675276476"/>
    <n v="4.7199820762162474"/>
    <n v="15.457303103209643"/>
    <n v="0"/>
    <n v="0"/>
    <n v="0"/>
    <n v="0"/>
    <n v="0"/>
    <n v="0"/>
    <n v="0"/>
    <n v="0"/>
    <n v="0"/>
    <n v="0"/>
    <m/>
    <n v="0"/>
    <n v="0"/>
    <n v="0"/>
    <n v="0.45161747028041427"/>
    <n v="3.9118303066934406"/>
    <n v="15.122755089802599"/>
    <n v="0"/>
    <n v="4.4800000000000004"/>
    <n v="21.09"/>
    <n v="242.34"/>
    <n v="6"/>
    <m/>
    <m/>
    <m/>
    <m/>
    <m/>
    <m/>
    <m/>
    <m/>
    <m/>
    <n v="150.4768211975078"/>
    <m/>
    <m/>
    <m/>
    <m/>
    <m/>
    <m/>
    <m/>
    <m/>
    <m/>
    <m/>
    <m/>
    <m/>
    <n v="422.37450000000001"/>
    <n v="-139.8445999999999"/>
    <m/>
    <m/>
    <m/>
    <m/>
    <n v="-154.97746000000004"/>
    <n v="17.248659999999997"/>
    <n v="31"/>
    <n v="18.970985517402596"/>
    <n v="0.4582804400853373"/>
    <n v="1.5008064764410278"/>
    <n v="0"/>
    <n v="0"/>
    <n v="0"/>
    <n v="0"/>
    <n v="0"/>
    <n v="-0.53732384893429952"/>
    <n v="0"/>
    <n v="0"/>
    <n v="16.814093577917276"/>
    <n v="0.50212665361732167"/>
    <n v="5.7970093610401119E-2"/>
    <n v="0"/>
    <n v="1.9411727532566445"/>
    <n v="0"/>
    <n v="-1.4547187380724012"/>
    <m/>
    <n v="0"/>
    <n v="0"/>
    <n v="-7.3245814019232469E-2"/>
    <n v="0"/>
    <n v="-0.19925946605247979"/>
    <n v="-3.8916610447005562E-2"/>
    <n v="0"/>
    <n v="0"/>
    <m/>
    <m/>
    <m/>
    <n v="295.98325726569294"/>
    <n v="0"/>
    <n v="0"/>
    <n v="-154.97746000000001"/>
    <n v="17.248660000000001"/>
    <n v="0"/>
    <n v="0"/>
    <n v="-156.70744302953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1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59.39"/>
    <n v="6833.71"/>
    <n v="587.29"/>
    <n v="6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22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2"/>
    <n v="9.07"/>
    <n v="33.8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23"/>
    <s v="Regular"/>
    <s v="Convencional"/>
    <s v="B2"/>
    <s v="Rural"/>
    <s v="Agropecuária rural"/>
    <s v="IRRIG./AQUIC."/>
    <s v="Não se aplica"/>
    <s v="Não se aplica"/>
    <s v="CATIVO"/>
    <x v="3"/>
    <n v="0"/>
    <n v="0"/>
    <n v="187.875"/>
    <n v="187.875"/>
    <n v="187.875"/>
    <n v="187.875"/>
    <m/>
    <n v="516.83000000000004"/>
    <n v="173.82"/>
    <m/>
    <n v="129755.86875000001"/>
    <n v="129755.86875000001"/>
    <n v="97967.418749999997"/>
    <n v="0"/>
    <n v="11488.454000538703"/>
    <n v="0"/>
    <n v="0"/>
    <n v="510.72768028830973"/>
    <n v="6467.8996397081492"/>
    <n v="68314.317516943571"/>
    <n v="30233.246214847852"/>
    <n v="1521.0107105345367"/>
    <n v="0"/>
    <n v="0"/>
    <n v="0"/>
    <n v="0"/>
    <n v="1775.6999345502147"/>
    <m/>
    <n v="291.49594852488548"/>
    <n v="1089.3938975050708"/>
    <n v="3567.6177156210219"/>
    <n v="0"/>
    <n v="0"/>
    <n v="0"/>
    <n v="0"/>
    <n v="0"/>
    <n v="0"/>
    <n v="0"/>
    <n v="0"/>
    <n v="0"/>
    <n v="0"/>
    <m/>
    <n v="0"/>
    <n v="0"/>
    <n v="0"/>
    <n v="104.23542042866443"/>
    <n v="902.86869640052851"/>
    <n v="3490.4024723546236"/>
    <n v="0"/>
    <n v="0"/>
    <n v="0"/>
    <n v="0"/>
    <n v="0"/>
    <m/>
    <m/>
    <m/>
    <m/>
    <m/>
    <n v="11755.338749999999"/>
    <m/>
    <m/>
    <m/>
    <n v="34730.752804031668"/>
    <m/>
    <m/>
    <m/>
    <m/>
    <m/>
    <m/>
    <m/>
    <m/>
    <m/>
    <m/>
    <m/>
    <m/>
    <n v="86214.374400000001"/>
    <n v="-27970.444349999991"/>
    <m/>
    <m/>
    <m/>
    <m/>
    <n v="-35769.521250000005"/>
    <n v="3981.0712499999995"/>
    <n v="31"/>
    <n v="4378.5920197567757"/>
    <n v="105.77326496441378"/>
    <n v="346.39314098446948"/>
    <n v="0"/>
    <n v="0"/>
    <n v="0"/>
    <n v="0"/>
    <n v="0"/>
    <n v="-124.01685272546911"/>
    <n v="0"/>
    <n v="0"/>
    <n v="3880.771291094854"/>
    <n v="115.89317573507901"/>
    <n v="13.379768227339198"/>
    <n v="0"/>
    <n v="448.03173343745948"/>
    <n v="0"/>
    <n v="-335.75587581738728"/>
    <m/>
    <n v="0"/>
    <n v="0"/>
    <n v="-16.905475809414384"/>
    <n v="0"/>
    <n v="-45.990014968807827"/>
    <n v="-8.9821353657630993"/>
    <n v="0"/>
    <n v="0"/>
    <m/>
    <m/>
    <m/>
    <n v="68314.317516943571"/>
    <n v="0"/>
    <n v="0"/>
    <n v="-35769.521250000013"/>
    <n v="3981.0712499999972"/>
    <n v="0"/>
    <n v="0"/>
    <n v="-36168.80940930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4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25"/>
    <n v="0.25"/>
    <n v="0.25"/>
    <n v="0.25"/>
    <m/>
    <n v="516.83000000000004"/>
    <n v="173.82"/>
    <m/>
    <n v="172.66250000000002"/>
    <n v="172.66250000000002"/>
    <n v="130.36250000000001"/>
    <n v="0"/>
    <n v="15.287363939505925"/>
    <n v="0"/>
    <n v="0"/>
    <n v="0.67961101834771753"/>
    <n v="8.6066528805164992"/>
    <n v="90.90394879167475"/>
    <n v="40.230533885359748"/>
    <n v="2.0239663480166823"/>
    <n v="0"/>
    <n v="0"/>
    <n v="0"/>
    <n v="0"/>
    <n v="2.3628741644048099"/>
    <m/>
    <n v="0.38788549371242248"/>
    <n v="1.44962594478386"/>
    <n v="4.7473289629022251"/>
    <n v="0"/>
    <n v="0"/>
    <n v="0"/>
    <n v="0"/>
    <n v="0"/>
    <n v="0"/>
    <n v="0"/>
    <n v="0"/>
    <n v="0"/>
    <n v="0"/>
    <m/>
    <n v="0"/>
    <n v="0"/>
    <n v="0"/>
    <n v="0.13870315426302651"/>
    <n v="1.2014220843653074"/>
    <n v="4.6445808015364252"/>
    <n v="0"/>
    <n v="0"/>
    <n v="0"/>
    <n v="0"/>
    <n v="0"/>
    <m/>
    <m/>
    <m/>
    <m/>
    <m/>
    <n v="15.642499999999998"/>
    <m/>
    <m/>
    <m/>
    <n v="46.215239925524507"/>
    <m/>
    <m/>
    <m/>
    <m/>
    <m/>
    <m/>
    <m/>
    <m/>
    <m/>
    <m/>
    <m/>
    <m/>
    <n v="114.72"/>
    <n v="-37.252499999999998"/>
    <m/>
    <m/>
    <m/>
    <m/>
    <n v="-47.597500000000011"/>
    <n v="5.2974999999999994"/>
    <n v="31"/>
    <n v="5.8264697535020247"/>
    <n v="0.14074952091073012"/>
    <n v="0.46093565001260028"/>
    <n v="0"/>
    <n v="0"/>
    <n v="0"/>
    <n v="0"/>
    <n v="0"/>
    <n v="-0.16502575212969894"/>
    <n v="0"/>
    <n v="0"/>
    <n v="5.1640336541515026"/>
    <n v="0.15421580270802271"/>
    <n v="1.7804082804177251E-2"/>
    <n v="0"/>
    <n v="0.59618327802722515"/>
    <n v="0"/>
    <n v="-0.44678093921142548"/>
    <m/>
    <n v="0"/>
    <n v="0"/>
    <n v="-2.2495643126299925E-2"/>
    <n v="0"/>
    <n v="-6.1197624708992482E-2"/>
    <n v="-1.1952275935812495E-2"/>
    <n v="0"/>
    <n v="0"/>
    <m/>
    <m/>
    <m/>
    <n v="90.90394879167475"/>
    <n v="0"/>
    <n v="0"/>
    <n v="-47.597500000000011"/>
    <n v="5.2974999999999994"/>
    <n v="0"/>
    <n v="0"/>
    <n v="-48.128821569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5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75.691000000000003"/>
    <n v="30.276399999999999"/>
    <n v="75.691000000000003"/>
    <n v="30.276399999999999"/>
    <m/>
    <n v="516.83000000000004"/>
    <n v="173.82"/>
    <m/>
    <n v="52275.989150000009"/>
    <n v="52275.989150000009"/>
    <n v="39469.071949999998"/>
    <n v="0"/>
    <n v="4628.4634557805721"/>
    <n v="0"/>
    <n v="0"/>
    <n v="205.76175035902835"/>
    <n v="2605.7846527166976"/>
    <n v="27522.443151962616"/>
    <n v="12180.357361267059"/>
    <n v="612.78414739092284"/>
    <n v="0"/>
    <n v="0"/>
    <n v="0"/>
    <n v="0"/>
    <n v="715.39323351185794"/>
    <m/>
    <n v="117.43776361834789"/>
    <n v="438.89454954654059"/>
    <n v="1437.3203061241293"/>
    <n v="0"/>
    <n v="0"/>
    <n v="0"/>
    <n v="0"/>
    <n v="0"/>
    <n v="0"/>
    <n v="0"/>
    <n v="0"/>
    <n v="0"/>
    <n v="0"/>
    <m/>
    <n v="0"/>
    <n v="0"/>
    <n v="0"/>
    <n v="41.994321797290958"/>
    <n v="363.74735595077794"/>
    <n v="1406.2118617963743"/>
    <n v="0"/>
    <n v="0"/>
    <n v="0"/>
    <n v="0"/>
    <n v="0"/>
    <m/>
    <m/>
    <m/>
    <m/>
    <m/>
    <m/>
    <n v="25575.837518000004"/>
    <m/>
    <m/>
    <n v="13992.310900811503"/>
    <m/>
    <m/>
    <m/>
    <m/>
    <m/>
    <m/>
    <m/>
    <m/>
    <m/>
    <m/>
    <m/>
    <m/>
    <n v="13894.886399999999"/>
    <n v="-4506.2312280000006"/>
    <m/>
    <m/>
    <m/>
    <m/>
    <n v="-14410.809490000003"/>
    <n v="1603.8922899999998"/>
    <n v="31"/>
    <n v="1764.0452884492879"/>
    <n v="42.613887949016316"/>
    <n v="139.55472114041504"/>
    <n v="0"/>
    <n v="0"/>
    <n v="0"/>
    <n v="0"/>
    <n v="0"/>
    <n v="-49.963856817796113"/>
    <n v="0"/>
    <n v="0"/>
    <n v="1563.4834852655258"/>
    <n v="46.690993291091786"/>
    <n v="5.3904353261239208"/>
    <n v="0"/>
    <n v="180.50283398863485"/>
    <n v="0"/>
    <n v="-135.26918427940836"/>
    <m/>
    <n v="0"/>
    <n v="0"/>
    <n v="-6.8108708954911208"/>
    <n v="0"/>
    <n v="-18.528437647393503"/>
    <n v="-3.6187188714303318"/>
    <n v="0"/>
    <n v="0"/>
    <m/>
    <m/>
    <m/>
    <n v="27522.443151962616"/>
    <n v="0"/>
    <n v="0"/>
    <n v="-14410.809490000003"/>
    <n v="1603.8922899999998"/>
    <n v="0"/>
    <n v="0"/>
    <n v="-14571.674533598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6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1"/>
    <n v="0.04"/>
    <n v="0.1"/>
    <n v="0.04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"/>
    <n v="0"/>
    <n v="0"/>
    <n v="0"/>
    <m/>
    <m/>
    <m/>
    <m/>
    <m/>
    <m/>
    <n v="33.7898"/>
    <m/>
    <m/>
    <n v="18.486095970209803"/>
    <m/>
    <m/>
    <m/>
    <m/>
    <m/>
    <m/>
    <m/>
    <m/>
    <m/>
    <m/>
    <m/>
    <m/>
    <n v="18.3552"/>
    <n v="-5.9856000000000051"/>
    <m/>
    <m/>
    <m/>
    <m/>
    <n v="-19.039000000000005"/>
    <n v="2.1189999999999998"/>
    <n v="31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7"/>
    <s v="Regular"/>
    <s v="Verde"/>
    <s v="A4"/>
    <s v="Rural"/>
    <s v="Agropecuária rural"/>
    <s v="Não se aplica"/>
    <s v="Não se aplica"/>
    <s v="Ponta"/>
    <s v="CATIVO"/>
    <x v="3"/>
    <n v="0"/>
    <n v="0"/>
    <n v="0.90800000000000003"/>
    <n v="0.87168000000000001"/>
    <n v="0.90800000000000003"/>
    <n v="0.87168000000000001"/>
    <m/>
    <n v="1684.16"/>
    <n v="173.82"/>
    <m/>
    <n v="1687.04584"/>
    <n v="1687.04584"/>
    <n v="1158.1176800000001"/>
    <n v="0"/>
    <n v="48.305624070608481"/>
    <n v="0"/>
    <n v="0"/>
    <n v="16.343455072639745"/>
    <n v="249.32402369546813"/>
    <n v="1051.7295495900503"/>
    <n v="146.1172990716266"/>
    <n v="7.3510457759965906"/>
    <n v="0"/>
    <n v="0"/>
    <n v="0"/>
    <n v="0"/>
    <n v="8.5819589651182699"/>
    <m/>
    <n v="1.1283994444363141"/>
    <n v="35.099778415199559"/>
    <n v="112.86319327596499"/>
    <n v="0"/>
    <n v="0"/>
    <n v="0"/>
    <n v="0"/>
    <n v="0"/>
    <n v="0"/>
    <n v="0"/>
    <n v="0"/>
    <n v="0"/>
    <n v="0"/>
    <m/>
    <n v="0"/>
    <n v="0"/>
    <n v="0"/>
    <n v="0.16942701122428216"/>
    <n v="4.3635650104147965"/>
    <n v="5.6733925610786349"/>
    <n v="0"/>
    <n v="0"/>
    <n v="0"/>
    <n v="0"/>
    <n v="0"/>
    <m/>
    <m/>
    <m/>
    <m/>
    <m/>
    <n v="46.324707200000027"/>
    <m/>
    <m/>
    <m/>
    <n v="156.32368365434431"/>
    <m/>
    <m/>
    <m/>
    <m/>
    <m/>
    <m/>
    <m/>
    <m/>
    <m/>
    <m/>
    <m/>
    <m/>
    <n v="1109.6502"/>
    <n v="-509.94380640000008"/>
    <m/>
    <m/>
    <m/>
    <m/>
    <n v="-548.16867999999999"/>
    <n v="19.24052"/>
    <n v="31"/>
    <n v="27.901050927155666"/>
    <n v="3.4079667336173358"/>
    <n v="10.958303029278895"/>
    <n v="0"/>
    <n v="0"/>
    <n v="0"/>
    <n v="0"/>
    <n v="0"/>
    <n v="-4.7805906785779371"/>
    <n v="0"/>
    <n v="0"/>
    <n v="18.755770231878273"/>
    <n v="0.5601117954355388"/>
    <n v="2.1747829406829344E-2"/>
    <n v="0"/>
    <n v="0.72824263784586218"/>
    <n v="0"/>
    <n v="-1.4117562829578674"/>
    <m/>
    <n v="0"/>
    <n v="0"/>
    <n v="-8.1704175834721227E-2"/>
    <n v="0"/>
    <n v="-0.22226977294306138"/>
    <n v="-3.4770419993384039E-2"/>
    <n v="0"/>
    <n v="0"/>
    <m/>
    <m/>
    <m/>
    <n v="1051.7295495900503"/>
    <n v="0"/>
    <n v="0"/>
    <n v="-548.16867999999999"/>
    <n v="19.240519999999975"/>
    <n v="0"/>
    <n v="0"/>
    <n v="-556.83503856746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8"/>
    <s v="Regular"/>
    <s v="Verde"/>
    <s v="A4"/>
    <s v="Rural"/>
    <s v="Agropecuária rural"/>
    <s v="Não se aplica"/>
    <s v="Não se aplica"/>
    <s v="Fora ponta"/>
    <s v="CATIVO"/>
    <x v="3"/>
    <n v="0"/>
    <n v="0"/>
    <n v="243.54400000000001"/>
    <n v="233.80224000000001"/>
    <n v="243.54400000000001"/>
    <n v="233.80224000000001"/>
    <m/>
    <n v="70.33"/>
    <n v="173.82"/>
    <m/>
    <n v="59461.267599999999"/>
    <n v="59461.267599999999"/>
    <n v="64375.985520000002"/>
    <n v="0"/>
    <n v="12956.547256224969"/>
    <n v="0"/>
    <n v="0"/>
    <n v="0"/>
    <n v="0"/>
    <n v="0"/>
    <n v="39191.620578304217"/>
    <n v="1971.6994410454995"/>
    <n v="0"/>
    <n v="0"/>
    <n v="0"/>
    <n v="0"/>
    <n v="2301.8553019832202"/>
    <m/>
    <n v="302.65959724206795"/>
    <n v="0"/>
    <n v="0"/>
    <n v="0"/>
    <n v="0"/>
    <n v="0"/>
    <n v="0"/>
    <n v="0"/>
    <n v="0"/>
    <n v="0"/>
    <n v="0"/>
    <n v="0"/>
    <n v="0"/>
    <m/>
    <n v="0"/>
    <n v="0"/>
    <n v="0"/>
    <n v="45.443757733046894"/>
    <n v="1170.3965604586579"/>
    <n v="1521.7188523076377"/>
    <n v="0"/>
    <n v="0"/>
    <n v="0"/>
    <n v="0"/>
    <n v="0"/>
    <m/>
    <m/>
    <m/>
    <m/>
    <m/>
    <n v="2575.0394207999998"/>
    <m/>
    <m/>
    <m/>
    <n v="41929.179748803559"/>
    <m/>
    <m/>
    <m/>
    <m/>
    <m/>
    <m/>
    <m/>
    <m/>
    <m/>
    <m/>
    <m/>
    <m/>
    <n v="61800.354000000007"/>
    <n v="4717.5071040000112"/>
    <m/>
    <m/>
    <m/>
    <m/>
    <n v="-245.97944000000126"/>
    <n v="5160.6973600000001"/>
    <n v="31"/>
    <n v="4912.5538767532998"/>
    <n v="0"/>
    <n v="0"/>
    <n v="0"/>
    <n v="0"/>
    <n v="0"/>
    <n v="0"/>
    <n v="0"/>
    <n v="0"/>
    <n v="0"/>
    <n v="0"/>
    <n v="5030.6776490666962"/>
    <n v="150.23333381889074"/>
    <n v="5.8332085518247183"/>
    <n v="0"/>
    <n v="195.32943281005805"/>
    <n v="0"/>
    <n v="-378.66164336639849"/>
    <m/>
    <n v="0"/>
    <n v="0"/>
    <n v="-21.914715638206189"/>
    <n v="0"/>
    <n v="-59.617257248507485"/>
    <n v="-9.3261312410448909"/>
    <n v="0"/>
    <n v="0"/>
    <m/>
    <m/>
    <m/>
    <n v="0"/>
    <n v="0"/>
    <n v="0"/>
    <n v="-245.9794400000028"/>
    <n v="5160.697360000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29"/>
    <s v="Regular"/>
    <s v="Verde"/>
    <s v="A4"/>
    <s v="Rural"/>
    <s v="Agropecuária rural"/>
    <s v="Não se aplica"/>
    <s v="Não se aplica"/>
    <s v="Não se aplica"/>
    <s v="CATIVO"/>
    <x v="3"/>
    <n v="1482"/>
    <n v="1422.72"/>
    <n v="0"/>
    <n v="0"/>
    <n v="0"/>
    <n v="0"/>
    <n v="59.12"/>
    <m/>
    <m/>
    <n v="87615.84"/>
    <m/>
    <n v="87615.84"/>
    <n v="50432.46"/>
    <n v="0"/>
    <n v="0"/>
    <n v="0"/>
    <n v="0"/>
    <n v="847.79345846051683"/>
    <n v="7583.4275683602682"/>
    <n v="71375.784269131938"/>
    <m/>
    <m/>
    <m/>
    <n v="0"/>
    <n v="0"/>
    <n v="0"/>
    <n v="0"/>
    <m/>
    <n v="0"/>
    <n v="1790.362875452669"/>
    <n v="6018.3840144775513"/>
    <n v="0"/>
    <n v="0"/>
    <m/>
    <m/>
    <n v="0"/>
    <n v="0"/>
    <n v="0"/>
    <m/>
    <m/>
    <n v="0"/>
    <m/>
    <n v="0"/>
    <n v="0"/>
    <n v="0"/>
    <n v="0"/>
    <m/>
    <n v="0"/>
    <n v="0"/>
    <n v="1956.93"/>
    <n v="9161.56"/>
    <n v="46.9"/>
    <n v="9"/>
    <m/>
    <m/>
    <m/>
    <m/>
    <m/>
    <n v="2017.2983999999992"/>
    <m/>
    <m/>
    <m/>
    <n v="0"/>
    <m/>
    <m/>
    <m/>
    <m/>
    <m/>
    <m/>
    <m/>
    <m/>
    <m/>
    <m/>
    <m/>
    <m/>
    <n v="48415.161599999999"/>
    <n v="-35696.07479999998"/>
    <m/>
    <m/>
    <m/>
    <m/>
    <n v="-37183.379999999997"/>
    <n v="0"/>
    <n v="31"/>
    <n v="612.7737723428454"/>
    <n v="173.83292419886084"/>
    <n v="584.34706535332862"/>
    <n v="0"/>
    <n v="0"/>
    <m/>
    <m/>
    <m/>
    <n v="-145.406217209343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1375.784269131938"/>
    <m/>
    <n v="0"/>
    <n v="0"/>
    <n v="-37183.379999999997"/>
    <m/>
    <n v="0"/>
    <m/>
    <n v="-37789.69374947879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30"/>
    <s v="Regular"/>
    <s v="Verde"/>
    <s v="A4"/>
    <s v="Rural"/>
    <s v="Agropecuária rural"/>
    <s v="IRRIG./AQUIC. PR"/>
    <s v="Não se aplica"/>
    <s v="Fora ponta"/>
    <s v="CATIVO"/>
    <x v="3"/>
    <n v="0"/>
    <n v="0"/>
    <n v="161.88999999999999"/>
    <n v="48.567"/>
    <n v="161.88999999999999"/>
    <n v="48.567"/>
    <m/>
    <n v="70.33"/>
    <n v="173.82"/>
    <m/>
    <n v="39525.443499999994"/>
    <n v="39525.443499999994"/>
    <n v="42792.383699999991"/>
    <n v="0"/>
    <n v="8612.5522916198297"/>
    <n v="0"/>
    <n v="0"/>
    <n v="0"/>
    <n v="0"/>
    <n v="0"/>
    <n v="26051.684522803556"/>
    <n v="1310.6396483216827"/>
    <n v="0"/>
    <n v="0"/>
    <n v="0"/>
    <n v="0"/>
    <n v="1530.1027939019787"/>
    <m/>
    <n v="201.18566746673443"/>
    <n v="0"/>
    <n v="0"/>
    <n v="0"/>
    <n v="0"/>
    <n v="0"/>
    <n v="0"/>
    <n v="0"/>
    <n v="0"/>
    <n v="0"/>
    <n v="0"/>
    <n v="0"/>
    <n v="0"/>
    <m/>
    <n v="0"/>
    <n v="0"/>
    <n v="0"/>
    <n v="30.207641902091449"/>
    <n v="777.9928849515984"/>
    <n v="1011.5259049702864"/>
    <n v="0"/>
    <n v="0"/>
    <n v="0"/>
    <n v="0"/>
    <n v="0"/>
    <m/>
    <m/>
    <m/>
    <m/>
    <m/>
    <m/>
    <n v="29954.668589999994"/>
    <m/>
    <m/>
    <n v="27871.410954627536"/>
    <m/>
    <m/>
    <m/>
    <m/>
    <m/>
    <m/>
    <m/>
    <m/>
    <m/>
    <m/>
    <m/>
    <m/>
    <n v="12838.508099999999"/>
    <n v="980.8450499999999"/>
    <m/>
    <m/>
    <m/>
    <m/>
    <n v="-163.50890000000081"/>
    <n v="3430.4490999999994"/>
    <n v="31"/>
    <n v="3265.5017044459892"/>
    <n v="0"/>
    <n v="0"/>
    <n v="0"/>
    <n v="0"/>
    <n v="0"/>
    <n v="0"/>
    <n v="0"/>
    <n v="0"/>
    <n v="0"/>
    <n v="0"/>
    <n v="3344.0216330823459"/>
    <n v="99.863985201607193"/>
    <n v="3.8774846945722494"/>
    <n v="0"/>
    <n v="129.84052934016142"/>
    <n v="0"/>
    <n v="-251.70619454630832"/>
    <m/>
    <n v="0"/>
    <n v="0"/>
    <n v="-14.567278662866784"/>
    <n v="0"/>
    <n v="-39.6291338565552"/>
    <n v="-6.1993208069702064"/>
    <n v="0"/>
    <n v="0"/>
    <m/>
    <m/>
    <m/>
    <n v="0"/>
    <n v="0"/>
    <n v="0"/>
    <n v="-163.50890000000072"/>
    <n v="3430.44910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1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7"/>
    <n v="1.3"/>
    <n v="4.73000000000000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32"/>
    <s v="Regular"/>
    <s v="Convencional"/>
    <s v="B2"/>
    <s v="Rural"/>
    <s v="Aquicultura"/>
    <s v="IRRIG./AQUIC."/>
    <s v="Não se aplica"/>
    <s v="Não se aplica"/>
    <s v="CATIVO"/>
    <x v="3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1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4"/>
    <s v="Regular"/>
    <s v="Convencional"/>
    <s v="B1"/>
    <s v="Residencial"/>
    <s v="Residencial"/>
    <s v="Não se aplica"/>
    <s v="Não se aplica"/>
    <s v="Não se aplica"/>
    <s v="CATIVO"/>
    <x v="4"/>
    <n v="0"/>
    <n v="0"/>
    <n v="2094.5970000000002"/>
    <n v="2094.5970000000002"/>
    <n v="2094.5970000000002"/>
    <n v="2094.5970000000002"/>
    <m/>
    <n v="516.83000000000004"/>
    <n v="173.82"/>
    <m/>
    <n v="1446633.4180500002"/>
    <n v="1446633.4180500002"/>
    <n v="1092227.6056500003"/>
    <n v="0"/>
    <n v="128083.46658238918"/>
    <n v="0"/>
    <n v="0"/>
    <n v="5694.0448007922969"/>
    <n v="72109.877214284876"/>
    <n v="761628.5537087823"/>
    <n v="337067.02233869152"/>
    <n v="16957.575362626798"/>
    <n v="0"/>
    <n v="0"/>
    <n v="0"/>
    <n v="0"/>
    <n v="19797.076544559288"/>
    <m/>
    <n v="3249.8551658942361"/>
    <n v="12145.528620265757"/>
    <n v="39774.964014832454"/>
    <n v="0"/>
    <n v="0"/>
    <n v="0"/>
    <n v="0"/>
    <n v="0"/>
    <n v="0"/>
    <n v="0"/>
    <n v="0"/>
    <n v="0"/>
    <n v="0"/>
    <m/>
    <n v="0"/>
    <n v="0"/>
    <n v="0"/>
    <n v="1162.1088432394904"/>
    <n v="10065.980374581281"/>
    <n v="38914.100052623173"/>
    <n v="0"/>
    <n v="8904.0499999999993"/>
    <n v="41729.480000000003"/>
    <n v="595711.91"/>
    <n v="12989"/>
    <m/>
    <m/>
    <m/>
    <m/>
    <m/>
    <m/>
    <m/>
    <m/>
    <m/>
    <n v="387209.2116091355"/>
    <m/>
    <m/>
    <m/>
    <m/>
    <m/>
    <m/>
    <m/>
    <m/>
    <m/>
    <m/>
    <m/>
    <m/>
    <n v="1092229.17"/>
    <n v="-354404.27805000031"/>
    <m/>
    <m/>
    <m/>
    <m/>
    <n v="-398790.32283000014"/>
    <n v="44384.510430000002"/>
    <n v="30"/>
    <n v="48816.42426510423"/>
    <n v="1179.2540970042101"/>
    <n v="3861.8977188377685"/>
    <n v="0"/>
    <n v="0"/>
    <n v="0"/>
    <n v="0"/>
    <n v="0"/>
    <n v="-1382.6497813344467"/>
    <n v="0"/>
    <n v="0"/>
    <n v="43266.277599539084"/>
    <n v="1292.0798308192643"/>
    <n v="149.16951371752498"/>
    <n v="0"/>
    <n v="4995.054822423961"/>
    <n v="0"/>
    <n v="-3743.304059717746"/>
    <m/>
    <n v="0"/>
    <n v="0"/>
    <n v="-188.47722642167355"/>
    <n v="0"/>
    <n v="-512.73744449032529"/>
    <n v="-100.14080527329997"/>
    <n v="0"/>
    <n v="0"/>
    <m/>
    <m/>
    <m/>
    <n v="761628.5537087823"/>
    <n v="0"/>
    <n v="0"/>
    <n v="-398790.32283000008"/>
    <n v="44384.510430000024"/>
    <n v="0"/>
    <n v="0"/>
    <n v="-403241.94109010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5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1.6020000000000001"/>
    <n v="-1.6020000000000001"/>
    <n v="-1.6020000000000001"/>
    <n v="-1.6020000000000001"/>
    <m/>
    <n v="516.83000000000004"/>
    <n v="173.82"/>
    <m/>
    <n v="-1106.4213000000002"/>
    <n v="-1106.4213000000002"/>
    <n v="-835.36290000000008"/>
    <n v="0"/>
    <n v="-97.961428124353972"/>
    <n v="0"/>
    <n v="0"/>
    <n v="-4.3549474055721742"/>
    <n v="-55.151431658349729"/>
    <n v="-582.5125038570518"/>
    <n v="-257.79726113738531"/>
    <n v="-12.969576358090901"/>
    <n v="0"/>
    <n v="0"/>
    <n v="0"/>
    <n v="0"/>
    <n v="-15.141297645506024"/>
    <m/>
    <n v="-2.4855702437092035"/>
    <n v="-9.2892030541749744"/>
    <n v="-30.42088399427746"/>
    <n v="0"/>
    <n v="0"/>
    <n v="0"/>
    <n v="0"/>
    <n v="0"/>
    <n v="0"/>
    <n v="0"/>
    <n v="0"/>
    <n v="0"/>
    <n v="0"/>
    <m/>
    <n v="0"/>
    <n v="0"/>
    <n v="0"/>
    <n v="-0.88880981251747393"/>
    <n v="-7.6987127166128904"/>
    <n v="-29.762473776245415"/>
    <n v="0"/>
    <n v="-7.08"/>
    <n v="-33.22"/>
    <n v="-491.99"/>
    <n v="0"/>
    <m/>
    <m/>
    <m/>
    <m/>
    <m/>
    <m/>
    <m/>
    <m/>
    <m/>
    <n v="-296.14725744276109"/>
    <m/>
    <m/>
    <m/>
    <m/>
    <m/>
    <m/>
    <m/>
    <m/>
    <m/>
    <m/>
    <m/>
    <m/>
    <n v="-834.31999999999994"/>
    <n v="272.07130000000029"/>
    <m/>
    <m/>
    <m/>
    <m/>
    <n v="305.0047800000001"/>
    <n v="-33.946379999999998"/>
    <n v="30"/>
    <n v="-37.336018180440988"/>
    <n v="-0.90192292999596013"/>
    <n v="-2.9536756452807396"/>
    <n v="0"/>
    <n v="0"/>
    <n v="0"/>
    <n v="0"/>
    <n v="0"/>
    <n v="1.0574850196471104"/>
    <n v="0"/>
    <n v="0"/>
    <n v="-33.091127655802779"/>
    <n v="-0.98821486375300971"/>
    <n v="-0.11408856260916789"/>
    <n v="0"/>
    <n v="-3.820342445598456"/>
    <n v="0"/>
    <n v="2.8629722584668116"/>
    <m/>
    <n v="0"/>
    <n v="0"/>
    <n v="0.14415208115332945"/>
    <n v="0"/>
    <n v="0.39215437913522422"/>
    <n v="7.6590184196686728E-2"/>
    <n v="0"/>
    <n v="0"/>
    <m/>
    <m/>
    <m/>
    <n v="-582.5125038570518"/>
    <n v="0"/>
    <n v="0"/>
    <n v="305.0047800000001"/>
    <n v="-33.946380000000033"/>
    <n v="0"/>
    <n v="0"/>
    <n v="308.40948861587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6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16.259"/>
    <n v="16.259"/>
    <n v="16.259"/>
    <n v="16.259"/>
    <m/>
    <n v="516.83000000000004"/>
    <n v="173.82"/>
    <m/>
    <n v="11229.278350000001"/>
    <n v="11229.278350000001"/>
    <n v="8478.2555499999999"/>
    <n v="0"/>
    <n v="994.22900116970732"/>
    <n v="0"/>
    <n v="0"/>
    <n v="44.19918218926216"/>
    <n v="559.74227673727103"/>
    <n v="5912.0292136153594"/>
    <n v="2616.4330017682564"/>
    <n v="131.63067540961296"/>
    <n v="0"/>
    <n v="0"/>
    <n v="0"/>
    <n v="0"/>
    <n v="153.67188415623122"/>
    <m/>
    <n v="25.226520969081108"/>
    <n v="94.277872944963121"/>
    <n v="308.74728643130913"/>
    <n v="0"/>
    <n v="0"/>
    <n v="0"/>
    <n v="0"/>
    <n v="0"/>
    <n v="0"/>
    <n v="0"/>
    <n v="0"/>
    <n v="0"/>
    <n v="0"/>
    <m/>
    <n v="0"/>
    <n v="0"/>
    <n v="0"/>
    <n v="9.0206983406501919"/>
    <n v="78.135686678782136"/>
    <n v="302.06495700872296"/>
    <n v="0"/>
    <n v="67.510000000000005"/>
    <n v="325.01"/>
    <n v="16013.57"/>
    <n v="276"/>
    <m/>
    <m/>
    <m/>
    <m/>
    <m/>
    <m/>
    <m/>
    <m/>
    <m/>
    <n v="3005.6543437964119"/>
    <m/>
    <m/>
    <m/>
    <m/>
    <m/>
    <m/>
    <m/>
    <m/>
    <m/>
    <m/>
    <m/>
    <m/>
    <n v="8478.7770000000019"/>
    <n v="-2750.5313499999993"/>
    <m/>
    <m/>
    <m/>
    <m/>
    <n v="-3095.5510100000006"/>
    <n v="344.52820999999994"/>
    <n v="30"/>
    <n v="378.93028688875711"/>
    <n v="9.1537858419502385"/>
    <n v="29.977410934219449"/>
    <n v="0"/>
    <n v="0"/>
    <n v="0"/>
    <n v="0"/>
    <n v="0"/>
    <n v="-10.732614815507077"/>
    <n v="0"/>
    <n v="0"/>
    <n v="335.84809273139717"/>
    <n v="10.029578944918967"/>
    <n v="1.1579063292524729"/>
    <n v="0"/>
    <n v="38.773375669778602"/>
    <n v="0"/>
    <n v="-29.056845162554282"/>
    <m/>
    <n v="0"/>
    <n v="0"/>
    <n v="-1.4630266463620387"/>
    <n v="0"/>
    <n v="-3.9800487205740183"/>
    <n v="-0.77732821776150018"/>
    <n v="0"/>
    <n v="0"/>
    <m/>
    <m/>
    <m/>
    <n v="5912.0292136153594"/>
    <n v="0"/>
    <n v="0"/>
    <n v="-3095.5510100000001"/>
    <n v="344.52820999999994"/>
    <n v="0"/>
    <n v="0"/>
    <n v="-3130.1060395789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7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0.17100000000000001"/>
    <n v="0.17100000000000001"/>
    <n v="0.17100000000000001"/>
    <n v="0.17100000000000001"/>
    <m/>
    <n v="516.83000000000004"/>
    <n v="173.82"/>
    <m/>
    <n v="118.10115000000002"/>
    <n v="118.10115000000002"/>
    <n v="89.167950000000005"/>
    <n v="0"/>
    <n v="10.456556934622053"/>
    <n v="0"/>
    <n v="0"/>
    <n v="0.46485393654983881"/>
    <n v="5.8869505702732861"/>
    <n v="62.178300973505536"/>
    <n v="27.51768517758607"/>
    <n v="1.3843929820434109"/>
    <n v="0"/>
    <n v="0"/>
    <n v="0"/>
    <n v="0"/>
    <n v="1.61620592845289"/>
    <m/>
    <n v="0.26531367769929698"/>
    <n v="0.99154414623216025"/>
    <n v="3.2471730106251222"/>
    <n v="0"/>
    <n v="0"/>
    <n v="0"/>
    <n v="0"/>
    <n v="0"/>
    <n v="0"/>
    <n v="0"/>
    <n v="0"/>
    <n v="0"/>
    <n v="0"/>
    <m/>
    <n v="0"/>
    <n v="0"/>
    <n v="0"/>
    <n v="9.4872957515910142E-2"/>
    <n v="0.82177270570587035"/>
    <n v="3.176893268250915"/>
    <n v="0"/>
    <n v="0.13"/>
    <n v="0.65"/>
    <n v="217.41"/>
    <n v="1"/>
    <m/>
    <m/>
    <m/>
    <m/>
    <m/>
    <m/>
    <m/>
    <m/>
    <m/>
    <n v="31.611224109058767"/>
    <m/>
    <m/>
    <m/>
    <m/>
    <m/>
    <m/>
    <m/>
    <m/>
    <m/>
    <m/>
    <m/>
    <m/>
    <n v="88.646500000000003"/>
    <n v="-29.48465000000003"/>
    <m/>
    <m/>
    <m/>
    <m/>
    <n v="-32.55669000000001"/>
    <n v="3.6234899999999999"/>
    <n v="30"/>
    <n v="3.9853053113954076"/>
    <n v="9.6272672302939566E-2"/>
    <n v="0.3152799846086185"/>
    <n v="0"/>
    <n v="0"/>
    <n v="0"/>
    <n v="0"/>
    <n v="0"/>
    <n v="-0.11287761445671407"/>
    <n v="0"/>
    <n v="0"/>
    <n v="3.5321990194396271"/>
    <n v="0.10548360905228749"/>
    <n v="1.2177992638057245E-2"/>
    <n v="0"/>
    <n v="0.40778936217062212"/>
    <n v="0"/>
    <n v="-0.30559816242061544"/>
    <m/>
    <n v="0"/>
    <n v="0"/>
    <n v="-1.5387019898389198E-2"/>
    <n v="0"/>
    <n v="-4.1859175300950735E-2"/>
    <n v="-8.1753567400957294E-3"/>
    <n v="0"/>
    <n v="0"/>
    <m/>
    <m/>
    <m/>
    <n v="62.178300973505536"/>
    <n v="0"/>
    <n v="0"/>
    <n v="-32.556690000000017"/>
    <n v="3.6234900000000003"/>
    <n v="0"/>
    <n v="0"/>
    <n v="-32.92011395337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8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4.3"/>
    <n v="24.3"/>
    <n v="24.3"/>
    <n v="24.3"/>
    <m/>
    <n v="446.23"/>
    <n v="173.82"/>
    <m/>
    <n v="15067.215"/>
    <n v="15067.215"/>
    <n v="11004.984"/>
    <n v="0"/>
    <n v="0"/>
    <n v="0"/>
    <n v="0"/>
    <n v="66.058190983398148"/>
    <n v="836.56665998620372"/>
    <n v="8835.8638225507857"/>
    <n v="3910.4078936569676"/>
    <n v="196.72952902722153"/>
    <n v="0"/>
    <n v="0"/>
    <n v="0"/>
    <n v="0"/>
    <n v="0"/>
    <m/>
    <n v="37.702469988847469"/>
    <n v="140.90364183299118"/>
    <n v="461.4403751940963"/>
    <n v="0"/>
    <n v="0"/>
    <n v="0"/>
    <n v="0"/>
    <n v="0"/>
    <n v="0"/>
    <n v="0"/>
    <n v="0"/>
    <n v="0"/>
    <n v="0"/>
    <m/>
    <n v="0"/>
    <n v="0"/>
    <n v="0"/>
    <n v="13.481946594366178"/>
    <n v="116.77822660030789"/>
    <n v="451.45325390934056"/>
    <n v="0"/>
    <n v="80.989999999999995"/>
    <n v="381.53"/>
    <n v="1752.21"/>
    <n v="36"/>
    <m/>
    <m/>
    <m/>
    <m/>
    <m/>
    <m/>
    <m/>
    <n v="7153.1910000000007"/>
    <m/>
    <n v="4492.1213207609817"/>
    <m/>
    <m/>
    <m/>
    <m/>
    <m/>
    <m/>
    <m/>
    <m/>
    <m/>
    <m/>
    <m/>
    <m/>
    <n v="3851.7930000000006"/>
    <n v="-1421.8230000000003"/>
    <m/>
    <m/>
    <m/>
    <m/>
    <n v="-4577.1480000000001"/>
    <n v="514.91699999999992"/>
    <n v="30"/>
    <n v="615.70837645346182"/>
    <n v="13.68085343252298"/>
    <n v="44.802945181224743"/>
    <n v="0"/>
    <n v="0"/>
    <n v="0"/>
    <n v="0"/>
    <n v="0"/>
    <n v="-16.040503107006657"/>
    <n v="0"/>
    <n v="0"/>
    <n v="501.94407118352592"/>
    <n v="14.98977602321979"/>
    <n v="1.7305568485660281"/>
    <n v="0"/>
    <n v="57.949014624246274"/>
    <n v="0"/>
    <n v="0"/>
    <m/>
    <n v="0"/>
    <n v="0"/>
    <n v="-2.1865765118763534"/>
    <n v="0"/>
    <n v="0"/>
    <n v="-1.161761220960976"/>
    <n v="0"/>
    <n v="0"/>
    <m/>
    <m/>
    <m/>
    <n v="8835.8638225507857"/>
    <n v="0"/>
    <n v="0"/>
    <n v="-4577.148000000001"/>
    <n v="514.91699999999946"/>
    <n v="0"/>
    <n v="0"/>
    <n v="-4678.1214565329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39"/>
    <s v="Refaturamento - 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3.1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40"/>
    <s v="Sistema de Compensação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03"/>
    <n v="1.0500000000000001E-2"/>
    <n v="0.03"/>
    <n v="1.0500000000000001E-2"/>
    <m/>
    <n v="446.23"/>
    <n v="173.82"/>
    <m/>
    <n v="18.601500000000001"/>
    <n v="18.601500000000001"/>
    <n v="13.586399999999999"/>
    <n v="0"/>
    <n v="0"/>
    <n v="0"/>
    <n v="0"/>
    <n v="8.1553322201726106E-2"/>
    <n v="1.0327983456619798"/>
    <n v="10.90847385500097"/>
    <n v="4.8276640662431696"/>
    <n v="0.24287596176200188"/>
    <n v="0"/>
    <n v="0"/>
    <n v="0"/>
    <n v="0"/>
    <n v="0"/>
    <m/>
    <n v="4.6546259245490697E-2"/>
    <n v="0.17395511337406319"/>
    <n v="0.56967947554826703"/>
    <n v="0"/>
    <n v="0"/>
    <n v="0"/>
    <n v="0"/>
    <n v="0"/>
    <n v="0"/>
    <n v="0"/>
    <n v="0"/>
    <n v="0"/>
    <n v="0"/>
    <m/>
    <n v="0"/>
    <n v="0"/>
    <n v="0"/>
    <n v="1.6644378511563182E-2"/>
    <n v="0.14417065012383687"/>
    <n v="0.55734969618437102"/>
    <n v="0"/>
    <n v="0.1"/>
    <n v="0.47"/>
    <n v="2.2799999999999998"/>
    <n v="0"/>
    <m/>
    <m/>
    <m/>
    <m/>
    <m/>
    <m/>
    <m/>
    <n v="11.922044999999999"/>
    <m/>
    <n v="5.5458287910629398"/>
    <m/>
    <m/>
    <m/>
    <m/>
    <m/>
    <m/>
    <m/>
    <m/>
    <m/>
    <m/>
    <m/>
    <m/>
    <n v="1.5851000000000002"/>
    <n v="-0.72360999999999986"/>
    <m/>
    <m/>
    <m/>
    <m/>
    <n v="-5.6508000000000003"/>
    <n v="0.63569999999999993"/>
    <n v="30"/>
    <n v="0.7601337980906937"/>
    <n v="1.6889942509287603E-2"/>
    <n v="5.531227800151195E-2"/>
    <n v="0"/>
    <n v="0"/>
    <n v="0"/>
    <n v="0"/>
    <n v="0"/>
    <n v="-1.9803090255563705E-2"/>
    <n v="0"/>
    <n v="0"/>
    <n v="0.6196840384981801"/>
    <n v="1.8505896324962745E-2"/>
    <n v="2.1364899365012673E-3"/>
    <n v="0"/>
    <n v="7.1541993363266942E-2"/>
    <n v="0"/>
    <n v="0"/>
    <m/>
    <n v="0"/>
    <n v="0"/>
    <n v="-2.6994771751560065E-3"/>
    <n v="0"/>
    <n v="0"/>
    <n v="-1.4342731122974975E-3"/>
    <n v="0"/>
    <n v="0"/>
    <m/>
    <m/>
    <m/>
    <n v="10.90847385500097"/>
    <n v="0"/>
    <n v="0"/>
    <n v="-5.6508000000000012"/>
    <n v="0.63569999999999993"/>
    <n v="0"/>
    <n v="0"/>
    <n v="-5.775458588312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50.792000000000002"/>
    <n v="50.792000000000002"/>
    <n v="50.792000000000002"/>
    <n v="50.792000000000002"/>
    <m/>
    <n v="446.23"/>
    <n v="173.82"/>
    <m/>
    <n v="31493.579600000001"/>
    <n v="31493.579600000001"/>
    <n v="23002.680960000002"/>
    <n v="0"/>
    <n v="0"/>
    <n v="0"/>
    <n v="0"/>
    <n v="138.07521137566908"/>
    <n v="1748.5964524287763"/>
    <n v="18468.773468106978"/>
    <n v="8173.5571084207695"/>
    <n v="411.2051949938533"/>
    <n v="0"/>
    <n v="0"/>
    <n v="0"/>
    <n v="0"/>
    <n v="0"/>
    <m/>
    <n v="78.805919986565456"/>
    <n v="294.51760394984728"/>
    <n v="964.50533073491931"/>
    <n v="0"/>
    <n v="0"/>
    <n v="0"/>
    <n v="0"/>
    <n v="0"/>
    <n v="0"/>
    <n v="0"/>
    <n v="0"/>
    <n v="0"/>
    <n v="0"/>
    <m/>
    <n v="0"/>
    <n v="0"/>
    <n v="0"/>
    <n v="28.180042445310573"/>
    <n v="244.09052203633078"/>
    <n v="943.63019228655241"/>
    <n v="0"/>
    <n v="170.1"/>
    <n v="803.69"/>
    <n v="6392.8"/>
    <n v="121"/>
    <m/>
    <m/>
    <m/>
    <m/>
    <m/>
    <m/>
    <m/>
    <n v="9201.4787199999992"/>
    <m/>
    <n v="9389.4578651889642"/>
    <m/>
    <m/>
    <m/>
    <m/>
    <m/>
    <m/>
    <m/>
    <m/>
    <m/>
    <m/>
    <m/>
    <m/>
    <n v="13800.658800000001"/>
    <n v="-5095.5189600000012"/>
    <m/>
    <m/>
    <m/>
    <m/>
    <n v="-9567.1811200000011"/>
    <n v="1076.2824799999999"/>
    <n v="30"/>
    <n v="1286.9571957540811"/>
    <n v="28.595798664391225"/>
    <n v="93.647374141759997"/>
    <n v="0"/>
    <n v="0"/>
    <n v="0"/>
    <n v="0"/>
    <n v="0"/>
    <n v="-33.527952008686725"/>
    <n v="0"/>
    <n v="0"/>
    <n v="1049.1663894466528"/>
    <n v="31.331716204583557"/>
    <n v="3.6172198951590815"/>
    <n v="0"/>
    <n v="121.12536423023528"/>
    <n v="0"/>
    <n v="0"/>
    <m/>
    <n v="0"/>
    <n v="0"/>
    <n v="-4.5703948226840794"/>
    <n v="0"/>
    <n v="0"/>
    <n v="-2.4283199973271508"/>
    <n v="0"/>
    <n v="0"/>
    <m/>
    <m/>
    <m/>
    <n v="18468.773468106978"/>
    <n v="0"/>
    <n v="0"/>
    <n v="-9567.1811199999993"/>
    <n v="1076.2824799999999"/>
    <n v="0"/>
    <n v="0"/>
    <n v="-9778.236420585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2"/>
    <s v="Refaturamento - 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-0.112"/>
    <n v="-0.112"/>
    <n v="-0.112"/>
    <n v="-0.112"/>
    <m/>
    <n v="446.23"/>
    <n v="173.82"/>
    <m/>
    <n v="-69.445599999999999"/>
    <n v="-69.445599999999999"/>
    <n v="-50.722560000000001"/>
    <n v="0"/>
    <n v="0"/>
    <n v="0"/>
    <n v="0"/>
    <n v="-0.30446573621977746"/>
    <n v="-3.8557804904713917"/>
    <n v="-40.72496905867029"/>
    <n v="-18.023279180641168"/>
    <n v="-0.90673692391147365"/>
    <n v="0"/>
    <n v="0"/>
    <n v="0"/>
    <n v="0"/>
    <n v="0"/>
    <m/>
    <n v="-0.17377270118316526"/>
    <n v="-0.6494324232631693"/>
    <n v="-2.1268033753801969"/>
    <n v="0"/>
    <n v="0"/>
    <n v="0"/>
    <n v="0"/>
    <n v="0"/>
    <n v="0"/>
    <n v="0"/>
    <n v="0"/>
    <n v="0"/>
    <n v="0"/>
    <m/>
    <n v="0"/>
    <n v="0"/>
    <n v="0"/>
    <n v="-6.2139013109835876E-2"/>
    <n v="-0.53823709379565776"/>
    <n v="-2.0807721990883183"/>
    <n v="0"/>
    <n v="-0.28999999999999998"/>
    <n v="-1.33"/>
    <n v="-17.41"/>
    <n v="0"/>
    <m/>
    <m/>
    <m/>
    <m/>
    <m/>
    <m/>
    <m/>
    <n v="-20.289920000000002"/>
    <m/>
    <n v="-20.70442748663498"/>
    <m/>
    <m/>
    <m/>
    <m/>
    <m/>
    <m/>
    <m/>
    <m/>
    <m/>
    <m/>
    <m/>
    <m/>
    <n v="-29.889200000000002"/>
    <n v="11.748159999999999"/>
    <m/>
    <m/>
    <m/>
    <m/>
    <n v="21.096320000000002"/>
    <n v="-2.3732799999999998"/>
    <n v="30"/>
    <n v="-2.8378328462052558"/>
    <n v="-6.3055785368007045E-2"/>
    <n v="-0.20649917120564476"/>
    <n v="0"/>
    <n v="0"/>
    <n v="0"/>
    <n v="0"/>
    <n v="0"/>
    <n v="7.3931536954105148E-2"/>
    <n v="0"/>
    <n v="0"/>
    <n v="-2.3134870770598717"/>
    <n v="-6.9088679613194093E-2"/>
    <n v="-7.9762290962714158E-3"/>
    <n v="0"/>
    <n v="-0.26709010855619697"/>
    <n v="0"/>
    <n v="0"/>
    <m/>
    <n v="0"/>
    <n v="0"/>
    <n v="1.0078048120582328E-2"/>
    <n v="0"/>
    <n v="0"/>
    <n v="5.3546196192439943E-3"/>
    <n v="0"/>
    <n v="0"/>
    <m/>
    <m/>
    <m/>
    <n v="-40.72496905867029"/>
    <n v="0"/>
    <n v="0"/>
    <n v="21.096320000000002"/>
    <n v="-2.3732800000000012"/>
    <n v="0"/>
    <n v="0"/>
    <n v="21.561712063032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3"/>
    <s v="Sistema de Compensação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.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44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52.27"/>
    <n v="52.27"/>
    <n v="52.27"/>
    <n v="52.27"/>
    <m/>
    <n v="446.23"/>
    <n v="173.82"/>
    <m/>
    <n v="32410.013500000005"/>
    <n v="32410.013500000005"/>
    <n v="23672.037600000003"/>
    <n v="0"/>
    <n v="0"/>
    <n v="0"/>
    <n v="0"/>
    <n v="142.0930717161408"/>
    <n v="1799.4789842583898"/>
    <n v="19006.197613363358"/>
    <n v="8411.4000247510157"/>
    <n v="423.17088404332799"/>
    <n v="0"/>
    <n v="0"/>
    <n v="0"/>
    <n v="0"/>
    <n v="0"/>
    <m/>
    <n v="81.099099025393301"/>
    <n v="303.08779253540945"/>
    <n v="992.5715395635973"/>
    <n v="0"/>
    <n v="0"/>
    <n v="0"/>
    <n v="0"/>
    <n v="0"/>
    <n v="0"/>
    <n v="0"/>
    <n v="0"/>
    <n v="0"/>
    <n v="0"/>
    <m/>
    <n v="0"/>
    <n v="0"/>
    <n v="0"/>
    <n v="29.000055493313585"/>
    <n v="251.19332939909847"/>
    <n v="971.08895398523578"/>
    <n v="0"/>
    <n v="193.36"/>
    <n v="903.18"/>
    <n v="10752.53"/>
    <n v="440"/>
    <m/>
    <m/>
    <m/>
    <m/>
    <m/>
    <m/>
    <m/>
    <n v="2366.7856000000002"/>
    <m/>
    <n v="9662.6823636286645"/>
    <m/>
    <m/>
    <m/>
    <m/>
    <m/>
    <m/>
    <m/>
    <m/>
    <m/>
    <m/>
    <m/>
    <m/>
    <n v="21305.252"/>
    <n v="-7864.0514999999978"/>
    <m/>
    <m/>
    <m/>
    <m/>
    <n v="-9845.5772000000015"/>
    <n v="1107.6013"/>
    <n v="30"/>
    <n v="1324.4064542066826"/>
    <n v="29.427909832015473"/>
    <n v="96.372425704634452"/>
    <n v="0"/>
    <n v="0"/>
    <n v="0"/>
    <n v="0"/>
    <n v="0"/>
    <n v="-34.503584255277474"/>
    <n v="0"/>
    <n v="0"/>
    <n v="1079.6961564099965"/>
    <n v="32.243440030193398"/>
    <n v="3.7224776326973803"/>
    <n v="0"/>
    <n v="124.64999976993226"/>
    <n v="0"/>
    <n v="0"/>
    <m/>
    <n v="0"/>
    <n v="0"/>
    <n v="-4.7033890648468173"/>
    <n v="0"/>
    <n v="0"/>
    <n v="-2.4989818526596821"/>
    <n v="0"/>
    <n v="0"/>
    <m/>
    <m/>
    <m/>
    <n v="19006.197613363358"/>
    <n v="0"/>
    <n v="0"/>
    <n v="-9845.5772000000034"/>
    <n v="1107.6013000000003"/>
    <n v="0"/>
    <n v="0"/>
    <n v="-10062.77401370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5"/>
    <s v="Sistema de Compensação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9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46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4.381"/>
    <n v="14.381"/>
    <n v="14.381"/>
    <n v="14.381"/>
    <m/>
    <n v="446.23"/>
    <n v="173.82"/>
    <m/>
    <n v="8916.9390500000009"/>
    <n v="8916.9390500000009"/>
    <n v="6512.8672800000004"/>
    <n v="0"/>
    <n v="0"/>
    <n v="0"/>
    <n v="0"/>
    <n v="39.093944219434107"/>
    <n v="495.08910029883111"/>
    <n v="5229.1587502922985"/>
    <n v="2314.2212312214342"/>
    <n v="116.42664020331163"/>
    <n v="0"/>
    <n v="0"/>
    <n v="0"/>
    <n v="0"/>
    <n v="0"/>
    <m/>
    <n v="22.31272514031339"/>
    <n v="83.388282847746765"/>
    <n v="273.08535126198763"/>
    <n v="0"/>
    <n v="0"/>
    <n v="0"/>
    <n v="0"/>
    <n v="0"/>
    <n v="0"/>
    <n v="0"/>
    <n v="0"/>
    <n v="0"/>
    <n v="0"/>
    <m/>
    <n v="0"/>
    <n v="0"/>
    <n v="0"/>
    <n v="7.9787602458263374"/>
    <n v="69.110603981029939"/>
    <n v="267.17486602758134"/>
    <n v="0"/>
    <n v="66.66"/>
    <n v="305.95999999999998"/>
    <n v="4102.43"/>
    <n v="213"/>
    <m/>
    <m/>
    <m/>
    <m/>
    <m/>
    <m/>
    <m/>
    <m/>
    <m/>
    <n v="2658.4854614758715"/>
    <m/>
    <m/>
    <m/>
    <m/>
    <m/>
    <m/>
    <m/>
    <m/>
    <m/>
    <m/>
    <m/>
    <m/>
    <n v="6512.4144000000006"/>
    <n v="-2404.5546500000009"/>
    <m/>
    <m/>
    <m/>
    <m/>
    <n v="-2708.8051600000003"/>
    <n v="304.73338999999999"/>
    <n v="30"/>
    <n v="364.38280501140844"/>
    <n v="8.0964754408688435"/>
    <n v="26.514862331324764"/>
    <n v="0"/>
    <n v="0"/>
    <n v="0"/>
    <n v="0"/>
    <n v="0"/>
    <n v="-9.4929413655087842"/>
    <n v="0"/>
    <n v="0"/>
    <n v="297.05587192141093"/>
    <n v="8.8711098349763091"/>
    <n v="1.0241620592274918"/>
    <n v="0"/>
    <n v="34.294846885238087"/>
    <n v="0"/>
    <n v="0"/>
    <m/>
    <n v="0"/>
    <n v="0"/>
    <n v="-1.2940393751972721"/>
    <n v="0"/>
    <n v="0"/>
    <n v="-0.68754272093167756"/>
    <n v="0"/>
    <n v="0"/>
    <m/>
    <m/>
    <m/>
    <n v="5229.1587502922985"/>
    <n v="0"/>
    <n v="0"/>
    <n v="-2708.8051600000003"/>
    <n v="304.73339000000033"/>
    <n v="0"/>
    <n v="0"/>
    <n v="-2768.562331950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7"/>
    <s v="Sistema de Compensação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48"/>
    <s v="Regular"/>
    <s v="Convencional"/>
    <s v="B3"/>
    <s v="Industrial"/>
    <s v="Não se aplica"/>
    <s v="Não se aplica"/>
    <s v="Não se aplica"/>
    <s v="Não se aplica"/>
    <s v="CATIVO"/>
    <x v="4"/>
    <n v="0"/>
    <n v="0"/>
    <n v="84.539000000000001"/>
    <n v="84.539000000000001"/>
    <n v="84.539000000000001"/>
    <n v="84.539000000000001"/>
    <m/>
    <n v="516.83000000000004"/>
    <n v="173.82"/>
    <m/>
    <n v="58386.860350000003"/>
    <n v="58386.860350000003"/>
    <n v="44082.861550000001"/>
    <n v="0"/>
    <n v="5169.513840327566"/>
    <n v="0"/>
    <n v="0"/>
    <n v="229.81454352039077"/>
    <n v="2910.3913114639372"/>
    <n v="30739.715707597567"/>
    <n v="13604.19641653771"/>
    <n v="684.41636437992918"/>
    <n v="0"/>
    <n v="0"/>
    <n v="0"/>
    <n v="0"/>
    <n v="799.02007593847293"/>
    <m/>
    <n v="131.16580701181795"/>
    <n v="490.19971098433098"/>
    <n v="1605.3377727791649"/>
    <n v="0"/>
    <n v="0"/>
    <n v="0"/>
    <n v="0"/>
    <n v="0"/>
    <n v="0"/>
    <n v="0"/>
    <n v="0"/>
    <n v="0"/>
    <n v="0"/>
    <m/>
    <n v="0"/>
    <n v="0"/>
    <n v="0"/>
    <n v="46.903303832967993"/>
    <n v="406.26808636063487"/>
    <n v="1570.5928655243515"/>
    <n v="0"/>
    <n v="363.01"/>
    <n v="1688.04"/>
    <n v="12332.03"/>
    <n v="37"/>
    <m/>
    <m/>
    <m/>
    <m/>
    <m/>
    <m/>
    <m/>
    <m/>
    <m/>
    <n v="15627.960672255664"/>
    <m/>
    <m/>
    <m/>
    <m/>
    <m/>
    <m/>
    <m/>
    <m/>
    <m/>
    <m/>
    <m/>
    <m/>
    <n v="44083.383000000002"/>
    <n v="-14303.507350000007"/>
    <m/>
    <m/>
    <m/>
    <m/>
    <n v="-16095.380210000005"/>
    <n v="1791.3814099999997"/>
    <n v="30"/>
    <n v="1970.2557059652354"/>
    <n v="47.595294993088828"/>
    <n v="155.86815566566088"/>
    <n v="0"/>
    <n v="0"/>
    <n v="0"/>
    <n v="0"/>
    <n v="0"/>
    <n v="-55.804448237170163"/>
    <n v="0"/>
    <n v="0"/>
    <n v="1746.2489643532572"/>
    <n v="52.148998980534145"/>
    <n v="6.0205574247293612"/>
    <n v="0"/>
    <n v="201.60295256457425"/>
    <n v="0"/>
    <n v="-151.0816552799788"/>
    <m/>
    <n v="0"/>
    <n v="0"/>
    <n v="-7.6070366970170653"/>
    <n v="0"/>
    <n v="-20.694343981094107"/>
    <n v="-4.0417338213506184"/>
    <n v="0"/>
    <n v="0"/>
    <m/>
    <m/>
    <m/>
    <n v="30739.715707597567"/>
    <n v="0"/>
    <n v="0"/>
    <n v="-16095.380210000007"/>
    <n v="1791.3814099999981"/>
    <n v="0"/>
    <n v="0"/>
    <n v="-16275.049786577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49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.915"/>
    <n v="1.915"/>
    <n v="1.915"/>
    <n v="1.915"/>
    <m/>
    <n v="516.83000000000004"/>
    <n v="173.82"/>
    <m/>
    <n v="1322.59475"/>
    <n v="1322.59475"/>
    <n v="998.57674999999995"/>
    <n v="0"/>
    <n v="117.10120777661538"/>
    <n v="0"/>
    <n v="0"/>
    <n v="5.2058204005435167"/>
    <n v="65.926961064756384"/>
    <n v="696.32424774422861"/>
    <n v="308.16588956185569"/>
    <n v="15.503582225807786"/>
    <n v="0"/>
    <n v="0"/>
    <n v="0"/>
    <n v="0"/>
    <n v="18.099616099340846"/>
    <m/>
    <n v="2.9712028818371561"/>
    <n v="11.104134737044367"/>
    <n v="36.364539855831048"/>
    <n v="0"/>
    <n v="0"/>
    <n v="0"/>
    <n v="0"/>
    <n v="0"/>
    <n v="0"/>
    <n v="0"/>
    <n v="0"/>
    <n v="0"/>
    <n v="0"/>
    <m/>
    <n v="0"/>
    <n v="0"/>
    <n v="0"/>
    <n v="1.062466161654783"/>
    <n v="9.2028931662382547"/>
    <n v="35.577488939769019"/>
    <n v="0"/>
    <n v="8.19"/>
    <n v="38.25"/>
    <n v="470.91"/>
    <n v="4"/>
    <m/>
    <m/>
    <m/>
    <m/>
    <m/>
    <m/>
    <m/>
    <m/>
    <m/>
    <n v="354.00873782951777"/>
    <m/>
    <m/>
    <m/>
    <m/>
    <m/>
    <m/>
    <m/>
    <m/>
    <m/>
    <m/>
    <m/>
    <m/>
    <n v="1001.184"/>
    <n v="-321.44074999999998"/>
    <m/>
    <m/>
    <m/>
    <m/>
    <n v="-364.59685000000007"/>
    <n v="40.578849999999996"/>
    <n v="30"/>
    <n v="44.630758311825389"/>
    <n v="1.0781413301761926"/>
    <n v="3.5307670790965133"/>
    <n v="0"/>
    <n v="0"/>
    <n v="0"/>
    <n v="0"/>
    <n v="0"/>
    <n v="-1.2640972613134949"/>
    <n v="0"/>
    <n v="0"/>
    <n v="39.556497790800506"/>
    <n v="1.1812930487434539"/>
    <n v="0.13637927427999785"/>
    <n v="0"/>
    <n v="4.5667639096885466"/>
    <n v="0"/>
    <n v="-3.4223419943595133"/>
    <m/>
    <n v="0"/>
    <n v="0"/>
    <n v="-0.17231662634745781"/>
    <n v="0"/>
    <n v="-0.46877380527088519"/>
    <n v="-9.1554433668323387E-2"/>
    <n v="0"/>
    <n v="0"/>
    <m/>
    <m/>
    <m/>
    <n v="696.32424774422861"/>
    <n v="0"/>
    <n v="0"/>
    <n v="-364.59685000000002"/>
    <n v="40.578849999999989"/>
    <n v="0"/>
    <n v="0"/>
    <n v="-368.6667732206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0"/>
    <s v="Regular"/>
    <s v="Azul"/>
    <s v="A4"/>
    <s v="Industrial"/>
    <s v="Não se aplica"/>
    <s v="Não se aplica"/>
    <s v="Não se aplica"/>
    <s v="Ponta"/>
    <s v="CATIVO"/>
    <x v="4"/>
    <n v="1200"/>
    <n v="1200"/>
    <n v="50.521000000000001"/>
    <n v="50.521000000000001"/>
    <n v="50.521000000000001"/>
    <n v="50.521000000000001"/>
    <n v="67.099999999999994"/>
    <n v="70.33"/>
    <n v="173.82"/>
    <n v="80520"/>
    <n v="12334.702149999999"/>
    <n v="92854.702149999997"/>
    <n v="63802.215930000006"/>
    <n v="0"/>
    <n v="2687.7185392854744"/>
    <n v="0"/>
    <n v="0"/>
    <n v="898.10170336085525"/>
    <n v="13700.67976876248"/>
    <n v="57794.157302940846"/>
    <n v="8129.9472096890395"/>
    <n v="409.01121547260323"/>
    <n v="0"/>
    <n v="0"/>
    <n v="0"/>
    <n v="0"/>
    <n v="477.49906263958161"/>
    <m/>
    <n v="62.783995960756634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9.4268965132840954"/>
    <n v="242.78818049687879"/>
    <n v="315.66681231085209"/>
    <n v="0"/>
    <n v="0"/>
    <n v="0"/>
    <n v="0"/>
    <n v="0"/>
    <m/>
    <m/>
    <m/>
    <m/>
    <m/>
    <m/>
    <m/>
    <m/>
    <m/>
    <n v="8697.8290990100541"/>
    <m/>
    <m/>
    <m/>
    <m/>
    <m/>
    <m/>
    <m/>
    <m/>
    <m/>
    <m/>
    <m/>
    <m/>
    <n v="63801.9516"/>
    <n v="-29052.780549999981"/>
    <m/>
    <m/>
    <m/>
    <m/>
    <n v="-30123.026209999993"/>
    <n v="1070.53999"/>
    <n v="30"/>
    <n v="1545.8064357518015"/>
    <n v="187.27044607078801"/>
    <n v="602.17080389378407"/>
    <n v="0"/>
    <n v="0"/>
    <n v="0"/>
    <n v="0"/>
    <n v="0"/>
    <n v="-262.69968301452172"/>
    <n v="0"/>
    <n v="0"/>
    <n v="1043.5685769655529"/>
    <n v="31.164546274448071"/>
    <n v="1.2100463540335085"/>
    <n v="0"/>
    <n v="40.519324126223353"/>
    <n v="0"/>
    <n v="-78.549933008055177"/>
    <m/>
    <n v="0"/>
    <n v="0"/>
    <n v="-4.5460095455351848"/>
    <n v="0"/>
    <n v="-12.36706079169204"/>
    <n v="-1.9346215732222021"/>
    <n v="0"/>
    <n v="0"/>
    <m/>
    <m/>
    <n v="57794.157302940846"/>
    <n v="0"/>
    <n v="0"/>
    <n v="0"/>
    <n v="-30123.026209999996"/>
    <n v="1070.5399900000011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1"/>
    <s v="Regular"/>
    <s v="Azul"/>
    <s v="A4"/>
    <s v="Industrial"/>
    <s v="Não se aplica"/>
    <s v="Não se aplica"/>
    <s v="Não se aplica"/>
    <s v="Fora ponta"/>
    <s v="CATIVO"/>
    <x v="4"/>
    <n v="1200"/>
    <n v="1200"/>
    <n v="562.577"/>
    <n v="562.577"/>
    <n v="562.577"/>
    <n v="562.577"/>
    <n v="59.12"/>
    <n v="70.33"/>
    <n v="173.82"/>
    <n v="70944"/>
    <n v="137353.17455"/>
    <n v="208297.17455"/>
    <n v="189541.97840999998"/>
    <n v="0"/>
    <n v="29929.111313624126"/>
    <n v="0"/>
    <n v="0"/>
    <n v="686.4724360004185"/>
    <n v="6140.4271808585163"/>
    <n v="57794.157302940846"/>
    <n v="90531.092246496119"/>
    <n v="4554.5476646727238"/>
    <n v="0"/>
    <n v="0"/>
    <n v="0"/>
    <n v="0"/>
    <n v="5317.1946351534589"/>
    <m/>
    <n v="699.13168970555978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104.97328160079624"/>
    <n v="2703.5697278239263"/>
    <n v="3515.1103158964042"/>
    <n v="0"/>
    <n v="0"/>
    <n v="0"/>
    <n v="0"/>
    <n v="0"/>
    <m/>
    <m/>
    <m/>
    <m/>
    <m/>
    <m/>
    <m/>
    <m/>
    <m/>
    <n v="96854.745571817242"/>
    <m/>
    <m/>
    <m/>
    <m/>
    <m/>
    <m/>
    <m/>
    <m/>
    <m/>
    <m/>
    <m/>
    <m/>
    <n v="189542.7714"/>
    <n v="-18754.433149999997"/>
    <m/>
    <m/>
    <m/>
    <m/>
    <n v="-30676.20277"/>
    <n v="11921.006629999998"/>
    <n v="30"/>
    <n v="11843.978100772132"/>
    <n v="140.75540420960397"/>
    <n v="473.15551850471911"/>
    <n v="0"/>
    <n v="0"/>
    <n v="0"/>
    <n v="0"/>
    <n v="0"/>
    <n v="-117.73782769987247"/>
    <n v="0"/>
    <n v="0"/>
    <n v="11620.666244206368"/>
    <n v="347.03305456028511"/>
    <n v="13.474480863662805"/>
    <n v="0"/>
    <n v="451.20325822842688"/>
    <n v="0"/>
    <n v="-874.69340792685762"/>
    <m/>
    <n v="0"/>
    <n v="0"/>
    <n v="-50.622125692257214"/>
    <n v="0"/>
    <n v="-137.7135044636434"/>
    <n v="-21.542994018301783"/>
    <n v="0"/>
    <n v="0"/>
    <m/>
    <m/>
    <n v="57794.157302940846"/>
    <n v="0"/>
    <n v="0"/>
    <n v="0"/>
    <n v="-30676.202770000004"/>
    <n v="11921.006630000003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2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204.27"/>
    <n v="10245.11"/>
    <n v="73884.1600000000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53"/>
    <s v="Regular"/>
    <s v="Verde"/>
    <s v="A4"/>
    <s v="Industrial"/>
    <s v="Não se aplica"/>
    <s v="Não se aplica"/>
    <s v="Não se aplica"/>
    <s v="Ponta"/>
    <s v="CATIVO"/>
    <x v="4"/>
    <n v="0"/>
    <n v="0"/>
    <n v="39.500999999999998"/>
    <n v="39.500999999999998"/>
    <n v="39.500999999999998"/>
    <n v="39.500999999999998"/>
    <m/>
    <n v="1684.16"/>
    <n v="173.82"/>
    <m/>
    <n v="73392.067979999993"/>
    <n v="73392.067979999993"/>
    <n v="50381.945460000003"/>
    <n v="0"/>
    <n v="2101.4542471509972"/>
    <n v="0"/>
    <n v="0"/>
    <n v="710.994293859408"/>
    <n v="10846.418788540403"/>
    <n v="45753.71028453367"/>
    <n v="6356.5852760223815"/>
    <n v="319.79477885202783"/>
    <n v="0"/>
    <n v="0"/>
    <n v="0"/>
    <n v="0"/>
    <n v="373.34356947261756"/>
    <m/>
    <n v="49.089104024976699"/>
    <n v="1526.9563294920679"/>
    <n v="4909.9218035175027"/>
    <n v="0"/>
    <n v="0"/>
    <n v="0"/>
    <n v="0"/>
    <n v="0"/>
    <n v="0"/>
    <n v="0"/>
    <n v="0"/>
    <n v="0"/>
    <n v="0"/>
    <m/>
    <n v="0"/>
    <n v="0"/>
    <n v="0"/>
    <n v="7.3706347691303629"/>
    <n v="189.82949501805601"/>
    <n v="246.81132109599906"/>
    <n v="0"/>
    <n v="0"/>
    <n v="0"/>
    <n v="0"/>
    <n v="0"/>
    <m/>
    <m/>
    <m/>
    <m/>
    <m/>
    <m/>
    <m/>
    <m/>
    <m/>
    <n v="6800.5967269055673"/>
    <m/>
    <m/>
    <m/>
    <m/>
    <m/>
    <m/>
    <m/>
    <m/>
    <m/>
    <m/>
    <m/>
    <m/>
    <n v="50380.67"/>
    <n v="-23011.427979999979"/>
    <m/>
    <m/>
    <m/>
    <m/>
    <n v="-23847.148710000001"/>
    <n v="837.02618999999981"/>
    <n v="30"/>
    <n v="1213.7878994202474"/>
    <n v="148.25781271433743"/>
    <n v="476.72238762064444"/>
    <n v="0"/>
    <n v="0"/>
    <n v="0"/>
    <n v="0"/>
    <n v="0"/>
    <n v="-207.97148942126296"/>
    <n v="0"/>
    <n v="0"/>
    <n v="815.9379734905533"/>
    <n v="24.366713691078417"/>
    <n v="0.94610243325899379"/>
    <n v="0"/>
    <n v="31.680960834305495"/>
    <n v="0"/>
    <n v="-61.416062701672672"/>
    <m/>
    <n v="0"/>
    <n v="0"/>
    <n v="-3.5544015965278959"/>
    <n v="0"/>
    <n v="-9.6694694945196602"/>
    <n v="-1.5126281499544803"/>
    <n v="0"/>
    <n v="0"/>
    <m/>
    <m/>
    <m/>
    <n v="45753.71028453367"/>
    <n v="0"/>
    <n v="0"/>
    <n v="-23847.148709999994"/>
    <n v="837.02618999999959"/>
    <n v="0"/>
    <n v="0"/>
    <n v="-24224.1639410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4"/>
    <s v="Regular"/>
    <s v="Verde"/>
    <s v="A4"/>
    <s v="Industrial"/>
    <s v="Não se aplica"/>
    <s v="Não se aplica"/>
    <s v="Não se aplica"/>
    <s v="Fora ponta"/>
    <s v="CATIVO"/>
    <x v="4"/>
    <n v="0"/>
    <n v="0"/>
    <n v="719.63900000000001"/>
    <n v="719.63900000000001"/>
    <n v="719.63900000000001"/>
    <n v="719.63900000000001"/>
    <m/>
    <n v="70.33"/>
    <n v="173.82"/>
    <m/>
    <n v="175699.86184999999"/>
    <n v="175699.86184999999"/>
    <n v="190222.17687"/>
    <n v="0"/>
    <n v="38284.81387725618"/>
    <n v="0"/>
    <n v="0"/>
    <n v="0"/>
    <n v="0"/>
    <n v="0"/>
    <n v="115805.84469890561"/>
    <n v="5826.1004748815094"/>
    <n v="0"/>
    <n v="0"/>
    <n v="0"/>
    <n v="0"/>
    <n v="6801.6656031924522"/>
    <m/>
    <n v="894.3174535183972"/>
    <n v="0"/>
    <n v="0"/>
    <n v="0"/>
    <n v="0"/>
    <n v="0"/>
    <n v="0"/>
    <n v="0"/>
    <n v="0"/>
    <n v="0"/>
    <n v="0"/>
    <n v="0"/>
    <n v="0"/>
    <m/>
    <n v="0"/>
    <n v="0"/>
    <n v="0"/>
    <n v="134.28004948285374"/>
    <n v="3458.3607494822618"/>
    <n v="4496.4697679097662"/>
    <n v="0"/>
    <n v="0"/>
    <n v="0"/>
    <n v="0"/>
    <n v="0"/>
    <m/>
    <m/>
    <m/>
    <m/>
    <m/>
    <m/>
    <m/>
    <m/>
    <m/>
    <n v="123894.9552657805"/>
    <m/>
    <m/>
    <m/>
    <m/>
    <m/>
    <m/>
    <m/>
    <m/>
    <m/>
    <m/>
    <m/>
    <m/>
    <n v="190222.4412"/>
    <n v="14522.549349999987"/>
    <m/>
    <m/>
    <m/>
    <m/>
    <n v="-726.83539000000371"/>
    <n v="15249.150409999998"/>
    <n v="30"/>
    <n v="14515.920570052578"/>
    <n v="0"/>
    <n v="0"/>
    <n v="0"/>
    <n v="0"/>
    <n v="0"/>
    <n v="0"/>
    <n v="0"/>
    <n v="0"/>
    <n v="0"/>
    <n v="0"/>
    <n v="14864.960059359742"/>
    <n v="443.91882417999523"/>
    <n v="17.2363284212569"/>
    <n v="0"/>
    <n v="577.17158993035082"/>
    <n v="0"/>
    <n v="-1118.8930393298579"/>
    <m/>
    <n v="0"/>
    <n v="0"/>
    <n v="-64.754968495069988"/>
    <n v="0"/>
    <n v="-176.16078979181839"/>
    <n v="-27.557434222047277"/>
    <n v="0"/>
    <n v="0"/>
    <m/>
    <m/>
    <m/>
    <n v="0"/>
    <n v="0"/>
    <n v="0"/>
    <n v="-726.83539000000746"/>
    <n v="15249.15041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5"/>
    <s v="Regular"/>
    <s v="Verde"/>
    <s v="A4"/>
    <s v="Industrial"/>
    <s v="Não se aplica"/>
    <s v="Não se aplica"/>
    <s v="Não se aplica"/>
    <s v="Não se aplica"/>
    <s v="CATIVO"/>
    <x v="4"/>
    <n v="4443"/>
    <n v="4443"/>
    <n v="0"/>
    <n v="0"/>
    <n v="0"/>
    <n v="0"/>
    <n v="59.12"/>
    <m/>
    <m/>
    <n v="262670.15999999997"/>
    <m/>
    <n v="262670.15999999997"/>
    <n v="151195.29"/>
    <n v="0"/>
    <n v="0"/>
    <n v="0"/>
    <n v="0"/>
    <n v="2541.6641942915494"/>
    <n v="22734.931637128659"/>
    <n v="213982.86741413848"/>
    <m/>
    <m/>
    <m/>
    <n v="0"/>
    <n v="0"/>
    <n v="0"/>
    <n v="0"/>
    <m/>
    <n v="0"/>
    <n v="5367.4644100109363"/>
    <n v="18042.969079840594"/>
    <n v="0"/>
    <n v="0"/>
    <m/>
    <m/>
    <n v="0"/>
    <n v="0"/>
    <n v="0"/>
    <m/>
    <m/>
    <n v="0"/>
    <m/>
    <n v="0"/>
    <n v="0"/>
    <n v="0"/>
    <n v="0"/>
    <m/>
    <n v="0"/>
    <n v="0"/>
    <n v="3280.37"/>
    <n v="15247.35"/>
    <n v="108578.64"/>
    <n v="26"/>
    <m/>
    <m/>
    <m/>
    <m/>
    <m/>
    <m/>
    <m/>
    <m/>
    <m/>
    <n v="0"/>
    <m/>
    <m/>
    <m/>
    <m/>
    <m/>
    <m/>
    <m/>
    <m/>
    <m/>
    <m/>
    <m/>
    <m/>
    <n v="151195.29"/>
    <n v="-111474.9"/>
    <m/>
    <m/>
    <m/>
    <m/>
    <n v="-111474.86999999998"/>
    <n v="0"/>
    <n v="30"/>
    <n v="1837.0808842910046"/>
    <n v="521.14688408605889"/>
    <n v="1751.8583072637266"/>
    <n v="0"/>
    <n v="0"/>
    <m/>
    <m/>
    <m/>
    <n v="-435.924307058779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3982.86741413848"/>
    <m/>
    <n v="0"/>
    <n v="0"/>
    <n v="-111474.86999999997"/>
    <m/>
    <n v="0"/>
    <m/>
    <n v="-113292.5838926682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56"/>
    <s v="Regular"/>
    <s v="Convencional"/>
    <s v="B3"/>
    <s v="Comercial"/>
    <s v="Não se aplica"/>
    <s v="Não se aplica"/>
    <s v="Não se aplica"/>
    <s v="Não se aplica"/>
    <s v="CATIVO"/>
    <x v="4"/>
    <n v="0"/>
    <n v="0"/>
    <n v="374.70499999999998"/>
    <n v="374.70499999999998"/>
    <n v="374.70499999999998"/>
    <n v="374.70499999999998"/>
    <m/>
    <n v="516.83000000000004"/>
    <n v="173.82"/>
    <m/>
    <n v="258790.00825000001"/>
    <n v="258790.00825000001"/>
    <n v="195389.92225"/>
    <n v="0"/>
    <n v="22913.006819810271"/>
    <n v="0"/>
    <n v="0"/>
    <n v="1018.614586519926"/>
    <n v="12899.823470375739"/>
    <n v="136248.65652793794"/>
    <n v="60298.328798054892"/>
    <n v="3033.5612417343636"/>
    <n v="0"/>
    <n v="0"/>
    <n v="0"/>
    <n v="0"/>
    <n v="3541.523055093217"/>
    <m/>
    <n v="581.37053568605302"/>
    <n v="2172.7283585609448"/>
    <n v="7115.3915961771127"/>
    <n v="0"/>
    <n v="0"/>
    <n v="0"/>
    <n v="0"/>
    <n v="0"/>
    <n v="0"/>
    <n v="0"/>
    <n v="0"/>
    <n v="0"/>
    <n v="0"/>
    <m/>
    <n v="0"/>
    <n v="0"/>
    <n v="0"/>
    <n v="207.89106167250938"/>
    <n v="1800.7154484884099"/>
    <n v="6961.3905969588241"/>
    <n v="0"/>
    <n v="1606.59"/>
    <n v="7482.01"/>
    <n v="110430.35"/>
    <n v="511"/>
    <m/>
    <m/>
    <m/>
    <m/>
    <m/>
    <m/>
    <m/>
    <m/>
    <m/>
    <n v="69268.325905174643"/>
    <m/>
    <m/>
    <m/>
    <m/>
    <m/>
    <m/>
    <m/>
    <m/>
    <m/>
    <m/>
    <m/>
    <m/>
    <n v="195392.5295"/>
    <n v="-63397.508750000037"/>
    <m/>
    <m/>
    <m/>
    <m/>
    <n v="-71340.084950000019"/>
    <n v="7939.9989499999992"/>
    <n v="30"/>
    <n v="8732.8293959439325"/>
    <n v="210.95819693142084"/>
    <n v="690.85957095188587"/>
    <n v="0"/>
    <n v="0"/>
    <n v="0"/>
    <n v="0"/>
    <n v="0"/>
    <n v="-247.34389780703532"/>
    <n v="0"/>
    <n v="0"/>
    <n v="7739.9569215153606"/>
    <n v="231.14172941483866"/>
    <n v="26.685115388556966"/>
    <n v="0"/>
    <n v="893.57142077276603"/>
    <n v="0"/>
    <n v="-669.64420730886923"/>
    <m/>
    <n v="0"/>
    <n v="0"/>
    <n v="-33.716919830560983"/>
    <n v="0"/>
    <n v="-91.724223866332068"/>
    <n v="-17.914310218114451"/>
    <n v="0"/>
    <n v="0"/>
    <m/>
    <m/>
    <m/>
    <n v="136248.65652793794"/>
    <n v="0"/>
    <n v="0"/>
    <n v="-71340.084950000019"/>
    <n v="7939.9989500000011"/>
    <n v="0"/>
    <n v="0"/>
    <n v="-72136.440344451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7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8.5000000000000006E-2"/>
    <n v="-8.5000000000000006E-2"/>
    <n v="-8.5000000000000006E-2"/>
    <n v="-8.5000000000000006E-2"/>
    <m/>
    <n v="516.83000000000004"/>
    <n v="173.82"/>
    <m/>
    <n v="-58.705250000000007"/>
    <n v="-58.705250000000007"/>
    <n v="-44.323250000000002"/>
    <n v="0"/>
    <n v="-5.1977037394320149"/>
    <n v="0"/>
    <n v="0"/>
    <n v="-0.23106774623822399"/>
    <n v="-2.9262619793756102"/>
    <n v="-30.907342589169417"/>
    <n v="-13.678381521022315"/>
    <n v="-0.68814855832567201"/>
    <n v="0"/>
    <n v="0"/>
    <n v="0"/>
    <n v="0"/>
    <n v="-0.80337721589763544"/>
    <m/>
    <n v="-0.13188106786222364"/>
    <n v="-0.49287282122651244"/>
    <n v="-1.6140918473867567"/>
    <n v="0"/>
    <n v="0"/>
    <n v="0"/>
    <n v="0"/>
    <n v="0"/>
    <n v="0"/>
    <n v="0"/>
    <n v="0"/>
    <n v="0"/>
    <n v="0"/>
    <m/>
    <n v="0"/>
    <n v="0"/>
    <n v="0"/>
    <n v="-4.7159072449429018E-2"/>
    <n v="-0.40848350868420452"/>
    <n v="-1.5791574725223847"/>
    <n v="0"/>
    <n v="-0.47"/>
    <n v="-2.2000000000000002"/>
    <n v="-25.3"/>
    <n v="0"/>
    <m/>
    <m/>
    <m/>
    <m/>
    <m/>
    <m/>
    <m/>
    <m/>
    <m/>
    <n v="-15.713181574678332"/>
    <m/>
    <m/>
    <m/>
    <m/>
    <m/>
    <m/>
    <m/>
    <m/>
    <m/>
    <m/>
    <m/>
    <m/>
    <n v="-46.930499999999995"/>
    <n v="11.744750000000018"/>
    <m/>
    <m/>
    <m/>
    <m/>
    <n v="16.183150000000005"/>
    <n v="-1.80115"/>
    <n v="30"/>
    <n v="-1.9809997161906807"/>
    <n v="-4.7854837109648218E-2"/>
    <n v="-0.15671812100428406"/>
    <n v="0"/>
    <n v="0"/>
    <n v="0"/>
    <n v="0"/>
    <n v="0"/>
    <n v="5.6108755724098014E-2"/>
    <n v="0"/>
    <n v="0"/>
    <n v="-1.7557714424115112"/>
    <n v="-5.243337292072775E-2"/>
    <n v="-6.0533881534202624E-3"/>
    <n v="0"/>
    <n v="-0.20270231452925658"/>
    <n v="0"/>
    <n v="0.15190551933188523"/>
    <m/>
    <n v="0"/>
    <n v="0"/>
    <n v="7.6485186629419166E-3"/>
    <n v="0"/>
    <n v="2.0807192401057439E-2"/>
    <n v="4.0637738181762417E-3"/>
    <n v="0"/>
    <n v="0"/>
    <m/>
    <m/>
    <m/>
    <n v="-30.907342589169417"/>
    <n v="0"/>
    <n v="0"/>
    <n v="16.183150000000001"/>
    <n v="-1.801149999999998"/>
    <n v="0"/>
    <n v="0"/>
    <n v="16.36379933355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8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4.167999999999999"/>
    <n v="14.167999999999999"/>
    <n v="14.167999999999999"/>
    <n v="14.167999999999999"/>
    <m/>
    <n v="516.83000000000004"/>
    <n v="173.82"/>
    <m/>
    <n v="9785.1291999999994"/>
    <n v="9785.1291999999994"/>
    <n v="7387.9035999999996"/>
    <n v="0"/>
    <n v="866.36548917967968"/>
    <n v="0"/>
    <n v="0"/>
    <n v="38.514915631801848"/>
    <n v="487.75623204463102"/>
    <n v="5151.7085859217914"/>
    <n v="2279.9448163511074"/>
    <n v="114.70222087480141"/>
    <n v="0"/>
    <n v="0"/>
    <n v="0"/>
    <n v="0"/>
    <n v="133.90880464514939"/>
    <m/>
    <n v="21.982246699670405"/>
    <n v="82.15320154279091"/>
    <n v="269.04062698559488"/>
    <n v="0"/>
    <n v="0"/>
    <n v="0"/>
    <n v="0"/>
    <n v="0"/>
    <n v="0"/>
    <n v="0"/>
    <n v="0"/>
    <n v="0"/>
    <n v="0"/>
    <m/>
    <n v="0"/>
    <n v="0"/>
    <n v="0"/>
    <n v="7.8605851583942377"/>
    <n v="68.086992365150692"/>
    <n v="263.2176831846723"/>
    <n v="0"/>
    <n v="61.27"/>
    <n v="286.37"/>
    <n v="12326.21"/>
    <n v="43"/>
    <m/>
    <m/>
    <m/>
    <m/>
    <m/>
    <m/>
    <m/>
    <m/>
    <m/>
    <n v="2619.1100770593248"/>
    <m/>
    <m/>
    <m/>
    <m/>
    <m/>
    <m/>
    <m/>
    <m/>
    <m/>
    <m/>
    <m/>
    <m/>
    <n v="7388.9465"/>
    <n v="-2396.2127"/>
    <m/>
    <m/>
    <m/>
    <m/>
    <n v="-2697.4455200000007"/>
    <n v="300.21991999999995"/>
    <n v="30"/>
    <n v="330.19769387046563"/>
    <n v="7.9765568490528977"/>
    <n v="26.122145157514069"/>
    <n v="0"/>
    <n v="0"/>
    <n v="0"/>
    <n v="0"/>
    <n v="0"/>
    <n v="-9.3523394246943212"/>
    <n v="0"/>
    <n v="0"/>
    <n v="292.656115248074"/>
    <n v="8.7397179710690693"/>
    <n v="1.0089929806783333"/>
    <n v="0"/>
    <n v="33.786898732358907"/>
    <n v="0"/>
    <n v="-25.319969386989897"/>
    <m/>
    <n v="0"/>
    <n v="0"/>
    <n v="-1.2748730872536669"/>
    <n v="0"/>
    <n v="-3.468191787508033"/>
    <n v="-0.67735938183436417"/>
    <n v="0"/>
    <n v="0"/>
    <m/>
    <m/>
    <m/>
    <n v="5151.7085859217914"/>
    <n v="0"/>
    <n v="0"/>
    <n v="-2697.4455200000002"/>
    <n v="300.21992"/>
    <n v="0"/>
    <n v="0"/>
    <n v="-2727.5565759736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59"/>
    <s v="Regular"/>
    <s v="Verde"/>
    <s v="A4"/>
    <s v="Comercial"/>
    <s v="Não se aplica"/>
    <s v="Não se aplica"/>
    <s v="Não se aplica"/>
    <s v="Ponta"/>
    <s v="CATIVO"/>
    <x v="4"/>
    <n v="0"/>
    <n v="0"/>
    <n v="17.451000000000001"/>
    <n v="17.451000000000001"/>
    <n v="17.451000000000001"/>
    <n v="17.451000000000001"/>
    <m/>
    <n v="1684.16"/>
    <n v="173.82"/>
    <m/>
    <n v="32423.608980000001"/>
    <n v="32423.608980000001"/>
    <n v="22258.052460000003"/>
    <n v="0"/>
    <n v="928.39366261694772"/>
    <n v="0"/>
    <n v="0"/>
    <n v="314.10752695224249"/>
    <n v="4791.7990501207205"/>
    <n v="20213.361640854589"/>
    <n v="2808.2521873336518"/>
    <n v="141.28094695695648"/>
    <n v="0"/>
    <n v="0"/>
    <n v="0"/>
    <n v="0"/>
    <n v="164.93806817211336"/>
    <m/>
    <n v="21.686892846760042"/>
    <n v="674.58836247097736"/>
    <n v="2169.1361077740803"/>
    <n v="0"/>
    <n v="0"/>
    <n v="0"/>
    <n v="0"/>
    <n v="0"/>
    <n v="0"/>
    <n v="0"/>
    <n v="0"/>
    <n v="0"/>
    <n v="0"/>
    <m/>
    <n v="0"/>
    <n v="0"/>
    <n v="0"/>
    <n v="3.2562453445759338"/>
    <n v="83.864067177035921"/>
    <n v="109.03785636936482"/>
    <n v="0"/>
    <n v="0"/>
    <n v="0"/>
    <n v="0"/>
    <n v="0"/>
    <m/>
    <m/>
    <m/>
    <m/>
    <m/>
    <m/>
    <m/>
    <m/>
    <m/>
    <n v="3004.4103562246282"/>
    <m/>
    <m/>
    <m/>
    <m/>
    <m/>
    <m/>
    <m/>
    <m/>
    <m/>
    <m/>
    <m/>
    <m/>
    <n v="22256.777000000002"/>
    <n v="-10166.861979999994"/>
    <m/>
    <m/>
    <m/>
    <m/>
    <n v="-10535.343210000001"/>
    <n v="369.78668999999996"/>
    <n v="30"/>
    <n v="536.23484551739239"/>
    <n v="65.498268136956199"/>
    <n v="210.60941207483029"/>
    <n v="0"/>
    <n v="0"/>
    <n v="0"/>
    <n v="0"/>
    <n v="0"/>
    <n v="-91.878951466809667"/>
    <n v="0"/>
    <n v="0"/>
    <n v="360.47020519439138"/>
    <n v="10.764879892230823"/>
    <n v="0.41797507817024115"/>
    <n v="0"/>
    <n v="13.996213957101489"/>
    <n v="0"/>
    <n v="-27.132774112222137"/>
    <m/>
    <n v="0"/>
    <n v="0"/>
    <n v="-1.5702858727882187"/>
    <n v="0"/>
    <n v="-4.2718389951865277"/>
    <n v="-0.66825836927813498"/>
    <n v="0"/>
    <n v="0"/>
    <m/>
    <m/>
    <m/>
    <n v="20213.361640854589"/>
    <n v="0"/>
    <n v="0"/>
    <n v="-10535.343209999999"/>
    <n v="369.78668999999991"/>
    <n v="0"/>
    <n v="0"/>
    <n v="-10701.903367886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0"/>
    <s v="Sistema de Compensação"/>
    <s v="Verde"/>
    <s v="A4"/>
    <s v="Comercial"/>
    <s v="Não se aplica"/>
    <s v="Não se aplica"/>
    <s v="Não se aplica"/>
    <s v="Ponta"/>
    <s v="CATIVO"/>
    <x v="4"/>
    <n v="0"/>
    <n v="0"/>
    <n v="3.8969999999999998"/>
    <n v="3.8969999999999998"/>
    <n v="3.8969999999999998"/>
    <n v="3.8969999999999998"/>
    <m/>
    <n v="1684.16"/>
    <n v="173.82"/>
    <m/>
    <n v="7240.5480600000001"/>
    <n v="7240.5480600000001"/>
    <n v="4970.4676199999994"/>
    <n v="0"/>
    <n v="207.32050330744627"/>
    <n v="0"/>
    <n v="0"/>
    <n v="70.143661253388856"/>
    <n v="1070.0613660145807"/>
    <n v="4513.8656990665477"/>
    <n v="627.11356220498772"/>
    <n v="31.549587432884042"/>
    <n v="0"/>
    <n v="0"/>
    <n v="0"/>
    <n v="0"/>
    <n v="36.832482474742172"/>
    <m/>
    <n v="4.8429214041501272"/>
    <n v="150.64299172250293"/>
    <n v="484.39192092118446"/>
    <n v="0"/>
    <n v="0"/>
    <n v="0"/>
    <n v="0"/>
    <n v="0"/>
    <n v="0"/>
    <n v="0"/>
    <n v="0"/>
    <n v="0"/>
    <n v="0"/>
    <m/>
    <n v="0"/>
    <n v="0"/>
    <n v="0"/>
    <n v="0.72715535544166032"/>
    <n v="18.727767451086411"/>
    <n v="24.349351112911275"/>
    <n v="0"/>
    <n v="0"/>
    <n v="0"/>
    <n v="0"/>
    <n v="0"/>
    <m/>
    <m/>
    <m/>
    <m/>
    <m/>
    <m/>
    <m/>
    <m/>
    <m/>
    <n v="670.91783612442703"/>
    <m/>
    <m/>
    <m/>
    <m/>
    <m/>
    <m/>
    <m/>
    <m/>
    <m/>
    <m/>
    <m/>
    <m/>
    <n v="4974.2939999999999"/>
    <n v="-2266.2840600000009"/>
    <m/>
    <m/>
    <m/>
    <m/>
    <n v="-2352.65787"/>
    <n v="82.577429999999993"/>
    <n v="30"/>
    <n v="119.74713156731923"/>
    <n v="14.626482776329027"/>
    <n v="47.031395269933796"/>
    <n v="0"/>
    <n v="0"/>
    <n v="0"/>
    <n v="0"/>
    <n v="0"/>
    <n v="-20.517579156848342"/>
    <n v="0"/>
    <n v="0"/>
    <n v="80.496956600913563"/>
    <n v="2.4039159326126587"/>
    <n v="9.3338426429971255E-2"/>
    <n v="0"/>
    <n v="3.1255083256446312"/>
    <n v="0"/>
    <n v="-6.0590465139722482"/>
    <m/>
    <n v="0"/>
    <n v="0"/>
    <n v="-0.35066208505276464"/>
    <n v="0"/>
    <n v="-0.9539485739637712"/>
    <n v="-0.149229434707288"/>
    <n v="0"/>
    <n v="0"/>
    <m/>
    <m/>
    <m/>
    <n v="4513.8656990665477"/>
    <n v="0"/>
    <n v="0"/>
    <n v="-2352.65787"/>
    <n v="82.577429999999936"/>
    <n v="0"/>
    <n v="0"/>
    <n v="-2389.852582926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1"/>
    <s v="Regular"/>
    <s v="Verde"/>
    <s v="A4"/>
    <s v="Comercial"/>
    <s v="Não se aplica"/>
    <s v="Não se aplica"/>
    <s v="Não se aplica"/>
    <s v="Fora ponta"/>
    <s v="CATIVO"/>
    <x v="4"/>
    <n v="0"/>
    <n v="0"/>
    <n v="308.57600000000002"/>
    <n v="308.57600000000002"/>
    <n v="308.57600000000002"/>
    <n v="308.57600000000002"/>
    <m/>
    <n v="70.33"/>
    <n v="173.82"/>
    <m/>
    <n v="75338.830400000006"/>
    <n v="75338.830400000006"/>
    <n v="81565.894079999998"/>
    <n v="0"/>
    <n v="16416.251380189518"/>
    <n v="0"/>
    <n v="0"/>
    <n v="0"/>
    <n v="0"/>
    <n v="0"/>
    <n v="49656.70889683508"/>
    <n v="2498.1897592223831"/>
    <n v="0"/>
    <n v="0"/>
    <n v="0"/>
    <n v="0"/>
    <n v="2916.5050326215146"/>
    <m/>
    <n v="383.47685789248908"/>
    <n v="0"/>
    <n v="0"/>
    <n v="0"/>
    <n v="0"/>
    <n v="0"/>
    <n v="0"/>
    <n v="0"/>
    <n v="0"/>
    <n v="0"/>
    <n v="0"/>
    <n v="0"/>
    <n v="0"/>
    <m/>
    <n v="0"/>
    <n v="0"/>
    <n v="0"/>
    <n v="57.578314334299662"/>
    <n v="1482.9200844204365"/>
    <n v="1928.0537256909702"/>
    <n v="0"/>
    <n v="0"/>
    <n v="0"/>
    <n v="0"/>
    <n v="0"/>
    <m/>
    <m/>
    <m/>
    <m/>
    <m/>
    <m/>
    <m/>
    <m/>
    <m/>
    <n v="53125.261021280792"/>
    <m/>
    <m/>
    <m/>
    <m/>
    <m/>
    <m/>
    <m/>
    <m/>
    <m/>
    <m/>
    <m/>
    <m/>
    <n v="81566.951399999991"/>
    <n v="6228.0910000000003"/>
    <m/>
    <m/>
    <m/>
    <m/>
    <n v="-311.66176000000161"/>
    <n v="6538.7254400000002"/>
    <n v="30"/>
    <n v="6224.3217860962759"/>
    <n v="0"/>
    <n v="0"/>
    <n v="0"/>
    <n v="0"/>
    <n v="0"/>
    <n v="0"/>
    <n v="0"/>
    <n v="0"/>
    <n v="0"/>
    <n v="0"/>
    <n v="6373.9873954538198"/>
    <n v="190.34918214572326"/>
    <n v="7.3908130033499759"/>
    <n v="0"/>
    <n v="247.48700464308922"/>
    <n v="0"/>
    <n v="-479.77324534141735"/>
    <m/>
    <n v="0"/>
    <n v="0"/>
    <n v="-27.766462293364384"/>
    <n v="0"/>
    <n v="-75.536472968808084"/>
    <n v="-11.816428546121699"/>
    <n v="0"/>
    <n v="0"/>
    <m/>
    <m/>
    <m/>
    <n v="0"/>
    <n v="0"/>
    <n v="0"/>
    <n v="-311.66175999999905"/>
    <n v="6538.7254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2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29.672000000000001"/>
    <n v="29.672000000000001"/>
    <n v="29.672000000000001"/>
    <n v="29.672000000000001"/>
    <m/>
    <n v="70.33"/>
    <n v="173.82"/>
    <m/>
    <n v="7244.4188000000004"/>
    <n v="7244.4188000000004"/>
    <n v="7843.1997599999995"/>
    <n v="0"/>
    <n v="1578.5511865893113"/>
    <n v="0"/>
    <n v="0"/>
    <n v="0"/>
    <n v="0"/>
    <n v="0"/>
    <n v="4774.8816057855774"/>
    <n v="240.220517913404"/>
    <n v="0"/>
    <n v="0"/>
    <n v="0"/>
    <n v="0"/>
    <n v="280.44480882487807"/>
    <m/>
    <n v="36.874304312020165"/>
    <n v="0"/>
    <n v="0"/>
    <n v="0"/>
    <n v="0"/>
    <n v="0"/>
    <n v="0"/>
    <n v="0"/>
    <n v="0"/>
    <n v="0"/>
    <n v="0"/>
    <n v="0"/>
    <n v="0"/>
    <m/>
    <n v="0"/>
    <n v="0"/>
    <n v="0"/>
    <n v="5.5366060319899786"/>
    <n v="142.59438434914961"/>
    <n v="185.39747144529213"/>
    <n v="0"/>
    <n v="0"/>
    <n v="0"/>
    <n v="0"/>
    <n v="0"/>
    <m/>
    <m/>
    <m/>
    <m/>
    <m/>
    <m/>
    <m/>
    <m/>
    <m/>
    <n v="5108.4100676120097"/>
    <m/>
    <m/>
    <m/>
    <m/>
    <m/>
    <m/>
    <m/>
    <m/>
    <m/>
    <m/>
    <m/>
    <m/>
    <n v="7842.6711000000005"/>
    <n v="598.22229999999945"/>
    <m/>
    <m/>
    <m/>
    <m/>
    <n v="-29.968720000000154"/>
    <n v="628.7496799999999"/>
    <n v="30"/>
    <n v="598.5173054192428"/>
    <n v="0"/>
    <n v="0"/>
    <n v="0"/>
    <n v="0"/>
    <n v="0"/>
    <n v="0"/>
    <n v="0"/>
    <n v="0"/>
    <n v="0"/>
    <n v="0"/>
    <n v="612.90882634393438"/>
    <n v="18.30356519180981"/>
    <n v="0.71068457506546245"/>
    <n v="0"/>
    <n v="23.797814482557754"/>
    <n v="0"/>
    <n v="-46.133956418420439"/>
    <m/>
    <n v="0"/>
    <n v="0"/>
    <n v="-2.669962891374297"/>
    <n v="0"/>
    <n v="-7.2634236814608926"/>
    <n v="-1.1362421828674982"/>
    <n v="0"/>
    <n v="0"/>
    <m/>
    <m/>
    <m/>
    <n v="0"/>
    <n v="0"/>
    <n v="0"/>
    <n v="-29.968720000000303"/>
    <n v="628.74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3"/>
    <s v="Regular"/>
    <s v="Verde"/>
    <s v="A4"/>
    <s v="Comercial"/>
    <s v="Não se aplica"/>
    <s v="Não se aplica"/>
    <s v="Não se aplica"/>
    <s v="Não se aplica"/>
    <s v="CATIVO"/>
    <x v="4"/>
    <n v="3225"/>
    <n v="3225"/>
    <n v="0"/>
    <n v="0"/>
    <n v="0"/>
    <n v="0"/>
    <n v="59.12"/>
    <m/>
    <m/>
    <n v="190662"/>
    <m/>
    <n v="190662"/>
    <n v="109746.75"/>
    <n v="0"/>
    <n v="0"/>
    <n v="0"/>
    <n v="0"/>
    <n v="1844.8946717511246"/>
    <n v="16502.398048557265"/>
    <n v="155321.7977516535"/>
    <m/>
    <m/>
    <m/>
    <n v="0"/>
    <n v="0"/>
    <n v="0"/>
    <n v="0"/>
    <m/>
    <n v="0"/>
    <n v="3896.0325731004436"/>
    <n v="13096.685861464306"/>
    <n v="0"/>
    <n v="0"/>
    <m/>
    <m/>
    <n v="0"/>
    <n v="0"/>
    <n v="0"/>
    <m/>
    <m/>
    <n v="0"/>
    <m/>
    <n v="0"/>
    <n v="0"/>
    <n v="0"/>
    <n v="0"/>
    <m/>
    <n v="0"/>
    <n v="0"/>
    <n v="1698.11"/>
    <n v="7892.82"/>
    <n v="105058.32"/>
    <n v="16"/>
    <m/>
    <m/>
    <m/>
    <m/>
    <m/>
    <m/>
    <m/>
    <m/>
    <m/>
    <n v="0"/>
    <m/>
    <m/>
    <m/>
    <m/>
    <m/>
    <m/>
    <m/>
    <m/>
    <m/>
    <m/>
    <m/>
    <m/>
    <n v="109746.75"/>
    <n v="-80915.280000000028"/>
    <m/>
    <m/>
    <m/>
    <m/>
    <n v="-80915.249999999985"/>
    <n v="0"/>
    <n v="30"/>
    <n v="1333.4651928513413"/>
    <n v="378.28014881331046"/>
    <n v="1271.6054559814347"/>
    <n v="0"/>
    <n v="0"/>
    <m/>
    <m/>
    <m/>
    <n v="-316.420411943408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321.7977516535"/>
    <m/>
    <n v="0"/>
    <n v="0"/>
    <n v="-80915.25"/>
    <m/>
    <n v="0"/>
    <m/>
    <n v="-82234.65745078887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64"/>
    <s v="Sistema de Compensação"/>
    <s v="Verde"/>
    <s v="A4"/>
    <s v="Comercial"/>
    <s v="Não se aplica"/>
    <s v="Não se aplica"/>
    <s v="Não se aplica"/>
    <s v="Não se aplica"/>
    <s v="CATIVO"/>
    <x v="4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141.36000000000001"/>
    <n v="657.04"/>
    <n v="9637.84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n v="30"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65"/>
    <s v="Regular"/>
    <s v="Convencional"/>
    <s v="B2"/>
    <s v="Rural"/>
    <s v="Não se aplica"/>
    <s v="Não se aplica"/>
    <s v="Não se aplica"/>
    <s v="Não se aplica"/>
    <s v="CATIVO"/>
    <x v="4"/>
    <n v="0"/>
    <n v="0"/>
    <n v="2731.47"/>
    <n v="2731.47"/>
    <n v="2731.47"/>
    <n v="2731.47"/>
    <m/>
    <n v="516.83000000000004"/>
    <n v="173.82"/>
    <m/>
    <n v="1886489.7555"/>
    <n v="1886489.7555"/>
    <n v="1424325.0314999998"/>
    <n v="0"/>
    <n v="167027.90391936898"/>
    <n v="0"/>
    <n v="0"/>
    <n v="7425.3484331449599"/>
    <n v="94035.256574177605"/>
    <n v="993205.63602398324"/>
    <n v="439553.98556737433"/>
    <n v="22113.613442468508"/>
    <n v="0"/>
    <n v="0"/>
    <n v="0"/>
    <n v="0"/>
    <n v="25816.479575387224"/>
    <m/>
    <n v="4237.9903580426826"/>
    <n v="15838.439117595079"/>
    <n v="51868.746569194162"/>
    <n v="0"/>
    <n v="0"/>
    <n v="0"/>
    <n v="0"/>
    <n v="0"/>
    <n v="0"/>
    <n v="0"/>
    <n v="0"/>
    <n v="0"/>
    <n v="0"/>
    <m/>
    <n v="0"/>
    <n v="0"/>
    <n v="0"/>
    <n v="1515.4540190993159"/>
    <n v="13126.593523125224"/>
    <n v="50746.132487890791"/>
    <n v="0"/>
    <n v="11678.36"/>
    <n v="54535.33"/>
    <n v="99346.39"/>
    <n v="10254"/>
    <m/>
    <m/>
    <m/>
    <m/>
    <m/>
    <n v="170908.07789999997"/>
    <m/>
    <m/>
    <m/>
    <n v="504942.16559748963"/>
    <m/>
    <m/>
    <m/>
    <m/>
    <m/>
    <m/>
    <m/>
    <m/>
    <m/>
    <m/>
    <m/>
    <m/>
    <n v="1253416.9535999999"/>
    <n v="-406688.59829999995"/>
    <m/>
    <m/>
    <m/>
    <m/>
    <n v="-520044.57330000011"/>
    <n v="57879.849299999987"/>
    <n v="30"/>
    <n v="63659.309350392665"/>
    <n v="1537.8123755281285"/>
    <n v="5036.1275997596676"/>
    <n v="0"/>
    <n v="0"/>
    <n v="0"/>
    <n v="0"/>
    <n v="0"/>
    <n v="-1803.0515646788408"/>
    <n v="0"/>
    <n v="0"/>
    <n v="56421.61202122079"/>
    <n v="1684.94335449153"/>
    <n v="194.52527222850426"/>
    <n v="0"/>
    <n v="6513.826953732103"/>
    <n v="0"/>
    <n v="-4881.4749281113327"/>
    <m/>
    <n v="0"/>
    <n v="0"/>
    <n v="-245.78469732077792"/>
    <n v="0"/>
    <n v="-668.63790385548782"/>
    <n v="-130.58913260157533"/>
    <n v="0"/>
    <n v="0"/>
    <m/>
    <m/>
    <m/>
    <n v="993205.63602398324"/>
    <n v="0"/>
    <n v="0"/>
    <n v="-520044.57330000005"/>
    <n v="57879.849299999943"/>
    <n v="0"/>
    <n v="0"/>
    <n v="-525849.72900724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6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1.367"/>
    <n v="-1.367"/>
    <n v="-1.367"/>
    <n v="-1.367"/>
    <m/>
    <n v="516.83000000000004"/>
    <n v="173.82"/>
    <m/>
    <n v="-944.11855000000003"/>
    <n v="-944.11855000000003"/>
    <n v="-712.82214999999997"/>
    <n v="0"/>
    <n v="-83.591306021218401"/>
    <n v="0"/>
    <n v="0"/>
    <n v="-3.7161130483253193"/>
    <n v="-47.061177950664216"/>
    <n v="-497.06279199287752"/>
    <n v="-219.98055928514711"/>
    <n v="-11.067047990955219"/>
    <n v="0"/>
    <n v="0"/>
    <n v="0"/>
    <n v="0"/>
    <n v="-12.9201959309655"/>
    <m/>
    <n v="-2.1209578796195263"/>
    <n v="-7.9265546660781467"/>
    <n v="-25.958394769149365"/>
    <n v="0"/>
    <n v="0"/>
    <n v="0"/>
    <n v="0"/>
    <n v="0"/>
    <n v="0"/>
    <n v="0"/>
    <n v="0"/>
    <n v="0"/>
    <n v="0"/>
    <m/>
    <n v="0"/>
    <n v="0"/>
    <n v="0"/>
    <n v="-0.75842884751022899"/>
    <n v="-6.569375957309501"/>
    <n v="-25.396567822801174"/>
    <n v="0"/>
    <n v="-7.3"/>
    <n v="-34.049999999999997"/>
    <n v="-26.28"/>
    <n v="0"/>
    <m/>
    <m/>
    <m/>
    <m/>
    <m/>
    <n v="-85.533189999999991"/>
    <m/>
    <m/>
    <m/>
    <n v="-252.70493191276802"/>
    <m/>
    <m/>
    <m/>
    <m/>
    <m/>
    <m/>
    <m/>
    <m/>
    <m/>
    <m/>
    <m/>
    <m/>
    <n v="-628.66560000000004"/>
    <n v="202.12599"/>
    <m/>
    <m/>
    <m/>
    <m/>
    <n v="260.26313000000005"/>
    <n v="-28.966729999999998"/>
    <n v="30"/>
    <n v="-31.859136612149086"/>
    <n v="-0.76961838033987107"/>
    <n v="-2.5203961342688999"/>
    <n v="0"/>
    <n v="0"/>
    <n v="0"/>
    <n v="0"/>
    <n v="0"/>
    <n v="0.90236081264519186"/>
    <n v="0"/>
    <n v="0"/>
    <n v="-28.236936020900401"/>
    <n v="-0.84325200920746823"/>
    <n v="-9.7352724773241195E-2"/>
    <n v="0"/>
    <n v="-3.2599301642528644"/>
    <n v="0"/>
    <n v="2.4429981756080821"/>
    <m/>
    <n v="0"/>
    <n v="0"/>
    <n v="0.12300617661460755"/>
    <n v="0"/>
    <n v="0.33462861190877113"/>
    <n v="6.5355044817022812E-2"/>
    <n v="0"/>
    <n v="0"/>
    <m/>
    <m/>
    <m/>
    <n v="-497.06279199287752"/>
    <n v="0"/>
    <n v="0"/>
    <n v="260.26313000000005"/>
    <n v="-28.966730000000013"/>
    <n v="0"/>
    <n v="0"/>
    <n v="263.168396340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7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23.303000000000001"/>
    <n v="23.303000000000001"/>
    <n v="23.303000000000001"/>
    <n v="23.303000000000001"/>
    <m/>
    <n v="516.83000000000004"/>
    <n v="173.82"/>
    <m/>
    <n v="16094.21695"/>
    <n v="16094.21695"/>
    <n v="12151.34935"/>
    <n v="0"/>
    <n v="1424.9657675292262"/>
    <n v="0"/>
    <n v="0"/>
    <n v="63.347902242227448"/>
    <n v="802.243328298704"/>
    <n v="8473.3388747695863"/>
    <n v="3749.9685245221531"/>
    <n v="188.657951231331"/>
    <n v="0"/>
    <n v="0"/>
    <n v="0"/>
    <n v="0"/>
    <n v="220.24822661250116"/>
    <m/>
    <n v="36.155582639922322"/>
    <n v="135.12253356519315"/>
    <n v="442.50802729004221"/>
    <n v="0"/>
    <n v="0"/>
    <n v="0"/>
    <n v="0"/>
    <n v="0"/>
    <n v="0"/>
    <n v="0"/>
    <n v="0"/>
    <n v="0"/>
    <n v="0"/>
    <m/>
    <n v="0"/>
    <n v="0"/>
    <n v="0"/>
    <n v="12.928798415165227"/>
    <n v="111.98695532785904"/>
    <n v="432.93066567281329"/>
    <n v="0"/>
    <n v="108.91"/>
    <n v="512.24"/>
    <n v="1418.12"/>
    <n v="181"/>
    <m/>
    <m/>
    <m/>
    <m/>
    <m/>
    <n v="1458.06871"/>
    <m/>
    <m/>
    <m/>
    <n v="4307.8149439379904"/>
    <m/>
    <m/>
    <m/>
    <m/>
    <m/>
    <m/>
    <m/>
    <m/>
    <m/>
    <m/>
    <m/>
    <m/>
    <n v="10691.904"/>
    <n v="-3470.990310000001"/>
    <m/>
    <m/>
    <m/>
    <m/>
    <n v="-4436.6581700000015"/>
    <n v="493.79056999999995"/>
    <n v="30"/>
    <n v="543.0968986634316"/>
    <n v="13.119544343130997"/>
    <n v="42.964733808974529"/>
    <n v="0"/>
    <n v="0"/>
    <n v="0"/>
    <n v="0"/>
    <n v="0"/>
    <n v="-15.382380407513551"/>
    <n v="0"/>
    <n v="0"/>
    <n v="481.34990497076933"/>
    <n v="14.374763402020221"/>
    <n v="1.6595541663429714"/>
    <n v="0"/>
    <n v="55.571435711473725"/>
    <n v="0"/>
    <n v="-41.645344905775346"/>
    <m/>
    <n v="0"/>
    <n v="0"/>
    <n v="-2.0968638870886593"/>
    <n v="0"/>
    <n v="-5.7043529943746023"/>
    <n v="-1.1140955445289507"/>
    <n v="0"/>
    <n v="0"/>
    <m/>
    <m/>
    <m/>
    <n v="8473.3388747695863"/>
    <n v="0"/>
    <n v="0"/>
    <n v="-4436.6581700000006"/>
    <n v="493.79057000000057"/>
    <n v="0"/>
    <n v="0"/>
    <n v="-4486.183716114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8"/>
    <s v="Regular"/>
    <s v="Verde"/>
    <s v="A4"/>
    <s v="Rural"/>
    <s v="Não se aplica"/>
    <s v="Não se aplica"/>
    <s v="Não se aplica"/>
    <s v="Ponta"/>
    <s v="CATIVO"/>
    <x v="4"/>
    <n v="0"/>
    <n v="0"/>
    <n v="40.628999999999998"/>
    <n v="39.003839999999997"/>
    <n v="40.628999999999998"/>
    <n v="39.003839999999997"/>
    <m/>
    <n v="1684.16"/>
    <n v="173.82"/>
    <m/>
    <n v="75487.869420000003"/>
    <n v="75487.869420000003"/>
    <n v="51820.664339999996"/>
    <n v="0"/>
    <n v="2161.4638770536912"/>
    <n v="0"/>
    <n v="0"/>
    <n v="731.2976169011896"/>
    <n v="11156.151716655479"/>
    <n v="47060.264174332762"/>
    <n v="6538.1054449131243"/>
    <n v="328.92691501427913"/>
    <n v="0"/>
    <n v="0"/>
    <n v="0"/>
    <n v="0"/>
    <n v="384.00485770241204"/>
    <m/>
    <n v="50.490904215862336"/>
    <n v="1570.5604595056636"/>
    <n v="5050.1307044153973"/>
    <n v="0"/>
    <n v="0"/>
    <n v="0"/>
    <n v="0"/>
    <n v="0"/>
    <n v="0"/>
    <n v="0"/>
    <n v="0"/>
    <n v="0"/>
    <n v="0"/>
    <m/>
    <n v="0"/>
    <n v="0"/>
    <n v="0"/>
    <n v="7.5811123777878411"/>
    <n v="195.25031146271229"/>
    <n v="253.85932418949761"/>
    <n v="0"/>
    <n v="0"/>
    <n v="0"/>
    <n v="0"/>
    <n v="0"/>
    <m/>
    <m/>
    <m/>
    <m/>
    <m/>
    <n v="2072.8265736000017"/>
    <m/>
    <m/>
    <m/>
    <n v="6994.7961929431222"/>
    <m/>
    <m/>
    <m/>
    <m/>
    <m/>
    <m/>
    <m/>
    <m/>
    <m/>
    <m/>
    <m/>
    <m/>
    <n v="49742.94"/>
    <n v="-22725.444643199982"/>
    <m/>
    <m/>
    <m/>
    <m/>
    <n v="-24528.133590000001"/>
    <n v="860.92850999999985"/>
    <n v="30"/>
    <n v="1248.449116871594"/>
    <n v="152.49149826006487"/>
    <n v="490.33578609754659"/>
    <n v="0"/>
    <n v="0"/>
    <n v="0"/>
    <n v="0"/>
    <n v="0"/>
    <n v="-213.91037299553318"/>
    <n v="0"/>
    <n v="0"/>
    <n v="839.23809333808549"/>
    <n v="25.062535392897018"/>
    <n v="0.97311956053972359"/>
    <n v="0"/>
    <n v="32.58564992625503"/>
    <n v="0"/>
    <n v="-63.169874471690491"/>
    <m/>
    <n v="0"/>
    <n v="0"/>
    <n v="-3.6559019383137752"/>
    <n v="0"/>
    <n v="-9.9455931772066037"/>
    <n v="-1.555823121047581"/>
    <n v="0"/>
    <n v="0"/>
    <m/>
    <m/>
    <m/>
    <n v="47060.264174332762"/>
    <n v="0"/>
    <n v="0"/>
    <n v="-24528.133590000005"/>
    <n v="860.92851000000064"/>
    <n v="0"/>
    <n v="0"/>
    <n v="-24915.91495810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69"/>
    <s v="Sistema de Compensação"/>
    <s v="Verde"/>
    <s v="A4"/>
    <s v="Rural"/>
    <s v="Não se aplica"/>
    <s v="Não se aplica"/>
    <s v="Não se aplica"/>
    <s v="Ponta"/>
    <s v="CATIVO"/>
    <x v="4"/>
    <n v="0"/>
    <n v="0"/>
    <n v="4.1909999999999998"/>
    <n v="4.0233600000000003"/>
    <n v="4.1909999999999998"/>
    <n v="4.0233600000000003"/>
    <m/>
    <n v="1684.16"/>
    <n v="173.82"/>
    <m/>
    <n v="7786.7941799999999"/>
    <n v="7786.7941799999999"/>
    <n v="5345.4528599999994"/>
    <n v="0"/>
    <n v="222.9613111012336"/>
    <n v="0"/>
    <n v="0"/>
    <n v="75.43548481215106"/>
    <n v="1150.7896291935097"/>
    <n v="4854.4036809822692"/>
    <n v="674.42467005417075"/>
    <n v="33.929771858151661"/>
    <n v="0"/>
    <n v="0"/>
    <n v="0"/>
    <n v="0"/>
    <n v="39.611222492082234"/>
    <m/>
    <n v="5.2082842198596833"/>
    <n v="162.00789794945081"/>
    <n v="520.93573019776341"/>
    <n v="0"/>
    <n v="0"/>
    <n v="0"/>
    <n v="0"/>
    <n v="0"/>
    <n v="0"/>
    <n v="0"/>
    <n v="0"/>
    <n v="0"/>
    <n v="0"/>
    <m/>
    <n v="0"/>
    <n v="0"/>
    <n v="0"/>
    <n v="0.78201388110238601"/>
    <n v="20.140639822300013"/>
    <n v="26.186330642599732"/>
    <n v="0"/>
    <n v="0"/>
    <n v="0"/>
    <n v="0"/>
    <n v="0"/>
    <m/>
    <m/>
    <m/>
    <m/>
    <m/>
    <n v="213.81811439999944"/>
    <m/>
    <m/>
    <m/>
    <n v="721.53365440017285"/>
    <m/>
    <m/>
    <m/>
    <m/>
    <m/>
    <m/>
    <m/>
    <m/>
    <m/>
    <m/>
    <m/>
    <m/>
    <n v="5127.3491999999997"/>
    <n v="-2348.0032128000012"/>
    <m/>
    <m/>
    <m/>
    <m/>
    <n v="-2530.1486100000002"/>
    <n v="88.807289999999981"/>
    <n v="30"/>
    <n v="128.78117228602468"/>
    <n v="15.729943370694116"/>
    <n v="50.579568277211365"/>
    <n v="0"/>
    <n v="0"/>
    <n v="0"/>
    <n v="0"/>
    <n v="0"/>
    <n v="-22.065479662907592"/>
    <n v="0"/>
    <n v="0"/>
    <n v="86.569860178195768"/>
    <n v="2.5852737165972925"/>
    <n v="0.10038012449782141"/>
    <n v="0"/>
    <n v="3.3613049506740182"/>
    <n v="0"/>
    <n v="-6.5161570284982417"/>
    <m/>
    <n v="0"/>
    <n v="0"/>
    <n v="-0.37711696136928907"/>
    <n v="0"/>
    <n v="-1.0259169806215525"/>
    <n v="-0.16048769844964017"/>
    <n v="0"/>
    <n v="0"/>
    <m/>
    <m/>
    <m/>
    <n v="4854.4036809822692"/>
    <n v="0"/>
    <n v="0"/>
    <n v="-2530.1486100000002"/>
    <n v="88.807289999999966"/>
    <n v="0"/>
    <n v="0"/>
    <n v="-2570.149390568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0"/>
    <s v="Regular"/>
    <s v="Verde"/>
    <s v="A4"/>
    <s v="Rural"/>
    <s v="Não se aplica"/>
    <s v="Não se aplica"/>
    <s v="Não se aplica"/>
    <s v="Fora ponta"/>
    <s v="CATIVO"/>
    <x v="4"/>
    <n v="0"/>
    <n v="0"/>
    <n v="527.53399999999999"/>
    <n v="506.43263999999999"/>
    <n v="527.53399999999999"/>
    <n v="506.43263999999999"/>
    <m/>
    <n v="70.33"/>
    <n v="173.82"/>
    <m/>
    <n v="128797.4261"/>
    <n v="128797.4261"/>
    <n v="139443.06221999999"/>
    <n v="0"/>
    <n v="28064.822784652391"/>
    <n v="0"/>
    <n v="0"/>
    <n v="0"/>
    <n v="0"/>
    <n v="0"/>
    <n v="84891.897850717476"/>
    <n v="4270.8442537385299"/>
    <n v="0"/>
    <n v="0"/>
    <n v="0"/>
    <n v="0"/>
    <n v="4985.9858377805076"/>
    <m/>
    <n v="655.58267898817894"/>
    <n v="0"/>
    <n v="0"/>
    <n v="0"/>
    <n v="0"/>
    <n v="0"/>
    <n v="0"/>
    <n v="0"/>
    <n v="0"/>
    <n v="0"/>
    <n v="0"/>
    <n v="0"/>
    <n v="0"/>
    <m/>
    <n v="0"/>
    <n v="0"/>
    <n v="0"/>
    <n v="98.434481210562183"/>
    <n v="2535.1639914142725"/>
    <n v="3296.1536027709872"/>
    <n v="0"/>
    <n v="0"/>
    <n v="0"/>
    <n v="0"/>
    <n v="0"/>
    <m/>
    <m/>
    <m/>
    <m/>
    <m/>
    <n v="5577.7224888000001"/>
    <m/>
    <m/>
    <m/>
    <n v="90821.649926113285"/>
    <m/>
    <m/>
    <m/>
    <m/>
    <m/>
    <m/>
    <m/>
    <m/>
    <m/>
    <m/>
    <m/>
    <m/>
    <n v="133864.64189999999"/>
    <n v="10219.082844000004"/>
    <m/>
    <m/>
    <m/>
    <m/>
    <n v="-532.80934000000263"/>
    <n v="11178.445459999999"/>
    <n v="30"/>
    <n v="10640.948645087497"/>
    <n v="0"/>
    <n v="0"/>
    <n v="0"/>
    <n v="0"/>
    <n v="0"/>
    <n v="0"/>
    <n v="0"/>
    <n v="0"/>
    <n v="0"/>
    <n v="0"/>
    <n v="10896.813318836634"/>
    <n v="325.4163170630959"/>
    <n v="12.635153566412242"/>
    <n v="0"/>
    <n v="423.09774417773042"/>
    <n v="0"/>
    <n v="-820.20863323115918"/>
    <m/>
    <n v="0"/>
    <n v="0"/>
    <n v="-47.468866403957691"/>
    <n v="0"/>
    <n v="-129.13531101293393"/>
    <n v="-20.201077908358911"/>
    <n v="0"/>
    <n v="0"/>
    <m/>
    <m/>
    <m/>
    <n v="0"/>
    <n v="0"/>
    <n v="0"/>
    <n v="-532.80934000000707"/>
    <n v="11178.44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1"/>
    <s v="Sistema de Compensação"/>
    <s v="Verde"/>
    <s v="A4"/>
    <s v="Rural"/>
    <s v="Não se aplica"/>
    <s v="Não se aplica"/>
    <s v="Não se aplica"/>
    <s v="Fora ponta"/>
    <s v="CATIVO"/>
    <x v="4"/>
    <n v="0"/>
    <n v="0"/>
    <n v="22.545000000000002"/>
    <n v="21.6432"/>
    <n v="22.545000000000002"/>
    <n v="21.6432"/>
    <m/>
    <n v="70.33"/>
    <n v="173.82"/>
    <m/>
    <n v="5504.36175"/>
    <n v="5504.36175"/>
    <n v="5959.3198499999999"/>
    <n v="0"/>
    <n v="1199.3945976562425"/>
    <n v="0"/>
    <n v="0"/>
    <n v="0"/>
    <n v="0"/>
    <n v="0"/>
    <n v="3627.9895457817424"/>
    <n v="182.52128526414441"/>
    <n v="0"/>
    <n v="0"/>
    <n v="0"/>
    <n v="0"/>
    <n v="213.08399214602576"/>
    <m/>
    <n v="28.017362857727647"/>
    <n v="0"/>
    <n v="0"/>
    <n v="0"/>
    <n v="0"/>
    <n v="0"/>
    <n v="0"/>
    <n v="0"/>
    <n v="0"/>
    <n v="0"/>
    <n v="0"/>
    <n v="0"/>
    <n v="0"/>
    <m/>
    <n v="0"/>
    <n v="0"/>
    <n v="0"/>
    <n v="4.2067532687791207"/>
    <n v="108.34424356806343"/>
    <n v="140.86633842457911"/>
    <n v="0"/>
    <n v="0"/>
    <n v="0"/>
    <n v="0"/>
    <n v="0"/>
    <m/>
    <m/>
    <m/>
    <m/>
    <m/>
    <n v="238.37279400000037"/>
    <m/>
    <m/>
    <m/>
    <n v="3881.4068810431645"/>
    <m/>
    <m/>
    <m/>
    <m/>
    <m/>
    <m/>
    <m/>
    <m/>
    <m/>
    <m/>
    <m/>
    <m/>
    <n v="5720.1011999999992"/>
    <n v="435.88391999999931"/>
    <m/>
    <m/>
    <m/>
    <m/>
    <n v="-22.770450000000118"/>
    <n v="477.72854999999998"/>
    <n v="30"/>
    <n v="454.75777334446229"/>
    <n v="0"/>
    <n v="0"/>
    <n v="0"/>
    <n v="0"/>
    <n v="0"/>
    <n v="0"/>
    <n v="0"/>
    <n v="0"/>
    <n v="0"/>
    <n v="0"/>
    <n v="465.69255493138235"/>
    <n v="13.907181088209484"/>
    <n v="0.53998327530503065"/>
    <n v="0"/>
    <n v="18.081751398937172"/>
    <n v="0"/>
    <n v="-35.052913435335995"/>
    <m/>
    <n v="0"/>
    <n v="0"/>
    <n v="-2.0286570971297238"/>
    <n v="0"/>
    <n v="-5.5188017962569234"/>
    <n v="-0.86332502065070926"/>
    <n v="0"/>
    <n v="0"/>
    <m/>
    <m/>
    <m/>
    <n v="0"/>
    <n v="0"/>
    <n v="0"/>
    <n v="-22.77045000000021"/>
    <n v="477.728550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2"/>
    <s v="Regular"/>
    <s v="Verde"/>
    <s v="A4"/>
    <s v="Rural"/>
    <s v="Não se aplica"/>
    <s v="Não se aplica"/>
    <s v="Não se aplica"/>
    <s v="Não se aplica"/>
    <s v="CATIVO"/>
    <x v="4"/>
    <n v="2305"/>
    <n v="2212.8000000000002"/>
    <n v="0"/>
    <n v="0"/>
    <n v="0"/>
    <n v="0"/>
    <n v="59.12"/>
    <m/>
    <m/>
    <n v="136271.6"/>
    <m/>
    <n v="136271.6"/>
    <n v="78439.150000000009"/>
    <n v="0"/>
    <n v="0"/>
    <n v="0"/>
    <n v="0"/>
    <n v="1318.5991374841371"/>
    <n v="11794.737209899067"/>
    <n v="111012.94381939888"/>
    <m/>
    <m/>
    <m/>
    <n v="0"/>
    <n v="0"/>
    <n v="0"/>
    <n v="0"/>
    <m/>
    <n v="0"/>
    <n v="2784.6062266655881"/>
    <n v="9360.5770265659612"/>
    <n v="0"/>
    <n v="0"/>
    <m/>
    <m/>
    <n v="0"/>
    <n v="0"/>
    <n v="0"/>
    <m/>
    <m/>
    <n v="0"/>
    <m/>
    <n v="0"/>
    <n v="0"/>
    <n v="0"/>
    <n v="0"/>
    <m/>
    <n v="0"/>
    <n v="0"/>
    <n v="2388.27"/>
    <n v="11100.48"/>
    <n v="9912.17"/>
    <n v="14"/>
    <m/>
    <m/>
    <m/>
    <m/>
    <m/>
    <n v="3137.5659999999939"/>
    <m/>
    <m/>
    <m/>
    <n v="0"/>
    <m/>
    <m/>
    <m/>
    <m/>
    <m/>
    <m/>
    <m/>
    <m/>
    <m/>
    <m/>
    <m/>
    <m/>
    <n v="75301.584000000003"/>
    <n v="-55519.181999999986"/>
    <m/>
    <m/>
    <m/>
    <m/>
    <n v="-57832.44999999999"/>
    <n v="0"/>
    <n v="30"/>
    <n v="953.06582000692651"/>
    <n v="270.36767225261474"/>
    <n v="908.85289179448228"/>
    <n v="0"/>
    <n v="0"/>
    <m/>
    <m/>
    <m/>
    <n v="-226.154744040171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012.94381939888"/>
    <m/>
    <n v="0"/>
    <n v="0"/>
    <n v="-57832.45"/>
    <m/>
    <n v="0"/>
    <m/>
    <n v="-58775.4683485483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73"/>
    <s v="Sistema de Compensação"/>
    <s v="Verde"/>
    <s v="A4"/>
    <s v="Rural"/>
    <s v="Não se aplica"/>
    <s v="Não se aplica"/>
    <s v="Não se aplica"/>
    <s v="Não se aplica"/>
    <s v="CATIVO"/>
    <x v="4"/>
    <n v="173"/>
    <n v="166.07999999999998"/>
    <n v="0"/>
    <n v="0"/>
    <n v="0"/>
    <n v="0"/>
    <n v="59.12"/>
    <m/>
    <m/>
    <n v="10227.76"/>
    <m/>
    <n v="10227.76"/>
    <n v="5887.1900000000005"/>
    <n v="0"/>
    <n v="0"/>
    <n v="0"/>
    <n v="0"/>
    <n v="98.966442856726999"/>
    <n v="885.2449185737695"/>
    <n v="8331.9910111739719"/>
    <m/>
    <m/>
    <m/>
    <n v="0"/>
    <n v="0"/>
    <n v="0"/>
    <n v="0"/>
    <m/>
    <n v="0"/>
    <n v="208.99647601438039"/>
    <n v="702.55090047544957"/>
    <n v="0"/>
    <n v="0"/>
    <m/>
    <m/>
    <n v="0"/>
    <n v="0"/>
    <n v="0"/>
    <m/>
    <m/>
    <n v="0"/>
    <m/>
    <n v="0"/>
    <n v="0"/>
    <n v="0"/>
    <n v="0"/>
    <m/>
    <n v="0"/>
    <n v="0"/>
    <n v="154.22999999999999"/>
    <n v="716.84"/>
    <n v="8.02"/>
    <n v="1"/>
    <m/>
    <m/>
    <m/>
    <m/>
    <m/>
    <n v="235.48760000000055"/>
    <m/>
    <m/>
    <m/>
    <n v="0"/>
    <m/>
    <m/>
    <m/>
    <m/>
    <m/>
    <m/>
    <m/>
    <m/>
    <m/>
    <m/>
    <m/>
    <m/>
    <n v="5651.702400000001"/>
    <n v="-4166.9771999999984"/>
    <m/>
    <m/>
    <m/>
    <m/>
    <n v="-4340.57"/>
    <n v="0"/>
    <n v="30"/>
    <n v="71.531621197916593"/>
    <n v="20.292237440217889"/>
    <n v="68.213253917763836"/>
    <n v="0"/>
    <n v="0"/>
    <m/>
    <m/>
    <m/>
    <n v="-16.9738701600650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8331.9910111739719"/>
    <m/>
    <n v="0"/>
    <n v="0"/>
    <n v="-4340.57"/>
    <m/>
    <n v="0"/>
    <m/>
    <n v="-4411.347515964798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74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99.25399999999999"/>
    <n v="199.25399999999999"/>
    <n v="199.25399999999999"/>
    <n v="199.25399999999999"/>
    <m/>
    <n v="516.83000000000004"/>
    <n v="173.82"/>
    <m/>
    <n v="137614.7751"/>
    <n v="137614.7751"/>
    <n v="103900.99829999999"/>
    <n v="0"/>
    <n v="12184.273657609254"/>
    <n v="0"/>
    <n v="0"/>
    <n v="541.66085539942446"/>
    <n v="6859.6400522177382"/>
    <n v="72451.901650145446"/>
    <n v="32064.379195173882"/>
    <n v="1613.1335628308639"/>
    <n v="0"/>
    <n v="0"/>
    <n v="0"/>
    <n v="0"/>
    <n v="1883.2485150172638"/>
    <m/>
    <n v="309.15094465670012"/>
    <n v="1155.3750720078529"/>
    <n v="3783.6971406964794"/>
    <n v="0"/>
    <n v="0"/>
    <n v="0"/>
    <n v="0"/>
    <n v="0"/>
    <n v="0"/>
    <n v="0"/>
    <n v="0"/>
    <n v="0"/>
    <n v="0"/>
    <m/>
    <n v="0"/>
    <n v="0"/>
    <n v="0"/>
    <n v="110.54863319810033"/>
    <n v="957.55262399249978"/>
    <n v="3701.805212117355"/>
    <n v="0"/>
    <n v="854.52"/>
    <n v="3978.61"/>
    <n v="56191.64"/>
    <n v="258"/>
    <m/>
    <m/>
    <m/>
    <m/>
    <m/>
    <m/>
    <m/>
    <m/>
    <m/>
    <n v="36834.285664481838"/>
    <m/>
    <m/>
    <m/>
    <m/>
    <m/>
    <m/>
    <m/>
    <m/>
    <m/>
    <m/>
    <m/>
    <m/>
    <n v="103898.91250000001"/>
    <n v="-33715.892599999992"/>
    <m/>
    <m/>
    <m/>
    <m/>
    <n v="-37935.96906000001"/>
    <n v="4222.1922599999989"/>
    <n v="30"/>
    <n v="4643.7896170571767"/>
    <n v="112.17962015818648"/>
    <n v="367.37308803044289"/>
    <n v="0"/>
    <n v="0"/>
    <n v="0"/>
    <n v="0"/>
    <n v="0"/>
    <n v="-131.52816485940457"/>
    <n v="0"/>
    <n v="0"/>
    <n v="4115.8174468972138"/>
    <n v="122.91246221113738"/>
    <n v="14.190138860254137"/>
    <n v="0"/>
    <n v="475.16761152014715"/>
    <n v="0"/>
    <n v="-356.09155704653313"/>
    <m/>
    <n v="0"/>
    <n v="0"/>
    <n v="-17.929387501950941"/>
    <n v="0"/>
    <n v="-48.775486055062174"/>
    <n v="-9.5261551572575627"/>
    <n v="0"/>
    <n v="0"/>
    <m/>
    <m/>
    <m/>
    <n v="72451.901650145446"/>
    <n v="0"/>
    <n v="0"/>
    <n v="-37935.96906000001"/>
    <n v="4222.1922600000034"/>
    <n v="0"/>
    <n v="0"/>
    <n v="-38359.440851852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5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42"/>
    <n v="2"/>
    <n v="140.4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0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6"/>
    <s v="Regular"/>
    <s v="Azul"/>
    <s v="A4"/>
    <s v="Poder público"/>
    <s v="Não se aplica"/>
    <s v="Não se aplica"/>
    <s v="Não se aplica"/>
    <s v="Ponta"/>
    <s v="CATIVO"/>
    <x v="4"/>
    <n v="563"/>
    <n v="563"/>
    <n v="24.678999999999998"/>
    <n v="24.678999999999998"/>
    <n v="24.678999999999998"/>
    <n v="24.678999999999998"/>
    <n v="67.099999999999994"/>
    <n v="70.33"/>
    <n v="173.82"/>
    <n v="37777.299999999996"/>
    <n v="6025.3778499999999"/>
    <n v="43802.677849999993"/>
    <n v="30191.92007"/>
    <n v="0"/>
    <n v="1312.9234542274742"/>
    <n v="0"/>
    <n v="0"/>
    <n v="421.35938249346793"/>
    <n v="6427.9022581777299"/>
    <n v="27115.092134629747"/>
    <n v="3971.3973830271725"/>
    <n v="199.79786201081481"/>
    <n v="0"/>
    <n v="0"/>
    <n v="0"/>
    <n v="0"/>
    <n v="233.25348601338521"/>
    <m/>
    <n v="30.669350098286117"/>
    <n v="904.91007121287714"/>
    <n v="2909.7513060221718"/>
    <n v="0"/>
    <n v="0"/>
    <n v="0"/>
    <n v="0"/>
    <n v="0"/>
    <n v="0"/>
    <n v="0"/>
    <n v="0"/>
    <n v="0"/>
    <n v="0"/>
    <m/>
    <n v="0"/>
    <n v="0"/>
    <n v="0"/>
    <n v="4.6049440638811223"/>
    <n v="118.59958248020568"/>
    <n v="154.20006058905244"/>
    <n v="0"/>
    <n v="0"/>
    <n v="0"/>
    <n v="0"/>
    <n v="0"/>
    <m/>
    <m/>
    <m/>
    <m/>
    <m/>
    <m/>
    <m/>
    <m/>
    <m/>
    <n v="4248.8019701603116"/>
    <m/>
    <m/>
    <m/>
    <m/>
    <m/>
    <m/>
    <m/>
    <m/>
    <m/>
    <m/>
    <m/>
    <m/>
    <n v="30192.184399999998"/>
    <n v="-13610.523450000001"/>
    <m/>
    <m/>
    <m/>
    <m/>
    <n v="-14133.705789999996"/>
    <n v="522.94800999999995"/>
    <n v="30"/>
    <n v="744.9325165587361"/>
    <n v="87.861050948211414"/>
    <n v="282.51846882683367"/>
    <n v="0"/>
    <n v="0"/>
    <n v="0"/>
    <n v="0"/>
    <n v="0"/>
    <n v="-123.24993461431222"/>
    <n v="0"/>
    <n v="0"/>
    <n v="509.77274620321987"/>
    <n v="15.223567180125158"/>
    <n v="0.59109546468187357"/>
    <n v="0"/>
    <n v="19.79328200374232"/>
    <n v="0"/>
    <n v="-38.370851659820573"/>
    <m/>
    <n v="0"/>
    <n v="0"/>
    <n v="-2.2206799068558496"/>
    <n v="0"/>
    <n v="-6.0411847207729181"/>
    <n v="-0.94504316631797991"/>
    <n v="0"/>
    <n v="0"/>
    <m/>
    <m/>
    <n v="27115.092134629747"/>
    <n v="0"/>
    <n v="0"/>
    <n v="0"/>
    <n v="-14133.705789999996"/>
    <n v="522.94801000000007"/>
    <n v="0"/>
    <n v="0"/>
    <n v="-14356.003765827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7"/>
    <s v="Regular"/>
    <s v="Azul"/>
    <s v="A4"/>
    <s v="Poder público"/>
    <s v="Não se aplica"/>
    <s v="Não se aplica"/>
    <s v="Não se aplica"/>
    <s v="Fora ponta"/>
    <s v="CATIVO"/>
    <x v="4"/>
    <n v="477"/>
    <n v="477"/>
    <n v="156.46199999999999"/>
    <n v="156.46199999999999"/>
    <n v="156.46199999999999"/>
    <n v="156.46199999999999"/>
    <n v="59.12"/>
    <n v="70.33"/>
    <n v="173.82"/>
    <n v="28200.239999999998"/>
    <n v="38200.197299999993"/>
    <n v="66400.437299999991"/>
    <n v="57589.910459999999"/>
    <n v="0"/>
    <n v="8323.7825477263686"/>
    <n v="0"/>
    <n v="0"/>
    <n v="272.87279331016634"/>
    <n v="2440.8198043912603"/>
    <n v="22973.177527918986"/>
    <n v="25178.199171084627"/>
    <n v="1266.6952909735444"/>
    <n v="0"/>
    <n v="0"/>
    <n v="0"/>
    <n v="0"/>
    <n v="1478.8000700444213"/>
    <m/>
    <n v="194.44012541343014"/>
    <n v="576.2503991841586"/>
    <n v="1937.0912111375114"/>
    <n v="0"/>
    <n v="0"/>
    <n v="0"/>
    <n v="0"/>
    <n v="0"/>
    <n v="0"/>
    <n v="0"/>
    <n v="0"/>
    <n v="0"/>
    <n v="0"/>
    <m/>
    <n v="0"/>
    <n v="0"/>
    <n v="0"/>
    <n v="29.194811707239683"/>
    <n v="751.90760865585889"/>
    <n v="977.61051419767102"/>
    <n v="0"/>
    <n v="0"/>
    <n v="0"/>
    <n v="0"/>
    <n v="0"/>
    <m/>
    <m/>
    <m/>
    <m/>
    <m/>
    <m/>
    <m/>
    <m/>
    <m/>
    <n v="26936.912105645395"/>
    <m/>
    <m/>
    <m/>
    <m/>
    <m/>
    <m/>
    <m/>
    <m/>
    <m/>
    <m/>
    <m/>
    <m/>
    <n v="57589.381800000003"/>
    <n v="-8811.0854999999865"/>
    <m/>
    <m/>
    <m/>
    <m/>
    <n v="-12125.956619999999"/>
    <n v="3315.4297799999995"/>
    <n v="30"/>
    <n v="3353.241700944498"/>
    <n v="55.950273173317555"/>
    <n v="188.07931860562621"/>
    <n v="0"/>
    <n v="0"/>
    <n v="0"/>
    <n v="0"/>
    <n v="0"/>
    <n v="-46.800786510699254"/>
    <n v="0"/>
    <n v="0"/>
    <n v="3231.9001343834097"/>
    <n v="96.515651693210543"/>
    <n v="3.7474767452107223"/>
    <n v="0"/>
    <n v="125.48711409982309"/>
    <n v="0"/>
    <n v="-243.26675280193103"/>
    <m/>
    <n v="0"/>
    <n v="0"/>
    <n v="-14.078853259308516"/>
    <n v="0"/>
    <n v="-38.300411028873441"/>
    <n v="-5.9914641552917089"/>
    <n v="0"/>
    <n v="0"/>
    <m/>
    <m/>
    <n v="22973.177527918986"/>
    <n v="0"/>
    <n v="0"/>
    <n v="0"/>
    <n v="-12125.956619999997"/>
    <n v="3315.4297800000022"/>
    <n v="0"/>
    <n v="0"/>
    <n v="-12163.07956713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78"/>
    <s v="Regular"/>
    <s v="Azul"/>
    <s v="A4"/>
    <s v="Poder público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20.46"/>
    <n v="3813.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79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8.93400000000003"/>
    <n v="288.93400000000003"/>
    <n v="288.93400000000003"/>
    <n v="288.93400000000003"/>
    <m/>
    <n v="284.26"/>
    <n v="95.6"/>
    <m/>
    <n v="109754.46924000001"/>
    <n v="109754.46924000001"/>
    <n v="82863.381860000009"/>
    <n v="0"/>
    <n v="9717.4862674938704"/>
    <n v="0"/>
    <n v="0"/>
    <n v="431.99800594561515"/>
    <n v="5470.8602154341406"/>
    <n v="57783.531388382129"/>
    <n v="25572.731970791621"/>
    <n v="1286.5439241552745"/>
    <n v="0"/>
    <n v="0"/>
    <n v="0"/>
    <n v="0"/>
    <n v="1501.9723043999063"/>
    <m/>
    <n v="246.56127592867193"/>
    <n v="921.46169000639509"/>
    <n v="3017.6624424478227"/>
    <n v="0"/>
    <n v="0"/>
    <n v="0"/>
    <n v="0"/>
    <n v="0"/>
    <n v="0"/>
    <n v="0"/>
    <n v="0"/>
    <n v="0"/>
    <n v="0"/>
    <m/>
    <n v="0"/>
    <n v="0"/>
    <n v="0"/>
    <n v="88.167325782433181"/>
    <n v="763.68971475281376"/>
    <n v="2952.3500804844662"/>
    <n v="0"/>
    <n v="802.18"/>
    <n v="3728.76"/>
    <n v="32105.62"/>
    <n v="15"/>
    <m/>
    <m/>
    <m/>
    <m/>
    <m/>
    <m/>
    <m/>
    <m/>
    <m/>
    <n v="29376.939091811335"/>
    <m/>
    <m/>
    <m/>
    <m/>
    <m/>
    <m/>
    <m/>
    <m/>
    <m/>
    <m/>
    <m/>
    <m/>
    <n v="82862.234700000001"/>
    <n v="-26892.264539999989"/>
    <m/>
    <m/>
    <m/>
    <m/>
    <n v="-30257.168480000004"/>
    <n v="3366.0811000000022"/>
    <n v="30"/>
    <n v="3703.6234658682515"/>
    <n v="89.468108564607064"/>
    <n v="292.99595842162398"/>
    <n v="0"/>
    <n v="0"/>
    <n v="0"/>
    <n v="0"/>
    <n v="0"/>
    <n v="-104.89941146484307"/>
    <n v="0"/>
    <n v="0"/>
    <n v="3282.542779622825"/>
    <n v="98.028015227207675"/>
    <n v="11.31725069407274"/>
    <n v="0"/>
    <n v="378.96676235774157"/>
    <n v="0"/>
    <n v="-283.99844855826814"/>
    <m/>
    <n v="0"/>
    <n v="0"/>
    <n v="-14.299463532319805"/>
    <n v="0"/>
    <n v="-38.90056389486881"/>
    <n v="-7.5975215695241616"/>
    <n v="0"/>
    <n v="0"/>
    <m/>
    <m/>
    <m/>
    <n v="57783.531388382129"/>
    <n v="0"/>
    <n v="0"/>
    <n v="-30257.16848"/>
    <n v="3366.0811000000031"/>
    <n v="0"/>
    <n v="0"/>
    <n v="-30593.316448849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0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9.9659999999999993"/>
    <n v="9.3680400000000006"/>
    <n v="9.9659999999999993"/>
    <n v="9.3680400000000006"/>
    <m/>
    <n v="516.83000000000004"/>
    <n v="173.82"/>
    <m/>
    <n v="6883.0178999999998"/>
    <n v="6883.0178999999998"/>
    <n v="5196.7706999999991"/>
    <n v="0"/>
    <n v="609.4154760844641"/>
    <n v="0"/>
    <n v="0"/>
    <n v="27.092013635413409"/>
    <n v="343.09561042890971"/>
    <n v="3623.7950146313219"/>
    <n v="1603.7500028059808"/>
    <n v="80.683394497337019"/>
    <n v="0"/>
    <n v="0"/>
    <n v="0"/>
    <n v="0"/>
    <n v="94.193615689833337"/>
    <m/>
    <n v="15.462667321352008"/>
    <n v="57.787888662863793"/>
    <n v="189.2475217771343"/>
    <n v="0"/>
    <n v="0"/>
    <n v="0"/>
    <n v="0"/>
    <n v="0"/>
    <n v="0"/>
    <n v="0"/>
    <n v="0"/>
    <n v="0"/>
    <n v="0"/>
    <m/>
    <n v="0"/>
    <n v="0"/>
    <n v="0"/>
    <n v="5.5292625415412884"/>
    <n v="47.893489971138614"/>
    <n v="185.15156907244804"/>
    <n v="0"/>
    <n v="42.64"/>
    <n v="198.46"/>
    <n v="2929.05"/>
    <n v="7"/>
    <m/>
    <m/>
    <m/>
    <m/>
    <n v="311.80624199999932"/>
    <m/>
    <m/>
    <m/>
    <m/>
    <n v="1842.3243243911088"/>
    <m/>
    <m/>
    <m/>
    <m/>
    <m/>
    <m/>
    <m/>
    <m/>
    <m/>
    <m/>
    <m/>
    <m/>
    <n v="4885.9864999999991"/>
    <n v="-1584.080326000003"/>
    <m/>
    <m/>
    <m/>
    <m/>
    <n v="-1897.4267400000003"/>
    <n v="211.17953999999997"/>
    <n v="30"/>
    <n v="232.26639025360555"/>
    <n v="5.610838901585339"/>
    <n v="18.374738752102274"/>
    <n v="0"/>
    <n v="0"/>
    <n v="0"/>
    <n v="0"/>
    <n v="0"/>
    <n v="-6.5785865828983106"/>
    <n v="0"/>
    <n v="0"/>
    <n v="205.85903758909558"/>
    <n v="6.1476587591526126"/>
    <n v="0.70974195690572195"/>
    <n v="0"/>
    <n v="23.766250195277308"/>
    <n v="0"/>
    <n v="-17.81047536072424"/>
    <m/>
    <n v="0"/>
    <n v="0"/>
    <n v="-0.8967663175868239"/>
    <n v="0"/>
    <n v="-2.4395821113992753"/>
    <n v="-0.47646552790522811"/>
    <n v="0"/>
    <n v="0"/>
    <m/>
    <m/>
    <m/>
    <n v="3623.7950146313219"/>
    <n v="0"/>
    <n v="0"/>
    <n v="-1897.4267400000003"/>
    <n v="211.17953999999986"/>
    <n v="0"/>
    <n v="0"/>
    <n v="-1918.6073430373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1"/>
    <s v="Regular"/>
    <s v="Azul"/>
    <s v="A4"/>
    <s v="Serviço público"/>
    <s v="Água, esgoto e saneamento"/>
    <s v="Não se aplica"/>
    <s v="Não se aplica"/>
    <s v="Ponta"/>
    <s v="CATIVO"/>
    <x v="4"/>
    <n v="100"/>
    <n v="94"/>
    <n v="3.3929999999999998"/>
    <n v="3.1894200000000001"/>
    <n v="3.3929999999999998"/>
    <n v="3.1894200000000001"/>
    <n v="67.099999999999994"/>
    <n v="70.33"/>
    <n v="173.82"/>
    <n v="6709.9999999999991"/>
    <n v="828.40094999999997"/>
    <n v="7538.4009499999993"/>
    <n v="5100.8716899999999"/>
    <n v="0"/>
    <n v="180.50768994666799"/>
    <n v="0"/>
    <n v="0"/>
    <n v="74.841808613404609"/>
    <n v="1141.7233140635399"/>
    <n v="4816.1797752450702"/>
    <n v="546.00880589210249"/>
    <n v="27.469271275282409"/>
    <n v="0"/>
    <n v="0"/>
    <n v="0"/>
    <n v="0"/>
    <n v="32.068928159302075"/>
    <m/>
    <n v="4.2165851486480328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63311216859470187"/>
    <n v="16.30570052900595"/>
    <n v="21.200243347731064"/>
    <n v="0"/>
    <n v="0"/>
    <n v="0"/>
    <n v="0"/>
    <n v="0"/>
    <m/>
    <m/>
    <m/>
    <m/>
    <n v="306.05230139999992"/>
    <m/>
    <m/>
    <m/>
    <m/>
    <n v="584.1478619374343"/>
    <m/>
    <m/>
    <m/>
    <m/>
    <m/>
    <m/>
    <m/>
    <m/>
    <m/>
    <m/>
    <m/>
    <m/>
    <n v="4794.9727000000003"/>
    <n v="-2291.1541929999994"/>
    <m/>
    <m/>
    <m/>
    <m/>
    <n v="-2509.4269299999996"/>
    <n v="71.897669999999991"/>
    <n v="30"/>
    <n v="112.3357216174395"/>
    <n v="15.60587050589902"/>
    <n v="50.180900324482081"/>
    <n v="0"/>
    <n v="0"/>
    <n v="0"/>
    <n v="0"/>
    <n v="0"/>
    <n v="-21.891640251209992"/>
    <n v="0"/>
    <n v="0"/>
    <n v="70.086264754144167"/>
    <n v="2.0930168743532853"/>
    <n v="8.1266944027942767E-2"/>
    <n v="0"/>
    <n v="2.7212855398799682"/>
    <n v="0"/>
    <n v="-5.2754284890705208"/>
    <m/>
    <n v="0"/>
    <n v="0"/>
    <n v="-0.30531086851014066"/>
    <n v="0"/>
    <n v="-0.83057416255044458"/>
    <n v="-0.12992955400611539"/>
    <n v="0"/>
    <n v="0"/>
    <m/>
    <m/>
    <n v="4816.1797752450702"/>
    <n v="0"/>
    <n v="0"/>
    <n v="0"/>
    <n v="-2509.4269299999987"/>
    <n v="71.897669999999948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2"/>
    <s v="Regular"/>
    <s v="Azul"/>
    <s v="A4"/>
    <s v="Serviço público"/>
    <s v="Água, esgoto e saneamento"/>
    <s v="Não se aplica"/>
    <s v="Não se aplica"/>
    <s v="Fora ponta"/>
    <s v="CATIVO"/>
    <x v="4"/>
    <n v="100"/>
    <n v="94"/>
    <n v="33.103000000000002"/>
    <n v="31.116820000000001"/>
    <n v="33.103000000000002"/>
    <n v="31.116820000000001"/>
    <n v="59.12"/>
    <n v="70.33"/>
    <n v="173.82"/>
    <n v="5912"/>
    <n v="8082.0974500000002"/>
    <n v="13994.097450000001"/>
    <n v="12153.11599"/>
    <n v="0"/>
    <n v="1761.0804775433396"/>
    <n v="0"/>
    <n v="0"/>
    <n v="57.206036333368203"/>
    <n v="511.70226507154302"/>
    <n v="4816.1797752450702"/>
    <n v="5327.0054528282553"/>
    <n v="267.99743207358495"/>
    <n v="0"/>
    <n v="0"/>
    <n v="0"/>
    <n v="0"/>
    <n v="312.87289385716969"/>
    <m/>
    <n v="41.138113225963991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1768087583231415"/>
    <n v="159.0827010349791"/>
    <n v="206.83514752135028"/>
    <n v="0"/>
    <n v="0"/>
    <n v="0"/>
    <n v="0"/>
    <n v="0"/>
    <m/>
    <m/>
    <m/>
    <m/>
    <n v="729.18695940000021"/>
    <m/>
    <m/>
    <m/>
    <m/>
    <n v="5699.1001101429083"/>
    <m/>
    <m/>
    <m/>
    <m/>
    <m/>
    <m/>
    <m/>
    <m/>
    <m/>
    <m/>
    <m/>
    <m/>
    <n v="11424.7696"/>
    <n v="-1729.7120029999987"/>
    <m/>
    <m/>
    <m/>
    <m/>
    <n v="-2542.4340299999999"/>
    <n v="701.45256999999992"/>
    <n v="30"/>
    <n v="709.07215672122402"/>
    <n v="11.729617017467007"/>
    <n v="39.429626542059964"/>
    <n v="0"/>
    <n v="0"/>
    <n v="0"/>
    <n v="0"/>
    <n v="0"/>
    <n v="-9.8114856416560201"/>
    <n v="0"/>
    <n v="0"/>
    <n v="683.78002421350902"/>
    <n v="20.420022868174698"/>
    <n v="0.79286167054435275"/>
    <n v="0"/>
    <n v="26.549577137237435"/>
    <n v="0"/>
    <n v="-51.468467218892101"/>
    <m/>
    <n v="0"/>
    <n v="0"/>
    <n v="-2.9786930976396206"/>
    <n v="0"/>
    <n v="-8.1032998829671214"/>
    <n v="-1.2676268866090226"/>
    <n v="0"/>
    <n v="0"/>
    <m/>
    <m/>
    <n v="4816.1797752450702"/>
    <n v="0"/>
    <n v="0"/>
    <n v="0"/>
    <n v="-2542.4340300000003"/>
    <n v="701.45257000000038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3"/>
    <s v="Regular"/>
    <s v="Azul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5.28"/>
    <n v="675.27"/>
    <n v="9629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84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.071"/>
    <n v="1.071"/>
    <n v="1.071"/>
    <n v="1.071"/>
    <m/>
    <n v="516.83000000000004"/>
    <n v="173.82"/>
    <m/>
    <n v="739.68615"/>
    <n v="739.68615"/>
    <n v="558.47294999999997"/>
    <n v="0"/>
    <n v="65.491067116843382"/>
    <n v="0"/>
    <n v="0"/>
    <n v="2.9114536026016218"/>
    <n v="36.870900940132678"/>
    <n v="389.43251662353464"/>
    <n v="172.34760716488114"/>
    <n v="8.6706718349034659"/>
    <n v="0"/>
    <n v="0"/>
    <n v="0"/>
    <n v="0"/>
    <n v="10.122552920310206"/>
    <m/>
    <n v="1.6617014550640179"/>
    <n v="6.2101975474540563"/>
    <n v="20.337557277073131"/>
    <n v="0"/>
    <n v="0"/>
    <n v="0"/>
    <n v="0"/>
    <n v="0"/>
    <n v="0"/>
    <n v="0"/>
    <n v="0"/>
    <n v="0"/>
    <n v="0"/>
    <m/>
    <n v="0"/>
    <n v="0"/>
    <n v="0"/>
    <n v="0.59420431286280551"/>
    <n v="5.1468922094209768"/>
    <n v="19.897384153782046"/>
    <n v="0"/>
    <n v="4.55"/>
    <n v="21.4"/>
    <n v="315.56"/>
    <n v="7"/>
    <m/>
    <m/>
    <m/>
    <m/>
    <m/>
    <m/>
    <m/>
    <m/>
    <m/>
    <n v="197.98608784094696"/>
    <m/>
    <m/>
    <m/>
    <m/>
    <m/>
    <m/>
    <m/>
    <m/>
    <m/>
    <m/>
    <m/>
    <m/>
    <n v="557.95150000000001"/>
    <n v="-181.76464999999996"/>
    <m/>
    <m/>
    <m/>
    <m/>
    <n v="-203.90769000000003"/>
    <n v="22.694489999999998"/>
    <n v="30"/>
    <n v="24.960596424002574"/>
    <n v="0.602970947581567"/>
    <n v="1.9746483246539803"/>
    <n v="0"/>
    <n v="0"/>
    <n v="0"/>
    <n v="0"/>
    <n v="0"/>
    <n v="-0.70697032212362387"/>
    <n v="0"/>
    <n v="0"/>
    <n v="22.122720174385051"/>
    <n v="0.66066049880116928"/>
    <n v="7.6272690733095394E-2"/>
    <n v="0"/>
    <n v="2.5540491630686297"/>
    <n v="0"/>
    <n v="-1.9140095435817486"/>
    <m/>
    <n v="0"/>
    <n v="0"/>
    <n v="-9.6371335153067506E-2"/>
    <n v="0"/>
    <n v="-0.26217062425332394"/>
    <n v="-5.120355010902089E-2"/>
    <n v="0"/>
    <n v="0"/>
    <m/>
    <m/>
    <m/>
    <n v="389.43251662353464"/>
    <n v="0"/>
    <n v="0"/>
    <n v="-203.90769000000006"/>
    <n v="22.694490000000002"/>
    <n v="0"/>
    <n v="0"/>
    <n v="-206.18387160274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5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27.69"/>
    <n v="10820.37"/>
    <n v="644.11"/>
    <n v="7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86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89"/>
    <n v="9"/>
    <n v="42.81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87"/>
    <s v="Regular"/>
    <s v="Convencional"/>
    <s v="B2"/>
    <s v="Rural"/>
    <s v="Agropecuária rural"/>
    <s v="IRRIG./AQUIC."/>
    <s v="Não se aplica"/>
    <s v="Não se aplica"/>
    <s v="CATIVO"/>
    <x v="4"/>
    <n v="0"/>
    <n v="0"/>
    <n v="358.50599999999997"/>
    <n v="358.50599999999997"/>
    <n v="358.50599999999997"/>
    <n v="358.50599999999997"/>
    <m/>
    <n v="516.83000000000004"/>
    <n v="173.82"/>
    <m/>
    <n v="247602.16889999999"/>
    <n v="247602.16889999999"/>
    <n v="186942.95369999998"/>
    <n v="0"/>
    <n v="21922.446785986042"/>
    <n v="0"/>
    <n v="0"/>
    <n v="974.57851097506716"/>
    <n v="12342.146790329791"/>
    <n v="130358.44426203259"/>
    <n v="57691.551124419122"/>
    <n v="2902.4163182482744"/>
    <n v="0"/>
    <n v="0"/>
    <n v="0"/>
    <n v="0"/>
    <n v="3388.4182607364428"/>
    <m/>
    <n v="556.23710723546287"/>
    <n v="2078.7983958427299"/>
    <n v="6807.7836686968994"/>
    <n v="0"/>
    <n v="0"/>
    <n v="0"/>
    <n v="0"/>
    <n v="0"/>
    <n v="0"/>
    <n v="0"/>
    <n v="0"/>
    <n v="0"/>
    <n v="0"/>
    <m/>
    <n v="0"/>
    <n v="0"/>
    <n v="0"/>
    <n v="198.90365208888232"/>
    <n v="1722.8681031098754"/>
    <n v="6660.44033934247"/>
    <n v="0"/>
    <n v="0"/>
    <n v="0"/>
    <n v="0"/>
    <n v="0"/>
    <m/>
    <m/>
    <m/>
    <m/>
    <m/>
    <n v="22431.720419999998"/>
    <m/>
    <m/>
    <m/>
    <n v="66273.763218960346"/>
    <m/>
    <m/>
    <m/>
    <m/>
    <m/>
    <m/>
    <m/>
    <m/>
    <m/>
    <m/>
    <m/>
    <m/>
    <n v="164513.06880000001"/>
    <n v="-53376.152820000018"/>
    <m/>
    <m/>
    <m/>
    <m/>
    <n v="-68255.957340000008"/>
    <n v="7596.7421399999985"/>
    <n v="30"/>
    <n v="8355.2974617959844"/>
    <n v="201.83819097448895"/>
    <n v="660.99278457366927"/>
    <n v="0"/>
    <n v="0"/>
    <n v="0"/>
    <n v="0"/>
    <n v="0"/>
    <n v="-236.65088917203866"/>
    <n v="0"/>
    <n v="0"/>
    <n v="7405.3481968609558"/>
    <n v="221.14916226256969"/>
    <n v="25.531482039177462"/>
    <n v="0"/>
    <n v="854.94112908971329"/>
    <n v="0"/>
    <n v="-640.69458957172537"/>
    <m/>
    <n v="0"/>
    <n v="0"/>
    <n v="-32.259292138548972"/>
    <n v="0"/>
    <n v="-87.758862575687999"/>
    <n v="-17.139850546577577"/>
    <n v="0"/>
    <n v="0"/>
    <m/>
    <m/>
    <m/>
    <n v="130358.44426203259"/>
    <n v="0"/>
    <n v="0"/>
    <n v="-68255.957340000023"/>
    <n v="7596.7421400000021"/>
    <n v="0"/>
    <n v="0"/>
    <n v="-69017.885222049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8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.45"/>
    <n v="0.45"/>
    <n v="0.45"/>
    <n v="0.45"/>
    <m/>
    <n v="516.83000000000004"/>
    <n v="173.82"/>
    <m/>
    <n v="310.79250000000002"/>
    <n v="310.79250000000002"/>
    <n v="234.65249999999997"/>
    <n v="0"/>
    <n v="27.517255091110666"/>
    <n v="0"/>
    <n v="0"/>
    <n v="1.2232998330258915"/>
    <n v="15.491975184929698"/>
    <n v="163.62710782501455"/>
    <n v="72.414960993647554"/>
    <n v="3.6431394264300283"/>
    <n v="0"/>
    <n v="0"/>
    <n v="0"/>
    <n v="0"/>
    <n v="4.2531734959286576"/>
    <m/>
    <n v="0.69819388868236043"/>
    <n v="2.6093267006109482"/>
    <n v="8.5451921332240062"/>
    <n v="0"/>
    <n v="0"/>
    <n v="0"/>
    <n v="0"/>
    <n v="0"/>
    <n v="0"/>
    <n v="0"/>
    <n v="0"/>
    <n v="0"/>
    <n v="0"/>
    <m/>
    <n v="0"/>
    <n v="0"/>
    <n v="0"/>
    <n v="0.24966567767344772"/>
    <n v="2.1625597518575534"/>
    <n v="8.3602454427655655"/>
    <n v="0"/>
    <n v="0"/>
    <n v="0"/>
    <n v="0"/>
    <n v="0"/>
    <m/>
    <m/>
    <m/>
    <m/>
    <m/>
    <n v="28.156499999999998"/>
    <m/>
    <m/>
    <m/>
    <n v="83.18743186594412"/>
    <m/>
    <m/>
    <m/>
    <m/>
    <m/>
    <m/>
    <m/>
    <m/>
    <m/>
    <m/>
    <m/>
    <m/>
    <n v="206.49600000000001"/>
    <n v="-67.030499999999989"/>
    <m/>
    <m/>
    <m/>
    <m/>
    <n v="-85.675500000000028"/>
    <n v="9.535499999999999"/>
    <n v="30"/>
    <n v="10.487645556303619"/>
    <n v="0.25334913763931421"/>
    <n v="0.82968417002267891"/>
    <n v="0"/>
    <n v="0"/>
    <n v="0"/>
    <n v="0"/>
    <n v="0"/>
    <n v="-0.29704635383345668"/>
    <n v="0"/>
    <n v="0"/>
    <n v="9.2952605774727033"/>
    <n v="0.27758844487444101"/>
    <n v="3.2047349047519047E-2"/>
    <n v="0"/>
    <n v="1.0731299004490058"/>
    <n v="0"/>
    <n v="-0.80420569058056657"/>
    <m/>
    <n v="0"/>
    <n v="0"/>
    <n v="-4.0492157627340042E-2"/>
    <n v="0"/>
    <n v="-0.11015572447618638"/>
    <n v="-2.1514096684462469E-2"/>
    <n v="0"/>
    <n v="0"/>
    <m/>
    <m/>
    <m/>
    <n v="163.62710782501455"/>
    <n v="0"/>
    <n v="0"/>
    <n v="-85.675500000000028"/>
    <n v="9.535499999999999"/>
    <n v="0"/>
    <n v="0"/>
    <n v="-86.631878824684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89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82.75700000000001"/>
    <n v="73.102800000000002"/>
    <n v="182.75700000000001"/>
    <n v="73.102800000000002"/>
    <m/>
    <n v="516.83000000000004"/>
    <n v="173.82"/>
    <m/>
    <n v="126221.12205000001"/>
    <n v="126221.12205000001"/>
    <n v="95298.63764999999"/>
    <n v="0"/>
    <n v="11175.491085969137"/>
    <n v="0"/>
    <n v="0"/>
    <n v="496.81468352069527"/>
    <n v="6291.704241938216"/>
    <n v="66453.331877280405"/>
    <n v="29409.646725146766"/>
    <n v="1479.5760714579392"/>
    <n v="0"/>
    <n v="0"/>
    <n v="0"/>
    <n v="0"/>
    <n v="1727.3271746565194"/>
    <m/>
    <n v="283.55515669760479"/>
    <n v="1059.7171551634556"/>
    <n v="3470.430397092488"/>
    <n v="0"/>
    <n v="0"/>
    <n v="0"/>
    <n v="0"/>
    <n v="0"/>
    <n v="0"/>
    <n v="0"/>
    <n v="0"/>
    <n v="0"/>
    <n v="0"/>
    <m/>
    <n v="0"/>
    <n v="0"/>
    <n v="0"/>
    <n v="101.39588945459175"/>
    <n v="878.27318348940196"/>
    <n v="3395.3186141855699"/>
    <n v="0"/>
    <n v="0"/>
    <n v="0"/>
    <n v="0"/>
    <n v="0"/>
    <m/>
    <m/>
    <m/>
    <m/>
    <m/>
    <m/>
    <n v="61753.224785999999"/>
    <m/>
    <m/>
    <n v="33784.634412276326"/>
    <m/>
    <m/>
    <m/>
    <m/>
    <m/>
    <m/>
    <m/>
    <m/>
    <m/>
    <m/>
    <m/>
    <m/>
    <n v="33544.127999999997"/>
    <n v="-10885.590756000012"/>
    <m/>
    <m/>
    <m/>
    <m/>
    <n v="-34795.105230000008"/>
    <n v="3872.6208299999998"/>
    <n v="30"/>
    <n v="4259.3125309630923"/>
    <n v="102.89184077232926"/>
    <n v="336.95686635741095"/>
    <n v="0"/>
    <n v="0"/>
    <n v="0"/>
    <n v="0"/>
    <n v="0"/>
    <n v="-120.63844552787032"/>
    <n v="0"/>
    <n v="0"/>
    <n v="3775.0531941270638"/>
    <n v="112.73606982204046"/>
    <n v="13.015283044172079"/>
    <n v="0"/>
    <n v="435.82666936968644"/>
    <n v="0"/>
    <n v="-326.60937642984936"/>
    <m/>
    <n v="0"/>
    <n v="0"/>
    <n v="-16.444945003332805"/>
    <n v="0"/>
    <n v="-44.737177195765298"/>
    <n v="-8.7374483728051473"/>
    <n v="0"/>
    <n v="0"/>
    <m/>
    <m/>
    <m/>
    <n v="66453.331877280405"/>
    <n v="0"/>
    <n v="0"/>
    <n v="-34795.105230000008"/>
    <n v="3872.6208299999998"/>
    <n v="0"/>
    <n v="0"/>
    <n v="-35183.516174139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0"/>
    <s v="Regular"/>
    <s v="Verde"/>
    <s v="A4"/>
    <s v="Rural"/>
    <s v="Agropecuária rural"/>
    <s v="Não se aplica"/>
    <s v="Não se aplica"/>
    <s v="Ponta"/>
    <s v="CATIVO"/>
    <x v="4"/>
    <n v="0"/>
    <n v="0"/>
    <n v="0.58899999999999997"/>
    <n v="0.56544000000000005"/>
    <n v="0.58899999999999997"/>
    <n v="0.56544000000000005"/>
    <m/>
    <n v="1684.16"/>
    <n v="173.82"/>
    <m/>
    <n v="1094.35022"/>
    <n v="1094.35022"/>
    <n v="751.24594000000002"/>
    <n v="0"/>
    <n v="31.334815614084132"/>
    <n v="0"/>
    <n v="0"/>
    <n v="10.60164651738415"/>
    <n v="161.73111228703823"/>
    <n v="682.23425628693781"/>
    <n v="94.78313783390756"/>
    <n v="4.768464715927303"/>
    <n v="0"/>
    <n v="0"/>
    <n v="0"/>
    <n v="0"/>
    <n v="5.5669315313377314"/>
    <m/>
    <n v="0.73196836208478955"/>
    <n v="22.768468597524819"/>
    <n v="73.211917224166712"/>
    <n v="0"/>
    <n v="0"/>
    <n v="0"/>
    <n v="0"/>
    <n v="0"/>
    <n v="0"/>
    <n v="0"/>
    <n v="0"/>
    <n v="0"/>
    <n v="0"/>
    <m/>
    <n v="0"/>
    <n v="0"/>
    <n v="0"/>
    <n v="0.10990364494614778"/>
    <n v="2.8305504307646641"/>
    <n v="3.680207289069731"/>
    <n v="0"/>
    <n v="0"/>
    <n v="0"/>
    <n v="0"/>
    <n v="0"/>
    <m/>
    <m/>
    <m/>
    <m/>
    <m/>
    <n v="30.04983759999989"/>
    <m/>
    <m/>
    <m/>
    <n v="101.40379919868809"/>
    <m/>
    <m/>
    <m/>
    <m/>
    <m/>
    <m/>
    <m/>
    <m/>
    <m/>
    <m/>
    <m/>
    <m/>
    <n v="727.01220000000001"/>
    <n v="-323.59401119999995"/>
    <m/>
    <m/>
    <m/>
    <m/>
    <n v="-355.58519000000001"/>
    <n v="12.480909999999998"/>
    <n v="30"/>
    <n v="18.098809467064655"/>
    <n v="2.2106744560579443"/>
    <n v="7.1084146302260649"/>
    <n v="0"/>
    <n v="0"/>
    <n v="0"/>
    <n v="0"/>
    <n v="0"/>
    <n v="-3.1010659798264157"/>
    <n v="0"/>
    <n v="0"/>
    <n v="12.166463289180939"/>
    <n v="0.36333243118010161"/>
    <n v="1.4107347489672351E-2"/>
    <n v="0"/>
    <n v="0.47239527939560855"/>
    <n v="0"/>
    <n v="-0.91577582672046631"/>
    <m/>
    <n v="0"/>
    <n v="0"/>
    <n v="-5.2999735205562004E-2"/>
    <n v="0"/>
    <n v="-0.14418160381438572"/>
    <n v="-2.2554820898792016E-2"/>
    <n v="0"/>
    <n v="0"/>
    <m/>
    <m/>
    <m/>
    <n v="682.23425628693781"/>
    <n v="0"/>
    <n v="0"/>
    <n v="-355.58519000000001"/>
    <n v="12.480909999999994"/>
    <n v="0"/>
    <n v="0"/>
    <n v="-361.2068697315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1"/>
    <s v="Regular"/>
    <s v="Verde"/>
    <s v="A4"/>
    <s v="Rural"/>
    <s v="Agropecuária rural"/>
    <s v="Não se aplica"/>
    <s v="Não se aplica"/>
    <s v="Fora ponta"/>
    <s v="CATIVO"/>
    <x v="4"/>
    <n v="0"/>
    <n v="0"/>
    <n v="302.03800000000001"/>
    <n v="289.95648"/>
    <n v="302.03800000000001"/>
    <n v="289.95648"/>
    <m/>
    <n v="70.33"/>
    <n v="173.82"/>
    <m/>
    <n v="73742.577699999994"/>
    <n v="73742.577699999994"/>
    <n v="79837.704539999992"/>
    <n v="0"/>
    <n v="16068.429606870532"/>
    <n v="0"/>
    <n v="0"/>
    <n v="0"/>
    <n v="0"/>
    <n v="0"/>
    <n v="48604.599974665151"/>
    <n v="2445.2589912890508"/>
    <n v="0"/>
    <n v="0"/>
    <n v="0"/>
    <n v="0"/>
    <n v="2854.711147474"/>
    <m/>
    <n v="375.35188480028131"/>
    <n v="0"/>
    <n v="0"/>
    <n v="0"/>
    <n v="0"/>
    <n v="0"/>
    <n v="0"/>
    <n v="0"/>
    <n v="0"/>
    <n v="0"/>
    <n v="0"/>
    <n v="0"/>
    <n v="0"/>
    <m/>
    <n v="0"/>
    <n v="0"/>
    <n v="0"/>
    <n v="56.358365216034954"/>
    <n v="1451.5004940701149"/>
    <n v="1887.2027999593267"/>
    <n v="0"/>
    <n v="0"/>
    <n v="0"/>
    <n v="0"/>
    <n v="0"/>
    <m/>
    <m/>
    <m/>
    <m/>
    <m/>
    <n v="3193.5081816000029"/>
    <m/>
    <m/>
    <m/>
    <n v="51999.661633910633"/>
    <m/>
    <m/>
    <m/>
    <m/>
    <m/>
    <m/>
    <m/>
    <m/>
    <m/>
    <m/>
    <m/>
    <m/>
    <n v="76645.126799999998"/>
    <n v="5852.2222080000065"/>
    <m/>
    <m/>
    <m/>
    <m/>
    <n v="-305.05838000000153"/>
    <n v="6400.1852199999994"/>
    <n v="30"/>
    <n v="6092.4430403820879"/>
    <n v="0"/>
    <n v="0"/>
    <n v="0"/>
    <n v="0"/>
    <n v="0"/>
    <n v="0"/>
    <n v="0"/>
    <n v="0"/>
    <n v="0"/>
    <n v="0"/>
    <n v="6238.9375873304452"/>
    <n v="186.31613047330302"/>
    <n v="7.2342190510792079"/>
    <n v="0"/>
    <n v="242.24333683886402"/>
    <n v="0"/>
    <n v="-469.60797818505125"/>
    <m/>
    <n v="0"/>
    <n v="0"/>
    <n v="-27.178156234325343"/>
    <n v="0"/>
    <n v="-73.936032687418447"/>
    <n v="-11.56606620480369"/>
    <n v="0"/>
    <n v="0"/>
    <m/>
    <m/>
    <m/>
    <n v="0"/>
    <n v="0"/>
    <n v="0"/>
    <n v="-305.05838000000222"/>
    <n v="6400.1852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2"/>
    <s v="Regular"/>
    <s v="Verde"/>
    <s v="A4"/>
    <s v="Rural"/>
    <s v="Agropecuária rural"/>
    <s v="Não se aplica"/>
    <s v="Não se aplica"/>
    <s v="Não se aplica"/>
    <s v="CATIVO"/>
    <x v="4"/>
    <n v="1542"/>
    <n v="1480.32"/>
    <n v="0"/>
    <n v="0"/>
    <n v="0"/>
    <n v="0"/>
    <n v="59.12"/>
    <m/>
    <m/>
    <n v="91163.04"/>
    <m/>
    <n v="91163.04"/>
    <n v="52474.26"/>
    <n v="0"/>
    <n v="0"/>
    <n v="0"/>
    <n v="0"/>
    <n v="882.1170802605377"/>
    <n v="7890.4489274031939"/>
    <n v="74265.492134278989"/>
    <m/>
    <m/>
    <m/>
    <n v="0"/>
    <n v="0"/>
    <n v="0"/>
    <n v="0"/>
    <m/>
    <n v="0"/>
    <n v="1862.8472023940726"/>
    <n v="6262.0432863187471"/>
    <n v="0"/>
    <n v="0"/>
    <m/>
    <m/>
    <n v="0"/>
    <n v="0"/>
    <n v="0"/>
    <m/>
    <m/>
    <n v="0"/>
    <m/>
    <n v="0"/>
    <n v="0"/>
    <n v="0"/>
    <n v="0"/>
    <m/>
    <n v="0"/>
    <n v="0"/>
    <n v="1836.4"/>
    <n v="8535.36"/>
    <n v="45.7"/>
    <n v="9"/>
    <m/>
    <m/>
    <m/>
    <m/>
    <m/>
    <n v="2098.9704000000024"/>
    <m/>
    <m/>
    <m/>
    <n v="0"/>
    <m/>
    <m/>
    <m/>
    <m/>
    <m/>
    <m/>
    <m/>
    <m/>
    <m/>
    <m/>
    <m/>
    <m/>
    <n v="50375.289599999996"/>
    <n v="-37141.258799999974"/>
    <m/>
    <m/>
    <m/>
    <m/>
    <n v="-38688.779999999992"/>
    <n v="0"/>
    <n v="30"/>
    <n v="637.58242709357"/>
    <n v="180.87069440934101"/>
    <n v="608.00484127856544"/>
    <n v="0"/>
    <n v="0"/>
    <m/>
    <m/>
    <m/>
    <n v="-151.293108594336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4265.492134278989"/>
    <m/>
    <n v="0"/>
    <n v="0"/>
    <n v="-38688.779999999992"/>
    <m/>
    <n v="0"/>
    <m/>
    <n v="-39319.64086484231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293"/>
    <s v="Regular"/>
    <s v="Verde"/>
    <s v="A4"/>
    <s v="Rural"/>
    <s v="Agropecuária rural"/>
    <s v="IRRIG./AQUIC. PR"/>
    <s v="Não se aplica"/>
    <s v="Fora ponta"/>
    <s v="CATIVO"/>
    <x v="4"/>
    <n v="0"/>
    <n v="0"/>
    <n v="236.74199999999999"/>
    <n v="71.022599999999997"/>
    <n v="236.74199999999999"/>
    <n v="71.022599999999997"/>
    <m/>
    <n v="70.33"/>
    <n v="173.82"/>
    <m/>
    <n v="57800.559299999994"/>
    <n v="57800.559299999994"/>
    <n v="62578.012859999995"/>
    <n v="0"/>
    <n v="12594.680675907479"/>
    <n v="0"/>
    <n v="0"/>
    <n v="0"/>
    <n v="0"/>
    <n v="0"/>
    <n v="38097.028212351346"/>
    <n v="1916.6313646486615"/>
    <n v="0"/>
    <n v="0"/>
    <n v="0"/>
    <n v="0"/>
    <n v="2237.5662217180939"/>
    <m/>
    <n v="294.20654325412102"/>
    <n v="0"/>
    <n v="0"/>
    <n v="0"/>
    <n v="0"/>
    <n v="0"/>
    <n v="0"/>
    <n v="0"/>
    <n v="0"/>
    <n v="0"/>
    <n v="0"/>
    <n v="0"/>
    <n v="0"/>
    <m/>
    <n v="0"/>
    <n v="0"/>
    <n v="0"/>
    <n v="44.17454789786234"/>
    <n v="1137.7082683872463"/>
    <n v="1479.2183939370905"/>
    <n v="0"/>
    <n v="0"/>
    <n v="0"/>
    <n v="0"/>
    <n v="0"/>
    <m/>
    <m/>
    <m/>
    <m/>
    <m/>
    <m/>
    <n v="43804.609001999997"/>
    <m/>
    <m/>
    <n v="40758.12942257354"/>
    <m/>
    <m/>
    <m/>
    <m/>
    <m/>
    <m/>
    <m/>
    <m/>
    <m/>
    <m/>
    <m/>
    <m/>
    <n v="18772.7166"/>
    <n v="1432.5188100000014"/>
    <m/>
    <m/>
    <m/>
    <m/>
    <n v="-239.10942000000119"/>
    <n v="5016.5629799999997"/>
    <n v="30"/>
    <n v="4775.349956846956"/>
    <n v="0"/>
    <n v="0"/>
    <n v="0"/>
    <n v="0"/>
    <n v="0"/>
    <n v="0"/>
    <n v="0"/>
    <n v="0"/>
    <n v="0"/>
    <n v="0"/>
    <n v="4890.1746214045415"/>
    <n v="146.0374302588109"/>
    <n v="5.670291442105281"/>
    <n v="0"/>
    <n v="189.87402926090863"/>
    <n v="0"/>
    <n v="-368.08590962556264"/>
    <m/>
    <n v="0"/>
    <n v="0"/>
    <n v="-21.302654180025911"/>
    <n v="0"/>
    <n v="-57.952192275425205"/>
    <n v="-9.0656594384072378"/>
    <n v="0"/>
    <n v="0"/>
    <m/>
    <m/>
    <m/>
    <n v="0"/>
    <n v="0"/>
    <n v="0"/>
    <n v="-239.10942000000068"/>
    <n v="5016.562980000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4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1"/>
    <n v="1"/>
    <n v="4.6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295"/>
    <s v="Regular"/>
    <s v="Convencional"/>
    <s v="B2"/>
    <s v="Rural"/>
    <s v="Aquicultura"/>
    <s v="IRRIG./AQUIC."/>
    <s v="Não se aplica"/>
    <s v="Não se aplica"/>
    <s v="CATIVO"/>
    <x v="4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0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7"/>
    <s v="Regular"/>
    <s v="Convencional"/>
    <s v="B1"/>
    <s v="Residencial"/>
    <s v="Residencial"/>
    <s v="Não se aplica"/>
    <s v="Não se aplica"/>
    <s v="Não se aplica"/>
    <s v="CATIVO"/>
    <x v="5"/>
    <n v="0"/>
    <n v="0"/>
    <n v="2076.6010000000001"/>
    <n v="2076.6010000000001"/>
    <n v="2076.6010000000001"/>
    <n v="2076.6010000000001"/>
    <m/>
    <n v="516.83000000000004"/>
    <n v="173.82"/>
    <m/>
    <n v="1434204.4806500003"/>
    <n v="1434204.4806500003"/>
    <n v="1082843.5914499999"/>
    <n v="0"/>
    <n v="126983.02097656777"/>
    <n v="0"/>
    <n v="0"/>
    <n v="5645.1236812475545"/>
    <n v="71490.33591333378"/>
    <n v="755084.92385896237"/>
    <n v="334171.06758748775"/>
    <n v="16811.882169031163"/>
    <n v="0"/>
    <n v="0"/>
    <n v="0"/>
    <n v="0"/>
    <n v="19626.987410708771"/>
    <m/>
    <n v="3221.9336165148411"/>
    <n v="12041.178746256433"/>
    <n v="39433.232286766899"/>
    <n v="0"/>
    <n v="0"/>
    <n v="0"/>
    <n v="0"/>
    <n v="0"/>
    <n v="0"/>
    <n v="0"/>
    <n v="0"/>
    <n v="0"/>
    <n v="0"/>
    <m/>
    <n v="0"/>
    <n v="0"/>
    <n v="0"/>
    <n v="1152.1244353830205"/>
    <n v="9979.4972072603268"/>
    <n v="38579.76454820537"/>
    <n v="0"/>
    <n v="1845.42"/>
    <n v="7920.48"/>
    <n v="574921.05000000005"/>
    <n v="12985"/>
    <m/>
    <m/>
    <m/>
    <m/>
    <m/>
    <m/>
    <m/>
    <m/>
    <m/>
    <n v="383882.45377833646"/>
    <m/>
    <m/>
    <m/>
    <m/>
    <m/>
    <m/>
    <m/>
    <m/>
    <m/>
    <m/>
    <m/>
    <m/>
    <n v="1082843.0699999998"/>
    <n v="-351361.44065000047"/>
    <m/>
    <m/>
    <m/>
    <m/>
    <n v="-395364.06439000013"/>
    <n v="44003.175189999994"/>
    <m/>
    <n v="48397.011666368344"/>
    <n v="1169.1223834909724"/>
    <n v="3828.7177270072571"/>
    <n v="0"/>
    <n v="0"/>
    <n v="0"/>
    <n v="0"/>
    <n v="0"/>
    <n v="-1370.7705675931502"/>
    <n v="0"/>
    <n v="0"/>
    <n v="42894.549800978682"/>
    <n v="1280.9787604771318"/>
    <n v="147.88790462094926"/>
    <n v="0"/>
    <n v="4952.1391653384562"/>
    <n v="0"/>
    <n v="-3711.1429805895314"/>
    <m/>
    <n v="0"/>
    <n v="0"/>
    <n v="-186.85790004687078"/>
    <n v="0"/>
    <n v="-508.33219467327217"/>
    <n v="-99.280432642336564"/>
    <n v="0"/>
    <n v="0"/>
    <m/>
    <m/>
    <m/>
    <n v="755084.92385896237"/>
    <n v="0"/>
    <n v="0"/>
    <n v="-395364.06439000019"/>
    <n v="44003.175190000038"/>
    <n v="0"/>
    <n v="0"/>
    <n v="-399777.4359982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8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2.1230000000000002"/>
    <n v="-2.1230000000000002"/>
    <n v="-2.1230000000000002"/>
    <n v="-2.1230000000000002"/>
    <m/>
    <n v="516.83000000000004"/>
    <n v="173.82"/>
    <m/>
    <n v="-1466.2499500000004"/>
    <n v="-1466.2499500000004"/>
    <n v="-1107.03835"/>
    <n v="0"/>
    <n v="-129.82029457428433"/>
    <n v="0"/>
    <n v="0"/>
    <n v="-5.7712567678088176"/>
    <n v="-73.087696261346125"/>
    <n v="-771.9563331389021"/>
    <n v="-341.63769375447504"/>
    <n v="-17.187522227357668"/>
    <n v="0"/>
    <n v="0"/>
    <n v="0"/>
    <n v="0"/>
    <n v="-20.065527404125646"/>
    <m/>
    <n v="-3.2939236126058922"/>
    <n v="-12.31022352310454"/>
    <n v="-40.314317552965697"/>
    <n v="0"/>
    <n v="0"/>
    <n v="0"/>
    <n v="0"/>
    <n v="0"/>
    <n v="0"/>
    <n v="0"/>
    <n v="0"/>
    <n v="0"/>
    <n v="0"/>
    <m/>
    <n v="0"/>
    <n v="0"/>
    <n v="0"/>
    <n v="-1.1778671860016212"/>
    <n v="-10.202476340430191"/>
    <n v="-39.441780166647327"/>
    <n v="0"/>
    <n v="-8.6199999999999992"/>
    <n v="-39.96"/>
    <n v="-803.35"/>
    <n v="0"/>
    <m/>
    <m/>
    <m/>
    <m/>
    <m/>
    <m/>
    <m/>
    <m/>
    <m/>
    <n v="-392.45981744755414"/>
    <m/>
    <m/>
    <m/>
    <m/>
    <m/>
    <m/>
    <m/>
    <m/>
    <m/>
    <m/>
    <m/>
    <m/>
    <n v="-1105.4740000000002"/>
    <n v="360.74595000000022"/>
    <m/>
    <m/>
    <m/>
    <m/>
    <n v="404.19797000000011"/>
    <n v="-44.986370000000001"/>
    <m/>
    <n v="-49.478381146739025"/>
    <n v="-1.1952449315739209"/>
    <n v="-3.9142655399070065"/>
    <n v="0"/>
    <n v="0"/>
    <n v="0"/>
    <n v="0"/>
    <n v="0"/>
    <n v="1.401398687085404"/>
    <n v="0"/>
    <n v="0"/>
    <n v="-43.852973791054524"/>
    <n v="-1.3096005965965283"/>
    <n v="-0.15119227117307332"/>
    <n v="0"/>
    <n v="-5.0627883970071963"/>
    <n v="0"/>
    <n v="3.794063735783439"/>
    <m/>
    <n v="0"/>
    <n v="0"/>
    <n v="0.19103300142853996"/>
    <n v="0"/>
    <n v="0.51969022902876105"/>
    <n v="0.10149872724691988"/>
    <n v="0"/>
    <n v="0"/>
    <m/>
    <m/>
    <m/>
    <n v="-771.9563331389021"/>
    <n v="0"/>
    <n v="0"/>
    <n v="404.19797000000017"/>
    <n v="-44.986369999999965"/>
    <n v="0"/>
    <n v="0"/>
    <n v="408.70995276623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299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8.451000000000001"/>
    <n v="18.451000000000001"/>
    <n v="18.451000000000001"/>
    <n v="18.451000000000001"/>
    <m/>
    <n v="516.83000000000004"/>
    <n v="173.82"/>
    <m/>
    <n v="12743.183150000001"/>
    <n v="12743.183150000001"/>
    <n v="9621.2739499999989"/>
    <n v="0"/>
    <n v="1128.2686081912952"/>
    <n v="0"/>
    <n v="0"/>
    <n v="50.158011598134948"/>
    <n v="635.20540919363975"/>
    <n v="6709.0750366207631"/>
    <n v="2969.1743228750911"/>
    <n v="149.37681234902323"/>
    <n v="0"/>
    <n v="0"/>
    <n v="0"/>
    <n v="0"/>
    <n v="174.38956482973259"/>
    <m/>
    <n v="28.62750097795163"/>
    <n v="106.98819322882801"/>
    <n v="350.37186677803584"/>
    <n v="0"/>
    <n v="0"/>
    <n v="0"/>
    <n v="0"/>
    <n v="0"/>
    <n v="0"/>
    <n v="0"/>
    <n v="0"/>
    <n v="0"/>
    <n v="0"/>
    <m/>
    <n v="0"/>
    <n v="0"/>
    <n v="0"/>
    <n v="10.23684759722841"/>
    <n v="88.669755514497155"/>
    <n v="342.78864147659431"/>
    <n v="0"/>
    <n v="15.14"/>
    <n v="70.56"/>
    <n v="17183.47"/>
    <n v="292"/>
    <m/>
    <m/>
    <m/>
    <m/>
    <m/>
    <m/>
    <m/>
    <m/>
    <m/>
    <n v="3410.8695674634109"/>
    <m/>
    <m/>
    <m/>
    <m/>
    <m/>
    <m/>
    <m/>
    <m/>
    <m/>
    <m/>
    <m/>
    <m/>
    <n v="9620.7524999999987"/>
    <n v="-3122.4606500000027"/>
    <m/>
    <m/>
    <m/>
    <m/>
    <n v="-3512.8858900000009"/>
    <n v="390.97668999999996"/>
    <m/>
    <n v="430.01677368746368"/>
    <n v="10.387877641295518"/>
    <n v="34.01889471352996"/>
    <n v="0"/>
    <n v="0"/>
    <n v="0"/>
    <n v="0"/>
    <n v="0"/>
    <n v="-12.179560610180374"/>
    <n v="0"/>
    <n v="0"/>
    <n v="381.12633981099725"/>
    <n v="11.381743103062902"/>
    <n v="1.3140125272794965"/>
    <n v="0"/>
    <n v="44.000710651521331"/>
    <n v="0"/>
    <n v="-32.974220437560007"/>
    <m/>
    <n v="0"/>
    <n v="0"/>
    <n v="-1.6602684452934398"/>
    <n v="0"/>
    <n v="-4.5166294940224816"/>
    <n v="-0.88212577316670604"/>
    <n v="0"/>
    <n v="0"/>
    <m/>
    <m/>
    <m/>
    <n v="6709.0750366207631"/>
    <n v="0"/>
    <n v="0"/>
    <n v="-3512.8858900000014"/>
    <n v="390.97668999999996"/>
    <n v="0"/>
    <n v="0"/>
    <n v="-3552.0995470983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0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5.483000000000001"/>
    <n v="25.483000000000001"/>
    <n v="25.483000000000001"/>
    <n v="25.483000000000001"/>
    <m/>
    <n v="446.23"/>
    <n v="173.82"/>
    <m/>
    <n v="15800.73415"/>
    <n v="15800.73415"/>
    <n v="11540.741040000001"/>
    <n v="0"/>
    <n v="0"/>
    <n v="0"/>
    <n v="0"/>
    <n v="69.274110322219542"/>
    <n v="877.29334141680783"/>
    <n v="9266.0213082329901"/>
    <n v="4100.7787800024898"/>
    <n v="206.30693778603646"/>
    <n v="0"/>
    <n v="0"/>
    <n v="0"/>
    <n v="0"/>
    <n v="0"/>
    <m/>
    <n v="39.537944145094649"/>
    <n v="147.76327180370842"/>
    <n v="483.90473584654961"/>
    <n v="0"/>
    <n v="0"/>
    <n v="0"/>
    <n v="0"/>
    <n v="0"/>
    <n v="0"/>
    <n v="0"/>
    <n v="0"/>
    <n v="0"/>
    <n v="0"/>
    <m/>
    <n v="0"/>
    <n v="0"/>
    <n v="0"/>
    <n v="14.138289920338819"/>
    <n v="122.46335590352452"/>
    <n v="473.43141026221087"/>
    <n v="0"/>
    <n v="16.98"/>
    <n v="76.45"/>
    <n v="1674.65"/>
    <n v="43"/>
    <m/>
    <m/>
    <m/>
    <m/>
    <m/>
    <m/>
    <m/>
    <n v="7501.4307100000005"/>
    <m/>
    <n v="4710.8118360885646"/>
    <m/>
    <m/>
    <m/>
    <m/>
    <m/>
    <m/>
    <m/>
    <m/>
    <m/>
    <m/>
    <m/>
    <m/>
    <n v="4038.8348000000005"/>
    <n v="-1491.5158600000004"/>
    <m/>
    <m/>
    <m/>
    <m/>
    <n v="-4799.9778800000004"/>
    <n v="539.98476999999991"/>
    <m/>
    <n v="645.68298589150345"/>
    <n v="14.346880165472527"/>
    <n v="46.984092677084334"/>
    <n v="0"/>
    <n v="0"/>
    <n v="0"/>
    <n v="0"/>
    <n v="0"/>
    <n v="-16.821404966084515"/>
    <n v="0"/>
    <n v="0"/>
    <n v="526.38027843497093"/>
    <n v="15.71952520163417"/>
    <n v="1.8148057683953951"/>
    <n v="0"/>
    <n v="60.77015389587109"/>
    <n v="0"/>
    <n v="0"/>
    <m/>
    <n v="0"/>
    <n v="0"/>
    <n v="-2.2930258951500093"/>
    <n v="0"/>
    <n v="0"/>
    <n v="-1.2183193906892384"/>
    <n v="0"/>
    <n v="0"/>
    <m/>
    <m/>
    <m/>
    <n v="9266.0213082329901"/>
    <n v="0"/>
    <n v="0"/>
    <n v="-4799.9778799999995"/>
    <n v="539.98477000000003"/>
    <n v="0"/>
    <n v="0"/>
    <n v="-4905.8670401987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1"/>
    <s v="Refaturamento - 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3"/>
    <n v="-1.4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02"/>
    <s v="Sistema de Compensação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03"/>
    <n v="-8.9999999999999993E-3"/>
    <n v="0.03"/>
    <n v="-8.9999999999999993E-3"/>
    <m/>
    <n v="446.23"/>
    <n v="173.82"/>
    <m/>
    <n v="18.601500000000001"/>
    <n v="18.601500000000001"/>
    <n v="13.586399999999999"/>
    <n v="0"/>
    <n v="0"/>
    <n v="0"/>
    <n v="0"/>
    <n v="8.1553322201726106E-2"/>
    <n v="1.0327983456619798"/>
    <n v="10.90847385500097"/>
    <n v="4.8276640662431696"/>
    <n v="0.24287596176200188"/>
    <n v="0"/>
    <n v="0"/>
    <n v="0"/>
    <n v="0"/>
    <n v="0"/>
    <m/>
    <n v="4.6546259245490697E-2"/>
    <n v="0.17395511337406319"/>
    <n v="0.56967947554826703"/>
    <n v="0"/>
    <n v="0"/>
    <n v="0"/>
    <n v="0"/>
    <n v="0"/>
    <n v="0"/>
    <n v="0"/>
    <n v="0"/>
    <n v="0"/>
    <n v="0"/>
    <m/>
    <n v="0"/>
    <n v="0"/>
    <n v="0"/>
    <n v="1.6644378511563182E-2"/>
    <n v="0.14417065012383687"/>
    <n v="0.55734969618437102"/>
    <n v="0"/>
    <n v="0.02"/>
    <n v="0.09"/>
    <n v="3.23"/>
    <n v="0"/>
    <m/>
    <m/>
    <m/>
    <m/>
    <m/>
    <m/>
    <m/>
    <n v="15.01299"/>
    <m/>
    <n v="5.5458287910629398"/>
    <m/>
    <m/>
    <m/>
    <m/>
    <m/>
    <m/>
    <m/>
    <m/>
    <m/>
    <m/>
    <m/>
    <m/>
    <n v="-1.5851000000000002"/>
    <n v="0.33807999999999949"/>
    <m/>
    <m/>
    <m/>
    <m/>
    <n v="-5.6508000000000003"/>
    <n v="0.63569999999999993"/>
    <m/>
    <n v="0.7601337980906937"/>
    <n v="1.6889942509287603E-2"/>
    <n v="5.531227800151195E-2"/>
    <n v="0"/>
    <n v="0"/>
    <n v="0"/>
    <n v="0"/>
    <n v="0"/>
    <n v="-1.9803090255563705E-2"/>
    <n v="0"/>
    <n v="0"/>
    <n v="0.6196840384981801"/>
    <n v="1.8505896324962745E-2"/>
    <n v="2.1364899365012673E-3"/>
    <n v="0"/>
    <n v="7.1541993363266942E-2"/>
    <n v="0"/>
    <n v="0"/>
    <m/>
    <n v="0"/>
    <n v="0"/>
    <n v="-2.6994771751560065E-3"/>
    <n v="0"/>
    <n v="0"/>
    <n v="-1.4342731122974975E-3"/>
    <n v="0"/>
    <n v="0"/>
    <m/>
    <m/>
    <m/>
    <n v="10.90847385500097"/>
    <n v="0"/>
    <n v="0"/>
    <n v="-5.6508000000000012"/>
    <n v="0.63569999999999993"/>
    <n v="0"/>
    <n v="0"/>
    <n v="-5.775458588312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3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53.27"/>
    <n v="53.27"/>
    <n v="53.27"/>
    <n v="53.27"/>
    <m/>
    <n v="446.23"/>
    <n v="173.82"/>
    <m/>
    <n v="33030.063500000004"/>
    <n v="33030.063500000004"/>
    <n v="24124.917600000001"/>
    <n v="0"/>
    <n v="0"/>
    <n v="0"/>
    <n v="0"/>
    <n v="144.81151578953165"/>
    <n v="1833.9055957804558"/>
    <n v="19369.813408530055"/>
    <n v="8572.322160292455"/>
    <n v="431.26674943539467"/>
    <n v="0"/>
    <n v="0"/>
    <n v="0"/>
    <n v="0"/>
    <n v="0"/>
    <m/>
    <n v="82.650641000242985"/>
    <n v="308.88629631454489"/>
    <n v="1011.5608554152062"/>
    <n v="0"/>
    <n v="0"/>
    <n v="0"/>
    <n v="0"/>
    <n v="0"/>
    <n v="0"/>
    <n v="0"/>
    <n v="0"/>
    <n v="0"/>
    <n v="0"/>
    <m/>
    <n v="0"/>
    <n v="0"/>
    <n v="0"/>
    <n v="29.554868110365693"/>
    <n v="255.99901773655972"/>
    <n v="989.66727719138157"/>
    <n v="0"/>
    <n v="37.26"/>
    <n v="153.38999999999999"/>
    <n v="6265.54"/>
    <n v="124"/>
    <m/>
    <m/>
    <m/>
    <m/>
    <m/>
    <m/>
    <m/>
    <n v="9650.3932000000004"/>
    <m/>
    <n v="9847.5433233307631"/>
    <m/>
    <m/>
    <m/>
    <m/>
    <m/>
    <m/>
    <m/>
    <m/>
    <m/>
    <m/>
    <m/>
    <m/>
    <n v="14474.5244"/>
    <n v="-5343.5437000000002"/>
    <m/>
    <m/>
    <m/>
    <m/>
    <n v="-10033.937200000002"/>
    <n v="1128.7912999999999"/>
    <m/>
    <n v="1349.744247476372"/>
    <n v="29.990907915658397"/>
    <n v="98.216168304684857"/>
    <n v="0"/>
    <n v="0"/>
    <n v="0"/>
    <n v="0"/>
    <n v="0"/>
    <n v="-35.163687263796191"/>
    <n v="0"/>
    <n v="0"/>
    <n v="1100.352291026602"/>
    <n v="32.860303241025463"/>
    <n v="3.793693963914091"/>
    <n v="0"/>
    <n v="127.034732882041"/>
    <n v="0"/>
    <n v="0"/>
    <m/>
    <n v="0"/>
    <n v="0"/>
    <n v="-4.7933716373519815"/>
    <n v="0"/>
    <n v="0"/>
    <n v="-2.5467909564029299"/>
    <n v="0"/>
    <n v="0"/>
    <m/>
    <m/>
    <m/>
    <n v="19369.813408530055"/>
    <n v="0"/>
    <n v="0"/>
    <n v="-10033.937200000002"/>
    <n v="1128.791299999999"/>
    <n v="0"/>
    <n v="0"/>
    <n v="-10255.289299979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4"/>
    <s v="Refaturamento - 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-7.0000000000000007E-2"/>
    <n v="-7.0000000000000007E-2"/>
    <n v="-7.0000000000000007E-2"/>
    <n v="-7.0000000000000007E-2"/>
    <m/>
    <n v="446.23"/>
    <n v="173.82"/>
    <m/>
    <n v="-43.403500000000008"/>
    <n v="-43.403500000000008"/>
    <n v="-31.701600000000003"/>
    <n v="0"/>
    <n v="0"/>
    <n v="0"/>
    <n v="0"/>
    <n v="-0.19029108513736093"/>
    <n v="-2.4098628065446199"/>
    <n v="-25.453105661668932"/>
    <n v="-11.26454948790073"/>
    <n v="-0.56671057744467113"/>
    <n v="0"/>
    <n v="0"/>
    <n v="0"/>
    <n v="0"/>
    <n v="0"/>
    <m/>
    <n v="-0.1086079382394783"/>
    <n v="-0.40589526453948083"/>
    <n v="-1.3292521096126231"/>
    <n v="0"/>
    <n v="0"/>
    <n v="0"/>
    <n v="0"/>
    <n v="0"/>
    <n v="0"/>
    <n v="0"/>
    <n v="0"/>
    <n v="0"/>
    <n v="0"/>
    <m/>
    <n v="0"/>
    <n v="0"/>
    <n v="0"/>
    <n v="-3.8836883193647427E-2"/>
    <n v="-0.33639818362228613"/>
    <n v="-1.3004826244301992"/>
    <n v="0"/>
    <n v="-0.23"/>
    <n v="-1.1000000000000001"/>
    <n v="-8.7200000000000006"/>
    <n v="0"/>
    <m/>
    <m/>
    <m/>
    <m/>
    <m/>
    <m/>
    <m/>
    <n v="-12.6812"/>
    <m/>
    <n v="-12.940267179146863"/>
    <m/>
    <m/>
    <m/>
    <m/>
    <m/>
    <m/>
    <m/>
    <m/>
    <m/>
    <m/>
    <m/>
    <m/>
    <n v="-19.020400000000002"/>
    <n v="6.9916999999999945"/>
    <m/>
    <m/>
    <m/>
    <m/>
    <n v="13.185200000000002"/>
    <n v="-1.4833000000000001"/>
    <m/>
    <n v="-1.7736455288782835"/>
    <n v="-3.9409865855004445E-2"/>
    <n v="-0.12906198200352814"/>
    <n v="0"/>
    <n v="0"/>
    <n v="0"/>
    <n v="0"/>
    <n v="0"/>
    <n v="4.6207210596315829E-2"/>
    <n v="0"/>
    <n v="0"/>
    <n v="-1.4459294231624202"/>
    <n v="-4.318042475824635E-2"/>
    <n v="-4.985143185169634E-3"/>
    <n v="0"/>
    <n v="-0.16693131784762305"/>
    <n v="0"/>
    <n v="0"/>
    <m/>
    <n v="0"/>
    <n v="0"/>
    <n v="6.2987800753639966E-3"/>
    <n v="0"/>
    <n v="0"/>
    <n v="3.3466372620274965E-3"/>
    <n v="0"/>
    <n v="0"/>
    <m/>
    <m/>
    <m/>
    <n v="-25.453105661668932"/>
    <n v="0"/>
    <n v="0"/>
    <n v="13.185200000000002"/>
    <n v="-1.4832999999999998"/>
    <n v="0"/>
    <n v="0"/>
    <n v="13.47607003939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5"/>
    <s v="Sistema de Compensação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7.0000000000000007E-2"/>
    <n v="1.4E-2"/>
    <n v="7.0000000000000007E-2"/>
    <n v="1.4E-2"/>
    <m/>
    <n v="446.23"/>
    <n v="173.82"/>
    <m/>
    <n v="43.403500000000008"/>
    <n v="43.403500000000008"/>
    <n v="31.701600000000003"/>
    <n v="0"/>
    <n v="0"/>
    <n v="0"/>
    <n v="0"/>
    <n v="0.19029108513736093"/>
    <n v="2.4098628065446199"/>
    <n v="25.453105661668932"/>
    <n v="11.26454948790073"/>
    <n v="0.56671057744467113"/>
    <n v="0"/>
    <n v="0"/>
    <n v="0"/>
    <n v="0"/>
    <n v="0"/>
    <m/>
    <n v="0.1086079382394783"/>
    <n v="0.40589526453948083"/>
    <n v="1.3292521096126231"/>
    <n v="0"/>
    <n v="0"/>
    <n v="0"/>
    <n v="0"/>
    <n v="0"/>
    <n v="0"/>
    <n v="0"/>
    <n v="0"/>
    <n v="0"/>
    <n v="0"/>
    <m/>
    <n v="0"/>
    <n v="0"/>
    <n v="0"/>
    <n v="3.8836883193647427E-2"/>
    <n v="0.33639818362228613"/>
    <n v="1.3004826244301992"/>
    <n v="0"/>
    <n v="0.05"/>
    <n v="0.2"/>
    <n v="12.89"/>
    <n v="0"/>
    <m/>
    <m/>
    <m/>
    <m/>
    <m/>
    <m/>
    <m/>
    <n v="27.897520000000004"/>
    <m/>
    <n v="12.940267179146863"/>
    <m/>
    <m/>
    <m/>
    <m/>
    <m/>
    <m/>
    <m/>
    <m/>
    <m/>
    <m/>
    <m/>
    <m/>
    <n v="2.7172000000000001"/>
    <n v="-2.5212199999999996"/>
    <m/>
    <m/>
    <m/>
    <m/>
    <n v="-13.185200000000002"/>
    <n v="1.4833000000000001"/>
    <m/>
    <n v="1.7736455288782835"/>
    <n v="3.9409865855004445E-2"/>
    <n v="0.12906198200352814"/>
    <n v="0"/>
    <n v="0"/>
    <n v="0"/>
    <n v="0"/>
    <n v="0"/>
    <n v="-4.6207210596315829E-2"/>
    <n v="0"/>
    <n v="0"/>
    <n v="1.4459294231624202"/>
    <n v="4.318042475824635E-2"/>
    <n v="4.985143185169634E-3"/>
    <n v="0"/>
    <n v="0.16693131784762305"/>
    <n v="0"/>
    <n v="0"/>
    <m/>
    <n v="0"/>
    <n v="0"/>
    <n v="-6.2987800753639966E-3"/>
    <n v="0"/>
    <n v="0"/>
    <n v="-3.3466372620274965E-3"/>
    <n v="0"/>
    <n v="0"/>
    <m/>
    <m/>
    <m/>
    <n v="25.453105661668932"/>
    <n v="0"/>
    <n v="0"/>
    <n v="-13.185200000000002"/>
    <n v="1.4832999999999998"/>
    <n v="0"/>
    <n v="0"/>
    <n v="-13.47607003939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6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54.472000000000001"/>
    <n v="54.472000000000001"/>
    <n v="54.472000000000001"/>
    <n v="54.472000000000001"/>
    <m/>
    <n v="446.23"/>
    <n v="173.82"/>
    <m/>
    <n v="33775.363599999997"/>
    <n v="33775.363599999997"/>
    <n v="24669.27936"/>
    <n v="0"/>
    <n v="0"/>
    <n v="0"/>
    <n v="0"/>
    <n v="148.07908556574748"/>
    <n v="1875.2863828299789"/>
    <n v="19806.879594320428"/>
    <n v="8765.7505672132647"/>
    <n v="440.9979796366589"/>
    <n v="0"/>
    <n v="0"/>
    <n v="0"/>
    <n v="0"/>
    <n v="0"/>
    <m/>
    <n v="84.515594454012316"/>
    <n v="315.85609785706566"/>
    <n v="1034.3860130688399"/>
    <n v="0"/>
    <n v="0"/>
    <n v="0"/>
    <n v="0"/>
    <n v="0"/>
    <n v="0"/>
    <n v="0"/>
    <n v="0"/>
    <n v="0"/>
    <n v="0"/>
    <m/>
    <n v="0"/>
    <n v="0"/>
    <n v="0"/>
    <n v="30.221752876062322"/>
    <n v="261.77545511818812"/>
    <n v="1011.9984216851686"/>
    <n v="0"/>
    <n v="39.26"/>
    <n v="168.09"/>
    <n v="9784.51"/>
    <n v="452"/>
    <m/>
    <m/>
    <m/>
    <m/>
    <m/>
    <m/>
    <m/>
    <n v="2466.4921599999998"/>
    <m/>
    <n v="10069.746196892684"/>
    <m/>
    <m/>
    <m/>
    <m/>
    <m/>
    <m/>
    <m/>
    <m/>
    <m/>
    <m/>
    <m/>
    <m/>
    <n v="22201.972000000002"/>
    <n v="-8196.157599999995"/>
    <m/>
    <m/>
    <m/>
    <m/>
    <n v="-10260.345920000002"/>
    <n v="1154.2616799999998"/>
    <m/>
    <n v="1380.2002749865442"/>
    <n v="30.667631612197169"/>
    <n v="100.43234690994564"/>
    <n v="0"/>
    <n v="0"/>
    <n v="0"/>
    <n v="0"/>
    <n v="0"/>
    <n v="-35.957131080035651"/>
    <n v="0"/>
    <n v="0"/>
    <n v="1125.180964835763"/>
    <n v="33.60177282044566"/>
    <n v="3.8792959940365712"/>
    <n v="0"/>
    <n v="129.90118208279603"/>
    <n v="0"/>
    <n v="0"/>
    <m/>
    <n v="0"/>
    <n v="0"/>
    <n v="-4.9015306895032609"/>
    <n v="0"/>
    <n v="0"/>
    <n v="-2.6042574991023173"/>
    <n v="0"/>
    <n v="0"/>
    <m/>
    <m/>
    <m/>
    <n v="19806.879594320428"/>
    <n v="0"/>
    <n v="0"/>
    <n v="-10260.345920000002"/>
    <n v="1154.2616799999996"/>
    <n v="0"/>
    <n v="0"/>
    <n v="-10486.692674084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7"/>
    <s v="Refaturamento - 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-0.12"/>
    <n v="-0.12"/>
    <n v="-0.12"/>
    <n v="-0.12"/>
    <m/>
    <n v="446.23"/>
    <n v="173.82"/>
    <m/>
    <n v="-74.406000000000006"/>
    <n v="-74.406000000000006"/>
    <n v="-54.345599999999997"/>
    <n v="0"/>
    <n v="0"/>
    <n v="0"/>
    <n v="0"/>
    <n v="-0.32621328880690442"/>
    <n v="-4.1311933826479192"/>
    <n v="-43.633895420003881"/>
    <n v="-19.310656264972678"/>
    <n v="-0.97150384704800752"/>
    <n v="0"/>
    <n v="0"/>
    <n v="0"/>
    <n v="0"/>
    <n v="0"/>
    <m/>
    <n v="-0.18618503698196279"/>
    <n v="-0.69582045349625277"/>
    <n v="-2.2787179021930681"/>
    <n v="0"/>
    <n v="0"/>
    <n v="0"/>
    <n v="0"/>
    <n v="0"/>
    <n v="0"/>
    <n v="0"/>
    <n v="0"/>
    <n v="0"/>
    <n v="0"/>
    <m/>
    <n v="0"/>
    <n v="0"/>
    <n v="0"/>
    <n v="-6.6577514046252728E-2"/>
    <n v="-0.57668260049534747"/>
    <n v="-2.2293987847374841"/>
    <n v="0"/>
    <n v="-0.4"/>
    <n v="-1.89"/>
    <n v="-21.94"/>
    <n v="0"/>
    <m/>
    <m/>
    <m/>
    <m/>
    <m/>
    <m/>
    <m/>
    <n v="-5.4336000000000002"/>
    <m/>
    <n v="-22.183315164251759"/>
    <m/>
    <m/>
    <m/>
    <m/>
    <m/>
    <m/>
    <m/>
    <m/>
    <m/>
    <m/>
    <m/>
    <m/>
    <n v="-48.911999999999999"/>
    <n v="18.023999999999994"/>
    <m/>
    <m/>
    <m/>
    <m/>
    <n v="22.603200000000001"/>
    <n v="-2.5427999999999997"/>
    <m/>
    <n v="-3.0405351923627748"/>
    <n v="-6.7559770037150413E-2"/>
    <n v="-0.2212491120060478"/>
    <n v="0"/>
    <n v="0"/>
    <n v="0"/>
    <n v="0"/>
    <n v="0"/>
    <n v="7.9212361022254818E-2"/>
    <n v="0"/>
    <n v="0"/>
    <n v="-2.4787361539927204"/>
    <n v="-7.402358529985098E-2"/>
    <n v="-8.545959746005069E-3"/>
    <n v="0"/>
    <n v="-0.28616797345306777"/>
    <n v="0"/>
    <n v="0"/>
    <m/>
    <n v="0"/>
    <n v="0"/>
    <n v="1.0797908700624026E-2"/>
    <n v="0"/>
    <n v="0"/>
    <n v="5.73709244918999E-3"/>
    <n v="0"/>
    <n v="0"/>
    <m/>
    <m/>
    <m/>
    <n v="-43.633895420003881"/>
    <n v="0"/>
    <n v="0"/>
    <n v="22.603200000000005"/>
    <n v="-2.5427999999999997"/>
    <n v="0"/>
    <n v="0"/>
    <n v="23.10183435324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8"/>
    <s v="Sistema de Compensação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7E-2"/>
    <n v="2.1600000000000001E-2"/>
    <n v="2.7E-2"/>
    <n v="2.1600000000000001E-2"/>
    <m/>
    <n v="446.23"/>
    <n v="173.82"/>
    <m/>
    <n v="16.741350000000001"/>
    <n v="16.741350000000001"/>
    <n v="12.22776"/>
    <n v="0"/>
    <n v="0"/>
    <n v="0"/>
    <n v="0"/>
    <n v="7.3397989981553488E-2"/>
    <n v="0.92951851109578187"/>
    <n v="9.8176264695008726"/>
    <n v="4.3448976596188524"/>
    <n v="0.21858836558580169"/>
    <n v="0"/>
    <n v="0"/>
    <n v="0"/>
    <n v="0"/>
    <n v="0"/>
    <m/>
    <n v="4.1891633320941625E-2"/>
    <n v="0.15655960203665686"/>
    <n v="0.51271152799344033"/>
    <n v="0"/>
    <n v="0"/>
    <n v="0"/>
    <n v="0"/>
    <n v="0"/>
    <n v="0"/>
    <n v="0"/>
    <n v="0"/>
    <n v="0"/>
    <n v="0"/>
    <m/>
    <n v="0"/>
    <n v="0"/>
    <n v="0"/>
    <n v="1.4979940660406863E-2"/>
    <n v="0.12975358511145318"/>
    <n v="0.50161472656593387"/>
    <n v="0"/>
    <n v="0.02"/>
    <n v="0.08"/>
    <n v="25.94"/>
    <n v="0"/>
    <m/>
    <m/>
    <m/>
    <m/>
    <m/>
    <m/>
    <m/>
    <n v="3.4235999999999995"/>
    <m/>
    <n v="4.9912459119566464"/>
    <m/>
    <m/>
    <m/>
    <m/>
    <m/>
    <m/>
    <m/>
    <m/>
    <m/>
    <m/>
    <m/>
    <m/>
    <n v="8.1519999999999992"/>
    <n v="-3.9318800000000014"/>
    <m/>
    <m/>
    <m/>
    <m/>
    <n v="-5.0857200000000002"/>
    <n v="0.57212999999999992"/>
    <m/>
    <n v="0.68412041828162362"/>
    <n v="1.5200948258358854E-2"/>
    <n v="4.978105020136081E-2"/>
    <n v="0"/>
    <n v="0"/>
    <n v="0"/>
    <n v="0"/>
    <n v="0"/>
    <n v="-1.7822781230007467E-2"/>
    <n v="0"/>
    <n v="0"/>
    <n v="0.55771563464836227"/>
    <n v="1.6655306692466454E-2"/>
    <n v="1.9228409428511412E-3"/>
    <n v="0"/>
    <n v="6.4387794026940393E-2"/>
    <n v="0"/>
    <n v="0"/>
    <m/>
    <n v="0"/>
    <n v="0"/>
    <n v="-2.4295294576404114E-3"/>
    <n v="0"/>
    <n v="0"/>
    <n v="-1.2908458010677457E-3"/>
    <n v="0"/>
    <n v="0"/>
    <m/>
    <m/>
    <m/>
    <n v="9.8176264695008726"/>
    <n v="0"/>
    <n v="0"/>
    <n v="-5.0857200000000011"/>
    <n v="0.57213000000000047"/>
    <n v="0"/>
    <n v="0"/>
    <n v="-5.197912729481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0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17.189"/>
    <n v="17.189"/>
    <n v="17.189"/>
    <n v="17.189"/>
    <m/>
    <n v="446.23"/>
    <n v="173.82"/>
    <m/>
    <n v="10658.03945"/>
    <n v="10658.03945"/>
    <n v="7784.5543199999993"/>
    <n v="0"/>
    <n v="0"/>
    <n v="0"/>
    <n v="0"/>
    <n v="46.72733517751567"/>
    <n v="591.75902545279246"/>
    <n v="6250.1919031203888"/>
    <n v="2766.090587821795"/>
    <n v="139.15983022423501"/>
    <n v="0"/>
    <n v="0"/>
    <n v="0"/>
    <n v="0"/>
    <n v="0"/>
    <m/>
    <n v="26.669455005691319"/>
    <n v="99.67048145955907"/>
    <n v="326.40735017330536"/>
    <n v="0"/>
    <n v="0"/>
    <n v="0"/>
    <n v="0"/>
    <n v="0"/>
    <n v="0"/>
    <n v="0"/>
    <n v="0"/>
    <n v="0"/>
    <n v="0"/>
    <m/>
    <n v="0"/>
    <n v="0"/>
    <n v="0"/>
    <n v="9.5366740745086513"/>
    <n v="82.604976832621077"/>
    <n v="319.34279759043847"/>
    <n v="0"/>
    <n v="11.97"/>
    <n v="54"/>
    <n v="3572.65"/>
    <n v="229"/>
    <m/>
    <m/>
    <m/>
    <m/>
    <m/>
    <m/>
    <m/>
    <m/>
    <m/>
    <n v="3177.5750363193629"/>
    <m/>
    <m/>
    <m/>
    <m/>
    <m/>
    <m/>
    <m/>
    <m/>
    <m/>
    <m/>
    <m/>
    <m/>
    <n v="7785.0072"/>
    <n v="-2873.0622500000009"/>
    <m/>
    <m/>
    <m/>
    <m/>
    <n v="-3237.7200400000002"/>
    <n v="364.23490999999996"/>
    <m/>
    <n v="435.53132851269856"/>
    <n v="9.6773740597381703"/>
    <n v="31.69209155226639"/>
    <n v="0"/>
    <n v="0"/>
    <n v="0"/>
    <n v="0"/>
    <n v="0"/>
    <n v="-11.346510613429587"/>
    <n v="0"/>
    <n v="0"/>
    <n v="355.05829792484064"/>
    <n v="10.603261730992813"/>
    <n v="1.2241375172840101"/>
    <n v="0"/>
    <n v="40.991177464039879"/>
    <n v="0"/>
    <n v="0"/>
    <m/>
    <n v="0"/>
    <n v="0"/>
    <n v="-1.5467104387918766"/>
    <n v="0"/>
    <n v="0"/>
    <n v="-0.82179068424272117"/>
    <n v="0"/>
    <n v="0"/>
    <m/>
    <m/>
    <m/>
    <n v="6250.1919031203888"/>
    <n v="0"/>
    <n v="0"/>
    <n v="-3237.7200400000002"/>
    <n v="364.23490999999967"/>
    <n v="0"/>
    <n v="0"/>
    <n v="-3309.1452558166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0"/>
    <s v="Refaturamento - 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-3.0000000000000001E-3"/>
    <n v="-3.0000000000000001E-3"/>
    <n v="-3.0000000000000001E-3"/>
    <n v="-3.0000000000000001E-3"/>
    <m/>
    <n v="446.23"/>
    <n v="173.82"/>
    <m/>
    <n v="-1.8601500000000002"/>
    <n v="-1.8601500000000002"/>
    <n v="-1.3586399999999998"/>
    <n v="0"/>
    <n v="0"/>
    <n v="0"/>
    <n v="0"/>
    <n v="-8.1553322201726106E-3"/>
    <n v="-0.10327983456619799"/>
    <n v="-1.0908473855000971"/>
    <n v="-0.48276640662431697"/>
    <n v="-2.4287596176200188E-2"/>
    <n v="0"/>
    <n v="0"/>
    <n v="0"/>
    <n v="0"/>
    <n v="0"/>
    <m/>
    <n v="-4.65462592454907E-3"/>
    <n v="-1.7395511337406321E-2"/>
    <n v="-5.6967947554826703E-2"/>
    <n v="0"/>
    <n v="0"/>
    <n v="0"/>
    <n v="0"/>
    <n v="0"/>
    <n v="0"/>
    <n v="0"/>
    <n v="0"/>
    <n v="0"/>
    <n v="0"/>
    <m/>
    <n v="0"/>
    <n v="0"/>
    <n v="0"/>
    <n v="-1.6644378511563181E-3"/>
    <n v="-1.4417065012383689E-2"/>
    <n v="-5.5734969618437102E-2"/>
    <n v="0"/>
    <n v="-0.1"/>
    <n v="-0.43"/>
    <n v="-6.37"/>
    <n v="0"/>
    <m/>
    <m/>
    <m/>
    <m/>
    <m/>
    <m/>
    <m/>
    <m/>
    <m/>
    <n v="-0.55458287910629411"/>
    <m/>
    <m/>
    <m/>
    <m/>
    <m/>
    <m/>
    <m/>
    <m/>
    <m/>
    <m/>
    <m/>
    <m/>
    <n v="0"/>
    <n v="1.8301500000000002"/>
    <m/>
    <m/>
    <m/>
    <m/>
    <n v="0.56508000000000003"/>
    <n v="-6.3569999999999988E-2"/>
    <m/>
    <n v="-7.6013379809069304E-2"/>
    <n v="-1.6889942509287596E-3"/>
    <n v="-5.5312278001512019E-3"/>
    <n v="0"/>
    <n v="0"/>
    <n v="0"/>
    <n v="0"/>
    <n v="0"/>
    <n v="1.9803090255563899E-3"/>
    <n v="0"/>
    <n v="0"/>
    <n v="-6.1968403849817999E-2"/>
    <n v="-1.8505896324962721E-3"/>
    <n v="-2.1364899365012712E-4"/>
    <n v="0"/>
    <n v="-7.1541993363267026E-3"/>
    <n v="0"/>
    <n v="0"/>
    <m/>
    <n v="0"/>
    <n v="0"/>
    <n v="2.6994771751559857E-4"/>
    <n v="0"/>
    <n v="0"/>
    <n v="1.434273112297501E-4"/>
    <n v="0"/>
    <n v="0"/>
    <m/>
    <m/>
    <m/>
    <n v="-1.0908473855000971"/>
    <n v="0"/>
    <n v="0"/>
    <n v="0.56508000000000014"/>
    <n v="-6.3569999999999904E-2"/>
    <n v="0"/>
    <n v="0"/>
    <n v="0.5775458588312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1"/>
    <s v="Sistema de Compensação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.2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12"/>
    <s v="Regular"/>
    <s v="Convencional"/>
    <s v="B3"/>
    <s v="Industrial"/>
    <s v="Não se aplica"/>
    <s v="Não se aplica"/>
    <s v="Não se aplica"/>
    <s v="Não se aplica"/>
    <s v="CATIVO"/>
    <x v="5"/>
    <n v="0"/>
    <n v="0"/>
    <n v="82.14"/>
    <n v="82.14"/>
    <n v="82.14"/>
    <n v="82.14"/>
    <m/>
    <n v="516.83000000000004"/>
    <n v="173.82"/>
    <m/>
    <n v="56729.991000000009"/>
    <n v="56729.991000000009"/>
    <n v="42831.902999999998"/>
    <n v="0"/>
    <n v="5022.8162959640667"/>
    <n v="0"/>
    <n v="0"/>
    <n v="223.29299618832607"/>
    <n v="2827.801870422501"/>
    <n v="29867.401414992655"/>
    <n v="13218.144213373798"/>
    <n v="664.99438330436112"/>
    <n v="0"/>
    <n v="0"/>
    <n v="0"/>
    <n v="0"/>
    <n v="776.34593545684436"/>
    <m/>
    <n v="127.44365781415353"/>
    <n v="476.28910041818506"/>
    <n v="1559.782404051155"/>
    <n v="0"/>
    <n v="0"/>
    <n v="0"/>
    <n v="0"/>
    <n v="0"/>
    <n v="0"/>
    <n v="0"/>
    <n v="0"/>
    <n v="0"/>
    <n v="0"/>
    <m/>
    <n v="0"/>
    <n v="0"/>
    <n v="0"/>
    <n v="45.572308364659989"/>
    <n v="394.73924003906541"/>
    <n v="1526.0234681528079"/>
    <n v="0"/>
    <n v="74.98"/>
    <n v="310.14999999999998"/>
    <n v="11641.07"/>
    <n v="36"/>
    <m/>
    <m/>
    <m/>
    <m/>
    <m/>
    <m/>
    <m/>
    <m/>
    <m/>
    <n v="15184.479229930332"/>
    <m/>
    <m/>
    <m/>
    <m/>
    <m/>
    <m/>
    <m/>
    <m/>
    <m/>
    <m/>
    <m/>
    <m/>
    <n v="42831.902999999998"/>
    <n v="-13898.118000000017"/>
    <m/>
    <m/>
    <m/>
    <m/>
    <n v="-15638.634600000003"/>
    <n v="1740.5465999999999"/>
    <m/>
    <n v="1914.3449022106288"/>
    <n v="46.244662590429471"/>
    <n v="151.44501716814011"/>
    <n v="0"/>
    <n v="0"/>
    <n v="0"/>
    <n v="0"/>
    <n v="0"/>
    <n v="-54.220861119733854"/>
    <n v="0"/>
    <n v="0"/>
    <n v="1696.6948974080187"/>
    <n v="50.669144137747935"/>
    <n v="5.8497094461404799"/>
    <n v="0"/>
    <n v="195.88197782862494"/>
    <n v="0"/>
    <n v="-146.79434538730584"/>
    <m/>
    <n v="0"/>
    <n v="0"/>
    <n v="-7.3911685055770704"/>
    <n v="0"/>
    <n v="-20.107091574386573"/>
    <n v="-3.9270397814705547"/>
    <n v="0"/>
    <n v="0"/>
    <m/>
    <m/>
    <m/>
    <n v="29867.401414992655"/>
    <n v="0"/>
    <n v="0"/>
    <n v="-15638.634600000009"/>
    <n v="1740.5465999999997"/>
    <n v="0"/>
    <n v="0"/>
    <n v="-15813.205614799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59"/>
    <n v="0.59"/>
    <n v="0.59"/>
    <n v="0.59"/>
    <m/>
    <n v="516.83000000000004"/>
    <n v="173.82"/>
    <m/>
    <n v="407.48350000000005"/>
    <n v="407.48350000000005"/>
    <n v="307.65549999999996"/>
    <n v="0"/>
    <n v="36.078178897233983"/>
    <n v="0"/>
    <n v="0"/>
    <n v="1.6038820033006134"/>
    <n v="20.311700798018936"/>
    <n v="214.5333191483524"/>
    <n v="94.944059969449"/>
    <n v="4.7765605813193703"/>
    <n v="0"/>
    <n v="0"/>
    <n v="0"/>
    <n v="0"/>
    <n v="5.5763830279953508"/>
    <m/>
    <n v="0.915409765161317"/>
    <n v="3.4211172296899095"/>
    <n v="11.203696352449251"/>
    <n v="0"/>
    <n v="0"/>
    <n v="0"/>
    <n v="0"/>
    <n v="0"/>
    <n v="0"/>
    <n v="0"/>
    <n v="0"/>
    <n v="0"/>
    <n v="0"/>
    <m/>
    <n v="0"/>
    <n v="0"/>
    <n v="0"/>
    <n v="0.32733944406074256"/>
    <n v="2.8353561191021255"/>
    <n v="10.961210691625963"/>
    <n v="0"/>
    <n v="0.53"/>
    <n v="2.2000000000000002"/>
    <n v="180.64"/>
    <n v="5"/>
    <m/>
    <m/>
    <m/>
    <m/>
    <m/>
    <m/>
    <m/>
    <m/>
    <m/>
    <n v="109.06796622423784"/>
    <m/>
    <m/>
    <m/>
    <m/>
    <m/>
    <m/>
    <m/>
    <m/>
    <m/>
    <m/>
    <m/>
    <m/>
    <n v="307.65549999999996"/>
    <n v="-99.858000000000061"/>
    <m/>
    <m/>
    <m/>
    <m/>
    <n v="-112.33010000000002"/>
    <n v="12.502099999999999"/>
    <m/>
    <n v="13.75046861826479"/>
    <n v="0.33216886934932299"/>
    <n v="1.0878081340297356"/>
    <n v="0"/>
    <n v="0"/>
    <n v="0"/>
    <n v="0"/>
    <n v="0"/>
    <n v="-0.38946077502608745"/>
    <n v="0"/>
    <n v="0"/>
    <n v="12.18711942379754"/>
    <n v="0.36394929439093326"/>
    <n v="4.2017635417858301E-2"/>
    <n v="0"/>
    <n v="1.4069925361442515"/>
    <n v="0"/>
    <n v="-1.0544030165389628"/>
    <m/>
    <n v="0"/>
    <n v="0"/>
    <n v="-5.3089717778068035E-2"/>
    <n v="0"/>
    <n v="-0.14442639431322224"/>
    <n v="-2.8207371208517462E-2"/>
    <n v="0"/>
    <n v="0"/>
    <m/>
    <m/>
    <m/>
    <n v="214.5333191483524"/>
    <n v="0"/>
    <n v="0"/>
    <n v="-112.33010000000004"/>
    <n v="12.502099999999999"/>
    <n v="0"/>
    <n v="0"/>
    <n v="-113.58401890347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4"/>
    <s v="Regular"/>
    <s v="Azul"/>
    <s v="A4"/>
    <s v="Industrial"/>
    <s v="Não se aplica"/>
    <s v="Não se aplica"/>
    <s v="Não se aplica"/>
    <s v="Ponta"/>
    <s v="CATIVO"/>
    <x v="5"/>
    <n v="1200"/>
    <n v="1200"/>
    <n v="58.481000000000002"/>
    <n v="58.481000000000002"/>
    <n v="58.481000000000002"/>
    <n v="58.481000000000002"/>
    <n v="67.099999999999994"/>
    <n v="70.33"/>
    <n v="173.82"/>
    <n v="80520"/>
    <n v="14278.136149999998"/>
    <n v="94798.136149999991"/>
    <n v="65906.282730000006"/>
    <n v="0"/>
    <n v="3111.1907503009411"/>
    <n v="0"/>
    <n v="0"/>
    <n v="898.10170336085525"/>
    <n v="13700.67976876248"/>
    <n v="57794.157302940846"/>
    <n v="9410.8874085988937"/>
    <n v="473.4543039934544"/>
    <n v="0"/>
    <n v="0"/>
    <n v="0"/>
    <n v="0"/>
    <n v="552.73297603423077"/>
    <m/>
    <n v="72.676132059559563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10.912181765867011"/>
    <n v="281.04145966307016"/>
    <n v="365.40272066568241"/>
    <n v="0"/>
    <n v="0"/>
    <n v="0"/>
    <n v="0"/>
    <n v="0"/>
    <m/>
    <m/>
    <m/>
    <m/>
    <m/>
    <m/>
    <m/>
    <m/>
    <m/>
    <n v="10068.243770693514"/>
    <m/>
    <m/>
    <m/>
    <m/>
    <m/>
    <m/>
    <m/>
    <m/>
    <m/>
    <m/>
    <m/>
    <m/>
    <n v="65906.018400000001"/>
    <n v="-28892.147749999975"/>
    <m/>
    <m/>
    <m/>
    <m/>
    <n v="-30131.065809999993"/>
    <n v="1239.2123899999999"/>
    <m/>
    <n v="1706.3685060920907"/>
    <n v="187.27044607078801"/>
    <n v="602.17080389378407"/>
    <n v="0"/>
    <n v="0"/>
    <n v="0"/>
    <n v="0"/>
    <n v="0"/>
    <n v="-262.69968301452172"/>
    <n v="0"/>
    <n v="0"/>
    <n v="1207.991408513737"/>
    <n v="36.07477743267151"/>
    <n v="1.4006991316528481"/>
    <n v="0"/>
    <n v="46.903477647427223"/>
    <n v="0"/>
    <n v="-90.926122448963724"/>
    <m/>
    <n v="0"/>
    <n v="0"/>
    <n v="-5.2622708226766122"/>
    <n v="0"/>
    <n v="-14.315593162426353"/>
    <n v="-2.2394371493756466"/>
    <n v="0"/>
    <n v="0"/>
    <m/>
    <m/>
    <n v="57794.157302940846"/>
    <n v="0"/>
    <n v="0"/>
    <n v="0"/>
    <n v="-30131.065809999993"/>
    <n v="1239.2123900000006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5"/>
    <s v="Regular"/>
    <s v="Azul"/>
    <s v="A4"/>
    <s v="Industrial"/>
    <s v="Não se aplica"/>
    <s v="Não se aplica"/>
    <s v="Não se aplica"/>
    <s v="Fora ponta"/>
    <s v="CATIVO"/>
    <x v="5"/>
    <n v="1200"/>
    <n v="1200"/>
    <n v="570.99900000000002"/>
    <n v="570.99900000000002"/>
    <n v="570.99900000000002"/>
    <n v="570.99900000000002"/>
    <n v="59.12"/>
    <n v="70.33"/>
    <n v="173.82"/>
    <n v="70944"/>
    <n v="139409.40585000001"/>
    <n v="210353.40585000001"/>
    <n v="191768.16566999999"/>
    <n v="0"/>
    <n v="30377.161936886972"/>
    <n v="0"/>
    <n v="0"/>
    <n v="686.4724360004185"/>
    <n v="6140.4271808585163"/>
    <n v="57794.157302940846"/>
    <n v="91886.378472026132"/>
    <n v="4622.73104300471"/>
    <n v="0"/>
    <n v="0"/>
    <n v="0"/>
    <n v="0"/>
    <n v="5396.7951400039283"/>
    <m/>
    <n v="709.59796737190629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106.54477310798887"/>
    <n v="2744.0432350020246"/>
    <n v="3567.7329063693169"/>
    <n v="0"/>
    <n v="0"/>
    <n v="0"/>
    <n v="0"/>
    <n v="0"/>
    <m/>
    <m/>
    <m/>
    <m/>
    <m/>
    <m/>
    <m/>
    <m/>
    <m/>
    <n v="98304.699386505468"/>
    <m/>
    <m/>
    <m/>
    <m/>
    <m/>
    <m/>
    <m/>
    <m/>
    <m/>
    <m/>
    <m/>
    <m/>
    <n v="191768.43"/>
    <n v="-18585.005850000016"/>
    <m/>
    <m/>
    <m/>
    <m/>
    <n v="-30684.708989999999"/>
    <n v="12099.468809999998"/>
    <m/>
    <n v="12013.859225948661"/>
    <n v="140.75540420960397"/>
    <n v="473.15551850471911"/>
    <n v="0"/>
    <n v="0"/>
    <n v="0"/>
    <n v="0"/>
    <n v="0"/>
    <n v="-117.73782769987247"/>
    <n v="0"/>
    <n v="0"/>
    <n v="11794.632209947405"/>
    <n v="352.22827652191336"/>
    <n v="13.676199166817341"/>
    <n v="0"/>
    <n v="457.95794930324837"/>
    <n v="0"/>
    <n v="-887.78791389059188"/>
    <m/>
    <n v="0"/>
    <n v="0"/>
    <n v="-51.379958917896147"/>
    <n v="0"/>
    <n v="-139.7751300448399"/>
    <n v="-21.865501151764647"/>
    <n v="0"/>
    <n v="0"/>
    <m/>
    <m/>
    <n v="57794.157302940846"/>
    <n v="0"/>
    <n v="0"/>
    <n v="0"/>
    <n v="-30684.708990000014"/>
    <n v="12099.468809999991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6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78.83"/>
    <n v="1975.11"/>
    <n v="69987.6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17"/>
    <s v="Regular"/>
    <s v="Verde"/>
    <s v="A4"/>
    <s v="Industrial"/>
    <s v="Não se aplica"/>
    <s v="Não se aplica"/>
    <s v="Não se aplica"/>
    <s v="Ponta"/>
    <s v="CATIVO"/>
    <x v="5"/>
    <n v="0"/>
    <n v="0"/>
    <n v="38.375999999999998"/>
    <n v="38.375999999999998"/>
    <n v="38.375999999999998"/>
    <n v="38.375999999999998"/>
    <m/>
    <n v="1684.16"/>
    <n v="173.82"/>
    <m/>
    <n v="71301.840479999999"/>
    <n v="71301.840479999999"/>
    <n v="48947.052959999994"/>
    <n v="0"/>
    <n v="2041.6042173278313"/>
    <n v="0"/>
    <n v="0"/>
    <n v="690.74496901720568"/>
    <n v="10537.509618212867"/>
    <n v="44450.631272101062"/>
    <n v="6175.5478735382621"/>
    <n v="310.68693028595277"/>
    <n v="0"/>
    <n v="0"/>
    <n v="0"/>
    <n v="0"/>
    <n v="362.71063573279594"/>
    <m/>
    <n v="47.691032026088088"/>
    <n v="1483.4681679093592"/>
    <n v="4770.0857986326346"/>
    <n v="0"/>
    <n v="0"/>
    <n v="0"/>
    <n v="0"/>
    <n v="0"/>
    <n v="0"/>
    <n v="0"/>
    <n v="0"/>
    <n v="0"/>
    <n v="0"/>
    <m/>
    <n v="0"/>
    <n v="0"/>
    <n v="0"/>
    <n v="7.1607169413469736"/>
    <n v="184.42309563841212"/>
    <n v="239.78206269157894"/>
    <n v="0"/>
    <n v="0"/>
    <n v="0"/>
    <n v="0"/>
    <n v="0"/>
    <m/>
    <m/>
    <m/>
    <m/>
    <m/>
    <m/>
    <m/>
    <m/>
    <m/>
    <n v="6606.9137488096003"/>
    <m/>
    <m/>
    <m/>
    <m/>
    <m/>
    <m/>
    <m/>
    <m/>
    <m/>
    <m/>
    <m/>
    <m/>
    <n v="48952.154800000004"/>
    <n v="-22349.715679999994"/>
    <m/>
    <m/>
    <m/>
    <m/>
    <n v="-23167.97496"/>
    <n v="813.18743999999981"/>
    <m/>
    <n v="1179.2188660578577"/>
    <n v="144.03538697059344"/>
    <n v="463.14519499075595"/>
    <n v="0"/>
    <n v="0"/>
    <n v="0"/>
    <n v="0"/>
    <n v="0"/>
    <n v="-202.04840075011634"/>
    <n v="0"/>
    <n v="0"/>
    <n v="792.69982204687221"/>
    <n v="23.672742578892326"/>
    <n v="0.91915716004017955"/>
    <n v="0"/>
    <n v="30.778677830366547"/>
    <n v="0"/>
    <n v="-59.66691532465984"/>
    <m/>
    <n v="0"/>
    <n v="0"/>
    <n v="-3.4531712024595436"/>
    <n v="0"/>
    <n v="-9.3940801833292085"/>
    <n v="-1.4695480591036372"/>
    <n v="0"/>
    <n v="0"/>
    <m/>
    <m/>
    <m/>
    <n v="44450.631272101062"/>
    <n v="0"/>
    <n v="0"/>
    <n v="-23167.97496"/>
    <n v="813.1874399999997"/>
    <n v="0"/>
    <n v="0"/>
    <n v="-23534.252687296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8"/>
    <s v="Refaturamento - Regular"/>
    <s v="Verde"/>
    <s v="A4"/>
    <s v="Industrial"/>
    <s v="Não se aplica"/>
    <s v="Não se aplica"/>
    <s v="Não se aplica"/>
    <s v="Ponta"/>
    <s v="CATIVO"/>
    <x v="5"/>
    <n v="0"/>
    <n v="0"/>
    <n v="-1.226"/>
    <n v="-1.226"/>
    <n v="-1.226"/>
    <n v="-1.226"/>
    <m/>
    <n v="1684.16"/>
    <n v="173.82"/>
    <m/>
    <n v="-2277.8834800000004"/>
    <n v="-2277.8834800000004"/>
    <n v="-1563.71396"/>
    <n v="0"/>
    <n v="-65.22323250062334"/>
    <n v="0"/>
    <n v="0"/>
    <n v="-22.067264228035601"/>
    <n v="-336.64234917471799"/>
    <n v="-1420.066550437667"/>
    <n v="-197.29053817380421"/>
    <n v="-9.92553097067381"/>
    <n v="0"/>
    <n v="0"/>
    <n v="0"/>
    <n v="0"/>
    <n v="-11.587534902241188"/>
    <m/>
    <n v="-1.5235877961221598"/>
    <n v="-47.392432089245212"/>
    <n v="-152.39017065675446"/>
    <n v="0"/>
    <n v="0"/>
    <n v="0"/>
    <n v="0"/>
    <n v="0"/>
    <n v="0"/>
    <n v="0"/>
    <n v="0"/>
    <n v="0"/>
    <n v="0"/>
    <m/>
    <n v="0"/>
    <n v="0"/>
    <n v="0"/>
    <n v="-0.22876378387772017"/>
    <n v="-5.8917739017274675"/>
    <n v="-7.6603296033947208"/>
    <n v="0"/>
    <n v="0"/>
    <n v="0"/>
    <n v="0"/>
    <n v="0"/>
    <m/>
    <m/>
    <m/>
    <m/>
    <m/>
    <m/>
    <m/>
    <m/>
    <m/>
    <n v="-211.07140546280414"/>
    <m/>
    <m/>
    <m/>
    <m/>
    <m/>
    <m/>
    <m/>
    <m/>
    <m/>
    <m/>
    <m/>
    <m/>
    <n v="-1568.8158000000001"/>
    <n v="709.03767999999968"/>
    <m/>
    <m/>
    <m/>
    <m/>
    <n v="740.14846"/>
    <n v="-25.978939999999998"/>
    <m/>
    <n v="-37.672564357591682"/>
    <n v="-4.6015057438489606"/>
    <n v="-14.796122812660712"/>
    <n v="0"/>
    <n v="0"/>
    <n v="0"/>
    <n v="0"/>
    <n v="0"/>
    <n v="6.4548504096217698"/>
    <n v="0"/>
    <n v="0"/>
    <n v="-25.324421039958963"/>
    <n v="-0.75627429648014299"/>
    <n v="-2.9364359970014076E-2"/>
    <n v="0"/>
    <n v="-0.98328796695928045"/>
    <n v="0"/>
    <n v="1.9061819415268104"/>
    <m/>
    <n v="0"/>
    <n v="0"/>
    <n v="0.11031863389137442"/>
    <n v="0"/>
    <n v="0.30011315157289964"/>
    <n v="4.6947725673886387E-2"/>
    <n v="0"/>
    <n v="0"/>
    <m/>
    <m/>
    <m/>
    <n v="-1420.066550437667"/>
    <n v="0"/>
    <n v="0"/>
    <n v="740.14846000000011"/>
    <n v="-25.978939999999994"/>
    <n v="0"/>
    <n v="0"/>
    <n v="751.8499529556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19"/>
    <s v="Regular"/>
    <s v="Verde"/>
    <s v="A4"/>
    <s v="Industrial"/>
    <s v="Não se aplica"/>
    <s v="Não se aplica"/>
    <s v="Não se aplica"/>
    <s v="Fora ponta"/>
    <s v="CATIVO"/>
    <x v="5"/>
    <n v="0"/>
    <n v="0"/>
    <n v="563.62300000000005"/>
    <n v="563.62300000000005"/>
    <n v="563.62300000000005"/>
    <n v="563.62300000000005"/>
    <m/>
    <n v="70.33"/>
    <n v="173.82"/>
    <m/>
    <n v="137608.55545000001"/>
    <n v="137608.55545000001"/>
    <n v="148982.46759000001"/>
    <n v="0"/>
    <n v="29984.758541353043"/>
    <n v="0"/>
    <n v="0"/>
    <n v="0"/>
    <n v="0"/>
    <n v="0"/>
    <n v="90699.416800272476"/>
    <n v="4563.0159398728265"/>
    <n v="0"/>
    <n v="0"/>
    <n v="0"/>
    <n v="0"/>
    <n v="5327.080900657329"/>
    <m/>
    <n v="700.43158598185983"/>
    <n v="0"/>
    <n v="0"/>
    <n v="0"/>
    <n v="0"/>
    <n v="0"/>
    <n v="0"/>
    <n v="0"/>
    <n v="0"/>
    <n v="0"/>
    <n v="0"/>
    <n v="0"/>
    <n v="0"/>
    <m/>
    <n v="0"/>
    <n v="0"/>
    <n v="0"/>
    <n v="105.16845853222863"/>
    <n v="2708.5964778249108"/>
    <n v="3521.6459641550923"/>
    <n v="0"/>
    <n v="0"/>
    <n v="0"/>
    <n v="0"/>
    <n v="0"/>
    <m/>
    <m/>
    <m/>
    <m/>
    <m/>
    <m/>
    <m/>
    <m/>
    <m/>
    <n v="97034.827700784692"/>
    <m/>
    <m/>
    <m/>
    <m/>
    <m/>
    <m/>
    <m/>
    <m/>
    <m/>
    <m/>
    <m/>
    <m/>
    <n v="148981.6746"/>
    <n v="11373.089149999985"/>
    <m/>
    <m/>
    <m/>
    <m/>
    <n v="-569.25923000000296"/>
    <n v="11943.17137"/>
    <m/>
    <n v="11368.903991382802"/>
    <n v="0"/>
    <n v="0"/>
    <n v="0"/>
    <n v="0"/>
    <n v="0"/>
    <n v="0"/>
    <n v="0"/>
    <n v="0"/>
    <n v="0"/>
    <n v="0"/>
    <n v="11642.272561015328"/>
    <n v="347.6782934788157"/>
    <n v="13.499533979917814"/>
    <n v="0"/>
    <n v="452.04218091475605"/>
    <n v="0"/>
    <n v="-876.31972628806398"/>
    <m/>
    <n v="0"/>
    <n v="0"/>
    <n v="-50.716247463098625"/>
    <n v="0"/>
    <n v="-137.96955532542597"/>
    <n v="-21.583048929439542"/>
    <n v="0"/>
    <n v="0"/>
    <m/>
    <m/>
    <m/>
    <n v="0"/>
    <n v="0"/>
    <n v="0"/>
    <n v="-569.2592300000033"/>
    <n v="11943.1713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0"/>
    <s v="Refaturamento - Regular"/>
    <s v="Verde"/>
    <s v="A4"/>
    <s v="Industrial"/>
    <s v="Não se aplica"/>
    <s v="Não se aplica"/>
    <s v="Não se aplica"/>
    <s v="Fora ponta"/>
    <s v="CATIVO"/>
    <x v="5"/>
    <n v="0"/>
    <n v="0"/>
    <n v="-58.784999999999997"/>
    <n v="-58.784999999999997"/>
    <n v="-58.784999999999997"/>
    <n v="-58.784999999999997"/>
    <m/>
    <n v="70.33"/>
    <n v="173.82"/>
    <m/>
    <n v="-14352.357749999999"/>
    <n v="-14352.357749999999"/>
    <n v="-15538.639049999998"/>
    <n v="0"/>
    <n v="-3127.3635583598229"/>
    <n v="0"/>
    <n v="0"/>
    <n v="0"/>
    <n v="0"/>
    <n v="0"/>
    <n v="-9459.8077378034905"/>
    <n v="-475.91544707264262"/>
    <n v="0"/>
    <n v="0"/>
    <n v="0"/>
    <n v="0"/>
    <n v="-555.60623101814701"/>
    <m/>
    <n v="-73.053922181925898"/>
    <n v="0"/>
    <n v="0"/>
    <n v="0"/>
    <n v="0"/>
    <n v="0"/>
    <n v="0"/>
    <n v="0"/>
    <n v="0"/>
    <n v="0"/>
    <n v="0"/>
    <n v="0"/>
    <n v="0"/>
    <m/>
    <n v="0"/>
    <n v="0"/>
    <n v="0"/>
    <n v="-10.968906227774699"/>
    <n v="-282.50238891765838"/>
    <n v="-367.30218249229904"/>
    <n v="0"/>
    <n v="0"/>
    <n v="0"/>
    <n v="0"/>
    <n v="0"/>
    <m/>
    <m/>
    <m/>
    <m/>
    <m/>
    <m/>
    <m/>
    <m/>
    <m/>
    <n v="-10120.581215441223"/>
    <m/>
    <m/>
    <m/>
    <m/>
    <m/>
    <m/>
    <m/>
    <m/>
    <m/>
    <m/>
    <m/>
    <m/>
    <n v="-15539.9607"/>
    <n v="-1187.6329500000011"/>
    <m/>
    <m/>
    <m/>
    <m/>
    <n v="59.372850000000298"/>
    <n v="-1245.6541499999998"/>
    <m/>
    <n v="-1185.7589579088108"/>
    <n v="0"/>
    <n v="0"/>
    <n v="0"/>
    <n v="0"/>
    <n v="0"/>
    <n v="0"/>
    <n v="0"/>
    <n v="0"/>
    <n v="0"/>
    <n v="0"/>
    <n v="-1214.2708734371845"/>
    <n v="-36.262303848764418"/>
    <n v="-1.4079803432604212"/>
    <n v="0"/>
    <n v="-47.147294565824893"/>
    <n v="0"/>
    <n v="91.39878094017422"/>
    <m/>
    <n v="0"/>
    <n v="0"/>
    <n v="5.289625524718133"/>
    <n v="0"/>
    <n v="14.390009474072485"/>
    <n v="2.2510783472588969"/>
    <n v="0"/>
    <n v="0"/>
    <m/>
    <m/>
    <m/>
    <n v="0"/>
    <n v="0"/>
    <n v="0"/>
    <n v="59.372850000000653"/>
    <n v="-1245.6541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1"/>
    <s v="Regular"/>
    <s v="Verde"/>
    <s v="A4"/>
    <s v="Industrial"/>
    <s v="Não se aplica"/>
    <s v="Não se aplica"/>
    <s v="Não se aplica"/>
    <s v="Não se aplica"/>
    <s v="CATIVO"/>
    <x v="5"/>
    <n v="4240"/>
    <n v="4240"/>
    <n v="0"/>
    <n v="0"/>
    <n v="0"/>
    <n v="0"/>
    <n v="59.12"/>
    <m/>
    <m/>
    <n v="250668.79999999999"/>
    <m/>
    <n v="250668.79999999999"/>
    <n v="144287.20000000001"/>
    <n v="0"/>
    <n v="0"/>
    <n v="0"/>
    <n v="0"/>
    <n v="2425.5359405348117"/>
    <n v="21696.176039033424"/>
    <n v="204206.02247039098"/>
    <m/>
    <m/>
    <m/>
    <n v="0"/>
    <n v="0"/>
    <n v="0"/>
    <n v="0"/>
    <m/>
    <n v="0"/>
    <n v="5122.2257705258544"/>
    <n v="17218.588543444544"/>
    <n v="0"/>
    <n v="0"/>
    <m/>
    <m/>
    <n v="0"/>
    <n v="0"/>
    <n v="0"/>
    <m/>
    <m/>
    <n v="0"/>
    <m/>
    <n v="0"/>
    <n v="0"/>
    <n v="0"/>
    <n v="0"/>
    <m/>
    <n v="0"/>
    <n v="0"/>
    <n v="601.24"/>
    <n v="2480.5"/>
    <n v="87805.41"/>
    <n v="26"/>
    <m/>
    <m/>
    <m/>
    <m/>
    <m/>
    <m/>
    <m/>
    <m/>
    <m/>
    <n v="0"/>
    <m/>
    <m/>
    <m/>
    <m/>
    <m/>
    <m/>
    <m/>
    <m/>
    <m/>
    <m/>
    <m/>
    <m/>
    <n v="144287.20000000001"/>
    <n v="-106381.63"/>
    <m/>
    <m/>
    <m/>
    <m/>
    <n v="-106381.59999999999"/>
    <n v="0"/>
    <m/>
    <n v="1753.1449357177262"/>
    <n v="497.3357615406012"/>
    <n v="1671.8161653833449"/>
    <n v="0"/>
    <n v="0"/>
    <m/>
    <m/>
    <m/>
    <n v="-416.006991206217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206.02247039098"/>
    <m/>
    <n v="0"/>
    <n v="0"/>
    <n v="-106381.59999999998"/>
    <m/>
    <n v="0"/>
    <m/>
    <n v="-108116.2628190216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22"/>
    <s v="Refaturamento - Regular"/>
    <s v="Verde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70.61"/>
    <n v="-806.68"/>
    <n v="-5642.6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23"/>
    <s v="Regular"/>
    <s v="Convencional"/>
    <s v="B3"/>
    <s v="Comercial"/>
    <s v="Não se aplica"/>
    <s v="Não se aplica"/>
    <s v="Não se aplica"/>
    <s v="Não se aplica"/>
    <s v="CATIVO"/>
    <x v="5"/>
    <n v="0"/>
    <n v="0"/>
    <n v="404.34"/>
    <n v="404.34"/>
    <n v="404.34"/>
    <n v="404.34"/>
    <m/>
    <n v="516.83000000000004"/>
    <n v="173.82"/>
    <m/>
    <n v="279257.42099999997"/>
    <n v="279257.42099999997"/>
    <n v="210843.09299999999"/>
    <n v="0"/>
    <n v="24725.1709411993"/>
    <n v="0"/>
    <n v="0"/>
    <n v="1099.1756766348644"/>
    <n v="13920.056102832164"/>
    <n v="147024.41061770308"/>
    <n v="65067.256284825438"/>
    <n v="3273.4822126282611"/>
    <n v="0"/>
    <n v="0"/>
    <n v="0"/>
    <n v="0"/>
    <n v="3821.618158541763"/>
    <m/>
    <n v="627.35048211072353"/>
    <n v="2344.5670180556235"/>
    <n v="7678.139971439542"/>
    <n v="0"/>
    <n v="0"/>
    <n v="0"/>
    <n v="0"/>
    <n v="0"/>
    <n v="0"/>
    <n v="0"/>
    <n v="0"/>
    <n v="0"/>
    <n v="0"/>
    <m/>
    <n v="0"/>
    <n v="0"/>
    <n v="0"/>
    <n v="224.33293357884855"/>
    <n v="1943.1320223690734"/>
    <n v="7511.9592051729524"/>
    <n v="0"/>
    <n v="367.37"/>
    <n v="1527.12"/>
    <n v="115774.35"/>
    <n v="510"/>
    <m/>
    <m/>
    <m/>
    <m/>
    <m/>
    <m/>
    <m/>
    <m/>
    <m/>
    <n v="74746.680445946316"/>
    <m/>
    <m/>
    <m/>
    <m/>
    <m/>
    <m/>
    <m/>
    <m/>
    <m/>
    <m/>
    <m/>
    <m/>
    <n v="210843.09299999999"/>
    <n v="-68414.358000000007"/>
    <m/>
    <m/>
    <m/>
    <m/>
    <n v="-76982.292600000015"/>
    <n v="8567.9645999999993"/>
    <m/>
    <n v="9423.4991205240367"/>
    <n v="227.6426451401785"/>
    <n v="745.49888290437866"/>
    <n v="0"/>
    <n v="0"/>
    <n v="0"/>
    <n v="0"/>
    <n v="0"/>
    <n v="-266.90605046448945"/>
    <n v="0"/>
    <n v="0"/>
    <n v="8352.1014708784714"/>
    <n v="249.42247066784762"/>
    <n v="28.795611364164102"/>
    <n v="0"/>
    <n v="964.24298655011262"/>
    <n v="0"/>
    <n v="-722.60561984299056"/>
    <m/>
    <n v="0"/>
    <n v="0"/>
    <n v="-36.383553366752494"/>
    <n v="0"/>
    <n v="-98.978590299335792"/>
    <n v="-19.331133007545645"/>
    <n v="0"/>
    <n v="0"/>
    <m/>
    <m/>
    <m/>
    <n v="147024.41061770308"/>
    <n v="0"/>
    <n v="0"/>
    <n v="-76982.292600000015"/>
    <n v="8567.9646000000066"/>
    <n v="0"/>
    <n v="0"/>
    <n v="-77841.630853272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4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2.4E-2"/>
    <n v="-2.4E-2"/>
    <n v="-2.4E-2"/>
    <n v="-2.4E-2"/>
    <m/>
    <n v="516.83000000000004"/>
    <n v="173.82"/>
    <m/>
    <n v="-16.575600000000001"/>
    <n v="-16.575600000000001"/>
    <n v="-12.514799999999999"/>
    <n v="0"/>
    <n v="-1.4675869381925688"/>
    <n v="0"/>
    <n v="0"/>
    <n v="-6.5242657761380884E-2"/>
    <n v="-0.82623867652958394"/>
    <n v="-8.7267790840007766"/>
    <n v="-3.8621312529945357"/>
    <n v="-0.1943007694096015"/>
    <n v="0"/>
    <n v="0"/>
    <n v="0"/>
    <n v="0"/>
    <n v="-0.22683591978286174"/>
    <m/>
    <n v="-3.723700739639256E-2"/>
    <n v="-0.13916409069925056"/>
    <n v="-0.45574358043861363"/>
    <n v="0"/>
    <n v="0"/>
    <n v="0"/>
    <n v="0"/>
    <n v="0"/>
    <n v="0"/>
    <n v="0"/>
    <n v="0"/>
    <n v="0"/>
    <n v="0"/>
    <m/>
    <n v="0"/>
    <n v="0"/>
    <n v="0"/>
    <n v="-1.3315502809250545E-2"/>
    <n v="-0.11533652009906951"/>
    <n v="-0.44587975694749682"/>
    <n v="0"/>
    <n v="-0.09"/>
    <n v="-0.4"/>
    <n v="-6.92"/>
    <n v="0"/>
    <m/>
    <m/>
    <m/>
    <m/>
    <m/>
    <m/>
    <m/>
    <m/>
    <m/>
    <n v="-4.4366630328503529"/>
    <m/>
    <m/>
    <m/>
    <m/>
    <m/>
    <m/>
    <m/>
    <m/>
    <m/>
    <m/>
    <m/>
    <m/>
    <n v="-10.429"/>
    <n v="6.1166"/>
    <m/>
    <m/>
    <m/>
    <m/>
    <n v="4.5693600000000014"/>
    <n v="-0.5085599999999999"/>
    <m/>
    <n v="-0.55934109633619311"/>
    <n v="-1.3511954007430077E-2"/>
    <n v="-4.4249822401209615E-2"/>
    <n v="0"/>
    <n v="0"/>
    <n v="0"/>
    <n v="0"/>
    <n v="0"/>
    <n v="1.5842472204451119E-2"/>
    <n v="0"/>
    <n v="0"/>
    <n v="-0.49574723079854399"/>
    <n v="-1.4804717059970177E-2"/>
    <n v="-1.7091919492010169E-3"/>
    <n v="0"/>
    <n v="-5.7233594690613621E-2"/>
    <n v="0"/>
    <n v="4.2890970164296771E-2"/>
    <m/>
    <n v="0"/>
    <n v="0"/>
    <n v="2.1595817401247885E-3"/>
    <n v="0"/>
    <n v="5.8749719720632698E-3"/>
    <n v="1.1474184898380008E-3"/>
    <n v="0"/>
    <n v="0"/>
    <m/>
    <m/>
    <m/>
    <n v="-8.7267790840007766"/>
    <n v="0"/>
    <n v="0"/>
    <n v="4.5693600000000014"/>
    <n v="-0.50855999999999923"/>
    <n v="0"/>
    <n v="0"/>
    <n v="4.6203668706498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5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5.571"/>
    <n v="15.571"/>
    <n v="15.571"/>
    <n v="15.571"/>
    <m/>
    <n v="516.83000000000004"/>
    <n v="173.82"/>
    <m/>
    <n v="10754.111150000001"/>
    <n v="10754.111150000001"/>
    <n v="8119.497949999999"/>
    <n v="0"/>
    <n v="952.15817560818698"/>
    <n v="0"/>
    <n v="0"/>
    <n v="42.328892666769235"/>
    <n v="536.05676801008963"/>
    <n v="5661.8615465406701"/>
    <n v="2505.7185725157465"/>
    <n v="126.06072001987104"/>
    <n v="0"/>
    <n v="0"/>
    <n v="0"/>
    <n v="0"/>
    <n v="147.16925445578917"/>
    <m/>
    <n v="24.159060090384521"/>
    <n v="90.28850234491793"/>
    <n v="295.68263712540215"/>
    <n v="0"/>
    <n v="0"/>
    <n v="0"/>
    <n v="0"/>
    <n v="0"/>
    <n v="0"/>
    <n v="0"/>
    <n v="0"/>
    <n v="0"/>
    <n v="0"/>
    <m/>
    <n v="0"/>
    <n v="0"/>
    <n v="0"/>
    <n v="8.6389872601183431"/>
    <n v="74.829373102608798"/>
    <n v="289.2830706428947"/>
    <n v="0"/>
    <n v="14.32"/>
    <n v="59.36"/>
    <n v="13010.3"/>
    <n v="46"/>
    <m/>
    <m/>
    <m/>
    <m/>
    <m/>
    <m/>
    <m/>
    <m/>
    <m/>
    <n v="2878.4700035213682"/>
    <m/>
    <m/>
    <m/>
    <m/>
    <m/>
    <m/>
    <m/>
    <m/>
    <m/>
    <m/>
    <m/>
    <m/>
    <n v="8118.9764999999998"/>
    <n v="-2635.1646500000015"/>
    <m/>
    <m/>
    <m/>
    <m/>
    <n v="-2964.5626900000007"/>
    <n v="329.94948999999997"/>
    <m/>
    <n v="362.89584212711998"/>
    <n v="8.7664431604039237"/>
    <n v="28.708916025384838"/>
    <n v="0"/>
    <n v="0"/>
    <n v="0"/>
    <n v="0"/>
    <n v="0"/>
    <n v="-10.278463945646195"/>
    <n v="0"/>
    <n v="0"/>
    <n v="321.63667211517213"/>
    <n v="9.6051770558664913"/>
    <n v="1.1089094933753767"/>
    <n v="0"/>
    <n v="37.132679288647694"/>
    <n v="0"/>
    <n v="-27.827304017844426"/>
    <m/>
    <n v="0"/>
    <n v="0"/>
    <n v="-1.401118636478472"/>
    <n v="0"/>
    <n v="-3.8116328573748888"/>
    <n v="-0.74443555438614695"/>
    <n v="0"/>
    <n v="0"/>
    <m/>
    <m/>
    <m/>
    <n v="5661.8615465406701"/>
    <n v="0"/>
    <n v="0"/>
    <n v="-2964.5626900000007"/>
    <n v="329.94948999999997"/>
    <n v="0"/>
    <n v="0"/>
    <n v="-2997.655522620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6"/>
    <s v="Regular"/>
    <s v="Verde"/>
    <s v="A4"/>
    <s v="Comercial"/>
    <s v="Não se aplica"/>
    <s v="Não se aplica"/>
    <s v="Não se aplica"/>
    <s v="Ponta"/>
    <s v="CATIVO"/>
    <x v="5"/>
    <n v="0"/>
    <n v="0"/>
    <n v="19.033999999999999"/>
    <n v="19.033999999999999"/>
    <n v="19.033999999999999"/>
    <n v="19.033999999999999"/>
    <m/>
    <n v="1684.16"/>
    <n v="173.82"/>
    <m/>
    <n v="35364.791319999997"/>
    <n v="35364.791319999997"/>
    <n v="24277.105639999998"/>
    <n v="0"/>
    <n v="1012.6093045814556"/>
    <n v="0"/>
    <n v="0"/>
    <n v="342.6005769302036"/>
    <n v="5226.4685760127095"/>
    <n v="22046.938597904202"/>
    <n v="3062.9919278957495"/>
    <n v="154.09670187259812"/>
    <n v="0"/>
    <n v="0"/>
    <n v="0"/>
    <n v="0"/>
    <n v="179.89978738112461"/>
    <m/>
    <n v="23.654135490529516"/>
    <n v="735.78103783580207"/>
    <n v="2365.9009039809662"/>
    <n v="0"/>
    <n v="0"/>
    <n v="0"/>
    <n v="0"/>
    <n v="0"/>
    <n v="0"/>
    <n v="0"/>
    <n v="0"/>
    <n v="0"/>
    <n v="0"/>
    <m/>
    <n v="0"/>
    <n v="0"/>
    <n v="0"/>
    <n v="3.5516230524702497"/>
    <n v="91.471471815237038"/>
    <n v="118.92880397309551"/>
    <n v="0"/>
    <n v="0"/>
    <n v="0"/>
    <n v="0"/>
    <n v="0"/>
    <m/>
    <m/>
    <m/>
    <m/>
    <m/>
    <m/>
    <m/>
    <m/>
    <m/>
    <n v="3276.9438267365526"/>
    <m/>
    <m/>
    <m/>
    <m/>
    <m/>
    <m/>
    <m/>
    <m/>
    <m/>
    <m/>
    <m/>
    <m/>
    <n v="24272.003800000002"/>
    <n v="-11092.817519999993"/>
    <m/>
    <m/>
    <m/>
    <m/>
    <n v="-11491.01614"/>
    <n v="403.33045999999996"/>
    <m/>
    <n v="584.87731646198336"/>
    <n v="71.439690316819906"/>
    <n v="229.71403068204245"/>
    <n v="0"/>
    <n v="0"/>
    <n v="0"/>
    <n v="0"/>
    <n v="0"/>
    <n v="-100.21339534807521"/>
    <n v="0"/>
    <n v="0"/>
    <n v="393.16886629247892"/>
    <n v="11.741374354978021"/>
    <n v="0.45589007150835847"/>
    <n v="0"/>
    <n v="15.265826397310747"/>
    <n v="0"/>
    <n v="-29.594018821387635"/>
    <m/>
    <n v="0"/>
    <n v="0"/>
    <n v="-1.7127282850639745"/>
    <n v="0"/>
    <n v="-4.6593423548438579"/>
    <n v="-0.72887684378201811"/>
    <n v="0"/>
    <n v="0"/>
    <m/>
    <m/>
    <m/>
    <n v="22046.938597904202"/>
    <n v="0"/>
    <n v="0"/>
    <n v="-11491.01614"/>
    <n v="403.33046000000013"/>
    <n v="0"/>
    <n v="0"/>
    <n v="-11672.685158692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7"/>
    <s v="Sistema de Compensação"/>
    <s v="Verde"/>
    <s v="A4"/>
    <s v="Comercial"/>
    <s v="Não se aplica"/>
    <s v="Não se aplica"/>
    <s v="Não se aplica"/>
    <s v="Ponta"/>
    <s v="CATIVO"/>
    <x v="5"/>
    <n v="0"/>
    <n v="0"/>
    <n v="4.5419999999999998"/>
    <n v="4.5419999999999998"/>
    <n v="4.5419999999999998"/>
    <n v="4.5419999999999998"/>
    <m/>
    <n v="1684.16"/>
    <n v="173.82"/>
    <m/>
    <n v="8438.9451599999993"/>
    <n v="8438.9451599999993"/>
    <n v="5793.1393200000002"/>
    <n v="0"/>
    <n v="241.63452040606134"/>
    <n v="0"/>
    <n v="0"/>
    <n v="81.753274162918188"/>
    <n v="1247.1692903357007"/>
    <n v="5260.9643328612428"/>
    <n v="730.9083396292159"/>
    <n v="36.77142061076708"/>
    <n v="0"/>
    <n v="0"/>
    <n v="0"/>
    <n v="0"/>
    <n v="42.928697818906585"/>
    <m/>
    <n v="5.644482683512928"/>
    <n v="175.57620436325593"/>
    <n v="564.56456372184243"/>
    <n v="0"/>
    <n v="0"/>
    <n v="0"/>
    <n v="0"/>
    <n v="0"/>
    <n v="0"/>
    <n v="0"/>
    <n v="0"/>
    <n v="0"/>
    <n v="0"/>
    <m/>
    <n v="0"/>
    <n v="0"/>
    <n v="0"/>
    <n v="0.84750824337080344"/>
    <n v="21.827436428748904"/>
    <n v="28.379459264778809"/>
    <n v="0"/>
    <n v="0"/>
    <n v="0"/>
    <n v="0"/>
    <n v="0"/>
    <m/>
    <m/>
    <m/>
    <m/>
    <m/>
    <m/>
    <m/>
    <m/>
    <m/>
    <n v="781.96274356611445"/>
    <m/>
    <m/>
    <m/>
    <m/>
    <m/>
    <m/>
    <m/>
    <m/>
    <m/>
    <m/>
    <m/>
    <m/>
    <n v="5790.5884000000005"/>
    <n v="-2648.3867599999994"/>
    <m/>
    <m/>
    <m/>
    <m/>
    <n v="-2742.0508199999999"/>
    <n v="96.244979999999984"/>
    <m/>
    <n v="139.56671069508957"/>
    <n v="17.04734020274222"/>
    <n v="54.815652377736455"/>
    <n v="0"/>
    <n v="0"/>
    <n v="0"/>
    <n v="0"/>
    <n v="0"/>
    <n v="-23.913483328305119"/>
    <n v="0"/>
    <n v="0"/>
    <n v="93.820163428624483"/>
    <n v="2.8017927035993573"/>
    <n v="0.1087870497420913"/>
    <n v="0"/>
    <n v="3.6428172479029826"/>
    <n v="0"/>
    <n v="-7.0618910101262315"/>
    <m/>
    <n v="0"/>
    <n v="0"/>
    <n v="-0.40870084431861642"/>
    <n v="0"/>
    <n v="-1.1118384457129764"/>
    <n v="-0.17392868679509998"/>
    <n v="0"/>
    <n v="0"/>
    <m/>
    <m/>
    <m/>
    <n v="5260.9643328612428"/>
    <n v="0"/>
    <n v="0"/>
    <n v="-2742.0508199999995"/>
    <n v="96.244980000000055"/>
    <n v="0"/>
    <n v="0"/>
    <n v="-2785.40170173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8"/>
    <s v="Regular"/>
    <s v="Verde"/>
    <s v="A4"/>
    <s v="Comercial"/>
    <s v="Não se aplica"/>
    <s v="Não se aplica"/>
    <s v="Não se aplica"/>
    <s v="Fora ponta"/>
    <s v="CATIVO"/>
    <x v="5"/>
    <n v="0"/>
    <n v="0"/>
    <n v="312.28100000000001"/>
    <n v="312.28100000000001"/>
    <n v="312.28100000000001"/>
    <n v="312.28100000000001"/>
    <m/>
    <n v="70.33"/>
    <n v="173.82"/>
    <m/>
    <n v="76243.406149999995"/>
    <n v="76243.406149999995"/>
    <n v="82545.236730000004"/>
    <n v="0"/>
    <n v="16613.357478407142"/>
    <n v="0"/>
    <n v="0"/>
    <n v="0"/>
    <n v="0"/>
    <n v="0"/>
    <n v="50252.925409016112"/>
    <n v="2528.1849404999903"/>
    <n v="0"/>
    <n v="0"/>
    <n v="0"/>
    <n v="0"/>
    <n v="2951.5228277379938"/>
    <m/>
    <n v="388.08117500882884"/>
    <n v="0"/>
    <n v="0"/>
    <n v="0"/>
    <n v="0"/>
    <n v="0"/>
    <n v="0"/>
    <n v="0"/>
    <n v="0"/>
    <n v="0"/>
    <n v="0"/>
    <n v="0"/>
    <n v="0"/>
    <m/>
    <n v="0"/>
    <n v="0"/>
    <n v="0"/>
    <n v="58.269643713799624"/>
    <n v="1500.7251597107302"/>
    <n v="1951.2034167028603"/>
    <n v="0"/>
    <n v="0"/>
    <n v="0"/>
    <n v="0"/>
    <n v="0"/>
    <m/>
    <m/>
    <m/>
    <m/>
    <m/>
    <m/>
    <m/>
    <m/>
    <m/>
    <n v="53763.123629143505"/>
    <m/>
    <m/>
    <m/>
    <m/>
    <m/>
    <m/>
    <m/>
    <m/>
    <m/>
    <m/>
    <m/>
    <m/>
    <n v="82544.972399999984"/>
    <n v="6301.5362499999901"/>
    <m/>
    <m/>
    <m/>
    <m/>
    <n v="-315.40381000000161"/>
    <n v="6617.2343899999996"/>
    <m/>
    <n v="6299.0557648162358"/>
    <n v="0"/>
    <n v="0"/>
    <n v="0"/>
    <n v="0"/>
    <n v="0"/>
    <n v="0"/>
    <n v="0"/>
    <n v="0"/>
    <n v="0"/>
    <n v="0"/>
    <n v="6450.5183742083391"/>
    <n v="192.63466034185626"/>
    <n v="7.4795527698172606"/>
    <n v="0"/>
    <n v="250.45852333606149"/>
    <n v="0"/>
    <n v="-485.53377070304487"/>
    <m/>
    <n v="0"/>
    <n v="0"/>
    <n v="-28.099847724496158"/>
    <n v="0"/>
    <n v="-76.443421766995471"/>
    <n v="-11.958305645323719"/>
    <n v="0"/>
    <n v="0"/>
    <m/>
    <m/>
    <m/>
    <n v="0"/>
    <n v="0"/>
    <n v="0"/>
    <n v="-315.40381000000343"/>
    <n v="6617.23438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29"/>
    <s v="Sistema de Compensação"/>
    <s v="Verde"/>
    <s v="A4"/>
    <s v="Comercial"/>
    <s v="Não se aplica"/>
    <s v="Não se aplica"/>
    <s v="Não se aplica"/>
    <s v="Fora ponta"/>
    <s v="CATIVO"/>
    <x v="5"/>
    <n v="0"/>
    <n v="0"/>
    <n v="28.065999999999999"/>
    <n v="28.065999999999999"/>
    <n v="28.065999999999999"/>
    <n v="28.065999999999999"/>
    <m/>
    <n v="70.33"/>
    <n v="173.82"/>
    <m/>
    <n v="6852.3138999999992"/>
    <n v="6852.3138999999992"/>
    <n v="7418.6857799999989"/>
    <n v="0"/>
    <n v="1493.1119440150853"/>
    <n v="0"/>
    <n v="0"/>
    <n v="0"/>
    <n v="0"/>
    <n v="0"/>
    <n v="4516.4406561060268"/>
    <n v="227.2185580937448"/>
    <n v="0"/>
    <n v="0"/>
    <n v="0"/>
    <n v="0"/>
    <n v="265.26570519274156"/>
    <m/>
    <n v="34.878478862940078"/>
    <n v="0"/>
    <n v="0"/>
    <n v="0"/>
    <n v="0"/>
    <n v="0"/>
    <n v="0"/>
    <n v="0"/>
    <n v="0"/>
    <n v="0"/>
    <n v="0"/>
    <n v="0"/>
    <n v="0"/>
    <m/>
    <n v="0"/>
    <n v="0"/>
    <n v="0"/>
    <n v="5.2369366707276468"/>
    <n v="134.87644887918685"/>
    <n v="175.36281455862661"/>
    <n v="0"/>
    <n v="0"/>
    <n v="0"/>
    <n v="0"/>
    <n v="0"/>
    <m/>
    <m/>
    <m/>
    <m/>
    <m/>
    <m/>
    <m/>
    <m/>
    <m/>
    <n v="4831.9168562145678"/>
    <m/>
    <m/>
    <m/>
    <m/>
    <m/>
    <m/>
    <m/>
    <m/>
    <m/>
    <m/>
    <m/>
    <m/>
    <n v="7419.7430999999997"/>
    <n v="567.39919999999984"/>
    <m/>
    <m/>
    <m/>
    <m/>
    <n v="-28.346660000000142"/>
    <n v="594.71853999999996"/>
    <m/>
    <n v="566.12249575008354"/>
    <n v="0"/>
    <n v="0"/>
    <n v="0"/>
    <n v="0"/>
    <n v="0"/>
    <n v="0"/>
    <n v="0"/>
    <n v="0"/>
    <n v="0"/>
    <n v="0"/>
    <n v="579.73507414966389"/>
    <n v="17.312882875213461"/>
    <n v="0.6722187005859821"/>
    <n v="0"/>
    <n v="22.509755367601286"/>
    <n v="0"/>
    <n v="-43.636951362880382"/>
    <m/>
    <n v="0"/>
    <n v="0"/>
    <n v="-2.5254508799309292"/>
    <n v="0"/>
    <n v="-6.8702901403303258"/>
    <n v="-1.0747429598395613"/>
    <n v="0"/>
    <n v="0"/>
    <m/>
    <m/>
    <m/>
    <n v="0"/>
    <n v="0"/>
    <n v="0"/>
    <n v="-28.346660000000156"/>
    <n v="594.71853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0"/>
    <s v="Regular"/>
    <s v="Verde"/>
    <s v="A4"/>
    <s v="Comercial"/>
    <s v="Não se aplica"/>
    <s v="Não se aplica"/>
    <s v="Não se aplica"/>
    <s v="Não se aplica"/>
    <s v="CATIVO"/>
    <x v="5"/>
    <n v="3231"/>
    <n v="3231"/>
    <n v="0"/>
    <n v="0"/>
    <n v="0"/>
    <n v="0"/>
    <n v="59.12"/>
    <m/>
    <m/>
    <n v="191016.72"/>
    <m/>
    <n v="191016.72"/>
    <n v="109950.93000000001"/>
    <n v="0"/>
    <n v="0"/>
    <n v="0"/>
    <n v="0"/>
    <n v="1848.3270339311266"/>
    <n v="16533.100184461557"/>
    <n v="155610.76853816822"/>
    <m/>
    <m/>
    <m/>
    <n v="0"/>
    <n v="0"/>
    <n v="0"/>
    <n v="0"/>
    <m/>
    <n v="0"/>
    <n v="3903.281005794584"/>
    <n v="13121.051788648427"/>
    <n v="0"/>
    <n v="0"/>
    <m/>
    <m/>
    <n v="0"/>
    <n v="0"/>
    <n v="0"/>
    <m/>
    <m/>
    <n v="0"/>
    <m/>
    <n v="0"/>
    <n v="0"/>
    <n v="0"/>
    <n v="0"/>
    <m/>
    <n v="0"/>
    <n v="0"/>
    <n v="368.14"/>
    <n v="1518.82"/>
    <n v="83059.8"/>
    <n v="16"/>
    <m/>
    <m/>
    <m/>
    <m/>
    <m/>
    <m/>
    <m/>
    <m/>
    <m/>
    <n v="0"/>
    <m/>
    <m/>
    <m/>
    <m/>
    <m/>
    <m/>
    <m/>
    <m/>
    <m/>
    <m/>
    <m/>
    <m/>
    <n v="109950.93000000001"/>
    <n v="-81065.820000000022"/>
    <m/>
    <m/>
    <m/>
    <m/>
    <n v="-81065.789999999994"/>
    <n v="0"/>
    <m/>
    <n v="1335.9460583264081"/>
    <n v="378.98392583435862"/>
    <n v="1273.9712335739569"/>
    <n v="0"/>
    <n v="0"/>
    <m/>
    <m/>
    <m/>
    <n v="-317.009101081908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610.76853816822"/>
    <m/>
    <n v="0"/>
    <n v="0"/>
    <n v="-81065.789999999994"/>
    <m/>
    <n v="0"/>
    <m/>
    <n v="-82387.65216232523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31"/>
    <s v="Sistema de Compensação"/>
    <s v="Verde"/>
    <s v="A4"/>
    <s v="Comercial"/>
    <s v="Não se aplica"/>
    <s v="Não se aplica"/>
    <s v="Não se aplica"/>
    <s v="Não se aplica"/>
    <s v="CATIVO"/>
    <x v="5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30.81"/>
    <n v="127.13"/>
    <n v="7390.43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m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32"/>
    <s v="Regular"/>
    <s v="Convencional"/>
    <s v="B2"/>
    <s v="Rural"/>
    <s v="Não se aplica"/>
    <s v="Não se aplica"/>
    <s v="Não se aplica"/>
    <s v="Não se aplica"/>
    <s v="CATIVO"/>
    <x v="5"/>
    <n v="0"/>
    <n v="0"/>
    <n v="2977.8919999999998"/>
    <n v="2977.8919999999998"/>
    <n v="2977.8919999999998"/>
    <n v="2977.8919999999998"/>
    <m/>
    <n v="516.83000000000004"/>
    <n v="173.82"/>
    <m/>
    <n v="2056681.1098"/>
    <n v="2056681.1098"/>
    <n v="1552821.7833999998"/>
    <n v="0"/>
    <n v="182096.4751061727"/>
    <n v="0"/>
    <n v="0"/>
    <n v="8095.2328585980849"/>
    <n v="102518.73103866815"/>
    <n v="1082808.5675005515"/>
    <n v="479208.7400517668"/>
    <n v="24108.612784112374"/>
    <n v="0"/>
    <n v="0"/>
    <n v="0"/>
    <n v="0"/>
    <n v="28145.53628475107"/>
    <m/>
    <n v="4620.3244345690928"/>
    <n v="17267.318015857192"/>
    <n v="56548.131759979326"/>
    <n v="0"/>
    <n v="0"/>
    <n v="0"/>
    <n v="0"/>
    <n v="0"/>
    <n v="0"/>
    <n v="0"/>
    <n v="0"/>
    <n v="0"/>
    <n v="0"/>
    <m/>
    <n v="0"/>
    <n v="0"/>
    <n v="0"/>
    <n v="1652.17205381853"/>
    <n v="14310.820854619094"/>
    <n v="55324.240048995627"/>
    <n v="0"/>
    <n v="2672.87"/>
    <n v="11250.78"/>
    <n v="97859.4"/>
    <n v="10255"/>
    <m/>
    <m/>
    <m/>
    <m/>
    <m/>
    <n v="186326.70243999996"/>
    <m/>
    <m/>
    <m/>
    <n v="550495.97300920007"/>
    <m/>
    <m/>
    <m/>
    <m/>
    <m/>
    <m/>
    <m/>
    <m/>
    <m/>
    <m/>
    <m/>
    <m/>
    <n v="1366494.1631999998"/>
    <n v="-443379.28764"/>
    <m/>
    <m/>
    <m/>
    <m/>
    <n v="-566960.85788000014"/>
    <n v="63101.531479999991"/>
    <m/>
    <n v="69402.390668782755"/>
    <n v="1676.5474892955826"/>
    <n v="5490.466338749291"/>
    <n v="0"/>
    <n v="0"/>
    <n v="0"/>
    <n v="0"/>
    <n v="0"/>
    <n v="-1965.7154682440596"/>
    <n v="0"/>
    <n v="0"/>
    <n v="61511.738025714119"/>
    <n v="1836.9520206311972"/>
    <n v="212.07454299958818"/>
    <n v="0"/>
    <n v="7101.4776566841974"/>
    <n v="0"/>
    <n v="-5321.8615385207522"/>
    <m/>
    <n v="0"/>
    <n v="0"/>
    <n v="-267.95838280265525"/>
    <n v="0"/>
    <n v="-728.9596681596413"/>
    <n v="-142.37034756419416"/>
    <n v="0"/>
    <n v="0"/>
    <m/>
    <m/>
    <m/>
    <n v="1082808.5675005515"/>
    <n v="0"/>
    <n v="0"/>
    <n v="-566960.85788000003"/>
    <n v="63101.531479999947"/>
    <n v="0"/>
    <n v="0"/>
    <n v="-573289.73088221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3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.347"/>
    <n v="-2.347"/>
    <n v="-2.347"/>
    <n v="-2.347"/>
    <m/>
    <n v="516.83000000000004"/>
    <n v="173.82"/>
    <m/>
    <n v="-1620.9555499999999"/>
    <n v="-1620.9555499999999"/>
    <n v="-1223.8431499999999"/>
    <n v="0"/>
    <n v="-143.51777266408163"/>
    <n v="0"/>
    <n v="0"/>
    <n v="-6.3801882402483718"/>
    <n v="-80.799257242288888"/>
    <n v="-853.40627125624258"/>
    <n v="-377.68425211575732"/>
    <n v="-19.000996075180613"/>
    <n v="0"/>
    <n v="0"/>
    <n v="0"/>
    <n v="0"/>
    <n v="-22.182662655432356"/>
    <m/>
    <n v="-3.6414690149722224"/>
    <n v="-13.609088369630877"/>
    <n v="-44.567924303726087"/>
    <n v="0"/>
    <n v="0"/>
    <n v="0"/>
    <n v="0"/>
    <n v="0"/>
    <n v="0"/>
    <n v="0"/>
    <n v="0"/>
    <n v="0"/>
    <n v="0"/>
    <m/>
    <n v="0"/>
    <n v="0"/>
    <n v="0"/>
    <n v="-1.3021452122212929"/>
    <n v="-11.278950528021506"/>
    <n v="-43.603324564823957"/>
    <n v="0"/>
    <n v="-10.19"/>
    <n v="-47.39"/>
    <n v="-9.84"/>
    <n v="0"/>
    <m/>
    <m/>
    <m/>
    <m/>
    <m/>
    <n v="-146.85178999999999"/>
    <m/>
    <m/>
    <m/>
    <n v="-433.86867242082405"/>
    <m/>
    <m/>
    <m/>
    <m/>
    <m/>
    <m/>
    <m/>
    <m/>
    <m/>
    <m/>
    <m/>
    <m/>
    <n v="-1078.3679999999999"/>
    <n v="348.03818999999999"/>
    <m/>
    <m/>
    <m/>
    <m/>
    <n v="446.8453300000001"/>
    <n v="-49.732929999999996"/>
    <m/>
    <n v="-54.698898045877058"/>
    <n v="-1.3213565023099356"/>
    <n v="-4.3272638823182916"/>
    <n v="0"/>
    <n v="0"/>
    <n v="0"/>
    <n v="0"/>
    <n v="0"/>
    <n v="1.5492617609936019"/>
    <n v="0"/>
    <n v="0"/>
    <n v="-48.479947945174274"/>
    <n v="-1.447777955822918"/>
    <n v="-0.16714472936561608"/>
    <n v="0"/>
    <n v="-5.5969686141195893"/>
    <n v="0"/>
    <n v="4.1943794573168702"/>
    <m/>
    <n v="0"/>
    <n v="0"/>
    <n v="0.21118909766970262"/>
    <n v="0"/>
    <n v="0.57452330076802127"/>
    <n v="0.11220796648540787"/>
    <n v="0"/>
    <n v="0"/>
    <m/>
    <m/>
    <m/>
    <n v="-853.40627125624258"/>
    <n v="0"/>
    <n v="0"/>
    <n v="446.84532999999999"/>
    <n v="-49.73293000000001"/>
    <n v="0"/>
    <n v="0"/>
    <n v="451.83337689229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44.627000000000002"/>
    <n v="44.627000000000002"/>
    <n v="44.627000000000002"/>
    <n v="44.627000000000002"/>
    <m/>
    <n v="516.83000000000004"/>
    <n v="173.82"/>
    <m/>
    <n v="30821.637550000003"/>
    <n v="30821.637550000003"/>
    <n v="23270.74915"/>
    <n v="0"/>
    <n v="2728.9167621133238"/>
    <n v="0"/>
    <n v="0"/>
    <n v="121.31600366321437"/>
    <n v="1536.3563923952393"/>
    <n v="16227.082090904278"/>
    <n v="7181.4721428077983"/>
    <n v="361.29418485176194"/>
    <n v="0"/>
    <n v="0"/>
    <n v="0"/>
    <n v="0"/>
    <n v="421.79194133957384"/>
    <m/>
    <n v="69.240663711617117"/>
    <n v="258.76982815147727"/>
    <n v="847.4361985097504"/>
    <n v="0"/>
    <n v="0"/>
    <n v="0"/>
    <n v="0"/>
    <n v="0"/>
    <n v="0"/>
    <n v="0"/>
    <n v="0"/>
    <n v="0"/>
    <n v="0"/>
    <m/>
    <n v="0"/>
    <n v="0"/>
    <n v="0"/>
    <n v="24.759622661184338"/>
    <n v="214.46345343588231"/>
    <n v="829.09482972066428"/>
    <n v="0"/>
    <n v="40.68"/>
    <n v="173.06"/>
    <n v="1507.57"/>
    <n v="199"/>
    <m/>
    <m/>
    <m/>
    <m/>
    <m/>
    <n v="2792.3113899999998"/>
    <m/>
    <m/>
    <m/>
    <n v="8249.7900486255294"/>
    <m/>
    <m/>
    <m/>
    <m/>
    <m/>
    <m/>
    <m/>
    <m/>
    <m/>
    <m/>
    <m/>
    <m/>
    <n v="20479.814400000003"/>
    <n v="-6643.1673899999914"/>
    <m/>
    <m/>
    <m/>
    <m/>
    <n v="-8496.5345300000026"/>
    <n v="945.64612999999997"/>
    <m/>
    <n v="1040.0714627581401"/>
    <n v="25.124915478732646"/>
    <n v="82.280701012449299"/>
    <n v="0"/>
    <n v="0"/>
    <n v="0"/>
    <n v="0"/>
    <n v="0"/>
    <n v="-29.458416961168268"/>
    <n v="0"/>
    <n v="0"/>
    <n v="921.82131953527642"/>
    <n v="27.528754509803719"/>
    <n v="3.1781712132080742"/>
    <n v="0"/>
    <n v="106.4234845940839"/>
    <n v="0"/>
    <n v="-79.753971896753228"/>
    <m/>
    <n v="0"/>
    <n v="0"/>
    <n v="-4.0156522631895655"/>
    <n v="0"/>
    <n v="-10.924265591552853"/>
    <n v="-2.1335768727500124"/>
    <n v="0"/>
    <n v="0"/>
    <m/>
    <m/>
    <m/>
    <n v="16227.082090904278"/>
    <n v="0"/>
    <n v="0"/>
    <n v="-8496.5345300000045"/>
    <n v="945.64613000000008"/>
    <n v="0"/>
    <n v="0"/>
    <n v="-8591.3796806870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5"/>
    <s v="Regular"/>
    <s v="Verde"/>
    <s v="A4"/>
    <s v="Rural"/>
    <s v="Não se aplica"/>
    <s v="Não se aplica"/>
    <s v="Não se aplica"/>
    <s v="Ponta"/>
    <s v="CATIVO"/>
    <x v="5"/>
    <n v="0"/>
    <n v="0"/>
    <n v="53.945"/>
    <n v="51.787199999999999"/>
    <n v="53.945"/>
    <n v="51.787199999999999"/>
    <m/>
    <n v="1684.16"/>
    <n v="173.82"/>
    <m/>
    <n v="100228.7311"/>
    <n v="100228.7311"/>
    <n v="68804.689700000003"/>
    <n v="0"/>
    <n v="2869.8754300539363"/>
    <n v="0"/>
    <n v="0"/>
    <n v="970.97762543342628"/>
    <n v="14812.537949616772"/>
    <n v="62484.086511712841"/>
    <n v="8680.9446017829268"/>
    <n v="436.73145857503971"/>
    <n v="0"/>
    <n v="0"/>
    <n v="0"/>
    <n v="0"/>
    <n v="509.8609871952699"/>
    <m/>
    <n v="67.039105760040712"/>
    <n v="2085.3056680704185"/>
    <n v="6705.2918075682055"/>
    <n v="0"/>
    <n v="0"/>
    <n v="0"/>
    <n v="0"/>
    <n v="0"/>
    <n v="0"/>
    <n v="0"/>
    <n v="0"/>
    <n v="0"/>
    <n v="0"/>
    <m/>
    <n v="0"/>
    <n v="0"/>
    <n v="0"/>
    <n v="10.065793084244385"/>
    <n v="259.24285736434604"/>
    <n v="337.06075077906053"/>
    <n v="0"/>
    <n v="0"/>
    <n v="0"/>
    <n v="0"/>
    <n v="0"/>
    <m/>
    <m/>
    <m/>
    <m/>
    <m/>
    <n v="2752.1875880000025"/>
    <m/>
    <m/>
    <m/>
    <n v="9287.3140030105787"/>
    <m/>
    <m/>
    <m/>
    <m/>
    <m/>
    <m/>
    <m/>
    <m/>
    <m/>
    <m/>
    <m/>
    <m/>
    <n v="66056.073399999994"/>
    <n v="-30163.538455999995"/>
    <m/>
    <m/>
    <m/>
    <m/>
    <n v="-32567.135950000004"/>
    <n v="1143.0945499999998"/>
    <m/>
    <n v="1657.6235597636769"/>
    <n v="202.47000599668218"/>
    <n v="651.04147237274265"/>
    <n v="0"/>
    <n v="0"/>
    <n v="0"/>
    <n v="0"/>
    <n v="0"/>
    <n v="-284.01868299106536"/>
    <n v="0"/>
    <n v="0"/>
    <n v="1114.2951818928104"/>
    <n v="33.276685908337129"/>
    <n v="1.2920557900345919"/>
    <n v="0"/>
    <n v="43.265472575545175"/>
    <n v="0"/>
    <n v="-83.873560224848006"/>
    <m/>
    <n v="0"/>
    <n v="0"/>
    <n v="-4.8541098737929929"/>
    <n v="0"/>
    <n v="-13.205223459706417"/>
    <n v="-2.0657382230650967"/>
    <n v="0"/>
    <n v="0"/>
    <m/>
    <m/>
    <m/>
    <n v="62484.086511712841"/>
    <n v="0"/>
    <n v="0"/>
    <n v="-32567.135950000004"/>
    <n v="1143.0945499999998"/>
    <n v="0"/>
    <n v="0"/>
    <n v="-33082.01118449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6"/>
    <s v="Sistema de Compensação"/>
    <s v="Verde"/>
    <s v="A4"/>
    <s v="Rural"/>
    <s v="Não se aplica"/>
    <s v="Não se aplica"/>
    <s v="Não se aplica"/>
    <s v="Ponta"/>
    <s v="CATIVO"/>
    <x v="5"/>
    <n v="0"/>
    <n v="0"/>
    <n v="4.3949999999999996"/>
    <n v="4.2191999999999998"/>
    <n v="4.3949999999999996"/>
    <n v="4.2191999999999998"/>
    <m/>
    <n v="1684.16"/>
    <n v="173.82"/>
    <m/>
    <n v="8165.8220999999994"/>
    <n v="8165.8220999999994"/>
    <n v="5605.6466999999993"/>
    <n v="0"/>
    <n v="233.81411650916766"/>
    <n v="0"/>
    <n v="0"/>
    <n v="79.10736238353708"/>
    <n v="1206.805158746236"/>
    <n v="5090.6953419033816"/>
    <n v="707.25278570462433"/>
    <n v="35.581328398133273"/>
    <n v="0"/>
    <n v="0"/>
    <n v="0"/>
    <n v="0"/>
    <n v="41.539327810236557"/>
    <m/>
    <n v="5.46180127565815"/>
    <n v="169.89375124978196"/>
    <n v="546.29265908355285"/>
    <n v="0"/>
    <n v="0"/>
    <n v="0"/>
    <n v="0"/>
    <n v="0"/>
    <n v="0"/>
    <n v="0"/>
    <n v="0"/>
    <n v="0"/>
    <n v="0"/>
    <m/>
    <n v="0"/>
    <n v="0"/>
    <n v="0"/>
    <n v="0.82007898054044059"/>
    <n v="21.121000243142102"/>
    <n v="27.460969499934578"/>
    <n v="0"/>
    <n v="0"/>
    <n v="0"/>
    <n v="0"/>
    <n v="0"/>
    <m/>
    <m/>
    <m/>
    <m/>
    <m/>
    <n v="224.22586799999968"/>
    <m/>
    <m/>
    <m/>
    <n v="756.65483442824143"/>
    <m/>
    <m/>
    <m/>
    <m/>
    <m/>
    <m/>
    <m/>
    <m/>
    <m/>
    <m/>
    <m/>
    <m/>
    <n v="5382.4411999999993"/>
    <n v="-2456.778016000002"/>
    <m/>
    <m/>
    <m/>
    <m/>
    <n v="-2653.3054499999998"/>
    <n v="93.130049999999983"/>
    <m/>
    <n v="135.04969033573707"/>
    <n v="16.495609905559718"/>
    <n v="53.041565874097728"/>
    <n v="0"/>
    <n v="0"/>
    <n v="0"/>
    <n v="0"/>
    <n v="0"/>
    <n v="-23.139533075275267"/>
    <n v="0"/>
    <n v="0"/>
    <n v="90.78371163998338"/>
    <n v="2.7111138116070386"/>
    <n v="0.10526620070816628"/>
    <n v="0"/>
    <n v="3.524918935388289"/>
    <n v="0"/>
    <n v="-6.8333357528632348"/>
    <m/>
    <n v="0"/>
    <n v="0"/>
    <n v="-0.39547340616035598"/>
    <n v="0"/>
    <n v="-1.0758542423840893"/>
    <n v="-0.16829955492392479"/>
    <n v="0"/>
    <n v="0"/>
    <m/>
    <m/>
    <m/>
    <n v="5090.6953419033816"/>
    <n v="0"/>
    <n v="0"/>
    <n v="-2653.3054499999998"/>
    <n v="93.130049999999983"/>
    <n v="0"/>
    <n v="0"/>
    <n v="-2695.2532979119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7"/>
    <s v="Regular"/>
    <s v="Verde"/>
    <s v="A4"/>
    <s v="Rural"/>
    <s v="Não se aplica"/>
    <s v="Não se aplica"/>
    <s v="Não se aplica"/>
    <s v="Fora ponta"/>
    <s v="CATIVO"/>
    <x v="5"/>
    <n v="0"/>
    <n v="0"/>
    <n v="586.95899999999995"/>
    <n v="563.48063999999999"/>
    <n v="586.95899999999995"/>
    <n v="563.48063999999999"/>
    <m/>
    <n v="70.33"/>
    <n v="173.82"/>
    <m/>
    <n v="143306.03984999997"/>
    <n v="143306.03984999997"/>
    <n v="155150.87246999997"/>
    <n v="0"/>
    <n v="31226.23435997828"/>
    <n v="0"/>
    <n v="0"/>
    <n v="0"/>
    <n v="0"/>
    <n v="0"/>
    <n v="94454.695755267487"/>
    <n v="4751.9410546620948"/>
    <n v="0"/>
    <n v="0"/>
    <n v="0"/>
    <n v="0"/>
    <n v="5547.6410266595303"/>
    <m/>
    <n v="729.43194879613918"/>
    <n v="0"/>
    <n v="0"/>
    <n v="0"/>
    <n v="0"/>
    <n v="0"/>
    <n v="0"/>
    <n v="0"/>
    <n v="0"/>
    <n v="0"/>
    <n v="0"/>
    <n v="0"/>
    <n v="0"/>
    <m/>
    <n v="0"/>
    <n v="0"/>
    <n v="0"/>
    <n v="109.52280735814254"/>
    <n v="2820.7420208679055"/>
    <n v="3667.4546522666897"/>
    <n v="0"/>
    <n v="0"/>
    <n v="0"/>
    <n v="0"/>
    <n v="0"/>
    <m/>
    <m/>
    <m/>
    <m/>
    <m/>
    <n v="6206.0348987999869"/>
    <m/>
    <m/>
    <m/>
    <n v="101052.41523576023"/>
    <m/>
    <m/>
    <m/>
    <m/>
    <m/>
    <m/>
    <m/>
    <m/>
    <m/>
    <m/>
    <m/>
    <m/>
    <n v="148944.6684"/>
    <n v="11370.840143999987"/>
    <m/>
    <m/>
    <m/>
    <m/>
    <n v="-592.82859000000292"/>
    <n v="12437.661209999998"/>
    <m/>
    <n v="11839.617116189474"/>
    <n v="0"/>
    <n v="0"/>
    <n v="0"/>
    <n v="0"/>
    <n v="0"/>
    <n v="0"/>
    <n v="0"/>
    <n v="0"/>
    <n v="0"/>
    <n v="0"/>
    <n v="12124.304118428438"/>
    <n v="362.07341336679337"/>
    <n v="14.05846277621491"/>
    <n v="0"/>
    <n v="470.75833751912887"/>
    <n v="0"/>
    <n v="-912.60248467914789"/>
    <m/>
    <n v="0"/>
    <n v="0"/>
    <n v="-52.816080775079172"/>
    <n v="0"/>
    <n v="-143.68198640626179"/>
    <n v="-22.476664040635114"/>
    <n v="0"/>
    <n v="0"/>
    <m/>
    <m/>
    <m/>
    <n v="0"/>
    <n v="0"/>
    <n v="0"/>
    <n v="-592.82858999999735"/>
    <n v="12437.66120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8"/>
    <s v="Sistema de Compensação"/>
    <s v="Verde"/>
    <s v="A4"/>
    <s v="Rural"/>
    <s v="Não se aplica"/>
    <s v="Não se aplica"/>
    <s v="Não se aplica"/>
    <s v="Fora ponta"/>
    <s v="CATIVO"/>
    <x v="5"/>
    <n v="0"/>
    <n v="0"/>
    <n v="17.408999999999999"/>
    <n v="16.71264"/>
    <n v="17.408999999999999"/>
    <n v="16.71264"/>
    <m/>
    <n v="70.33"/>
    <n v="173.82"/>
    <m/>
    <n v="4250.4073499999995"/>
    <n v="4250.4073499999995"/>
    <n v="4601.7209699999994"/>
    <n v="0"/>
    <n v="926.15926150354949"/>
    <n v="0"/>
    <n v="0"/>
    <n v="0"/>
    <n v="0"/>
    <n v="0"/>
    <n v="2801.4934576409114"/>
    <n v="140.94092061048968"/>
    <n v="0"/>
    <n v="0"/>
    <n v="0"/>
    <n v="0"/>
    <n v="164.54110531249333"/>
    <m/>
    <n v="21.63469815880153"/>
    <n v="0"/>
    <n v="0"/>
    <n v="0"/>
    <n v="0"/>
    <n v="0"/>
    <n v="0"/>
    <n v="0"/>
    <n v="0"/>
    <n v="0"/>
    <n v="0"/>
    <n v="0"/>
    <n v="0"/>
    <m/>
    <n v="0"/>
    <n v="0"/>
    <n v="0"/>
    <n v="3.2484084123386872"/>
    <n v="83.662228266862542"/>
    <n v="108.77543072226646"/>
    <n v="0"/>
    <n v="0"/>
    <n v="0"/>
    <n v="0"/>
    <n v="0"/>
    <m/>
    <m/>
    <m/>
    <m/>
    <m/>
    <n v="184.06883879999961"/>
    <m/>
    <m/>
    <m/>
    <n v="2997.1795250423793"/>
    <m/>
    <m/>
    <m/>
    <m/>
    <m/>
    <m/>
    <m/>
    <m/>
    <m/>
    <m/>
    <m/>
    <m/>
    <n v="4416.9542999999994"/>
    <n v="336.53324399999929"/>
    <m/>
    <m/>
    <m/>
    <m/>
    <n v="-17.583090000000087"/>
    <n v="368.89670999999993"/>
    <m/>
    <n v="351.1589299691168"/>
    <n v="0"/>
    <n v="0"/>
    <n v="0"/>
    <n v="0"/>
    <n v="0"/>
    <n v="0"/>
    <n v="0"/>
    <n v="0"/>
    <n v="0"/>
    <n v="0"/>
    <n v="359.60264754049376"/>
    <n v="10.738971637375869"/>
    <n v="0.41696912130340547"/>
    <n v="0"/>
    <n v="13.962528724954424"/>
    <n v="0"/>
    <n v="-27.067472610146979"/>
    <m/>
    <n v="0"/>
    <n v="0"/>
    <n v="-1.56650660474304"/>
    <n v="0"/>
    <n v="-4.2615577942353866"/>
    <n v="-0.66665004588636734"/>
    <n v="0"/>
    <n v="0"/>
    <m/>
    <m/>
    <m/>
    <n v="0"/>
    <n v="0"/>
    <n v="0"/>
    <n v="-17.583090000000084"/>
    <n v="368.8967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39"/>
    <s v="Regular"/>
    <s v="Verde"/>
    <s v="A4"/>
    <s v="Rural"/>
    <s v="Não se aplica"/>
    <s v="Não se aplica"/>
    <s v="Não se aplica"/>
    <s v="Não se aplica"/>
    <s v="CATIVO"/>
    <x v="5"/>
    <n v="2349"/>
    <n v="2255.04"/>
    <n v="0"/>
    <n v="0"/>
    <n v="0"/>
    <n v="0"/>
    <n v="59.12"/>
    <m/>
    <m/>
    <n v="138872.88"/>
    <m/>
    <n v="138872.88"/>
    <n v="79936.47"/>
    <n v="0"/>
    <n v="0"/>
    <n v="0"/>
    <n v="0"/>
    <n v="1343.7697934708192"/>
    <n v="12019.886206530546"/>
    <n v="113132.06292050669"/>
    <m/>
    <m/>
    <m/>
    <n v="0"/>
    <n v="0"/>
    <n v="0"/>
    <n v="0"/>
    <m/>
    <n v="0"/>
    <n v="2837.7613997559511"/>
    <n v="9539.2604925828382"/>
    <n v="0"/>
    <n v="0"/>
    <m/>
    <m/>
    <n v="0"/>
    <n v="0"/>
    <n v="0"/>
    <m/>
    <m/>
    <n v="0"/>
    <m/>
    <n v="0"/>
    <n v="0"/>
    <n v="0"/>
    <n v="0"/>
    <m/>
    <n v="0"/>
    <n v="0"/>
    <n v="578.19000000000005"/>
    <n v="2385.23"/>
    <n v="9922.84"/>
    <n v="15"/>
    <m/>
    <m/>
    <m/>
    <m/>
    <m/>
    <n v="3197.4588000000012"/>
    <m/>
    <m/>
    <m/>
    <n v="0"/>
    <m/>
    <m/>
    <m/>
    <m/>
    <m/>
    <m/>
    <m/>
    <m/>
    <m/>
    <m/>
    <m/>
    <m/>
    <n v="76739.011200000008"/>
    <n v="-56578.983600000007"/>
    <m/>
    <m/>
    <m/>
    <m/>
    <n v="-58936.409999999989"/>
    <n v="0"/>
    <m/>
    <n v="971.25883349078867"/>
    <n v="275.52870374029953"/>
    <n v="926.20192747299006"/>
    <n v="0"/>
    <n v="0"/>
    <m/>
    <m/>
    <m/>
    <n v="-230.471797722500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3132.06292050669"/>
    <m/>
    <n v="0"/>
    <n v="0"/>
    <n v="-58936.41"/>
    <m/>
    <n v="0"/>
    <m/>
    <n v="-59897.42956648157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40"/>
    <s v="Sistema de Compensação"/>
    <s v="Verde"/>
    <s v="A4"/>
    <s v="Rural"/>
    <s v="Não se aplica"/>
    <s v="Não se aplica"/>
    <s v="Não se aplica"/>
    <s v="Não se aplica"/>
    <s v="CATIVO"/>
    <x v="5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29.57"/>
    <n v="121.97"/>
    <n v="8.33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m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41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17.24600000000001"/>
    <n v="217.24600000000001"/>
    <n v="217.24600000000001"/>
    <n v="217.24600000000001"/>
    <m/>
    <n v="516.83000000000004"/>
    <n v="173.82"/>
    <m/>
    <n v="150040.94990000001"/>
    <n v="150040.94990000001"/>
    <n v="113282.92670000001"/>
    <n v="0"/>
    <n v="13284.474665607617"/>
    <n v="0"/>
    <n v="0"/>
    <n v="590.57110116787305"/>
    <n v="7479.0436467227501"/>
    <n v="78994.0770367847"/>
    <n v="34959.690257835457"/>
    <n v="1758.7943729649287"/>
    <n v="0"/>
    <n v="0"/>
    <n v="0"/>
    <n v="0"/>
    <n v="2053.2998428811493"/>
    <m/>
    <n v="337.06628786819573"/>
    <n v="1259.7017520020579"/>
    <n v="4125.3529114986277"/>
    <n v="0"/>
    <n v="0"/>
    <n v="0"/>
    <n v="0"/>
    <n v="0"/>
    <n v="0"/>
    <n v="0"/>
    <n v="0"/>
    <n v="0"/>
    <n v="0"/>
    <m/>
    <n v="0"/>
    <n v="0"/>
    <n v="0"/>
    <n v="120.53082180410183"/>
    <n v="1044.0165685601023"/>
    <n v="4036.0664032423292"/>
    <n v="0"/>
    <n v="197.53"/>
    <n v="820.3"/>
    <n v="59164.18"/>
    <n v="257"/>
    <m/>
    <m/>
    <m/>
    <m/>
    <m/>
    <m/>
    <m/>
    <m/>
    <m/>
    <n v="40160.304051441992"/>
    <m/>
    <m/>
    <m/>
    <m/>
    <m/>
    <m/>
    <m/>
    <m/>
    <m/>
    <m/>
    <m/>
    <m/>
    <n v="113285.0125"/>
    <n v="-36755.967400000009"/>
    <m/>
    <m/>
    <m/>
    <m/>
    <n v="-41361.465940000009"/>
    <n v="4603.4427399999995"/>
    <m/>
    <n v="5063.1089922772226"/>
    <n v="122.30908167908979"/>
    <n v="400.54570489054913"/>
    <n v="0"/>
    <n v="0"/>
    <n v="0"/>
    <n v="0"/>
    <n v="0"/>
    <n v="-143.40473818867486"/>
    <n v="0"/>
    <n v="0"/>
    <n v="4487.462620919192"/>
    <n v="134.01106510042837"/>
    <n v="15.471463091505171"/>
    <n v="0"/>
    <n v="518.07372967321044"/>
    <n v="0"/>
    <n v="-388.24548767970191"/>
    <m/>
    <n v="0"/>
    <n v="0"/>
    <n v="-19.548353946464658"/>
    <n v="0"/>
    <n v="-53.179756710118909"/>
    <n v="-10.386336551806039"/>
    <n v="0"/>
    <n v="0"/>
    <m/>
    <m/>
    <m/>
    <n v="78994.0770367847"/>
    <n v="0"/>
    <n v="0"/>
    <n v="-41361.465940000009"/>
    <n v="4603.4427400000059"/>
    <n v="0"/>
    <n v="0"/>
    <n v="-41823.175882549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2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09"/>
    <n v="0.37"/>
    <n v="121.37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m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3"/>
    <s v="Regular"/>
    <s v="Azul"/>
    <s v="A4"/>
    <s v="Poder público"/>
    <s v="Não se aplica"/>
    <s v="Não se aplica"/>
    <s v="Não se aplica"/>
    <s v="Ponta"/>
    <s v="CATIVO"/>
    <x v="5"/>
    <n v="440"/>
    <n v="440"/>
    <n v="24.675000000000001"/>
    <n v="24.675000000000001"/>
    <n v="24.675000000000001"/>
    <n v="24.675000000000001"/>
    <n v="67.099999999999994"/>
    <n v="70.33"/>
    <n v="173.82"/>
    <n v="29523.999999999996"/>
    <n v="6024.4012499999999"/>
    <n v="35548.401249999995"/>
    <n v="25019.942750000002"/>
    <n v="0"/>
    <n v="1312.7106541214364"/>
    <n v="0"/>
    <n v="0"/>
    <n v="329.30395789898023"/>
    <n v="5023.5825818795756"/>
    <n v="21191.19101107831"/>
    <n v="3970.7536944850071"/>
    <n v="199.76547854924655"/>
    <n v="0"/>
    <n v="0"/>
    <n v="0"/>
    <n v="0"/>
    <n v="233.21568002675474"/>
    <m/>
    <n v="30.664379175623402"/>
    <n v="707.21213380757717"/>
    <n v="2274.0507542624432"/>
    <n v="0"/>
    <n v="0"/>
    <n v="0"/>
    <n v="0"/>
    <n v="0"/>
    <n v="0"/>
    <n v="0"/>
    <n v="0"/>
    <n v="0"/>
    <n v="0"/>
    <m/>
    <n v="0"/>
    <n v="0"/>
    <n v="0"/>
    <n v="4.604197689382338"/>
    <n v="118.58035972685585"/>
    <n v="154.17506767028118"/>
    <n v="0"/>
    <n v="0"/>
    <n v="0"/>
    <n v="0"/>
    <n v="0"/>
    <m/>
    <m/>
    <m/>
    <m/>
    <m/>
    <m/>
    <m/>
    <m/>
    <m/>
    <n v="4248.1133195715265"/>
    <m/>
    <m/>
    <m/>
    <m/>
    <m/>
    <m/>
    <m/>
    <m/>
    <m/>
    <m/>
    <m/>
    <m/>
    <n v="25021.264399999996"/>
    <n v="-10527.166849999998"/>
    <m/>
    <m/>
    <m/>
    <m/>
    <n v="-11051.321749999997"/>
    <n v="522.86324999999999"/>
    <m/>
    <n v="690.86082148889363"/>
    <n v="68.665830225955688"/>
    <n v="220.79596142772107"/>
    <n v="0"/>
    <n v="0"/>
    <n v="0"/>
    <n v="0"/>
    <n v="0"/>
    <n v="-96.323217105324147"/>
    <n v="0"/>
    <n v="0"/>
    <n v="509.69012166475295"/>
    <n v="15.221099727281853"/>
    <n v="0.59099965926598408"/>
    <n v="0"/>
    <n v="19.790073886394993"/>
    <n v="0"/>
    <n v="-38.364632469146954"/>
    <m/>
    <n v="0"/>
    <n v="0"/>
    <n v="-2.2203199765658042"/>
    <n v="0"/>
    <n v="-6.0402055587775578"/>
    <n v="-0.94488999266161855"/>
    <n v="0"/>
    <n v="0"/>
    <m/>
    <m/>
    <n v="21191.19101107831"/>
    <n v="0"/>
    <n v="0"/>
    <n v="0"/>
    <n v="-11051.321749999996"/>
    <n v="522.86325000000033"/>
    <n v="0"/>
    <n v="0"/>
    <n v="-11219.61217933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4"/>
    <s v="Regular"/>
    <s v="Azul"/>
    <s v="A4"/>
    <s v="Poder público"/>
    <s v="Não se aplica"/>
    <s v="Não se aplica"/>
    <s v="Não se aplica"/>
    <s v="Fora ponta"/>
    <s v="CATIVO"/>
    <x v="5"/>
    <n v="510"/>
    <n v="510"/>
    <n v="162.86099999999999"/>
    <n v="162.86099999999999"/>
    <n v="162.86099999999999"/>
    <n v="162.86099999999999"/>
    <n v="59.12"/>
    <n v="70.33"/>
    <n v="173.82"/>
    <n v="30151.199999999997"/>
    <n v="39762.513149999999"/>
    <n v="69913.713149999996"/>
    <n v="60404.348129999998"/>
    <n v="0"/>
    <n v="8664.2095173605358"/>
    <n v="0"/>
    <n v="0"/>
    <n v="291.75078530017782"/>
    <n v="2609.6815518648696"/>
    <n v="24562.516853749858"/>
    <n v="26207.939916414292"/>
    <n v="1318.5007336173794"/>
    <n v="0"/>
    <n v="0"/>
    <n v="0"/>
    <n v="0"/>
    <n v="1539.2801971565268"/>
    <m/>
    <n v="202.39235894310852"/>
    <n v="616.11677900193058"/>
    <n v="2071.1038106501692"/>
    <n v="0"/>
    <n v="0"/>
    <n v="0"/>
    <n v="0"/>
    <n v="0"/>
    <n v="0"/>
    <n v="0"/>
    <n v="0"/>
    <n v="0"/>
    <n v="0"/>
    <m/>
    <n v="0"/>
    <n v="0"/>
    <n v="0"/>
    <n v="30.388824311671602"/>
    <n v="782.65920832727329"/>
    <n v="1017.5929360020126"/>
    <n v="0"/>
    <n v="0"/>
    <n v="0"/>
    <n v="0"/>
    <n v="0"/>
    <m/>
    <m/>
    <m/>
    <m/>
    <m/>
    <m/>
    <m/>
    <m/>
    <m/>
    <n v="28038.580885055249"/>
    <m/>
    <m/>
    <m/>
    <m/>
    <m/>
    <m/>
    <m/>
    <m/>
    <m/>
    <m/>
    <m/>
    <m/>
    <n v="60404.0838"/>
    <n v="-9509.6593499999799"/>
    <m/>
    <m/>
    <m/>
    <m/>
    <n v="-12960.389609999998"/>
    <n v="3451.0245899999995"/>
    <m/>
    <n v="3495.9614218749339"/>
    <n v="59.82104678908172"/>
    <n v="201.09109536450615"/>
    <n v="0"/>
    <n v="0"/>
    <n v="0"/>
    <n v="0"/>
    <n v="0"/>
    <n v="-50.038576772446049"/>
    <n v="0"/>
    <n v="0"/>
    <n v="3364.0787397950735"/>
    <n v="100.46295937932507"/>
    <n v="3.9007414592793346"/>
    <n v="0"/>
    <n v="130.61929982622803"/>
    <n v="0"/>
    <n v="-253.21590308238046"/>
    <m/>
    <n v="0"/>
    <n v="0"/>
    <n v="-14.654651740769168"/>
    <n v="0"/>
    <n v="-39.866825430924791"/>
    <n v="-6.2365037120512454"/>
    <n v="0"/>
    <n v="0"/>
    <m/>
    <m/>
    <n v="24562.516853749858"/>
    <n v="0"/>
    <n v="0"/>
    <n v="0"/>
    <n v="-12960.389609999995"/>
    <n v="3451.0245900000009"/>
    <n v="0"/>
    <n v="0"/>
    <n v="-13004.55048058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5"/>
    <s v="Regular"/>
    <s v="Azul"/>
    <s v="A4"/>
    <s v="Poder público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1.63999999999999"/>
    <n v="666.7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46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98.56299999999999"/>
    <n v="298.56299999999999"/>
    <n v="298.56299999999999"/>
    <n v="298.56299999999999"/>
    <m/>
    <n v="284.26"/>
    <n v="95.6"/>
    <m/>
    <n v="113412.14117999999"/>
    <n v="113412.14117999999"/>
    <n v="85624.882769999997"/>
    <n v="0"/>
    <n v="10041.330727715576"/>
    <n v="0"/>
    <n v="0"/>
    <n v="446.39474983608949"/>
    <n v="5653.181828724425"/>
    <n v="59709.222458795201"/>
    <n v="26424.967554512303"/>
    <n v="1329.4192224783901"/>
    <n v="0"/>
    <n v="0"/>
    <n v="0"/>
    <n v="0"/>
    <n v="1552.0269581238247"/>
    <m/>
    <n v="254.77816465037714"/>
    <n v="952.17027609550723"/>
    <n v="3118.2289097321504"/>
    <n v="0"/>
    <n v="0"/>
    <n v="0"/>
    <n v="0"/>
    <n v="0"/>
    <n v="0"/>
    <n v="0"/>
    <n v="0"/>
    <n v="0"/>
    <n v="0"/>
    <m/>
    <n v="0"/>
    <n v="0"/>
    <n v="0"/>
    <n v="91.105585661710265"/>
    <n v="789.14039990359151"/>
    <n v="3050.7399512680527"/>
    <n v="0"/>
    <n v="176.54"/>
    <n v="728.56"/>
    <n v="32231.37"/>
    <n v="15"/>
    <m/>
    <m/>
    <m/>
    <m/>
    <m/>
    <m/>
    <m/>
    <m/>
    <m/>
    <n v="30355.953491345655"/>
    <m/>
    <m/>
    <m/>
    <m/>
    <m/>
    <m/>
    <m/>
    <m/>
    <m/>
    <m/>
    <m/>
    <m/>
    <n v="85624.022400000002"/>
    <n v="-27788.148779999974"/>
    <m/>
    <m/>
    <m/>
    <m/>
    <n v="-31265.517359999998"/>
    <n v="3478.2589500000017"/>
    <m/>
    <n v="3827.0502358324957"/>
    <n v="92.449718265675983"/>
    <n v="302.76032704436057"/>
    <n v="0"/>
    <n v="0"/>
    <n v="0"/>
    <n v="0"/>
    <n v="0"/>
    <n v="-108.39528399280789"/>
    <n v="0"/>
    <n v="0"/>
    <n v="3391.9366357456347"/>
    <n v="101.29489194861378"/>
    <n v="11.694408823379874"/>
    <n v="0"/>
    <n v="391.59618968281484"/>
    <n v="0"/>
    <n v="-293.4629666183373"/>
    <m/>
    <n v="0"/>
    <n v="0"/>
    <n v="-14.776006737178704"/>
    <n v="0"/>
    <n v="-40.196962137179071"/>
    <n v="-7.8507161924932234"/>
    <n v="0"/>
    <n v="0"/>
    <m/>
    <m/>
    <m/>
    <n v="59709.222458795201"/>
    <n v="0"/>
    <n v="0"/>
    <n v="-31265.517359999998"/>
    <n v="3478.2589500000031"/>
    <n v="0"/>
    <n v="0"/>
    <n v="-31612.86777920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7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1.035"/>
    <n v="10.3729"/>
    <n v="11.035"/>
    <n v="10.3729"/>
    <m/>
    <n v="516.83000000000004"/>
    <n v="173.82"/>
    <m/>
    <n v="7621.3227500000003"/>
    <n v="7621.3227500000003"/>
    <n v="5754.20075"/>
    <n v="0"/>
    <n v="674.78424428979156"/>
    <n v="0"/>
    <n v="0"/>
    <n v="29.998030349868252"/>
    <n v="379.89765814599826"/>
    <n v="4012.5002996645235"/>
    <n v="1775.7757656997792"/>
    <n v="89.337874601456363"/>
    <n v="0"/>
    <n v="0"/>
    <n v="0"/>
    <n v="0"/>
    <n v="104.29726561682831"/>
    <m/>
    <n v="17.121265692466327"/>
    <n v="63.986489202759579"/>
    <n v="209.54710042250423"/>
    <n v="0"/>
    <n v="0"/>
    <n v="0"/>
    <n v="0"/>
    <n v="0"/>
    <n v="0"/>
    <n v="0"/>
    <n v="0"/>
    <n v="0"/>
    <n v="0"/>
    <m/>
    <n v="0"/>
    <n v="0"/>
    <n v="0"/>
    <n v="6.1223572291699906"/>
    <n v="53.030770803884671"/>
    <n v="205.0117965798178"/>
    <n v="0"/>
    <n v="10.039999999999999"/>
    <n v="41.59"/>
    <n v="3152.01"/>
    <n v="7"/>
    <m/>
    <m/>
    <m/>
    <m/>
    <n v="345.25204500000029"/>
    <m/>
    <m/>
    <m/>
    <m/>
    <n v="2039.9406903126517"/>
    <m/>
    <m/>
    <m/>
    <m/>
    <m/>
    <m/>
    <m/>
    <m/>
    <m/>
    <m/>
    <m/>
    <m/>
    <n v="5407.4364999999998"/>
    <n v="-1756.6368850000008"/>
    <m/>
    <m/>
    <m/>
    <m/>
    <n v="-2100.9536500000004"/>
    <n v="233.83164999999997"/>
    <m/>
    <n v="257.18037491958057"/>
    <n v="6.2126838529996249"/>
    <n v="20.345699591556155"/>
    <n v="0"/>
    <n v="0"/>
    <n v="0"/>
    <n v="0"/>
    <n v="0"/>
    <n v="-7.2842366990049072"/>
    <n v="0"/>
    <n v="0"/>
    <n v="227.94044549424734"/>
    <n v="6.8070855315321239"/>
    <n v="0.78587221497638371"/>
    <n v="0"/>
    <n v="26.315529892121731"/>
    <n v="0"/>
    <n v="-19.720910656792398"/>
    <m/>
    <n v="0"/>
    <n v="0"/>
    <n v="-0.99295768759488112"/>
    <n v="0"/>
    <n v="-2.7012631546549244"/>
    <n v="-0.52757345980676362"/>
    <n v="0"/>
    <n v="0"/>
    <m/>
    <m/>
    <m/>
    <n v="4012.5002996645235"/>
    <n v="0"/>
    <n v="0"/>
    <n v="-2100.9536500000004"/>
    <n v="233.83164999999985"/>
    <n v="0"/>
    <n v="0"/>
    <n v="-2124.4061840675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8"/>
    <s v="Regular"/>
    <s v="Azul"/>
    <s v="A4"/>
    <s v="Serviço público"/>
    <s v="Água, esgoto e saneamento"/>
    <s v="Não se aplica"/>
    <s v="Não se aplica"/>
    <s v="Ponta"/>
    <s v="CATIVO"/>
    <x v="5"/>
    <n v="100"/>
    <n v="94"/>
    <n v="4.7370000000000001"/>
    <n v="4.4527799999999997"/>
    <n v="4.7370000000000001"/>
    <n v="4.4527799999999997"/>
    <n v="67.099999999999994"/>
    <n v="70.33"/>
    <n v="173.82"/>
    <n v="6709.9999999999991"/>
    <n v="1156.53855"/>
    <n v="7866.5385499999993"/>
    <n v="5456.1312100000005"/>
    <n v="0"/>
    <n v="252.00852557541009"/>
    <n v="0"/>
    <n v="0"/>
    <n v="74.841808613404609"/>
    <n v="1141.7233140635399"/>
    <n v="4816.1797752450702"/>
    <n v="762.28815605979651"/>
    <n v="38.350114362220097"/>
    <n v="0"/>
    <n v="0"/>
    <n v="0"/>
    <n v="0"/>
    <n v="44.771739667142342"/>
    <m/>
    <n v="5.8868151633202865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88389400018659103"/>
    <n v="22.764545654553846"/>
    <n v="29.597864054878297"/>
    <n v="0"/>
    <n v="0"/>
    <n v="0"/>
    <n v="0"/>
    <n v="0"/>
    <m/>
    <m/>
    <m/>
    <m/>
    <n v="327.36787260000011"/>
    <m/>
    <m/>
    <m/>
    <m/>
    <n v="815.53445976941532"/>
    <m/>
    <m/>
    <m/>
    <m/>
    <m/>
    <m/>
    <m/>
    <m/>
    <m/>
    <m/>
    <m/>
    <m/>
    <n v="5128.0284999999994"/>
    <n v="-2266.5477370000008"/>
    <m/>
    <m/>
    <m/>
    <m/>
    <n v="-2510.7843699999994"/>
    <n v="100.37702999999999"/>
    <m/>
    <n v="139.44569932313652"/>
    <n v="15.60587050589902"/>
    <n v="50.180900324482081"/>
    <n v="0"/>
    <n v="0"/>
    <n v="0"/>
    <n v="0"/>
    <n v="0"/>
    <n v="-21.891640251209992"/>
    <n v="0"/>
    <n v="0"/>
    <n v="97.84810967886267"/>
    <n v="2.9220810297116131"/>
    <n v="0.1134575637666857"/>
    <n v="0"/>
    <n v="3.7992129685857385"/>
    <n v="0"/>
    <n v="-7.3650765554751274"/>
    <m/>
    <n v="0"/>
    <n v="0"/>
    <n v="-0.42624744595713082"/>
    <n v="0"/>
    <n v="-1.1595725929859952"/>
    <n v="-0.18139590254257776"/>
    <n v="0"/>
    <n v="0"/>
    <m/>
    <m/>
    <n v="4816.1797752450702"/>
    <n v="0"/>
    <n v="0"/>
    <n v="0"/>
    <n v="-2510.7843699999994"/>
    <n v="100.3770300000001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49"/>
    <s v="Regular"/>
    <s v="Azul"/>
    <s v="A4"/>
    <s v="Serviço público"/>
    <s v="Água, esgoto e saneamento"/>
    <s v="Não se aplica"/>
    <s v="Não se aplica"/>
    <s v="Fora ponta"/>
    <s v="CATIVO"/>
    <x v="5"/>
    <n v="100"/>
    <n v="94"/>
    <n v="37.594999999999999"/>
    <n v="35.339300000000001"/>
    <n v="37.594999999999999"/>
    <n v="35.339300000000001"/>
    <n v="59.12"/>
    <n v="70.33"/>
    <n v="173.82"/>
    <n v="5912"/>
    <n v="9178.8192500000005"/>
    <n v="15090.819249999999"/>
    <n v="13340.486349999999"/>
    <n v="0"/>
    <n v="2000.0549966239269"/>
    <n v="0"/>
    <n v="0"/>
    <n v="57.206036333368203"/>
    <n v="511.70226507154302"/>
    <n v="4816.1797752450702"/>
    <n v="6049.8676856803986"/>
    <n v="304.36405941474868"/>
    <n v="0"/>
    <n v="0"/>
    <n v="0"/>
    <n v="0"/>
    <n v="355.32901684319529"/>
    <m/>
    <n v="46.720459376192984"/>
    <n v="120.807211569006"/>
    <n v="406.098786401994"/>
    <n v="0"/>
    <n v="0"/>
    <n v="0"/>
    <n v="0"/>
    <n v="0"/>
    <n v="0"/>
    <n v="0"/>
    <n v="0"/>
    <n v="0"/>
    <n v="0"/>
    <m/>
    <n v="0"/>
    <n v="0"/>
    <n v="0"/>
    <n v="7.0149873204591273"/>
    <n v="180.66985304685491"/>
    <n v="234.90219530148818"/>
    <n v="0"/>
    <n v="0"/>
    <n v="0"/>
    <n v="0"/>
    <n v="0"/>
    <m/>
    <m/>
    <m/>
    <m/>
    <n v="800.42918099999929"/>
    <m/>
    <m/>
    <m/>
    <m/>
    <n v="6472.4547213492006"/>
    <m/>
    <m/>
    <m/>
    <m/>
    <m/>
    <m/>
    <m/>
    <m/>
    <m/>
    <m/>
    <m/>
    <m/>
    <n v="12540.242200000001"/>
    <n v="-1645.1578949999985"/>
    <m/>
    <m/>
    <m/>
    <m/>
    <n v="-2546.9709499999999"/>
    <n v="796.63804999999991"/>
    <m/>
    <n v="799.68080244592238"/>
    <n v="11.729617017467007"/>
    <n v="39.429626542059964"/>
    <n v="0"/>
    <n v="0"/>
    <n v="0"/>
    <n v="0"/>
    <n v="0"/>
    <n v="-9.8114856416560201"/>
    <n v="0"/>
    <n v="0"/>
    <n v="776.56738091130319"/>
    <n v="23.190972411232451"/>
    <n v="0.90045115258782982"/>
    <n v="0"/>
    <n v="30.152292918298656"/>
    <n v="0"/>
    <n v="-58.452618345595738"/>
    <m/>
    <n v="0"/>
    <n v="0"/>
    <n v="-3.3828948133329959"/>
    <n v="0"/>
    <n v="-9.2028988037382646"/>
    <n v="-1.4396409026996437"/>
    <n v="0"/>
    <n v="0"/>
    <m/>
    <m/>
    <n v="4816.1797752450702"/>
    <n v="0"/>
    <n v="0"/>
    <n v="0"/>
    <n v="-2546.970949999999"/>
    <n v="796.63804999999957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0"/>
    <s v="Regular"/>
    <s v="Azul"/>
    <s v="A4"/>
    <s v="Serviço público"/>
    <s v="Água, esgoto e saneamento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4.22"/>
    <n v="141.18"/>
    <n v="10408.1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51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.016"/>
    <n v="1.016"/>
    <n v="1.016"/>
    <n v="1.016"/>
    <m/>
    <n v="516.83000000000004"/>
    <n v="173.82"/>
    <m/>
    <n v="701.70040000000006"/>
    <n v="701.70040000000006"/>
    <n v="529.79320000000007"/>
    <n v="0"/>
    <n v="62.127847050152077"/>
    <n v="0"/>
    <n v="0"/>
    <n v="2.7619391785651239"/>
    <n v="34.977437306419056"/>
    <n v="369.43364788936617"/>
    <n v="163.49688971010201"/>
    <n v="8.2253992383397971"/>
    <n v="0"/>
    <n v="0"/>
    <n v="0"/>
    <n v="0"/>
    <n v="9.6027206041411475"/>
    <m/>
    <n v="1.576366646447285"/>
    <n v="5.8912798396016068"/>
    <n v="19.293144905234644"/>
    <n v="0"/>
    <n v="0"/>
    <n v="0"/>
    <n v="0"/>
    <n v="0"/>
    <n v="0"/>
    <n v="0"/>
    <n v="0"/>
    <n v="0"/>
    <n v="0"/>
    <m/>
    <n v="0"/>
    <n v="0"/>
    <n v="0"/>
    <n v="0.56368961892493974"/>
    <n v="4.8825793508606097"/>
    <n v="18.87557637744403"/>
    <n v="0"/>
    <n v="0.9"/>
    <n v="3.83"/>
    <n v="290.81"/>
    <n v="7"/>
    <m/>
    <m/>
    <m/>
    <m/>
    <m/>
    <m/>
    <m/>
    <m/>
    <m/>
    <n v="187.81873505733159"/>
    <m/>
    <m/>
    <m/>
    <m/>
    <m/>
    <m/>
    <m/>
    <m/>
    <m/>
    <m/>
    <m/>
    <m/>
    <n v="531.87900000000002"/>
    <n v="-169.85140000000001"/>
    <m/>
    <m/>
    <m/>
    <m/>
    <n v="-193.43624000000005"/>
    <n v="21.529039999999998"/>
    <m/>
    <n v="23.678773078232155"/>
    <n v="0.57200605298120699"/>
    <n v="1.8732424816512072"/>
    <n v="0"/>
    <n v="0"/>
    <n v="0"/>
    <n v="0"/>
    <n v="0"/>
    <n v="-0.67066465665509867"/>
    <n v="0"/>
    <n v="0"/>
    <n v="20.986632770471715"/>
    <n v="0.62673302220540439"/>
    <n v="7.2355792516176409E-2"/>
    <n v="0"/>
    <n v="2.422888841902644"/>
    <n v="0"/>
    <n v="-1.8157177369552286"/>
    <m/>
    <n v="0"/>
    <n v="0"/>
    <n v="-9.142229366528376E-2"/>
    <n v="0"/>
    <n v="-0.2487071468173454"/>
    <n v="-4.8574049403141917E-2"/>
    <n v="0"/>
    <n v="0"/>
    <m/>
    <m/>
    <m/>
    <n v="369.43364788936617"/>
    <n v="0"/>
    <n v="0"/>
    <n v="-193.43624"/>
    <n v="21.529039999999981"/>
    <n v="0"/>
    <n v="0"/>
    <n v="-195.595530857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2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09.61"/>
    <n v="2516.17"/>
    <n v="627.9"/>
    <n v="7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53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67"/>
    <n v="40.74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54"/>
    <s v="Regular"/>
    <s v="Convencional"/>
    <s v="B2"/>
    <s v="Rural"/>
    <s v="Agropecuária rural"/>
    <s v="IRRIG./AQUIC."/>
    <s v="Não se aplica"/>
    <s v="Não se aplica"/>
    <s v="CATIVO"/>
    <x v="5"/>
    <n v="0"/>
    <n v="0"/>
    <n v="434.57799999999997"/>
    <n v="434.57799999999997"/>
    <n v="434.57799999999997"/>
    <n v="434.57799999999997"/>
    <m/>
    <n v="516.83000000000004"/>
    <n v="173.82"/>
    <m/>
    <n v="300141.29570000002"/>
    <n v="300141.29570000002"/>
    <n v="226610.69809999998"/>
    <n v="0"/>
    <n v="26574.208184410421"/>
    <n v="0"/>
    <n v="0"/>
    <n v="1181.3759885260574"/>
    <n v="14961.047982036396"/>
    <n v="158019.42503195369"/>
    <n v="69933.219819327467"/>
    <n v="3518.2849903535748"/>
    <n v="0"/>
    <n v="0"/>
    <n v="0"/>
    <n v="0"/>
    <n v="4107.4125144748541"/>
    <m/>
    <n v="674.26600834622855"/>
    <n v="2519.9021753291208"/>
    <n v="8252.3389041604914"/>
    <n v="0"/>
    <n v="0"/>
    <n v="0"/>
    <n v="0"/>
    <n v="0"/>
    <n v="0"/>
    <n v="0"/>
    <n v="0"/>
    <n v="0"/>
    <n v="0"/>
    <m/>
    <n v="0"/>
    <n v="0"/>
    <n v="0"/>
    <n v="241.10935749327012"/>
    <n v="2088.4464263172263"/>
    <n v="8073.7305422803856"/>
    <n v="0"/>
    <n v="0"/>
    <n v="0"/>
    <n v="0"/>
    <n v="0"/>
    <m/>
    <m/>
    <m/>
    <m/>
    <m/>
    <n v="27191.545459999994"/>
    <m/>
    <m/>
    <m/>
    <n v="80336.50614541836"/>
    <m/>
    <m/>
    <m/>
    <m/>
    <m/>
    <m/>
    <m/>
    <m/>
    <m/>
    <m/>
    <m/>
    <m/>
    <n v="199420.0704"/>
    <n v="-64703.430660000042"/>
    <m/>
    <m/>
    <m/>
    <m/>
    <n v="-82739.305420000019"/>
    <n v="9208.7078199999978"/>
    <m/>
    <n v="10128.222290149657"/>
    <n v="244.66658119337308"/>
    <n v="801.24997164470369"/>
    <n v="0"/>
    <n v="0"/>
    <n v="0"/>
    <n v="0"/>
    <n v="0"/>
    <n v="-286.86624523608225"/>
    <n v="0"/>
    <n v="0"/>
    <n v="8976.7016694154154"/>
    <n v="268.07518043698838"/>
    <n v="30.949050787494969"/>
    <n v="0"/>
    <n v="1036.3525463940623"/>
    <n v="0"/>
    <n v="-776.64466800249284"/>
    <m/>
    <n v="0"/>
    <n v="0"/>
    <n v="-39.104446394164825"/>
    <n v="0"/>
    <n v="-106.38056540313846"/>
    <n v="-20.776784686534143"/>
    <n v="0"/>
    <n v="0"/>
    <m/>
    <m/>
    <m/>
    <n v="158019.42503195369"/>
    <n v="0"/>
    <n v="0"/>
    <n v="-82739.305420000019"/>
    <n v="9208.707819999996"/>
    <n v="0"/>
    <n v="0"/>
    <n v="-83662.908079719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5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4"/>
    <n v="0.4"/>
    <n v="0.4"/>
    <n v="0.4"/>
    <m/>
    <n v="516.83000000000004"/>
    <n v="173.82"/>
    <m/>
    <n v="276.26000000000005"/>
    <n v="276.26000000000005"/>
    <n v="208.57999999999998"/>
    <n v="0"/>
    <n v="24.459782303209479"/>
    <n v="0"/>
    <n v="0"/>
    <n v="1.0873776293563482"/>
    <n v="13.7706446088264"/>
    <n v="145.44631806667959"/>
    <n v="64.368854216575599"/>
    <n v="3.238346156826692"/>
    <n v="0"/>
    <n v="0"/>
    <n v="0"/>
    <n v="0"/>
    <n v="3.7805986630476962"/>
    <m/>
    <n v="0.62061678993987601"/>
    <n v="2.319401511654176"/>
    <n v="7.5957263406435604"/>
    <n v="0"/>
    <n v="0"/>
    <n v="0"/>
    <n v="0"/>
    <n v="0"/>
    <n v="0"/>
    <n v="0"/>
    <n v="0"/>
    <n v="0"/>
    <n v="0"/>
    <m/>
    <n v="0"/>
    <n v="0"/>
    <n v="0"/>
    <n v="0.22192504682084244"/>
    <n v="1.9222753349844919"/>
    <n v="7.4313292824582806"/>
    <n v="0"/>
    <n v="0"/>
    <n v="0"/>
    <n v="0"/>
    <n v="0"/>
    <m/>
    <m/>
    <m/>
    <m/>
    <m/>
    <n v="25.027999999999999"/>
    <m/>
    <m/>
    <m/>
    <n v="73.944383880839212"/>
    <m/>
    <m/>
    <m/>
    <m/>
    <m/>
    <m/>
    <m/>
    <m/>
    <m/>
    <m/>
    <m/>
    <m/>
    <n v="183.55200000000002"/>
    <n v="-59.585999999999956"/>
    <m/>
    <m/>
    <m/>
    <m/>
    <n v="-76.15600000000002"/>
    <n v="8.4759999999999991"/>
    <m/>
    <n v="9.3223516056032452"/>
    <n v="0.22519923345716819"/>
    <n v="0.73749704002016081"/>
    <n v="0"/>
    <n v="0"/>
    <n v="0"/>
    <n v="0"/>
    <n v="0"/>
    <n v="-0.26404120340751902"/>
    <n v="0"/>
    <n v="0"/>
    <n v="8.2624538466424013"/>
    <n v="0.24674528433283638"/>
    <n v="2.8486532486683619E-2"/>
    <n v="0"/>
    <n v="0.95389324484355953"/>
    <n v="0"/>
    <n v="-0.71484950273827863"/>
    <m/>
    <n v="0"/>
    <n v="0"/>
    <n v="-3.5993029002080235E-2"/>
    <n v="0"/>
    <n v="-9.7916199534388237E-2"/>
    <n v="-1.9123641497299948E-2"/>
    <n v="0"/>
    <n v="0"/>
    <m/>
    <m/>
    <m/>
    <n v="145.44631806667959"/>
    <n v="0"/>
    <n v="0"/>
    <n v="-76.156000000000034"/>
    <n v="8.4759999999999991"/>
    <n v="0"/>
    <n v="0"/>
    <n v="-77.00611451083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6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31.83799999999999"/>
    <n v="92.735200000000006"/>
    <n v="231.83799999999999"/>
    <n v="92.735200000000006"/>
    <m/>
    <n v="516.83000000000004"/>
    <n v="173.82"/>
    <m/>
    <n v="160118.91469999999"/>
    <n v="160118.91469999999"/>
    <n v="120891.92509999999"/>
    <n v="0"/>
    <n v="14176.767524028697"/>
    <n v="0"/>
    <n v="0"/>
    <n v="630.23863708679255"/>
    <n v="7981.3967620527364"/>
    <n v="84299.958719857168"/>
    <n v="37307.866059656131"/>
    <n v="1876.9292407659664"/>
    <n v="0"/>
    <n v="0"/>
    <n v="0"/>
    <n v="0"/>
    <n v="2191.2160821091293"/>
    <m/>
    <n v="359.70638836520243"/>
    <n v="1344.313519147202"/>
    <n v="4402.4450084053042"/>
    <n v="0"/>
    <n v="0"/>
    <n v="0"/>
    <n v="0"/>
    <n v="0"/>
    <n v="0"/>
    <n v="0"/>
    <n v="0"/>
    <n v="0"/>
    <n v="0"/>
    <m/>
    <n v="0"/>
    <n v="0"/>
    <n v="0"/>
    <n v="128.62664751212617"/>
    <n v="1114.1411727803365"/>
    <n v="4307.161295466407"/>
    <n v="0"/>
    <n v="0"/>
    <n v="0"/>
    <n v="0"/>
    <n v="0"/>
    <m/>
    <m/>
    <m/>
    <m/>
    <m/>
    <m/>
    <n v="78337.596524000008"/>
    <m/>
    <m/>
    <n v="42857.795175414998"/>
    <m/>
    <m/>
    <m/>
    <m/>
    <m/>
    <m/>
    <m/>
    <m/>
    <m/>
    <m/>
    <m/>
    <m/>
    <n v="42556.531199999998"/>
    <n v="-13805.17130400001"/>
    <m/>
    <m/>
    <m/>
    <m/>
    <n v="-44139.636820000007"/>
    <n v="4912.6472199999989"/>
    <m/>
    <n v="5403.1883788496198"/>
    <n v="130.52434971560751"/>
    <n v="427.44959691048462"/>
    <n v="0"/>
    <n v="0"/>
    <n v="0"/>
    <n v="0"/>
    <n v="0"/>
    <n v="-153.03696128898082"/>
    <n v="0"/>
    <n v="0"/>
    <n v="4788.8769372447059"/>
    <n v="143.01233307289021"/>
    <n v="16.510651796619385"/>
    <n v="0"/>
    <n v="552.87175524510349"/>
    <n v="0"/>
    <n v="-414.32319753959382"/>
    <m/>
    <n v="0"/>
    <n v="0"/>
    <n v="-20.861379644460612"/>
    <n v="0"/>
    <n v="-56.751739669133713"/>
    <n v="-11.083966993627598"/>
    <n v="0"/>
    <n v="0"/>
    <m/>
    <m/>
    <m/>
    <n v="84299.958719857168"/>
    <n v="0"/>
    <n v="0"/>
    <n v="-44139.636820000014"/>
    <n v="4912.6472199999989"/>
    <n v="0"/>
    <n v="0"/>
    <n v="-44632.358939904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7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0.05"/>
    <n v="0.02"/>
    <n v="0.05"/>
    <n v="0.02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m/>
    <n v="16.8949"/>
    <m/>
    <m/>
    <n v="9.2430479851049014"/>
    <m/>
    <m/>
    <m/>
    <m/>
    <m/>
    <m/>
    <m/>
    <m/>
    <m/>
    <m/>
    <m/>
    <m/>
    <n v="9.1776"/>
    <n v="-3.0077999999999996"/>
    <m/>
    <m/>
    <m/>
    <m/>
    <n v="-9.5195000000000025"/>
    <n v="1.0594999999999999"/>
    <m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8"/>
    <s v="Regular"/>
    <s v="Verde"/>
    <s v="A4"/>
    <s v="Rural"/>
    <s v="Agropecuária rural"/>
    <s v="Não se aplica"/>
    <s v="Não se aplica"/>
    <s v="Ponta"/>
    <s v="CATIVO"/>
    <x v="5"/>
    <n v="0"/>
    <n v="0"/>
    <n v="0.46200000000000002"/>
    <n v="0.44352000000000003"/>
    <n v="0.46200000000000002"/>
    <n v="0.44352000000000003"/>
    <m/>
    <n v="1684.16"/>
    <n v="173.82"/>
    <m/>
    <n v="858.38676000000009"/>
    <n v="858.38676000000009"/>
    <n v="589.26251999999999"/>
    <n v="0"/>
    <n v="24.578412247380086"/>
    <n v="0"/>
    <n v="0"/>
    <n v="8.3157227351977561"/>
    <n v="126.85869928117431"/>
    <n v="535.13111443899038"/>
    <n v="74.346026620144812"/>
    <n v="3.7402898111348288"/>
    <n v="0"/>
    <n v="0"/>
    <n v="0"/>
    <n v="0"/>
    <n v="4.3665914558200889"/>
    <m/>
    <n v="0.57414156754358714"/>
    <n v="17.859138356632375"/>
    <n v="57.425986006052668"/>
    <n v="0"/>
    <n v="0"/>
    <n v="0"/>
    <n v="0"/>
    <n v="0"/>
    <n v="0"/>
    <n v="0"/>
    <n v="0"/>
    <n v="0"/>
    <n v="0"/>
    <m/>
    <n v="0"/>
    <n v="0"/>
    <n v="0"/>
    <n v="8.620625460971186E-2"/>
    <n v="2.2202280119070883"/>
    <n v="2.8866821180818607"/>
    <n v="0"/>
    <n v="0"/>
    <n v="0"/>
    <n v="0"/>
    <n v="0"/>
    <m/>
    <m/>
    <m/>
    <m/>
    <m/>
    <n v="23.570500799999998"/>
    <m/>
    <m/>
    <m/>
    <n v="79.539143004743465"/>
    <m/>
    <m/>
    <m/>
    <m/>
    <m/>
    <m/>
    <m/>
    <m/>
    <m/>
    <m/>
    <m/>
    <m/>
    <n v="561.20240000000001"/>
    <n v="-262.87888960000009"/>
    <m/>
    <m/>
    <m/>
    <m/>
    <n v="-278.91402000000005"/>
    <n v="9.7897799999999986"/>
    <m/>
    <n v="14.196349700821543"/>
    <n v="1.7340095054308478"/>
    <n v="5.5757004400075445"/>
    <n v="0"/>
    <n v="0"/>
    <n v="0"/>
    <n v="0"/>
    <n v="0"/>
    <n v="-2.4324150809504346"/>
    <n v="0"/>
    <n v="0"/>
    <n v="9.5431341928719888"/>
    <n v="0.28499080340442573"/>
    <n v="1.1065525535192897E-2"/>
    <n v="0"/>
    <n v="0.37053755361760832"/>
    <n v="0"/>
    <n v="-0.71831652282657998"/>
    <m/>
    <n v="0"/>
    <n v="0"/>
    <n v="-4.15719484974022E-2"/>
    <n v="0"/>
    <n v="-0.11309321046221843"/>
    <n v="-1.7691557309409078E-2"/>
    <n v="0"/>
    <n v="0"/>
    <m/>
    <m/>
    <m/>
    <n v="535.13111443899038"/>
    <n v="0"/>
    <n v="0"/>
    <n v="-278.91402000000005"/>
    <n v="9.7897800000000075"/>
    <n v="0"/>
    <n v="0"/>
    <n v="-283.32355486582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59"/>
    <s v="Regular"/>
    <s v="Verde"/>
    <s v="A4"/>
    <s v="Rural"/>
    <s v="Agropecuária rural"/>
    <s v="Não se aplica"/>
    <s v="Não se aplica"/>
    <s v="Fora ponta"/>
    <s v="CATIVO"/>
    <x v="5"/>
    <n v="0"/>
    <n v="0"/>
    <n v="329.82400000000001"/>
    <n v="316.63103999999998"/>
    <n v="329.82400000000001"/>
    <n v="316.63103999999998"/>
    <m/>
    <n v="70.33"/>
    <n v="173.82"/>
    <m/>
    <n v="80526.529600000009"/>
    <n v="80526.529600000009"/>
    <n v="87182.377919999999"/>
    <n v="0"/>
    <n v="17546.645543462964"/>
    <n v="0"/>
    <n v="0"/>
    <n v="0"/>
    <n v="0"/>
    <n v="0"/>
    <n v="53075.982432819575"/>
    <n v="2670.2107070730171"/>
    <n v="0"/>
    <n v="0"/>
    <n v="0"/>
    <n v="0"/>
    <n v="3117.3304336026081"/>
    <m/>
    <n v="409.88239907683135"/>
    <n v="0"/>
    <n v="0"/>
    <n v="0"/>
    <n v="0"/>
    <n v="0"/>
    <n v="0"/>
    <n v="0"/>
    <n v="0"/>
    <n v="0"/>
    <n v="0"/>
    <n v="0"/>
    <n v="0"/>
    <m/>
    <n v="0"/>
    <n v="0"/>
    <n v="0"/>
    <n v="61.543055671847625"/>
    <n v="1585.0313502148126"/>
    <n v="2060.8161102039644"/>
    <n v="0"/>
    <n v="0"/>
    <n v="0"/>
    <n v="0"/>
    <n v="0"/>
    <m/>
    <m/>
    <m/>
    <m/>
    <m/>
    <n v="3487.2951168000072"/>
    <m/>
    <m/>
    <m/>
    <n v="56783.372948910204"/>
    <m/>
    <m/>
    <m/>
    <m/>
    <m/>
    <m/>
    <m/>
    <m/>
    <m/>
    <m/>
    <m/>
    <m/>
    <n v="83694.807899999985"/>
    <n v="6389.3094839999976"/>
    <m/>
    <m/>
    <m/>
    <m/>
    <n v="-333.12224000000168"/>
    <n v="6988.9705599999998"/>
    <m/>
    <n v="6652.9176241101668"/>
    <n v="0"/>
    <n v="0"/>
    <n v="0"/>
    <n v="0"/>
    <n v="0"/>
    <n v="0"/>
    <n v="0"/>
    <n v="0"/>
    <n v="0"/>
    <n v="0"/>
    <n v="6812.8889437874604"/>
    <n v="203.45629164948355"/>
    <n v="7.8997313725529494"/>
    <n v="0"/>
    <n v="264.5285239921518"/>
    <n v="0"/>
    <n v="-512.8095862007649"/>
    <m/>
    <n v="0"/>
    <n v="0"/>
    <n v="-29.678411993955251"/>
    <n v="0"/>
    <n v="-80.737781488074688"/>
    <n v="-12.630087008698126"/>
    <n v="0"/>
    <n v="0"/>
    <m/>
    <m/>
    <m/>
    <n v="0"/>
    <n v="0"/>
    <n v="0"/>
    <n v="-333.1222400000006"/>
    <n v="6988.97055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0"/>
    <s v="Regular"/>
    <s v="Verde"/>
    <s v="A4"/>
    <s v="Rural"/>
    <s v="Agropecuária rural"/>
    <s v="Não se aplica"/>
    <s v="Não se aplica"/>
    <s v="Não se aplica"/>
    <s v="CATIVO"/>
    <x v="5"/>
    <n v="1499"/>
    <n v="1439.04"/>
    <n v="0"/>
    <n v="0"/>
    <n v="0"/>
    <n v="0"/>
    <n v="59.12"/>
    <m/>
    <m/>
    <n v="88620.87999999999"/>
    <m/>
    <n v="88620.87999999999"/>
    <n v="51010.97"/>
    <n v="0"/>
    <n v="0"/>
    <n v="0"/>
    <n v="0"/>
    <n v="857.51848463718943"/>
    <n v="7670.4169534224302"/>
    <n v="72194.5348309236"/>
    <m/>
    <m/>
    <m/>
    <n v="0"/>
    <n v="0"/>
    <n v="0"/>
    <n v="0"/>
    <m/>
    <n v="0"/>
    <n v="1810.9001014194"/>
    <n v="6087.4208081658899"/>
    <n v="0"/>
    <n v="0"/>
    <m/>
    <m/>
    <n v="0"/>
    <n v="0"/>
    <n v="0"/>
    <m/>
    <m/>
    <n v="0"/>
    <m/>
    <n v="0"/>
    <n v="0"/>
    <n v="0"/>
    <n v="0"/>
    <m/>
    <n v="0"/>
    <n v="0"/>
    <n v="405"/>
    <n v="1670.72"/>
    <n v="44.55"/>
    <n v="9"/>
    <m/>
    <m/>
    <m/>
    <m/>
    <m/>
    <n v="2040.4388000000013"/>
    <m/>
    <m/>
    <m/>
    <n v="0"/>
    <m/>
    <m/>
    <m/>
    <m/>
    <m/>
    <m/>
    <m/>
    <m/>
    <m/>
    <m/>
    <m/>
    <m/>
    <n v="48970.531199999998"/>
    <n v="-36105.543599999975"/>
    <m/>
    <m/>
    <m/>
    <m/>
    <n v="-37609.909999999996"/>
    <n v="0"/>
    <m/>
    <n v="619.80289118888322"/>
    <n v="175.8269590918303"/>
    <n v="591.05010186547952"/>
    <n v="0"/>
    <n v="0"/>
    <m/>
    <m/>
    <m/>
    <n v="-147.074169768424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194.5348309236"/>
    <m/>
    <n v="0"/>
    <n v="0"/>
    <n v="-37609.909999999989"/>
    <m/>
    <n v="0"/>
    <m/>
    <n v="-38223.17876549845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61"/>
    <s v="Regular"/>
    <s v="Verde"/>
    <s v="A4"/>
    <s v="Rural"/>
    <s v="Agropecuária rural"/>
    <s v="IRRIG./AQUIC. PR"/>
    <s v="Não se aplica"/>
    <s v="Fora ponta"/>
    <s v="CATIVO"/>
    <x v="5"/>
    <n v="0"/>
    <n v="0"/>
    <n v="243.91900000000001"/>
    <n v="73.175700000000006"/>
    <n v="243.91900000000001"/>
    <n v="73.175700000000006"/>
    <m/>
    <n v="70.33"/>
    <n v="173.82"/>
    <m/>
    <n v="59552.823850000001"/>
    <n v="59552.823850000001"/>
    <n v="64475.109270000001"/>
    <n v="0"/>
    <n v="12976.497266166023"/>
    <n v="0"/>
    <n v="0"/>
    <n v="0"/>
    <n v="0"/>
    <n v="0"/>
    <n v="39251.96637913226"/>
    <n v="1974.7353905675245"/>
    <n v="0"/>
    <n v="0"/>
    <n v="0"/>
    <n v="0"/>
    <n v="2305.3996132298275"/>
    <m/>
    <n v="303.1256212416975"/>
    <n v="0"/>
    <n v="0"/>
    <n v="0"/>
    <n v="0"/>
    <n v="0"/>
    <n v="0"/>
    <n v="0"/>
    <n v="0"/>
    <n v="0"/>
    <n v="0"/>
    <n v="0"/>
    <n v="0"/>
    <m/>
    <n v="0"/>
    <n v="0"/>
    <n v="0"/>
    <n v="45.513730342308023"/>
    <n v="1172.1986935852058"/>
    <n v="1524.0619384424444"/>
    <n v="0"/>
    <n v="0"/>
    <n v="0"/>
    <n v="0"/>
    <n v="0"/>
    <m/>
    <m/>
    <m/>
    <m/>
    <m/>
    <m/>
    <n v="45132.576488999999"/>
    <m/>
    <m/>
    <n v="41993.740741502217"/>
    <m/>
    <m/>
    <m/>
    <m/>
    <m/>
    <m/>
    <m/>
    <m/>
    <m/>
    <m/>
    <m/>
    <m/>
    <n v="19343.669399999999"/>
    <n v="1477.7922450000005"/>
    <m/>
    <m/>
    <m/>
    <m/>
    <n v="-246.35819000000126"/>
    <n v="5168.6436100000001"/>
    <m/>
    <n v="4920.1180446399521"/>
    <n v="0"/>
    <n v="0"/>
    <n v="0"/>
    <n v="0"/>
    <n v="0"/>
    <n v="0"/>
    <n v="0"/>
    <n v="0"/>
    <n v="0"/>
    <n v="0"/>
    <n v="5038.4236995479223"/>
    <n v="150.46465752295262"/>
    <n v="5.8421903095643231"/>
    <n v="0"/>
    <n v="195.6301938113711"/>
    <n v="0"/>
    <n v="-379.24469249206959"/>
    <m/>
    <n v="0"/>
    <n v="0"/>
    <n v="-21.94845910289564"/>
    <n v="0"/>
    <n v="-59.709053685571234"/>
    <n v="-9.3404912713285171"/>
    <n v="0"/>
    <n v="0"/>
    <m/>
    <m/>
    <m/>
    <n v="0"/>
    <n v="0"/>
    <n v="0"/>
    <n v="-246.35819000000265"/>
    <n v="5168.64360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2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4"/>
    <n v="0.19"/>
    <n v="4.5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63"/>
    <s v="Regular"/>
    <s v="Convencional"/>
    <s v="B2"/>
    <s v="Rural"/>
    <s v="Aquicultura"/>
    <s v="IRRIG./AQUIC."/>
    <s v="Não se aplica"/>
    <s v="Não se aplica"/>
    <s v="CATIVO"/>
    <x v="5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m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"/>
    <s v="Não se aplica"/>
    <s v="Não se aplica"/>
    <s v="Não se aplica"/>
    <s v="CATIVO"/>
    <x v="6"/>
    <n v="0"/>
    <n v="0"/>
    <n v="2580.3539999999998"/>
    <n v="2580.3539999999998"/>
    <n v="2580.3539999999998"/>
    <n v="2580.3539999999998"/>
    <m/>
    <n v="516.83000000000004"/>
    <n v="173.82"/>
    <m/>
    <n v="1782121.4901000001"/>
    <n v="1782121.4901000001"/>
    <n v="1345525.5932999998"/>
    <n v="0"/>
    <n v="157787.24276303948"/>
    <n v="0"/>
    <n v="0"/>
    <n v="7014.5480385504252"/>
    <n v="88832.844747409079"/>
    <n v="938257.47152157233"/>
    <n v="415236.07613289426"/>
    <n v="20890.198647880952"/>
    <n v="0"/>
    <n v="0"/>
    <n v="0"/>
    <n v="0"/>
    <n v="24388.207206474435"/>
    <m/>
    <n v="4003.5275409712963"/>
    <n v="14962.192420507248"/>
    <n v="48999.157114962429"/>
    <n v="0"/>
    <n v="0"/>
    <n v="0"/>
    <n v="0"/>
    <n v="0"/>
    <n v="0"/>
    <n v="0"/>
    <n v="0"/>
    <n v="0"/>
    <n v="0"/>
    <m/>
    <n v="0"/>
    <n v="0"/>
    <n v="0"/>
    <n v="1431.6129556608701"/>
    <n v="12400.377124321432"/>
    <n v="47938.650598270877"/>
    <n v="0"/>
    <n v="0"/>
    <n v="0"/>
    <n v="559583.73"/>
    <n v="12982"/>
    <m/>
    <m/>
    <m/>
    <m/>
    <m/>
    <m/>
    <m/>
    <m/>
    <m/>
    <n v="477006.7168111474"/>
    <m/>
    <m/>
    <m/>
    <m/>
    <m/>
    <m/>
    <m/>
    <m/>
    <m/>
    <m/>
    <m/>
    <m/>
    <n v="1345523.5074999998"/>
    <n v="-436598.01260000025"/>
    <m/>
    <m/>
    <m/>
    <m/>
    <n v="-491273.59806000005"/>
    <n v="54677.701259999987"/>
    <n v="31"/>
    <n v="60137.418137311819"/>
    <n v="1452.7343571203437"/>
    <n v="4757.5085930104542"/>
    <n v="0"/>
    <n v="0"/>
    <n v="0"/>
    <n v="0"/>
    <n v="0"/>
    <n v="-1703.2994384435151"/>
    <n v="0"/>
    <n v="0"/>
    <n v="53300.139582497766"/>
    <n v="1591.7254535234297"/>
    <n v="183.76334512035987"/>
    <n v="0"/>
    <n v="6153.4556247626533"/>
    <n v="0"/>
    <n v="-4611.4119344718347"/>
    <m/>
    <n v="0"/>
    <n v="0"/>
    <n v="-232.18689089408144"/>
    <n v="0"/>
    <n v="-631.64614283339324"/>
    <n v="-123.36441208030965"/>
    <n v="0"/>
    <n v="0"/>
    <m/>
    <m/>
    <m/>
    <n v="938257.47152157233"/>
    <n v="0"/>
    <n v="0"/>
    <n v="-491273.59806000011"/>
    <n v="54677.701260000002"/>
    <n v="0"/>
    <n v="0"/>
    <n v="-496757.589006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6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40300000000000002"/>
    <n v="-0.40300000000000002"/>
    <n v="-0.40300000000000002"/>
    <n v="-0.40300000000000002"/>
    <m/>
    <n v="516.83000000000004"/>
    <n v="173.82"/>
    <m/>
    <n v="-278.33195000000001"/>
    <n v="-278.33195000000001"/>
    <n v="-210.14435"/>
    <n v="0"/>
    <n v="-24.64323067048355"/>
    <n v="0"/>
    <n v="0"/>
    <n v="-1.0955329615765208"/>
    <n v="-13.873924443392598"/>
    <n v="-146.53716545217969"/>
    <n v="-64.851620623199921"/>
    <n v="-3.2626337530028922"/>
    <n v="0"/>
    <n v="0"/>
    <n v="0"/>
    <n v="0"/>
    <n v="-3.8089531530205538"/>
    <m/>
    <n v="-0.62527141586442503"/>
    <n v="-2.3367970229915822"/>
    <n v="-7.6526942881983873"/>
    <n v="0"/>
    <n v="0"/>
    <n v="0"/>
    <n v="0"/>
    <n v="0"/>
    <n v="0"/>
    <n v="0"/>
    <n v="0"/>
    <n v="0"/>
    <n v="0"/>
    <m/>
    <n v="0"/>
    <n v="0"/>
    <n v="0"/>
    <n v="-0.22358948467199874"/>
    <n v="-1.9366923999968757"/>
    <n v="-7.4870642520767179"/>
    <n v="0"/>
    <n v="-0.37"/>
    <n v="-1.52"/>
    <n v="-136.19"/>
    <n v="0"/>
    <m/>
    <m/>
    <m/>
    <m/>
    <m/>
    <m/>
    <m/>
    <m/>
    <m/>
    <n v="-74.498966759945517"/>
    <m/>
    <m/>
    <m/>
    <m/>
    <m/>
    <m/>
    <m/>
    <m/>
    <m/>
    <m/>
    <m/>
    <m/>
    <n v="-208.57999999999998"/>
    <n v="69.721950000000049"/>
    <m/>
    <m/>
    <m/>
    <m/>
    <n v="76.727170000000015"/>
    <n v="-8.5395699999999994"/>
    <n v="31"/>
    <n v="-9.3922692426453125"/>
    <n v="-0.22688822770809702"/>
    <n v="-0.74302826782031151"/>
    <n v="0"/>
    <n v="0"/>
    <n v="0"/>
    <n v="0"/>
    <n v="0"/>
    <n v="0.26602151243307581"/>
    <n v="0"/>
    <n v="0"/>
    <n v="-8.3244222504922192"/>
    <n v="-0.24859587396533267"/>
    <n v="-2.8700181480333764E-2"/>
    <n v="0"/>
    <n v="-0.9610474441798873"/>
    <n v="0"/>
    <n v="0.72021087400881711"/>
    <m/>
    <n v="0"/>
    <n v="0"/>
    <n v="3.6262976719595663E-2"/>
    <n v="0"/>
    <n v="9.8650571030896028E-2"/>
    <n v="1.9267068808529686E-2"/>
    <n v="0"/>
    <n v="0"/>
    <m/>
    <m/>
    <m/>
    <n v="-146.53716545217969"/>
    <n v="0"/>
    <n v="0"/>
    <n v="76.727170000000029"/>
    <n v="-8.5395700000000119"/>
    <n v="0"/>
    <n v="0"/>
    <n v="77.583660369661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7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2.936"/>
    <n v="22.936"/>
    <n v="22.936"/>
    <n v="22.936"/>
    <m/>
    <n v="516.83000000000004"/>
    <n v="173.82"/>
    <m/>
    <n v="15840.7484"/>
    <n v="15840.7484"/>
    <n v="11959.977199999999"/>
    <n v="0"/>
    <n v="1402.5239172660315"/>
    <n v="0"/>
    <n v="0"/>
    <n v="62.350233267293"/>
    <n v="789.6087618701057"/>
    <n v="8339.891877943408"/>
    <n v="3690.9101007784448"/>
    <n v="185.68676863244249"/>
    <n v="0"/>
    <n v="0"/>
    <n v="0"/>
    <n v="0"/>
    <n v="216.77952733915487"/>
    <m/>
    <n v="35.586166735152489"/>
    <n v="132.99448267825045"/>
    <n v="435.53894837250175"/>
    <n v="0"/>
    <n v="0"/>
    <n v="0"/>
    <n v="0"/>
    <n v="0"/>
    <n v="0"/>
    <n v="0"/>
    <n v="0"/>
    <n v="0"/>
    <n v="0"/>
    <m/>
    <n v="0"/>
    <n v="0"/>
    <n v="0"/>
    <n v="12.725182184707105"/>
    <n v="110.22326770801077"/>
    <n v="426.11242105615781"/>
    <n v="0"/>
    <n v="0"/>
    <n v="0"/>
    <n v="18833.72"/>
    <n v="303"/>
    <m/>
    <m/>
    <m/>
    <m/>
    <m/>
    <m/>
    <m/>
    <m/>
    <m/>
    <n v="4239.9709717273199"/>
    <m/>
    <m/>
    <m/>
    <m/>
    <m/>
    <m/>
    <m/>
    <m/>
    <m/>
    <m/>
    <m/>
    <m/>
    <n v="11962.063000000002"/>
    <n v="-3878.7153999999991"/>
    <m/>
    <m/>
    <m/>
    <m/>
    <n v="-4366.7850400000007"/>
    <n v="486.01383999999996"/>
    <n v="31"/>
    <n v="534.54364106529192"/>
    <n v="12.912924046434028"/>
    <n v="42.288080274755998"/>
    <n v="0"/>
    <n v="0"/>
    <n v="0"/>
    <n v="0"/>
    <n v="0"/>
    <n v="-15.140122603387113"/>
    <n v="0"/>
    <n v="0"/>
    <n v="473.76910356647568"/>
    <n v="14.148374603644825"/>
    <n v="1.6334177727864372"/>
    <n v="0"/>
    <n v="54.696238659329708"/>
    <n v="0"/>
    <n v="-40.989470487013023"/>
    <m/>
    <n v="0"/>
    <n v="0"/>
    <n v="-2.0638402829792426"/>
    <n v="0"/>
    <n v="-5.6145148813018011"/>
    <n v="-1.0965496034551805"/>
    <n v="0"/>
    <n v="0"/>
    <m/>
    <m/>
    <m/>
    <n v="8339.891877943408"/>
    <n v="0"/>
    <n v="0"/>
    <n v="-4366.7850400000007"/>
    <n v="486.01384000000007"/>
    <n v="0"/>
    <n v="0"/>
    <n v="-4415.5306060510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8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5.65"/>
    <n v="25.65"/>
    <n v="25.65"/>
    <n v="25.65"/>
    <m/>
    <n v="446.23"/>
    <n v="173.82"/>
    <m/>
    <n v="15904.282499999998"/>
    <n v="15904.282499999998"/>
    <n v="11616.371999999999"/>
    <n v="0"/>
    <n v="0"/>
    <n v="0"/>
    <n v="0"/>
    <n v="69.728090482475821"/>
    <n v="883.04258554099272"/>
    <n v="9326.7451460258289"/>
    <n v="4127.6527766379095"/>
    <n v="207.65894730651158"/>
    <n v="0"/>
    <n v="0"/>
    <n v="0"/>
    <n v="0"/>
    <n v="0"/>
    <m/>
    <n v="39.797051654894545"/>
    <n v="148.73162193482403"/>
    <n v="487.07595159376825"/>
    <n v="0"/>
    <n v="0"/>
    <n v="0"/>
    <n v="0"/>
    <n v="0"/>
    <n v="0"/>
    <n v="0"/>
    <n v="0"/>
    <n v="0"/>
    <n v="0"/>
    <m/>
    <n v="0"/>
    <n v="0"/>
    <n v="0"/>
    <n v="14.23094362738652"/>
    <n v="123.26590585588053"/>
    <n v="476.53399023763717"/>
    <n v="0"/>
    <n v="0"/>
    <n v="0"/>
    <n v="1298.18"/>
    <n v="32"/>
    <m/>
    <m/>
    <m/>
    <m/>
    <m/>
    <m/>
    <m/>
    <n v="7550.5905000000002"/>
    <m/>
    <n v="4741.6836163588132"/>
    <m/>
    <m/>
    <m/>
    <m/>
    <m/>
    <m/>
    <m/>
    <m/>
    <m/>
    <m/>
    <m/>
    <m/>
    <n v="4065.7815000000001"/>
    <n v="-1500.8115000000007"/>
    <m/>
    <m/>
    <m/>
    <m/>
    <n v="-4831.4340000000002"/>
    <n v="543.5234999999999"/>
    <n v="31"/>
    <n v="649.91439736754546"/>
    <n v="14.440900845440893"/>
    <n v="47.291997691292806"/>
    <n v="0"/>
    <n v="0"/>
    <n v="0"/>
    <n v="0"/>
    <n v="0"/>
    <n v="-16.931642168507096"/>
    <n v="0"/>
    <n v="0"/>
    <n v="529.82985291594468"/>
    <n v="15.822541357843136"/>
    <n v="1.826698895708585"/>
    <n v="0"/>
    <n v="61.168404325593372"/>
    <n v="0"/>
    <n v="0"/>
    <m/>
    <n v="0"/>
    <n v="0"/>
    <n v="-2.3080529847583477"/>
    <n v="0"/>
    <n v="0"/>
    <n v="-1.2263035110143647"/>
    <n v="0"/>
    <n v="0"/>
    <m/>
    <m/>
    <m/>
    <n v="9326.7451460258289"/>
    <n v="0"/>
    <n v="0"/>
    <n v="-4831.4339999999993"/>
    <n v="543.52350000000024"/>
    <n v="0"/>
    <n v="0"/>
    <n v="-4938.017093006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69"/>
    <s v="Sistema de Compensação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03"/>
    <n v="-2.8500000000000001E-2"/>
    <n v="0.03"/>
    <n v="-2.8500000000000001E-2"/>
    <m/>
    <n v="446.23"/>
    <n v="173.82"/>
    <m/>
    <n v="18.601500000000001"/>
    <n v="18.601500000000001"/>
    <n v="13.586399999999999"/>
    <n v="0"/>
    <n v="0"/>
    <n v="0"/>
    <n v="0"/>
    <n v="8.1553322201726106E-2"/>
    <n v="1.0327983456619798"/>
    <n v="10.90847385500097"/>
    <n v="4.8276640662431696"/>
    <n v="0.24287596176200188"/>
    <n v="0"/>
    <n v="0"/>
    <n v="0"/>
    <n v="0"/>
    <n v="0"/>
    <m/>
    <n v="4.6546259245490697E-2"/>
    <n v="0.17395511337406319"/>
    <n v="0.56967947554826703"/>
    <n v="0"/>
    <n v="0"/>
    <n v="0"/>
    <n v="0"/>
    <n v="0"/>
    <n v="0"/>
    <n v="0"/>
    <n v="0"/>
    <n v="0"/>
    <n v="0"/>
    <m/>
    <n v="0"/>
    <n v="0"/>
    <n v="0"/>
    <n v="1.6644378511563182E-2"/>
    <n v="0.14417065012383687"/>
    <n v="0.55734969618437102"/>
    <n v="0"/>
    <n v="0"/>
    <n v="0"/>
    <n v="3.38"/>
    <n v="0"/>
    <m/>
    <m/>
    <m/>
    <m/>
    <m/>
    <m/>
    <m/>
    <n v="18.103935"/>
    <m/>
    <n v="5.5458287910629398"/>
    <m/>
    <m/>
    <m/>
    <m/>
    <m/>
    <m/>
    <m/>
    <m/>
    <m/>
    <m/>
    <m/>
    <m/>
    <n v="-4.7553000000000001"/>
    <n v="1.3997700000000011"/>
    <m/>
    <m/>
    <m/>
    <m/>
    <n v="-5.6508000000000003"/>
    <n v="0.63569999999999993"/>
    <n v="31"/>
    <n v="0.7601337980906937"/>
    <n v="1.6889942509287603E-2"/>
    <n v="5.531227800151195E-2"/>
    <n v="0"/>
    <n v="0"/>
    <n v="0"/>
    <n v="0"/>
    <n v="0"/>
    <n v="-1.9803090255563705E-2"/>
    <n v="0"/>
    <n v="0"/>
    <n v="0.6196840384981801"/>
    <n v="1.8505896324962745E-2"/>
    <n v="2.1364899365012673E-3"/>
    <n v="0"/>
    <n v="7.1541993363266942E-2"/>
    <n v="0"/>
    <n v="0"/>
    <m/>
    <n v="0"/>
    <n v="0"/>
    <n v="-2.6994771751560065E-3"/>
    <n v="0"/>
    <n v="0"/>
    <n v="-1.4342731122974975E-3"/>
    <n v="0"/>
    <n v="0"/>
    <m/>
    <m/>
    <m/>
    <n v="10.90847385500097"/>
    <n v="0"/>
    <n v="0"/>
    <n v="-5.6508000000000012"/>
    <n v="0.63569999999999993"/>
    <n v="0"/>
    <n v="0"/>
    <n v="-5.775458588312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0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54.88"/>
    <n v="54.88"/>
    <n v="54.88"/>
    <n v="54.88"/>
    <m/>
    <n v="446.23"/>
    <n v="173.82"/>
    <m/>
    <n v="34028.344000000005"/>
    <n v="34028.344000000005"/>
    <n v="24854.054400000001"/>
    <n v="0"/>
    <n v="0"/>
    <n v="0"/>
    <n v="0"/>
    <n v="149.18821074769096"/>
    <n v="1889.3324403309821"/>
    <n v="19955.234838748442"/>
    <n v="8831.4067985141719"/>
    <n v="444.30109271662212"/>
    <n v="0"/>
    <n v="0"/>
    <n v="0"/>
    <n v="0"/>
    <n v="0"/>
    <m/>
    <n v="85.148623579750989"/>
    <n v="318.22188739895296"/>
    <n v="1042.1336539362965"/>
    <n v="0"/>
    <n v="0"/>
    <n v="0"/>
    <n v="0"/>
    <n v="0"/>
    <n v="0"/>
    <n v="0"/>
    <n v="0"/>
    <n v="0"/>
    <n v="0"/>
    <m/>
    <n v="0"/>
    <n v="0"/>
    <n v="0"/>
    <n v="30.448116423819581"/>
    <n v="263.7361759598723"/>
    <n v="1019.5783775532761"/>
    <n v="0"/>
    <n v="0"/>
    <n v="0"/>
    <n v="4950.45"/>
    <n v="95"/>
    <m/>
    <m/>
    <m/>
    <m/>
    <m/>
    <m/>
    <m/>
    <n v="9942.0607999999993"/>
    <m/>
    <n v="10145.16946845114"/>
    <m/>
    <m/>
    <m/>
    <m/>
    <m/>
    <m/>
    <m/>
    <m/>
    <m/>
    <m/>
    <m/>
    <m/>
    <n v="14911.993600000002"/>
    <n v="-5505.0427999999993"/>
    <m/>
    <m/>
    <m/>
    <m/>
    <n v="-10337.196800000002"/>
    <n v="1162.9071999999999"/>
    <n v="31"/>
    <n v="1390.5380946405767"/>
    <n v="30.897334830323473"/>
    <n v="101.18459389076611"/>
    <n v="0"/>
    <n v="0"/>
    <n v="0"/>
    <n v="0"/>
    <n v="0"/>
    <n v="-36.226453107511588"/>
    <n v="0"/>
    <n v="0"/>
    <n v="1133.6086677593375"/>
    <n v="33.853453010465159"/>
    <n v="3.9083522571729894"/>
    <n v="0"/>
    <n v="130.87415319253637"/>
    <n v="0"/>
    <n v="0"/>
    <m/>
    <n v="0"/>
    <n v="0"/>
    <n v="-4.9382435790853378"/>
    <n v="0"/>
    <n v="0"/>
    <n v="-2.6237636134295599"/>
    <n v="0"/>
    <n v="0"/>
    <m/>
    <m/>
    <m/>
    <n v="19955.234838748442"/>
    <n v="0"/>
    <n v="0"/>
    <n v="-10337.196800000003"/>
    <n v="1162.9072000000015"/>
    <n v="0"/>
    <n v="0"/>
    <n v="-10565.238910885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1"/>
    <s v="Sistema de Compensação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1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72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65.17"/>
    <n v="65.17"/>
    <n v="65.17"/>
    <n v="65.17"/>
    <m/>
    <n v="446.23"/>
    <n v="173.82"/>
    <m/>
    <n v="40408.658500000005"/>
    <n v="40408.658500000005"/>
    <n v="29514.189600000002"/>
    <n v="0"/>
    <n v="0"/>
    <n v="0"/>
    <n v="0"/>
    <n v="177.16100026288302"/>
    <n v="2243.5822728930411"/>
    <n v="23696.841371013776"/>
    <n v="10487.295573235579"/>
    <n v="527.60754760098871"/>
    <n v="0"/>
    <n v="0"/>
    <n v="0"/>
    <n v="0"/>
    <n v="0"/>
    <m/>
    <n v="101.1139905009543"/>
    <n v="377.88849128625662"/>
    <n v="1237.5337140493521"/>
    <n v="0"/>
    <n v="0"/>
    <n v="0"/>
    <n v="0"/>
    <n v="0"/>
    <n v="0"/>
    <n v="0"/>
    <n v="0"/>
    <n v="0"/>
    <n v="0"/>
    <m/>
    <n v="0"/>
    <n v="0"/>
    <n v="0"/>
    <n v="36.157138253285751"/>
    <n v="313.18670895234834"/>
    <n v="1210.7493233445152"/>
    <n v="0"/>
    <n v="0"/>
    <n v="0"/>
    <n v="8851.27"/>
    <n v="400"/>
    <m/>
    <m/>
    <m/>
    <m/>
    <m/>
    <m/>
    <m/>
    <n v="2950.8976000000002"/>
    <m/>
    <n v="12047.388743785727"/>
    <m/>
    <m/>
    <m/>
    <m/>
    <m/>
    <m/>
    <m/>
    <m/>
    <m/>
    <m/>
    <m/>
    <m/>
    <n v="26563.292000000001"/>
    <n v="-9804.8565000000017"/>
    <m/>
    <m/>
    <m/>
    <m/>
    <n v="-12275.421200000001"/>
    <n v="1380.9522999999999"/>
    <n v="31"/>
    <n v="1651.2639873856861"/>
    <n v="36.690585111009113"/>
    <n v="120.15670524528468"/>
    <n v="0"/>
    <n v="0"/>
    <n v="0"/>
    <n v="0"/>
    <n v="0"/>
    <n v="-43.018913065170182"/>
    <n v="0"/>
    <n v="0"/>
    <n v="1346.160292964214"/>
    <n v="40.200975449927341"/>
    <n v="4.6411683053929238"/>
    <n v="0"/>
    <n v="155.41305691613707"/>
    <n v="0"/>
    <n v="0"/>
    <m/>
    <n v="0"/>
    <n v="0"/>
    <n v="-5.8641642501638671"/>
    <n v="0"/>
    <n v="0"/>
    <n v="-3.1157192909476095"/>
    <n v="0"/>
    <n v="0"/>
    <m/>
    <m/>
    <m/>
    <n v="23696.841371013776"/>
    <n v="0"/>
    <n v="0"/>
    <n v="-12275.421200000001"/>
    <n v="1380.9523000000008"/>
    <n v="0"/>
    <n v="0"/>
    <n v="-12546.221206677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3"/>
    <s v="Sistema de Compensação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74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32.783000000000001"/>
    <n v="32.783000000000001"/>
    <n v="32.783000000000001"/>
    <n v="32.783000000000001"/>
    <m/>
    <n v="446.23"/>
    <n v="173.82"/>
    <m/>
    <n v="20327.099150000002"/>
    <n v="20327.099150000002"/>
    <n v="14846.76504"/>
    <n v="0"/>
    <n v="0"/>
    <n v="0"/>
    <n v="0"/>
    <n v="89.118752057972898"/>
    <n v="1128.6076055278895"/>
    <n v="11920.416612949894"/>
    <n v="5275.5103694549944"/>
    <n v="265.40675514812358"/>
    <n v="0"/>
    <n v="0"/>
    <n v="0"/>
    <n v="0"/>
    <n v="0"/>
    <m/>
    <n v="50.864200561497384"/>
    <n v="190.09234939139714"/>
    <n v="622.52674156329465"/>
    <n v="0"/>
    <n v="0"/>
    <n v="0"/>
    <n v="0"/>
    <n v="0"/>
    <n v="0"/>
    <n v="0"/>
    <n v="0"/>
    <n v="0"/>
    <n v="0"/>
    <m/>
    <n v="0"/>
    <n v="0"/>
    <n v="0"/>
    <n v="18.188422024819193"/>
    <n v="157.5448807669915"/>
    <n v="609.05316966707449"/>
    <n v="0"/>
    <n v="0"/>
    <n v="0"/>
    <n v="4948.45"/>
    <n v="328"/>
    <m/>
    <m/>
    <m/>
    <m/>
    <m/>
    <m/>
    <m/>
    <m/>
    <m/>
    <n v="6060.2968419138797"/>
    <m/>
    <m/>
    <m/>
    <m/>
    <m/>
    <m/>
    <m/>
    <m/>
    <m/>
    <m/>
    <m/>
    <m/>
    <n v="14845.4064"/>
    <n v="-5481.7227500000008"/>
    <m/>
    <m/>
    <m/>
    <m/>
    <n v="-6175.0058800000006"/>
    <n v="694.67176999999992"/>
    <n v="31"/>
    <n v="830.64887676023682"/>
    <n v="18.456766176065855"/>
    <n v="60.443413657452197"/>
    <n v="0"/>
    <n v="0"/>
    <n v="0"/>
    <n v="0"/>
    <n v="0"/>
    <n v="-21.640156928271608"/>
    <n v="0"/>
    <n v="0"/>
    <n v="677.17006113619482"/>
    <n v="20.222626640708427"/>
    <n v="2.3346849862773702"/>
    <n v="0"/>
    <n v="78.178705614266164"/>
    <n v="0"/>
    <n v="0"/>
    <m/>
    <n v="0"/>
    <n v="0"/>
    <n v="-2.9498986744379749"/>
    <n v="0"/>
    <n v="0"/>
    <n v="-1.5673258480149599"/>
    <n v="0"/>
    <n v="0"/>
    <m/>
    <m/>
    <m/>
    <n v="11920.416612949894"/>
    <n v="0"/>
    <n v="0"/>
    <n v="-6175.0058800000006"/>
    <n v="694.67176999999992"/>
    <n v="0"/>
    <n v="0"/>
    <n v="-6311.2286300213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5"/>
    <s v="Sistema de Compensação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.4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76"/>
    <s v="Regular"/>
    <s v="Convencional"/>
    <s v="B3"/>
    <s v="Industrial"/>
    <s v="Não se aplica"/>
    <s v="Não se aplica"/>
    <s v="Não se aplica"/>
    <s v="Não se aplica"/>
    <s v="CATIVO"/>
    <x v="6"/>
    <n v="0"/>
    <n v="0"/>
    <n v="68.349000000000004"/>
    <n v="68.349000000000004"/>
    <n v="68.349000000000004"/>
    <n v="68.349000000000004"/>
    <m/>
    <n v="516.83000000000004"/>
    <n v="173.82"/>
    <m/>
    <n v="47205.236850000001"/>
    <n v="47205.236850000001"/>
    <n v="35640.586049999998"/>
    <n v="0"/>
    <n v="4179.5041516051624"/>
    <n v="0"/>
    <n v="0"/>
    <n v="185.80293397219259"/>
    <n v="2353.024470921689"/>
    <n v="24852.775983848711"/>
    <n v="10998.867042121814"/>
    <n v="553.34430368236895"/>
    <n v="0"/>
    <n v="0"/>
    <n v="0"/>
    <n v="0"/>
    <n v="646.0003450516175"/>
    <m/>
    <n v="106.04634243900146"/>
    <n v="396.32193480012819"/>
    <n v="1297.9007491416169"/>
    <n v="0"/>
    <n v="0"/>
    <n v="0"/>
    <n v="0"/>
    <n v="0"/>
    <n v="0"/>
    <n v="0"/>
    <n v="0"/>
    <n v="0"/>
    <n v="0"/>
    <m/>
    <n v="0"/>
    <n v="0"/>
    <n v="0"/>
    <n v="37.9208875628944"/>
    <n v="328.46399217713758"/>
    <n v="1269.8098128168526"/>
    <n v="0"/>
    <n v="0"/>
    <n v="0"/>
    <n v="9287.4500000000007"/>
    <n v="36"/>
    <m/>
    <m/>
    <m/>
    <m/>
    <m/>
    <m/>
    <m/>
    <m/>
    <m/>
    <n v="12635.061734678698"/>
    <m/>
    <m/>
    <m/>
    <m/>
    <m/>
    <m/>
    <m/>
    <m/>
    <m/>
    <m/>
    <m/>
    <m/>
    <n v="35641.107499999998"/>
    <n v="-11564.159350000009"/>
    <m/>
    <m/>
    <m/>
    <m/>
    <n v="-13012.966110000003"/>
    <n v="1448.31531"/>
    <n v="31"/>
    <n v="1592.9335247284362"/>
    <n v="38.480356018910015"/>
    <n v="126.01796297084479"/>
    <n v="0"/>
    <n v="0"/>
    <n v="0"/>
    <n v="0"/>
    <n v="0"/>
    <n v="-45.117380529251477"/>
    <n v="0"/>
    <n v="0"/>
    <n v="1411.8261449104048"/>
    <n v="42.161983597162589"/>
    <n v="4.8675650223308438"/>
    <n v="0"/>
    <n v="162.99412347953125"/>
    <n v="0"/>
    <n v="-122.14812165664716"/>
    <m/>
    <n v="0"/>
    <n v="0"/>
    <n v="-6.1502188481579196"/>
    <n v="0"/>
    <n v="-16.731185804939742"/>
    <n v="-3.26770443174739"/>
    <n v="0"/>
    <n v="0"/>
    <m/>
    <m/>
    <m/>
    <n v="24852.775983848711"/>
    <n v="0"/>
    <n v="0"/>
    <n v="-13012.966110000001"/>
    <n v="1448.31531"/>
    <n v="0"/>
    <n v="0"/>
    <n v="-13158.227301751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7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1.663"/>
    <n v="1.663"/>
    <n v="1.663"/>
    <n v="1.663"/>
    <m/>
    <n v="516.83000000000004"/>
    <n v="173.82"/>
    <m/>
    <n v="1148.5509500000001"/>
    <n v="1148.5509500000001"/>
    <n v="867.17135000000007"/>
    <n v="0"/>
    <n v="101.69154492559342"/>
    <n v="0"/>
    <n v="0"/>
    <n v="4.5207724940490168"/>
    <n v="57.251454961195755"/>
    <n v="604.6930673622204"/>
    <n v="267.61351140541302"/>
    <n v="13.463424147006972"/>
    <n v="0"/>
    <n v="0"/>
    <n v="0"/>
    <n v="0"/>
    <n v="15.717838941620796"/>
    <m/>
    <n v="2.5802143041750343"/>
    <n v="9.6429117847022372"/>
    <n v="31.579232261225602"/>
    <n v="0"/>
    <n v="0"/>
    <n v="0"/>
    <n v="0"/>
    <n v="0"/>
    <n v="0"/>
    <n v="0"/>
    <n v="0"/>
    <n v="0"/>
    <n v="0"/>
    <m/>
    <n v="0"/>
    <n v="0"/>
    <n v="0"/>
    <n v="0.92265338215765236"/>
    <n v="7.9918597051980251"/>
    <n v="30.895751491820302"/>
    <n v="0"/>
    <n v="0"/>
    <n v="0"/>
    <n v="476.67"/>
    <n v="6"/>
    <m/>
    <m/>
    <m/>
    <m/>
    <m/>
    <m/>
    <m/>
    <m/>
    <m/>
    <n v="307.42377598458899"/>
    <m/>
    <m/>
    <m/>
    <m/>
    <m/>
    <m/>
    <m/>
    <m/>
    <m/>
    <m/>
    <m/>
    <m/>
    <n v="865.60699999999997"/>
    <n v="-282.97395000000006"/>
    <m/>
    <m/>
    <m/>
    <m/>
    <n v="-316.61857000000009"/>
    <n v="35.238969999999995"/>
    <n v="31"/>
    <n v="38.757676800295485"/>
    <n v="0.93626581309817603"/>
    <n v="3.0661439438838194"/>
    <n v="0"/>
    <n v="0"/>
    <n v="0"/>
    <n v="0"/>
    <n v="0"/>
    <n v="-1.0977513031667598"/>
    <n v="0"/>
    <n v="0"/>
    <n v="34.351151867415808"/>
    <n v="1.0258435196137663"/>
    <n v="0.11843275881338711"/>
    <n v="0"/>
    <n v="3.9658111654370991"/>
    <n v="0"/>
    <n v="-2.9719868076344085"/>
    <m/>
    <n v="0"/>
    <n v="0"/>
    <n v="-0.1496410180761476"/>
    <n v="0"/>
    <n v="-0.40708659956421833"/>
    <n v="-7.9506539525024511E-2"/>
    <n v="0"/>
    <n v="0"/>
    <m/>
    <m/>
    <m/>
    <n v="604.6930673622204"/>
    <n v="0"/>
    <n v="0"/>
    <n v="-316.61857000000009"/>
    <n v="35.238969999999995"/>
    <n v="0"/>
    <n v="0"/>
    <n v="-320.1529210787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8"/>
    <s v="Regular"/>
    <s v="Azul"/>
    <s v="A4"/>
    <s v="Industrial"/>
    <s v="Não se aplica"/>
    <s v="Não se aplica"/>
    <s v="Não se aplica"/>
    <s v="Ponta"/>
    <s v="CATIVO"/>
    <x v="6"/>
    <n v="1200"/>
    <n v="1200"/>
    <n v="55.338000000000001"/>
    <n v="55.338000000000001"/>
    <n v="55.338000000000001"/>
    <n v="55.338000000000001"/>
    <n v="67.099999999999994"/>
    <n v="70.33"/>
    <n v="173.82"/>
    <n v="80520"/>
    <n v="13510.7727"/>
    <n v="94030.772700000001"/>
    <n v="65075.493540000003"/>
    <n v="0"/>
    <n v="2943.9830669816429"/>
    <n v="0"/>
    <n v="0"/>
    <n v="898.10170336085525"/>
    <n v="13700.67976876248"/>
    <n v="57794.157302940846"/>
    <n v="8905.1091365921511"/>
    <n v="448.00899906618866"/>
    <n v="0"/>
    <n v="0"/>
    <n v="0"/>
    <n v="0"/>
    <n v="523.0269220393335"/>
    <m/>
    <n v="68.770229577331222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10.325718003446395"/>
    <n v="265.93718121842954"/>
    <n v="345.76453474115584"/>
    <n v="0"/>
    <n v="0"/>
    <n v="0"/>
    <n v="0"/>
    <n v="0"/>
    <m/>
    <m/>
    <m/>
    <m/>
    <m/>
    <m/>
    <m/>
    <m/>
    <m/>
    <n v="9527.1365705551834"/>
    <m/>
    <m/>
    <m/>
    <m/>
    <m/>
    <m/>
    <m/>
    <m/>
    <m/>
    <m/>
    <m/>
    <m/>
    <n v="65076.022199999999"/>
    <n v="-28954.780499999986"/>
    <m/>
    <m/>
    <m/>
    <m/>
    <n v="-30127.891379999994"/>
    <n v="1172.61222"/>
    <n v="31"/>
    <n v="1642.970693644922"/>
    <n v="187.27044607078801"/>
    <n v="602.17080389378407"/>
    <n v="0"/>
    <n v="0"/>
    <n v="0"/>
    <n v="0"/>
    <n v="0"/>
    <n v="-262.69968301452172"/>
    <n v="0"/>
    <n v="0"/>
    <n v="1143.0691774137431"/>
    <n v="34.135976361026223"/>
    <n v="1.3254200261179765"/>
    <n v="0"/>
    <n v="44.382699441755847"/>
    <n v="0"/>
    <n v="-86.039393377006945"/>
    <m/>
    <n v="0"/>
    <n v="0"/>
    <n v="-4.9794555972927128"/>
    <n v="0"/>
    <n v="-13.546216624584929"/>
    <n v="-2.1190809488919484"/>
    <n v="0"/>
    <n v="0"/>
    <m/>
    <m/>
    <n v="57794.157302940846"/>
    <n v="0"/>
    <n v="0"/>
    <n v="0"/>
    <n v="-30127.891379999994"/>
    <n v="1172.6122199999991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79"/>
    <s v="Regular"/>
    <s v="Azul"/>
    <s v="A4"/>
    <s v="Industrial"/>
    <s v="Não se aplica"/>
    <s v="Não se aplica"/>
    <s v="Não se aplica"/>
    <s v="Fora ponta"/>
    <s v="CATIVO"/>
    <x v="6"/>
    <n v="1248"/>
    <n v="1248"/>
    <n v="575.31700000000001"/>
    <n v="575.31700000000001"/>
    <n v="575.31700000000001"/>
    <n v="575.31700000000001"/>
    <n v="59.12"/>
    <n v="70.33"/>
    <n v="173.82"/>
    <n v="73781.759999999995"/>
    <n v="140463.64555000002"/>
    <n v="214245.40555"/>
    <n v="194542.98261000001"/>
    <n v="0"/>
    <n v="30606.87965135491"/>
    <n v="0"/>
    <n v="0"/>
    <n v="713.9313334404352"/>
    <n v="6386.0442680928572"/>
    <n v="60105.923595058477"/>
    <n v="92581.240253294061"/>
    <n v="4657.6889897676547"/>
    <n v="0"/>
    <n v="0"/>
    <n v="0"/>
    <n v="0"/>
    <n v="5437.6067025715283"/>
    <m/>
    <n v="714.96407838630716"/>
    <n v="1507.6740003811949"/>
    <n v="5068.1128542968854"/>
    <n v="0"/>
    <n v="0"/>
    <n v="0"/>
    <n v="0"/>
    <n v="0"/>
    <n v="0"/>
    <n v="0"/>
    <n v="0"/>
    <n v="0"/>
    <n v="0"/>
    <m/>
    <n v="0"/>
    <n v="0"/>
    <n v="0"/>
    <n v="107.35048437942768"/>
    <n v="2764.7941972431822"/>
    <n v="3594.712762182904"/>
    <n v="0"/>
    <n v="0"/>
    <n v="0"/>
    <n v="0"/>
    <n v="0"/>
    <m/>
    <m/>
    <m/>
    <m/>
    <m/>
    <m/>
    <m/>
    <m/>
    <m/>
    <n v="99048.097697099569"/>
    <m/>
    <m/>
    <m/>
    <m/>
    <m/>
    <m/>
    <m/>
    <m/>
    <m/>
    <m/>
    <m/>
    <m/>
    <n v="194543.77559999999"/>
    <n v="-19701.659950000001"/>
    <m/>
    <m/>
    <m/>
    <m/>
    <n v="-31893.390169999999"/>
    <n v="12190.967229999998"/>
    <n v="31"/>
    <n v="12120.805021574546"/>
    <n v="146.38562037798806"/>
    <n v="492.08173924490802"/>
    <n v="0"/>
    <n v="0"/>
    <n v="0"/>
    <n v="0"/>
    <n v="0"/>
    <n v="-122.44734080786748"/>
    <n v="0"/>
    <n v="0"/>
    <n v="11883.825399221911"/>
    <n v="354.89189186628619"/>
    <n v="13.779621113269656"/>
    <n v="0"/>
    <n v="461.42111197970053"/>
    <n v="0"/>
    <n v="-894.501530222984"/>
    <m/>
    <n v="0"/>
    <n v="0"/>
    <n v="-51.768503665974094"/>
    <n v="0"/>
    <n v="-140.83213541881378"/>
    <n v="-22.030852113803689"/>
    <n v="0"/>
    <n v="0"/>
    <m/>
    <m/>
    <n v="60105.923595058477"/>
    <n v="0"/>
    <n v="0"/>
    <n v="0"/>
    <n v="-31893.390169999999"/>
    <n v="12190.967229999995"/>
    <n v="0"/>
    <n v="0"/>
    <n v="-31822.89999956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0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724.8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81"/>
    <s v="Refaturamento - 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95.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82"/>
    <s v="Regular"/>
    <s v="Verde"/>
    <s v="A4"/>
    <s v="Industrial"/>
    <s v="Não se aplica"/>
    <s v="Não se aplica"/>
    <s v="Não se aplica"/>
    <s v="Ponta"/>
    <s v="CATIVO"/>
    <x v="6"/>
    <n v="0"/>
    <n v="0"/>
    <n v="28.67"/>
    <n v="28.67"/>
    <n v="28.67"/>
    <n v="28.67"/>
    <m/>
    <n v="1684.16"/>
    <n v="173.82"/>
    <m/>
    <n v="53268.286600000007"/>
    <n v="53268.286600000007"/>
    <n v="36567.438200000004"/>
    <n v="0"/>
    <n v="1525.2447600268117"/>
    <n v="0"/>
    <n v="0"/>
    <n v="516.04279397861399"/>
    <n v="7872.3785895914889"/>
    <n v="33208.244699060291"/>
    <n v="4613.6376259730559"/>
    <n v="232.10846079055315"/>
    <n v="0"/>
    <n v="0"/>
    <n v="0"/>
    <n v="0"/>
    <n v="270.97440917394363"/>
    <m/>
    <n v="35.629088185010055"/>
    <n v="1108.2716378455632"/>
    <n v="3563.6428978214935"/>
    <n v="0"/>
    <n v="0"/>
    <n v="0"/>
    <n v="0"/>
    <n v="0"/>
    <n v="0"/>
    <n v="0"/>
    <n v="0"/>
    <n v="0"/>
    <n v="0"/>
    <m/>
    <n v="0"/>
    <n v="0"/>
    <n v="0"/>
    <n v="5.3496392200442404"/>
    <n v="137.77908463501345"/>
    <n v="179.13674529308864"/>
    <n v="0"/>
    <n v="0"/>
    <n v="0"/>
    <n v="0"/>
    <n v="0"/>
    <m/>
    <m/>
    <m/>
    <m/>
    <m/>
    <m/>
    <m/>
    <m/>
    <m/>
    <n v="4935.9030951212026"/>
    <m/>
    <m/>
    <m/>
    <m/>
    <m/>
    <m/>
    <m/>
    <m/>
    <m/>
    <m/>
    <m/>
    <m/>
    <n v="36567.438200000004"/>
    <n v="-16700.878400000009"/>
    <m/>
    <m/>
    <m/>
    <m/>
    <n v="-17308.365700000002"/>
    <n v="607.51729999999998"/>
    <n v="31"/>
    <n v="880.97261022197927"/>
    <n v="107.60617428723458"/>
    <n v="346.00721128791383"/>
    <n v="0"/>
    <n v="0"/>
    <n v="0"/>
    <n v="0"/>
    <n v="0"/>
    <n v="-150.94662417932796"/>
    <n v="0"/>
    <n v="0"/>
    <n v="592.2113794580946"/>
    <n v="17.685468254556071"/>
    <n v="0.68668531838523883"/>
    <n v="0"/>
    <n v="22.994181087049412"/>
    <n v="0"/>
    <n v="-44.576049154627754"/>
    <m/>
    <n v="0"/>
    <n v="0"/>
    <n v="-2.5798003537240959"/>
    <n v="0"/>
    <n v="-7.0181436016272869"/>
    <n v="-1.0978721819496968"/>
    <n v="0"/>
    <n v="0"/>
    <m/>
    <m/>
    <m/>
    <n v="33208.244699060291"/>
    <n v="0"/>
    <n v="0"/>
    <n v="-17308.365700000006"/>
    <n v="607.51730000000043"/>
    <n v="0"/>
    <n v="0"/>
    <n v="-17582.005017322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3"/>
    <s v="Regular"/>
    <s v="Verde"/>
    <s v="A4"/>
    <s v="Industrial"/>
    <s v="Não se aplica"/>
    <s v="Não se aplica"/>
    <s v="Não se aplica"/>
    <s v="Fora ponta"/>
    <s v="CATIVO"/>
    <x v="6"/>
    <n v="0"/>
    <n v="0"/>
    <n v="619.80899999999997"/>
    <n v="619.80899999999997"/>
    <n v="619.80899999999997"/>
    <n v="619.80899999999997"/>
    <m/>
    <n v="70.33"/>
    <n v="173.82"/>
    <m/>
    <n v="151326.36734999999"/>
    <n v="151326.36734999999"/>
    <n v="163834.11296999999"/>
    <n v="0"/>
    <n v="32973.855230814719"/>
    <n v="0"/>
    <n v="0"/>
    <n v="0"/>
    <n v="0"/>
    <n v="0"/>
    <n v="99740.987907803748"/>
    <n v="5017.8902327914875"/>
    <n v="0"/>
    <n v="0"/>
    <n v="0"/>
    <n v="0"/>
    <n v="5858.1226918623233"/>
    <m/>
    <n v="770.25565116368648"/>
    <n v="0"/>
    <n v="0"/>
    <n v="0"/>
    <n v="0"/>
    <n v="0"/>
    <n v="0"/>
    <n v="0"/>
    <n v="0"/>
    <n v="0"/>
    <n v="0"/>
    <n v="0"/>
    <n v="0"/>
    <m/>
    <n v="0"/>
    <n v="0"/>
    <n v="0"/>
    <n v="115.65240792941751"/>
    <n v="2978.6088827535073"/>
    <n v="3872.708997675757"/>
    <n v="0"/>
    <n v="0"/>
    <n v="0"/>
    <n v="0"/>
    <n v="0"/>
    <m/>
    <m/>
    <m/>
    <m/>
    <m/>
    <m/>
    <m/>
    <m/>
    <m/>
    <n v="106707.95819616244"/>
    <m/>
    <m/>
    <m/>
    <m/>
    <m/>
    <m/>
    <m/>
    <m/>
    <m/>
    <m/>
    <m/>
    <m/>
    <n v="163834.37729999996"/>
    <n v="12507.97994999995"/>
    <m/>
    <m/>
    <m/>
    <m/>
    <n v="-626.00709000000313"/>
    <n v="13133.752709999999"/>
    <n v="31"/>
    <n v="12502.238223058637"/>
    <n v="0"/>
    <n v="0"/>
    <n v="0"/>
    <n v="0"/>
    <n v="0"/>
    <n v="0"/>
    <n v="0"/>
    <n v="0"/>
    <n v="0"/>
    <n v="0"/>
    <n v="12802.858140583965"/>
    <n v="382.33736984262714"/>
    <n v="14.845264754204294"/>
    <n v="0"/>
    <n v="497.10500123414749"/>
    <n v="0"/>
    <n v="-963.67758808791768"/>
    <m/>
    <n v="0"/>
    <n v="0"/>
    <n v="-55.772008281875969"/>
    <n v="0"/>
    <n v="-151.72335429302439"/>
    <n v="-23.734602693479474"/>
    <n v="0"/>
    <n v="0"/>
    <m/>
    <m/>
    <m/>
    <n v="0"/>
    <n v="0"/>
    <n v="0"/>
    <n v="-626.00709000000643"/>
    <n v="13133.752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4"/>
    <s v="Regular"/>
    <s v="Verde"/>
    <s v="A4"/>
    <s v="Industrial"/>
    <s v="Não se aplica"/>
    <s v="Não se aplica"/>
    <s v="Não se aplica"/>
    <s v="Não se aplica"/>
    <s v="CATIVO"/>
    <x v="6"/>
    <n v="4274"/>
    <n v="4274"/>
    <n v="0"/>
    <n v="0"/>
    <n v="0"/>
    <n v="0"/>
    <n v="59.12"/>
    <m/>
    <m/>
    <n v="252678.87999999998"/>
    <m/>
    <n v="252678.87999999998"/>
    <n v="145444.22"/>
    <n v="0"/>
    <n v="0"/>
    <n v="0"/>
    <n v="0"/>
    <n v="2444.9859928881569"/>
    <n v="21870.15480915775"/>
    <n v="205843.5235939743"/>
    <m/>
    <m/>
    <m/>
    <n v="0"/>
    <n v="0"/>
    <n v="0"/>
    <n v="0"/>
    <m/>
    <n v="0"/>
    <n v="5163.3002224593165"/>
    <n v="17356.662130821223"/>
    <n v="0"/>
    <n v="0"/>
    <m/>
    <m/>
    <n v="0"/>
    <n v="0"/>
    <n v="0"/>
    <m/>
    <m/>
    <n v="0"/>
    <m/>
    <n v="0"/>
    <n v="0"/>
    <n v="0"/>
    <n v="0"/>
    <m/>
    <n v="0"/>
    <n v="0"/>
    <n v="0"/>
    <n v="0"/>
    <n v="89933.18"/>
    <n v="26"/>
    <m/>
    <m/>
    <m/>
    <m/>
    <m/>
    <m/>
    <m/>
    <m/>
    <m/>
    <n v="0"/>
    <m/>
    <m/>
    <m/>
    <m/>
    <m/>
    <m/>
    <m/>
    <m/>
    <m/>
    <m/>
    <m/>
    <m/>
    <n v="145444.22"/>
    <n v="-107234.69"/>
    <m/>
    <m/>
    <m/>
    <m/>
    <n v="-107234.65999999999"/>
    <n v="0"/>
    <n v="31"/>
    <n v="1767.2031734097982"/>
    <n v="501.32383132653922"/>
    <n v="1685.2222384076449"/>
    <n v="0"/>
    <n v="0"/>
    <m/>
    <m/>
    <m/>
    <n v="-419.342896324378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5843.5235939743"/>
    <m/>
    <n v="0"/>
    <n v="0"/>
    <n v="-107234.65999999997"/>
    <m/>
    <n v="0"/>
    <m/>
    <n v="-108983.2328510609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85"/>
    <s v="Refaturamento - Regular"/>
    <s v="Verde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07.6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86"/>
    <s v="Regular"/>
    <s v="Convencional"/>
    <s v="B3"/>
    <s v="Comercial"/>
    <s v="Não se aplica"/>
    <s v="Não se aplica"/>
    <s v="Não se aplica"/>
    <s v="Não se aplica"/>
    <s v="CATIVO"/>
    <x v="6"/>
    <n v="0"/>
    <n v="0"/>
    <n v="423.30500000000001"/>
    <n v="423.30500000000001"/>
    <n v="423.30500000000001"/>
    <n v="423.30500000000001"/>
    <m/>
    <n v="516.83000000000004"/>
    <n v="173.82"/>
    <m/>
    <n v="292355.59825000004"/>
    <n v="292355.59825000004"/>
    <n v="220732.39224999998"/>
    <n v="0"/>
    <n v="25884.870369650223"/>
    <n v="0"/>
    <n v="0"/>
    <n v="1150.7309684867223"/>
    <n v="14572.956790348147"/>
    <n v="153920.38417303952"/>
    <n v="68119.144585368835"/>
    <n v="3427.0202997888068"/>
    <n v="0"/>
    <n v="0"/>
    <n v="0"/>
    <n v="0"/>
    <n v="4000.8657926535125"/>
    <m/>
    <n v="656.77547566374801"/>
    <n v="2454.5356422269274"/>
    <n v="8038.2723465653053"/>
    <n v="0"/>
    <n v="0"/>
    <n v="0"/>
    <n v="0"/>
    <n v="0"/>
    <n v="0"/>
    <n v="0"/>
    <n v="0"/>
    <n v="0"/>
    <n v="0"/>
    <m/>
    <n v="0"/>
    <n v="0"/>
    <n v="0"/>
    <n v="234.85495486124177"/>
    <n v="2034.2719016890258"/>
    <n v="7864.2971047775063"/>
    <n v="0"/>
    <n v="0"/>
    <n v="0"/>
    <n v="94650.18"/>
    <n v="520"/>
    <m/>
    <m/>
    <m/>
    <m/>
    <m/>
    <m/>
    <m/>
    <m/>
    <m/>
    <n v="78252.568546696595"/>
    <m/>
    <m/>
    <m/>
    <m/>
    <m/>
    <m/>
    <m/>
    <m/>
    <m/>
    <m/>
    <m/>
    <m/>
    <n v="220734.99950000001"/>
    <n v="-71620.628750000062"/>
    <m/>
    <m/>
    <m/>
    <m/>
    <n v="-80593.038950000016"/>
    <n v="8969.83295"/>
    <n v="31"/>
    <n v="9865.4951160247438"/>
    <n v="238.31990379646641"/>
    <n v="780.4654613143357"/>
    <n v="0"/>
    <n v="0"/>
    <n v="0"/>
    <n v="0"/>
    <n v="0"/>
    <n v="-279.42490402104886"/>
    <n v="0"/>
    <n v="0"/>
    <n v="8743.8450638823997"/>
    <n v="261.12128146127839"/>
    <n v="30.146229085689015"/>
    <n v="0"/>
    <n v="1009.4694500212572"/>
    <n v="0"/>
    <n v="-756.49842189157062"/>
    <m/>
    <n v="0"/>
    <n v="0"/>
    <n v="-38.090072854313348"/>
    <n v="0"/>
    <n v="-103.62104210976031"/>
    <n v="-20.237832660036474"/>
    <n v="0"/>
    <n v="0"/>
    <m/>
    <m/>
    <m/>
    <n v="153920.38417303952"/>
    <n v="0"/>
    <n v="0"/>
    <n v="-80593.038950000046"/>
    <n v="8969.8329499999963"/>
    <n v="0"/>
    <n v="0"/>
    <n v="-81492.683257517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7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-4.9000000000000002E-2"/>
    <n v="-4.9000000000000002E-2"/>
    <n v="-4.9000000000000002E-2"/>
    <n v="-4.9000000000000002E-2"/>
    <m/>
    <n v="516.83000000000004"/>
    <n v="173.82"/>
    <m/>
    <n v="-33.841850000000008"/>
    <n v="-33.841850000000008"/>
    <n v="-25.551050000000004"/>
    <n v="0"/>
    <n v="-2.9963233321431613"/>
    <n v="0"/>
    <n v="0"/>
    <n v="-0.13320375959615263"/>
    <n v="-1.6869039645812338"/>
    <n v="-17.817173963168251"/>
    <n v="-7.8851846415305111"/>
    <n v="-0.39669740421126976"/>
    <n v="0"/>
    <n v="0"/>
    <n v="0"/>
    <n v="0"/>
    <n v="-0.46312333622334279"/>
    <m/>
    <n v="-7.6025556767634811E-2"/>
    <n v="-0.28412668517763656"/>
    <n v="-0.93047647672883615"/>
    <n v="0"/>
    <n v="0"/>
    <n v="0"/>
    <n v="0"/>
    <n v="0"/>
    <n v="0"/>
    <n v="0"/>
    <n v="0"/>
    <n v="0"/>
    <n v="0"/>
    <m/>
    <n v="0"/>
    <n v="0"/>
    <n v="0"/>
    <n v="-2.7185818235553199E-2"/>
    <n v="-0.23547872853560026"/>
    <n v="-0.91033783710113936"/>
    <n v="0"/>
    <n v="-0.05"/>
    <n v="-0.18"/>
    <n v="-15.94"/>
    <n v="0"/>
    <m/>
    <m/>
    <m/>
    <m/>
    <m/>
    <m/>
    <m/>
    <m/>
    <m/>
    <n v="-9.0581870254028036"/>
    <m/>
    <m/>
    <m/>
    <m/>
    <m/>
    <m/>
    <m/>
    <m/>
    <m/>
    <m/>
    <m/>
    <m/>
    <n v="-26.072499999999998"/>
    <n v="7.7393500000000017"/>
    <m/>
    <m/>
    <m/>
    <m/>
    <n v="9.3291100000000018"/>
    <n v="-1.0383099999999998"/>
    <n v="31"/>
    <n v="-1.1419880716864022"/>
    <n v="-2.7586906098503117E-2"/>
    <n v="-9.034338740246961E-2"/>
    <n v="0"/>
    <n v="0"/>
    <n v="0"/>
    <n v="0"/>
    <n v="0"/>
    <n v="3.2345047417420947E-2"/>
    <n v="0"/>
    <n v="0"/>
    <n v="-1.0121505962136936"/>
    <n v="-3.0226297330772478E-2"/>
    <n v="-3.4896002296187396E-3"/>
    <n v="0"/>
    <n v="-0.11685192249333609"/>
    <n v="0"/>
    <n v="8.7569064085439408E-2"/>
    <m/>
    <n v="0"/>
    <n v="0"/>
    <n v="4.4091460527547754E-3"/>
    <n v="0"/>
    <n v="1.1994734442962562E-2"/>
    <n v="2.3426460834192475E-3"/>
    <n v="0"/>
    <n v="0"/>
    <m/>
    <m/>
    <m/>
    <n v="-17.817173963168251"/>
    <n v="0"/>
    <n v="0"/>
    <n v="9.3291100000000036"/>
    <n v="-1.038310000000001"/>
    <n v="0"/>
    <n v="0"/>
    <n v="9.433249027576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8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31.021000000000001"/>
    <n v="31.021000000000001"/>
    <n v="31.021000000000001"/>
    <n v="31.021000000000001"/>
    <m/>
    <n v="516.83000000000004"/>
    <n v="173.82"/>
    <m/>
    <n v="21424.65365"/>
    <n v="21424.65365"/>
    <n v="16175.900450000001"/>
    <n v="0"/>
    <n v="1896.9172670696532"/>
    <n v="0"/>
    <n v="0"/>
    <n v="84.328853600658178"/>
    <n v="1067.9479160260094"/>
    <n v="11279.725581866171"/>
    <n v="4991.9655666309791"/>
    <n v="251.14184032730202"/>
    <n v="0"/>
    <n v="0"/>
    <n v="0"/>
    <n v="0"/>
    <n v="293.19487781600645"/>
    <m/>
    <n v="48.130383601812234"/>
    <n v="179.87538573256049"/>
    <n v="589.06756703275971"/>
    <n v="0"/>
    <n v="0"/>
    <n v="0"/>
    <n v="0"/>
    <n v="0"/>
    <n v="0"/>
    <n v="0"/>
    <n v="0"/>
    <n v="0"/>
    <n v="0"/>
    <m/>
    <n v="0"/>
    <n v="0"/>
    <n v="0"/>
    <n v="17.210842193573381"/>
    <n v="149.07725791638481"/>
    <n v="576.3181641778458"/>
    <n v="0"/>
    <n v="0"/>
    <n v="0"/>
    <n v="14801.1"/>
    <n v="48"/>
    <m/>
    <m/>
    <m/>
    <m/>
    <m/>
    <m/>
    <m/>
    <m/>
    <m/>
    <n v="5734.5718309187832"/>
    <m/>
    <m/>
    <m/>
    <m/>
    <m/>
    <m/>
    <m/>
    <m/>
    <m/>
    <m/>
    <m/>
    <m/>
    <n v="16175.378999999999"/>
    <n v="-5249.3046500000037"/>
    <m/>
    <m/>
    <m/>
    <m/>
    <n v="-5906.0881900000013"/>
    <n v="657.33498999999995"/>
    <n v="31"/>
    <n v="722.97167289354729"/>
    <n v="17.464763552687032"/>
    <n v="57.194739196163482"/>
    <n v="0"/>
    <n v="0"/>
    <n v="0"/>
    <n v="0"/>
    <n v="0"/>
    <n v="-20.477055427261575"/>
    <n v="0"/>
    <n v="0"/>
    <n v="640.77395194173459"/>
    <n v="19.135713663222276"/>
    <n v="2.2092018106735303"/>
    <n v="0"/>
    <n v="73.976805870730232"/>
    <n v="0"/>
    <n v="-55.438366061110628"/>
    <m/>
    <n v="0"/>
    <n v="0"/>
    <n v="-2.7913493816838013"/>
    <n v="0"/>
    <n v="-7.5936460643906116"/>
    <n v="-1.4830862072193582"/>
    <n v="0"/>
    <n v="0"/>
    <m/>
    <m/>
    <m/>
    <n v="11279.725581866171"/>
    <n v="0"/>
    <n v="0"/>
    <n v="-5906.0881900000022"/>
    <n v="657.33499000000029"/>
    <n v="0"/>
    <n v="0"/>
    <n v="-5972.0166956011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89"/>
    <s v="Regular"/>
    <s v="Verde"/>
    <s v="A4"/>
    <s v="Comercial"/>
    <s v="Não se aplica"/>
    <s v="Não se aplica"/>
    <s v="Não se aplica"/>
    <s v="Ponta"/>
    <s v="CATIVO"/>
    <x v="6"/>
    <n v="0"/>
    <n v="0"/>
    <n v="18.268000000000001"/>
    <n v="18.268000000000001"/>
    <n v="18.268000000000001"/>
    <n v="18.268000000000001"/>
    <m/>
    <n v="1684.16"/>
    <n v="173.82"/>
    <m/>
    <n v="33941.578640000007"/>
    <n v="33941.578640000007"/>
    <n v="23300.103280000003"/>
    <n v="0"/>
    <n v="971.85808427519351"/>
    <n v="0"/>
    <n v="0"/>
    <n v="328.81303663764635"/>
    <n v="5016.1357542608057"/>
    <n v="21159.686576994536"/>
    <n v="2939.7255720710077"/>
    <n v="147.89526898227501"/>
    <n v="0"/>
    <n v="0"/>
    <n v="0"/>
    <n v="0"/>
    <n v="172.65994094138827"/>
    <m/>
    <n v="22.702203800619589"/>
    <n v="706.17043181593112"/>
    <n v="2270.6881219882471"/>
    <n v="0"/>
    <n v="0"/>
    <n v="0"/>
    <n v="0"/>
    <n v="0"/>
    <n v="0"/>
    <n v="0"/>
    <n v="0"/>
    <n v="0"/>
    <n v="0"/>
    <m/>
    <n v="0"/>
    <n v="0"/>
    <n v="0"/>
    <n v="3.4086923359528489"/>
    <n v="87.790314548741748"/>
    <n v="114.14266002839703"/>
    <n v="0"/>
    <n v="0"/>
    <n v="0"/>
    <n v="0"/>
    <n v="0"/>
    <m/>
    <m/>
    <m/>
    <m/>
    <m/>
    <m/>
    <m/>
    <m/>
    <m/>
    <n v="3145.0672389840993"/>
    <m/>
    <m/>
    <m/>
    <m/>
    <m/>
    <m/>
    <m/>
    <m/>
    <m/>
    <m/>
    <m/>
    <m/>
    <n v="23302.654200000001"/>
    <n v="-10638.954440000005"/>
    <m/>
    <m/>
    <m/>
    <m/>
    <n v="-11028.574280000001"/>
    <n v="387.09891999999996"/>
    <n v="31"/>
    <n v="561.33964574590573"/>
    <n v="68.564687543746231"/>
    <n v="220.46947107804726"/>
    <n v="0"/>
    <n v="0"/>
    <n v="0"/>
    <n v="0"/>
    <n v="0"/>
    <n v="-96.18043008398854"/>
    <n v="0"/>
    <n v="0"/>
    <n v="377.34626717615856"/>
    <n v="11.26885713548063"/>
    <n v="0.43754333436559278"/>
    <n v="0"/>
    <n v="14.651471925295382"/>
    <n v="0"/>
    <n v="-28.403043807350514"/>
    <m/>
    <n v="0"/>
    <n v="0"/>
    <n v="-1.6438016345249764"/>
    <n v="0"/>
    <n v="-4.4718328327354868"/>
    <n v="-0.6995440885893629"/>
    <n v="0"/>
    <n v="0"/>
    <m/>
    <m/>
    <m/>
    <n v="21159.686576994536"/>
    <n v="0"/>
    <n v="0"/>
    <n v="-11028.574280000001"/>
    <n v="387.09891999999991"/>
    <n v="0"/>
    <n v="0"/>
    <n v="-11202.932251707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0"/>
    <s v="Sistema de Compensação"/>
    <s v="Verde"/>
    <s v="A4"/>
    <s v="Comercial"/>
    <s v="Não se aplica"/>
    <s v="Não se aplica"/>
    <s v="Não se aplica"/>
    <s v="Ponta"/>
    <s v="CATIVO"/>
    <x v="6"/>
    <n v="0"/>
    <n v="0"/>
    <n v="4.5380000000000003"/>
    <n v="4.5380000000000003"/>
    <n v="4.5380000000000003"/>
    <n v="4.5380000000000003"/>
    <m/>
    <n v="1684.16"/>
    <n v="173.82"/>
    <m/>
    <n v="8431.5132400000002"/>
    <n v="8431.5132400000002"/>
    <n v="5788.0374800000009"/>
    <n v="0"/>
    <n v="241.42172030002342"/>
    <n v="0"/>
    <n v="0"/>
    <n v="81.681276563479258"/>
    <n v="1246.0709466189805"/>
    <n v="5256.33116303926"/>
    <n v="730.2646510870502"/>
    <n v="36.739037149198822"/>
    <n v="0"/>
    <n v="0"/>
    <n v="0"/>
    <n v="0"/>
    <n v="42.890891832276111"/>
    <m/>
    <n v="5.6395117608502137"/>
    <n v="175.42157978873965"/>
    <n v="564.06736903780734"/>
    <n v="0"/>
    <n v="0"/>
    <n v="0"/>
    <n v="0"/>
    <n v="0"/>
    <n v="0"/>
    <n v="0"/>
    <n v="0"/>
    <n v="0"/>
    <n v="0"/>
    <m/>
    <n v="0"/>
    <n v="0"/>
    <n v="0"/>
    <n v="0.84676186887201821"/>
    <n v="21.80821367539906"/>
    <n v="28.354466346007541"/>
    <n v="0"/>
    <n v="0"/>
    <n v="0"/>
    <n v="0"/>
    <n v="0"/>
    <m/>
    <m/>
    <m/>
    <m/>
    <m/>
    <m/>
    <m/>
    <m/>
    <m/>
    <n v="781.27409297732879"/>
    <m/>
    <m/>
    <m/>
    <m/>
    <m/>
    <m/>
    <m/>
    <m/>
    <m/>
    <m/>
    <m/>
    <m/>
    <n v="5790.5884000000005"/>
    <n v="-2640.9548400000003"/>
    <m/>
    <m/>
    <m/>
    <m/>
    <n v="-2739.6359800000005"/>
    <n v="96.160219999999995"/>
    <n v="31"/>
    <n v="139.44379857646891"/>
    <n v="17.032327133431124"/>
    <n v="54.767377915052521"/>
    <n v="0"/>
    <n v="0"/>
    <n v="0"/>
    <n v="0"/>
    <n v="0"/>
    <n v="-23.892423457474251"/>
    <n v="0"/>
    <n v="0"/>
    <n v="93.737538890158021"/>
    <n v="2.7993252507560307"/>
    <n v="0.10869124432620214"/>
    <n v="0"/>
    <n v="3.6396091305556411"/>
    <n v="0"/>
    <n v="-7.0556718194524137"/>
    <m/>
    <n v="0"/>
    <n v="0"/>
    <n v="-0.4083409140285994"/>
    <n v="0"/>
    <n v="-1.1108592837176303"/>
    <n v="-0.17377551313874129"/>
    <n v="0"/>
    <n v="0"/>
    <m/>
    <m/>
    <m/>
    <n v="5256.33116303926"/>
    <n v="0"/>
    <n v="0"/>
    <n v="-2739.63598"/>
    <n v="96.160219999999981"/>
    <n v="0"/>
    <n v="0"/>
    <n v="-2782.94868394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1"/>
    <s v="Regular"/>
    <s v="Verde"/>
    <s v="A4"/>
    <s v="Comercial"/>
    <s v="Não se aplica"/>
    <s v="Não se aplica"/>
    <s v="Não se aplica"/>
    <s v="Fora ponta"/>
    <s v="CATIVO"/>
    <x v="6"/>
    <n v="0"/>
    <n v="0"/>
    <n v="311.577"/>
    <n v="311.577"/>
    <n v="311.577"/>
    <n v="311.577"/>
    <m/>
    <n v="70.33"/>
    <n v="173.82"/>
    <m/>
    <n v="76071.524550000002"/>
    <n v="76071.524550000002"/>
    <n v="82359.148409999994"/>
    <n v="0"/>
    <n v="16575.904659744469"/>
    <n v="0"/>
    <n v="0"/>
    <n v="0"/>
    <n v="0"/>
    <n v="0"/>
    <n v="50139.636225594935"/>
    <n v="2522.4854512639754"/>
    <n v="0"/>
    <n v="0"/>
    <n v="0"/>
    <n v="0"/>
    <n v="2944.8689740910299"/>
    <m/>
    <n v="387.20629262019099"/>
    <n v="0"/>
    <n v="0"/>
    <n v="0"/>
    <n v="0"/>
    <n v="0"/>
    <n v="0"/>
    <n v="0"/>
    <n v="0"/>
    <n v="0"/>
    <n v="0"/>
    <n v="0"/>
    <n v="0"/>
    <m/>
    <n v="0"/>
    <n v="0"/>
    <n v="0"/>
    <n v="58.138281802013395"/>
    <n v="1497.3419551211575"/>
    <n v="1946.8046629991165"/>
    <n v="0"/>
    <n v="0"/>
    <n v="0"/>
    <n v="0"/>
    <n v="0"/>
    <m/>
    <m/>
    <m/>
    <m/>
    <m/>
    <m/>
    <m/>
    <m/>
    <m/>
    <n v="53641.921125517219"/>
    <m/>
    <m/>
    <m/>
    <m/>
    <m/>
    <m/>
    <m/>
    <m/>
    <m/>
    <m/>
    <m/>
    <m/>
    <n v="82359.941399999982"/>
    <n v="6288.3868499999953"/>
    <m/>
    <m/>
    <m/>
    <m/>
    <n v="-314.69277000000159"/>
    <n v="6602.3166299999993"/>
    <n v="31"/>
    <n v="6284.8553003037086"/>
    <n v="0"/>
    <n v="0"/>
    <n v="0"/>
    <n v="0"/>
    <n v="0"/>
    <n v="0"/>
    <n v="0"/>
    <n v="0"/>
    <n v="0"/>
    <n v="0"/>
    <n v="6435.9764554382491"/>
    <n v="192.20038864143044"/>
    <n v="7.4626910166207807"/>
    <n v="0"/>
    <n v="249.89389468292961"/>
    <n v="0"/>
    <n v="-484.43919314445338"/>
    <m/>
    <n v="0"/>
    <n v="0"/>
    <n v="-28.036499993452708"/>
    <n v="0"/>
    <n v="-76.271089255815241"/>
    <n v="-11.931347081804631"/>
    <n v="0"/>
    <n v="0"/>
    <m/>
    <m/>
    <m/>
    <n v="0"/>
    <n v="0"/>
    <n v="0"/>
    <n v="-314.69277000000147"/>
    <n v="6602.31663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2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34.859000000000002"/>
    <n v="34.859000000000002"/>
    <n v="34.859000000000002"/>
    <n v="34.859000000000002"/>
    <m/>
    <n v="70.33"/>
    <n v="173.82"/>
    <m/>
    <n v="8510.8248500000009"/>
    <n v="8510.8248500000009"/>
    <n v="9214.2794699999995"/>
    <n v="0"/>
    <n v="1854.4997240939879"/>
    <n v="0"/>
    <n v="0"/>
    <n v="0"/>
    <n v="0"/>
    <n v="0"/>
    <n v="5609.5847228390221"/>
    <n v="282.21377170205415"/>
    <n v="0"/>
    <n v="0"/>
    <n v="0"/>
    <n v="0"/>
    <n v="329.46972198794907"/>
    <m/>
    <n v="43.320348274895899"/>
    <n v="0"/>
    <n v="0"/>
    <n v="0"/>
    <n v="0"/>
    <n v="0"/>
    <n v="0"/>
    <n v="0"/>
    <n v="0"/>
    <n v="0"/>
    <n v="0"/>
    <n v="0"/>
    <n v="0"/>
    <m/>
    <n v="0"/>
    <n v="0"/>
    <n v="0"/>
    <n v="6.5044671632899256"/>
    <n v="167.52148975556102"/>
    <n v="217.80703886193848"/>
    <n v="0"/>
    <n v="0"/>
    <n v="0"/>
    <n v="0"/>
    <n v="0"/>
    <m/>
    <m/>
    <m/>
    <m/>
    <m/>
    <m/>
    <m/>
    <m/>
    <m/>
    <n v="6001.4177186198103"/>
    <m/>
    <m/>
    <m/>
    <m/>
    <m/>
    <m/>
    <m/>
    <m/>
    <m/>
    <m/>
    <m/>
    <m/>
    <n v="9214.5437999999995"/>
    <n v="703.68894999999793"/>
    <m/>
    <m/>
    <m/>
    <m/>
    <n v="-35.207590000000181"/>
    <n v="738.66220999999996"/>
    <n v="31"/>
    <n v="703.14487562716931"/>
    <n v="0"/>
    <n v="0"/>
    <n v="0"/>
    <n v="0"/>
    <n v="0"/>
    <n v="0"/>
    <n v="0"/>
    <n v="0"/>
    <n v="0"/>
    <n v="0"/>
    <n v="720.05219660026887"/>
    <n v="21.503234666395855"/>
    <n v="0.83492024811967358"/>
    <n v="0"/>
    <n v="27.95794065271906"/>
    <n v="0"/>
    <n v="-54.198691924700825"/>
    <m/>
    <n v="0"/>
    <n v="0"/>
    <n v="-3.1367024949587972"/>
    <n v="0"/>
    <n v="-8.5331519989230742"/>
    <n v="-1.3348701217504129"/>
    <n v="0"/>
    <n v="0"/>
    <m/>
    <m/>
    <m/>
    <n v="0"/>
    <n v="0"/>
    <n v="0"/>
    <n v="-35.207590000000437"/>
    <n v="738.6622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3"/>
    <s v="Regular"/>
    <s v="Verde"/>
    <s v="A4"/>
    <s v="Comercial"/>
    <s v="Não se aplica"/>
    <s v="Não se aplica"/>
    <s v="Não se aplica"/>
    <s v="Não se aplica"/>
    <s v="CATIVO"/>
    <x v="6"/>
    <n v="2675"/>
    <n v="2675"/>
    <n v="0"/>
    <n v="0"/>
    <n v="0"/>
    <n v="0"/>
    <n v="59.12"/>
    <m/>
    <m/>
    <n v="158146"/>
    <m/>
    <n v="158146"/>
    <n v="91030.25"/>
    <n v="0"/>
    <n v="0"/>
    <n v="0"/>
    <n v="0"/>
    <n v="1530.2614719175995"/>
    <n v="13688.035590663776"/>
    <n v="128832.80898780563"/>
    <m/>
    <m/>
    <m/>
    <n v="0"/>
    <n v="0"/>
    <n v="0"/>
    <n v="0"/>
    <m/>
    <n v="0"/>
    <n v="3231.5929094709104"/>
    <n v="10863.142536253339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594.710000000006"/>
    <n v="16"/>
    <m/>
    <m/>
    <m/>
    <m/>
    <m/>
    <m/>
    <m/>
    <m/>
    <m/>
    <n v="0"/>
    <m/>
    <m/>
    <m/>
    <m/>
    <m/>
    <m/>
    <m/>
    <m/>
    <m/>
    <m/>
    <m/>
    <m/>
    <n v="91030.25"/>
    <n v="-67115.780000000028"/>
    <m/>
    <m/>
    <m/>
    <m/>
    <n v="-67115.749999999985"/>
    <n v="0"/>
    <n v="31"/>
    <n v="1106.0525243030497"/>
    <n v="313.76725521724211"/>
    <n v="1054.7425100001055"/>
    <n v="0"/>
    <n v="0"/>
    <m/>
    <m/>
    <m/>
    <n v="-262.45724091430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8832.80898780563"/>
    <m/>
    <n v="0"/>
    <n v="0"/>
    <n v="-67115.75"/>
    <m/>
    <n v="0"/>
    <m/>
    <n v="-68210.14222662334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94"/>
    <s v="Refaturamento - Regular"/>
    <s v="Verde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788.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95"/>
    <s v="Sistema de Compensação"/>
    <s v="Verde"/>
    <s v="A4"/>
    <s v="Comercial"/>
    <s v="Não se aplica"/>
    <s v="Não se aplica"/>
    <s v="Não se aplica"/>
    <s v="Não se aplica"/>
    <s v="CATIVO"/>
    <x v="6"/>
    <n v="101"/>
    <n v="101"/>
    <n v="0"/>
    <n v="0"/>
    <n v="0"/>
    <n v="0"/>
    <n v="59.12"/>
    <m/>
    <m/>
    <n v="5971.12"/>
    <m/>
    <n v="5971.12"/>
    <n v="3437.03"/>
    <n v="0"/>
    <n v="0"/>
    <n v="0"/>
    <n v="0"/>
    <n v="57.778096696701887"/>
    <n v="516.81928772225842"/>
    <n v="4864.3415729975213"/>
    <m/>
    <m/>
    <m/>
    <n v="0"/>
    <n v="0"/>
    <n v="0"/>
    <n v="0"/>
    <m/>
    <n v="0"/>
    <n v="122.01528368469606"/>
    <n v="410.15977426601393"/>
    <n v="0"/>
    <n v="0"/>
    <m/>
    <m/>
    <n v="0"/>
    <n v="0"/>
    <n v="0"/>
    <m/>
    <m/>
    <n v="0"/>
    <m/>
    <n v="0"/>
    <n v="0"/>
    <n v="0"/>
    <n v="0"/>
    <m/>
    <n v="0"/>
    <n v="0"/>
    <n v="0"/>
    <n v="0"/>
    <n v="8318.2199999999993"/>
    <n v="1"/>
    <m/>
    <m/>
    <m/>
    <m/>
    <m/>
    <m/>
    <m/>
    <m/>
    <m/>
    <n v="0"/>
    <m/>
    <m/>
    <m/>
    <m/>
    <m/>
    <m/>
    <m/>
    <m/>
    <m/>
    <m/>
    <m/>
    <m/>
    <n v="3437.03"/>
    <n v="-2534.1200000000003"/>
    <m/>
    <m/>
    <m/>
    <m/>
    <n v="-2534.0899999999997"/>
    <n v="0"/>
    <n v="31"/>
    <n v="41.761235497049711"/>
    <n v="11.846913187641675"/>
    <n v="39.823922807480585"/>
    <n v="0"/>
    <n v="0"/>
    <m/>
    <m/>
    <m/>
    <n v="-9.9096004980725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64.3415729975213"/>
    <m/>
    <n v="0"/>
    <n v="0"/>
    <n v="-2534.0899999999997"/>
    <m/>
    <n v="0"/>
    <m/>
    <n v="-2575.410977528582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396"/>
    <s v="Sistema de Compensação"/>
    <s v="Verde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11.5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397"/>
    <s v="Regular"/>
    <s v="Convencional"/>
    <s v="B2"/>
    <s v="Rural"/>
    <s v="Não se aplica"/>
    <s v="Não se aplica"/>
    <s v="Não se aplica"/>
    <s v="Não se aplica"/>
    <s v="CATIVO"/>
    <x v="6"/>
    <n v="0"/>
    <n v="0"/>
    <n v="3658.5610000000001"/>
    <n v="3658.5610000000001"/>
    <n v="3658.5610000000001"/>
    <n v="3658.5610000000001"/>
    <m/>
    <n v="516.83000000000004"/>
    <n v="173.82"/>
    <m/>
    <n v="2526785.1546499999"/>
    <n v="2526785.1546499999"/>
    <n v="1907756.6334500001"/>
    <n v="0"/>
    <n v="223719.01400753096"/>
    <n v="0"/>
    <n v="0"/>
    <n v="9945.5934675889748"/>
    <n v="125951.85827678131"/>
    <n v="1330310.5671808736"/>
    <n v="588743.44912862265"/>
    <n v="29619.217384665048"/>
    <n v="0"/>
    <n v="0"/>
    <n v="0"/>
    <n v="0"/>
    <n v="34578.877063196102"/>
    <m/>
    <n v="5676.4109590480566"/>
    <n v="21214.179784697535"/>
    <n v="69473.570391378118"/>
    <n v="0"/>
    <n v="0"/>
    <n v="0"/>
    <n v="0"/>
    <n v="0"/>
    <n v="0"/>
    <n v="0"/>
    <n v="0"/>
    <n v="0"/>
    <n v="0"/>
    <m/>
    <n v="0"/>
    <n v="0"/>
    <n v="0"/>
    <n v="2029.8158030547702"/>
    <n v="17581.903929590495"/>
    <n v="67969.928727399631"/>
    <n v="0"/>
    <n v="0"/>
    <n v="0"/>
    <n v="101508.44"/>
    <n v="10251"/>
    <m/>
    <m/>
    <m/>
    <m/>
    <m/>
    <n v="228916.16176999998"/>
    <m/>
    <m/>
    <m/>
    <n v="676325.09758866753"/>
    <m/>
    <m/>
    <m/>
    <m/>
    <m/>
    <m/>
    <m/>
    <m/>
    <m/>
    <m/>
    <m/>
    <m/>
    <n v="1678840.0127999999"/>
    <n v="-544723.63617000007"/>
    <m/>
    <m/>
    <m/>
    <m/>
    <n v="-696553.42879000015"/>
    <n v="77524.907589999988"/>
    <n v="31"/>
    <n v="85265.98003136809"/>
    <n v="2059.7628318907264"/>
    <n v="6745.4447705829953"/>
    <n v="0"/>
    <n v="0"/>
    <n v="0"/>
    <n v="0"/>
    <n v="0"/>
    <n v="-2415.0271229495411"/>
    <n v="0"/>
    <n v="0"/>
    <n v="75571.728519064607"/>
    <n v="2256.8316854850636"/>
    <n v="260.54929195253408"/>
    <n v="0"/>
    <n v="8724.6915593702433"/>
    <n v="0"/>
    <n v="-6538.3012789691857"/>
    <m/>
    <n v="0"/>
    <n v="0"/>
    <n v="-329.20673044719661"/>
    <n v="0"/>
    <n v="-895.58097221182106"/>
    <n v="-174.91252240000813"/>
    <n v="0"/>
    <n v="0"/>
    <m/>
    <m/>
    <m/>
    <n v="1330310.5671808736"/>
    <n v="0"/>
    <n v="0"/>
    <n v="-696553.42879000003"/>
    <n v="77524.907589999959"/>
    <n v="0"/>
    <n v="0"/>
    <n v="-704328.9182771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8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4.4989999999999997"/>
    <n v="-4.4989999999999997"/>
    <n v="-4.4989999999999997"/>
    <n v="-4.4989999999999997"/>
    <m/>
    <n v="516.83000000000004"/>
    <n v="173.82"/>
    <m/>
    <n v="-3107.2343500000002"/>
    <n v="-3107.2343500000002"/>
    <n v="-2346.0035499999999"/>
    <n v="0"/>
    <n v="-275.11140145534858"/>
    <n v="0"/>
    <n v="0"/>
    <n v="-12.230279886185524"/>
    <n v="-154.88532523777491"/>
    <n v="-1635.9074624549787"/>
    <n v="-723.98868780093392"/>
    <n v="-36.423298398908209"/>
    <n v="0"/>
    <n v="0"/>
    <n v="0"/>
    <n v="0"/>
    <n v="-42.522283462628955"/>
    <m/>
    <n v="-6.9803873448487543"/>
    <n v="-26.087468502330342"/>
    <n v="-85.432932016388435"/>
    <n v="0"/>
    <n v="0"/>
    <n v="0"/>
    <n v="0"/>
    <n v="0"/>
    <n v="0"/>
    <n v="0"/>
    <n v="0"/>
    <n v="0"/>
    <n v="0"/>
    <m/>
    <n v="0"/>
    <n v="0"/>
    <n v="0"/>
    <n v="-2.4961019641174249"/>
    <n v="-21.620791830238069"/>
    <n v="-83.583876104449502"/>
    <n v="0"/>
    <n v="-1.51"/>
    <n v="-6.07"/>
    <n v="-18.07"/>
    <n v="0"/>
    <m/>
    <m/>
    <m/>
    <m/>
    <m/>
    <n v="-281.50242999999995"/>
    <m/>
    <m/>
    <m/>
    <n v="-831.68945769973891"/>
    <m/>
    <m/>
    <m/>
    <m/>
    <m/>
    <m/>
    <m/>
    <m/>
    <m/>
    <m/>
    <m/>
    <m/>
    <n v="-2064.96"/>
    <n v="669.36722999999938"/>
    <m/>
    <m/>
    <m/>
    <m/>
    <n v="856.56461000000013"/>
    <n v="-95.333809999999986"/>
    <n v="31"/>
    <n v="-104.85314968402281"/>
    <n v="-2.5329283783094994"/>
    <n v="-8.2949979576267623"/>
    <n v="0"/>
    <n v="0"/>
    <n v="0"/>
    <n v="0"/>
    <n v="0"/>
    <n v="2.9698034353260709"/>
    <n v="0"/>
    <n v="0"/>
    <n v="-92.931949640110474"/>
    <n v="-2.7752675855335767"/>
    <n v="-0.32040227414397382"/>
    <n v="0"/>
    <n v="-10.728914271377946"/>
    <n v="0"/>
    <n v="8.0402697820488243"/>
    <m/>
    <n v="0"/>
    <n v="0"/>
    <n v="0.40483159370089083"/>
    <n v="0"/>
    <n v="1.1013124542630308"/>
    <n v="0.21509315774088122"/>
    <n v="0"/>
    <n v="0"/>
    <m/>
    <m/>
    <m/>
    <n v="-1635.9074624549787"/>
    <n v="0"/>
    <n v="0"/>
    <n v="856.56461000000013"/>
    <n v="-95.333809999999971"/>
    <n v="0"/>
    <n v="0"/>
    <n v="866.12627296056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399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46.377000000000002"/>
    <n v="46.377000000000002"/>
    <n v="46.377000000000002"/>
    <n v="46.377000000000002"/>
    <m/>
    <n v="516.83000000000004"/>
    <n v="173.82"/>
    <m/>
    <n v="32030.275050000004"/>
    <n v="32030.275050000004"/>
    <n v="24183.286650000002"/>
    <n v="0"/>
    <n v="2835.9283096898653"/>
    <n v="0"/>
    <n v="0"/>
    <n v="126.07328079164839"/>
    <n v="1596.6029625588549"/>
    <n v="16863.409732446002"/>
    <n v="7463.0858800053165"/>
    <n v="375.46194928787872"/>
    <n v="0"/>
    <n v="0"/>
    <n v="0"/>
    <n v="0"/>
    <n v="438.33206049040751"/>
    <m/>
    <n v="71.955862167604067"/>
    <n v="268.9172097649643"/>
    <n v="880.66750125006604"/>
    <n v="0"/>
    <n v="0"/>
    <n v="0"/>
    <n v="0"/>
    <n v="0"/>
    <n v="0"/>
    <n v="0"/>
    <n v="0"/>
    <n v="0"/>
    <n v="0"/>
    <m/>
    <n v="0"/>
    <n v="0"/>
    <n v="0"/>
    <n v="25.730544741025522"/>
    <n v="222.87340802643945"/>
    <n v="861.6068953314192"/>
    <n v="0"/>
    <n v="0"/>
    <n v="0"/>
    <n v="1730.86"/>
    <n v="220"/>
    <m/>
    <m/>
    <m/>
    <m/>
    <m/>
    <n v="2901.8088899999998"/>
    <m/>
    <m/>
    <m/>
    <n v="8573.2967281042002"/>
    <m/>
    <m/>
    <m/>
    <m/>
    <m/>
    <m/>
    <m/>
    <m/>
    <m/>
    <m/>
    <m/>
    <m/>
    <n v="21282.8544"/>
    <n v="-6903.7248899999977"/>
    <m/>
    <m/>
    <m/>
    <m/>
    <n v="-8829.7170300000016"/>
    <n v="982.72862999999995"/>
    <n v="31"/>
    <n v="1080.856751032652"/>
    <n v="26.110162125107763"/>
    <n v="85.507250562537479"/>
    <n v="0"/>
    <n v="0"/>
    <n v="0"/>
    <n v="0"/>
    <n v="0"/>
    <n v="-30.613597226076308"/>
    <n v="0"/>
    <n v="0"/>
    <n v="957.9695551143368"/>
    <n v="28.608265128759882"/>
    <n v="3.3027997928373161"/>
    <n v="0"/>
    <n v="110.59676754027453"/>
    <n v="0"/>
    <n v="-82.881438471233196"/>
    <m/>
    <n v="0"/>
    <n v="0"/>
    <n v="-4.1731217650736312"/>
    <n v="0"/>
    <n v="-11.352648964515765"/>
    <n v="-2.217242804300696"/>
    <n v="0"/>
    <n v="0"/>
    <m/>
    <m/>
    <m/>
    <n v="16863.409732446002"/>
    <n v="0"/>
    <n v="0"/>
    <n v="-8829.7170300000034"/>
    <n v="982.72862999999961"/>
    <n v="0"/>
    <n v="0"/>
    <n v="-8928.2814316719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0"/>
    <s v="Regular"/>
    <s v="Verde"/>
    <s v="A4"/>
    <s v="Rural"/>
    <s v="Não se aplica"/>
    <s v="Não se aplica"/>
    <s v="Não se aplica"/>
    <s v="Ponta"/>
    <s v="CATIVO"/>
    <x v="6"/>
    <n v="0"/>
    <n v="0"/>
    <n v="59.720999999999997"/>
    <n v="57.332160000000002"/>
    <n v="59.720999999999997"/>
    <n v="57.332160000000002"/>
    <m/>
    <n v="1684.16"/>
    <n v="173.82"/>
    <m/>
    <n v="110960.42358"/>
    <n v="110960.42358"/>
    <n v="76171.74665999999"/>
    <n v="0"/>
    <n v="3177.1587831726965"/>
    <n v="0"/>
    <n v="0"/>
    <n v="1074.9421590232578"/>
    <n v="16398.546276560628"/>
    <n v="69174.383734655712"/>
    <n v="9610.4308566702766"/>
    <n v="483.49317707961711"/>
    <n v="0"/>
    <n v="0"/>
    <n v="0"/>
    <n v="0"/>
    <n v="564.45283188967858"/>
    <m/>
    <n v="74.217118085001218"/>
    <n v="2308.5835536719519"/>
    <n v="7423.2409313148728"/>
    <n v="0"/>
    <n v="0"/>
    <n v="0"/>
    <n v="0"/>
    <n v="0"/>
    <n v="0"/>
    <n v="0"/>
    <n v="0"/>
    <n v="0"/>
    <n v="0"/>
    <m/>
    <n v="0"/>
    <n v="0"/>
    <n v="0"/>
    <n v="11.143557860490478"/>
    <n v="287.0005132015221"/>
    <n v="373.15052548477655"/>
    <n v="0"/>
    <n v="0"/>
    <n v="0"/>
    <n v="0"/>
    <n v="0"/>
    <m/>
    <m/>
    <m/>
    <m/>
    <m/>
    <n v="3046.869866399993"/>
    <m/>
    <m/>
    <m/>
    <n v="10281.725453217065"/>
    <m/>
    <m/>
    <m/>
    <m/>
    <m/>
    <m/>
    <m/>
    <m/>
    <m/>
    <m/>
    <m/>
    <m/>
    <n v="73122.121799999994"/>
    <n v="-33399.914836800002"/>
    <m/>
    <m/>
    <m/>
    <m/>
    <n v="-36054.16491"/>
    <n v="1265.4879899999999"/>
    <n v="31"/>
    <n v="1835.1086590535997"/>
    <n v="224.14887808189542"/>
    <n v="720.74979648850695"/>
    <n v="0"/>
    <n v="0"/>
    <n v="0"/>
    <n v="0"/>
    <n v="0"/>
    <n v="-314.42913647065143"/>
    <n v="0"/>
    <n v="0"/>
    <n v="1233.6050154383283"/>
    <n v="36.839687814103286"/>
    <n v="1.4303988105784757"/>
    <n v="0"/>
    <n v="47.89799402510215"/>
    <n v="0"/>
    <n v="-92.854071557848329"/>
    <m/>
    <n v="0"/>
    <n v="0"/>
    <n v="-5.3738492125830248"/>
    <n v="0"/>
    <n v="-14.61913338098293"/>
    <n v="-2.2869209828467945"/>
    <n v="0"/>
    <n v="0"/>
    <m/>
    <m/>
    <m/>
    <n v="69174.383734655712"/>
    <n v="0"/>
    <n v="0"/>
    <n v="-36054.164910000007"/>
    <n v="1265.4879899999996"/>
    <n v="0"/>
    <n v="0"/>
    <n v="-36624.168874766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1"/>
    <s v="Sistema de Compensação"/>
    <s v="Verde"/>
    <s v="A4"/>
    <s v="Rural"/>
    <s v="Não se aplica"/>
    <s v="Não se aplica"/>
    <s v="Não se aplica"/>
    <s v="Ponta"/>
    <s v="CATIVO"/>
    <x v="6"/>
    <n v="0"/>
    <n v="0"/>
    <n v="5.2080000000000002"/>
    <n v="4.9996799999999997"/>
    <n v="5.2080000000000002"/>
    <n v="4.9996799999999997"/>
    <m/>
    <n v="1684.16"/>
    <n v="173.82"/>
    <m/>
    <n v="9676.359840000001"/>
    <n v="9676.359840000001"/>
    <n v="6642.5956800000004"/>
    <n v="0"/>
    <n v="277.0657380613755"/>
    <n v="0"/>
    <n v="0"/>
    <n v="93.740874469501975"/>
    <n v="1430.0435191696013"/>
    <n v="6032.3871082213454"/>
    <n v="838.0824818998143"/>
    <n v="42.163266961883529"/>
    <n v="0"/>
    <n v="0"/>
    <n v="0"/>
    <n v="0"/>
    <n v="49.223394592881"/>
    <m/>
    <n v="6.472141306854982"/>
    <n v="201.32119602021947"/>
    <n v="647.34747861368464"/>
    <n v="0"/>
    <n v="0"/>
    <n v="0"/>
    <n v="0"/>
    <n v="0"/>
    <n v="0"/>
    <n v="0"/>
    <n v="0"/>
    <n v="0"/>
    <n v="0"/>
    <m/>
    <n v="0"/>
    <n v="0"/>
    <n v="0"/>
    <n v="0.97177959741857001"/>
    <n v="25.028024861498086"/>
    <n v="32.540780240195517"/>
    <n v="0"/>
    <n v="0"/>
    <n v="0"/>
    <n v="0"/>
    <n v="0"/>
    <m/>
    <m/>
    <m/>
    <m/>
    <m/>
    <n v="265.70382720000066"/>
    <m/>
    <m/>
    <m/>
    <n v="896.62306659892658"/>
    <m/>
    <m/>
    <m/>
    <m/>
    <m/>
    <m/>
    <m/>
    <m/>
    <m/>
    <m/>
    <m/>
    <m/>
    <n v="6377.3"/>
    <n v="-2912.0354464000002"/>
    <m/>
    <m/>
    <m/>
    <m/>
    <n v="-3144.1216800000002"/>
    <n v="110.35751999999999"/>
    <n v="31"/>
    <n v="160.03157844562475"/>
    <n v="19.547016243038655"/>
    <n v="62.853350414630427"/>
    <n v="0"/>
    <n v="0"/>
    <n v="0"/>
    <n v="0"/>
    <n v="0"/>
    <n v="-27.419951821623044"/>
    <n v="0"/>
    <n v="0"/>
    <n v="107.5771490832841"/>
    <n v="3.2126236020135295"/>
    <n v="0.12473865148762908"/>
    <n v="0"/>
    <n v="4.176968786234859"/>
    <n v="0"/>
    <n v="-8.0973862573177939"/>
    <m/>
    <n v="0"/>
    <n v="0"/>
    <n v="-0.46862923760708242"/>
    <n v="0"/>
    <n v="-1.2748689179377308"/>
    <n v="-0.19943210057879313"/>
    <n v="0"/>
    <n v="0"/>
    <m/>
    <m/>
    <m/>
    <n v="6032.3871082213454"/>
    <n v="0"/>
    <n v="0"/>
    <n v="-3144.1216800000011"/>
    <n v="110.35752000000002"/>
    <n v="0"/>
    <n v="0"/>
    <n v="-3193.8291639420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2"/>
    <s v="Regular"/>
    <s v="Verde"/>
    <s v="A4"/>
    <s v="Rural"/>
    <s v="Não se aplica"/>
    <s v="Não se aplica"/>
    <s v="Não se aplica"/>
    <s v="Fora ponta"/>
    <s v="CATIVO"/>
    <x v="6"/>
    <n v="0"/>
    <n v="0"/>
    <n v="678.48099999999999"/>
    <n v="651.34176000000002"/>
    <n v="678.48099999999999"/>
    <n v="651.34176000000002"/>
    <m/>
    <n v="70.33"/>
    <n v="173.82"/>
    <m/>
    <n v="165651.13614999998"/>
    <n v="165651.13614999998"/>
    <n v="179342.88272999998"/>
    <n v="0"/>
    <n v="36095.207186178974"/>
    <n v="0"/>
    <n v="0"/>
    <n v="0"/>
    <n v="0"/>
    <n v="0"/>
    <n v="109182.61144429106"/>
    <n v="5492.8908470748265"/>
    <n v="0"/>
    <n v="0"/>
    <n v="0"/>
    <n v="0"/>
    <n v="6412.6609037581593"/>
    <m/>
    <n v="843.16914478039075"/>
    <n v="0"/>
    <n v="0"/>
    <n v="0"/>
    <n v="0"/>
    <n v="0"/>
    <n v="0"/>
    <n v="0"/>
    <n v="0"/>
    <n v="0"/>
    <n v="0"/>
    <n v="0"/>
    <n v="0"/>
    <m/>
    <n v="0"/>
    <n v="0"/>
    <n v="0"/>
    <n v="126.60022907760153"/>
    <n v="3260.5682288890325"/>
    <n v="4239.3051302127678"/>
    <n v="0"/>
    <n v="0"/>
    <n v="0"/>
    <n v="0"/>
    <n v="0"/>
    <m/>
    <m/>
    <m/>
    <m/>
    <m/>
    <n v="7173.7153091999917"/>
    <m/>
    <m/>
    <m/>
    <n v="116809.08503247048"/>
    <m/>
    <m/>
    <m/>
    <m/>
    <m/>
    <m/>
    <m/>
    <m/>
    <m/>
    <m/>
    <m/>
    <m/>
    <n v="172168.7022"/>
    <n v="13143.581495999999"/>
    <m/>
    <m/>
    <m/>
    <m/>
    <n v="-685.26581000000351"/>
    <n v="14377.012389999998"/>
    <n v="31"/>
    <n v="13685.717845044244"/>
    <n v="0"/>
    <n v="0"/>
    <n v="0"/>
    <n v="0"/>
    <n v="0"/>
    <n v="0"/>
    <n v="0"/>
    <n v="0"/>
    <n v="0"/>
    <n v="0"/>
    <n v="14014.794870809463"/>
    <n v="418.5299681485676"/>
    <n v="16.250538594465851"/>
    <n v="0"/>
    <n v="544.1616664849098"/>
    <n v="0"/>
    <n v="-1054.9006768915569"/>
    <m/>
    <n v="0"/>
    <n v="0"/>
    <n v="-61.051465775900397"/>
    <n v="0"/>
    <n v="-166.0857024407278"/>
    <n v="-25.981353884946316"/>
    <n v="0"/>
    <n v="0"/>
    <m/>
    <m/>
    <m/>
    <n v="0"/>
    <n v="0"/>
    <n v="0"/>
    <n v="-685.26581000000442"/>
    <n v="14377.0123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3"/>
    <s v="Sistema de Compensação"/>
    <s v="Verde"/>
    <s v="A4"/>
    <s v="Rural"/>
    <s v="Não se aplica"/>
    <s v="Não se aplica"/>
    <s v="Não se aplica"/>
    <s v="Fora ponta"/>
    <s v="CATIVO"/>
    <x v="6"/>
    <n v="0"/>
    <n v="0"/>
    <n v="31.641999999999999"/>
    <n v="30.37632"/>
    <n v="31.641999999999999"/>
    <n v="30.37632"/>
    <m/>
    <n v="70.33"/>
    <n v="173.82"/>
    <m/>
    <n v="7725.3942999999999"/>
    <n v="7725.3942999999999"/>
    <n v="8363.9298600000002"/>
    <n v="0"/>
    <n v="1683.3552388129883"/>
    <n v="0"/>
    <n v="0"/>
    <n v="0"/>
    <n v="0"/>
    <n v="0"/>
    <n v="5091.8982128022126"/>
    <n v="256.16937273577543"/>
    <n v="0"/>
    <n v="0"/>
    <n v="0"/>
    <n v="0"/>
    <n v="299.06425724038797"/>
    <m/>
    <n v="39.322483723407323"/>
    <n v="0"/>
    <n v="0"/>
    <n v="0"/>
    <n v="0"/>
    <n v="0"/>
    <n v="0"/>
    <n v="0"/>
    <n v="0"/>
    <n v="0"/>
    <n v="0"/>
    <n v="0"/>
    <n v="0"/>
    <m/>
    <n v="0"/>
    <n v="0"/>
    <n v="0"/>
    <n v="5.9041954726417796"/>
    <n v="152.06159037394823"/>
    <n v="197.70648394014336"/>
    <n v="0"/>
    <n v="0"/>
    <n v="0"/>
    <n v="0"/>
    <n v="0"/>
    <m/>
    <m/>
    <m/>
    <m/>
    <m/>
    <n v="334.5571943999999"/>
    <m/>
    <m/>
    <m/>
    <n v="5447.5704825889461"/>
    <m/>
    <m/>
    <m/>
    <m/>
    <m/>
    <m/>
    <m/>
    <m/>
    <m/>
    <m/>
    <m/>
    <m/>
    <n v="8030.3453999999983"/>
    <n v="613.9368719999984"/>
    <m/>
    <m/>
    <m/>
    <m/>
    <n v="-31.95842000000016"/>
    <n v="670.49397999999997"/>
    <n v="31"/>
    <n v="638.25440071702997"/>
    <n v="0"/>
    <n v="0"/>
    <n v="0"/>
    <n v="0"/>
    <n v="0"/>
    <n v="0"/>
    <n v="0"/>
    <n v="0"/>
    <n v="0"/>
    <n v="0"/>
    <n v="653.60141153864697"/>
    <n v="19.518785717149001"/>
    <n v="0.757868742390853"/>
    <n v="0"/>
    <n v="25.377812276122"/>
    <n v="0"/>
    <n v="-49.196907825278458"/>
    <m/>
    <n v="0"/>
    <n v="0"/>
    <n v="-2.8472285592095261"/>
    <n v="0"/>
    <n v="-7.7456609641677687"/>
    <n v="-1.2116802086240739"/>
    <n v="0"/>
    <n v="0"/>
    <m/>
    <m/>
    <m/>
    <n v="0"/>
    <n v="0"/>
    <n v="0"/>
    <n v="-31.958420000000388"/>
    <n v="670.49398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4"/>
    <s v="Regular"/>
    <s v="Verde"/>
    <s v="A4"/>
    <s v="Rural"/>
    <s v="Não se aplica"/>
    <s v="Não se aplica"/>
    <s v="Não se aplica"/>
    <s v="Não se aplica"/>
    <s v="CATIVO"/>
    <x v="6"/>
    <n v="2773"/>
    <n v="2662.08"/>
    <n v="0"/>
    <n v="0"/>
    <n v="0"/>
    <n v="0"/>
    <n v="59.12"/>
    <m/>
    <m/>
    <n v="163939.75999999998"/>
    <m/>
    <n v="163939.75999999998"/>
    <n v="94365.19"/>
    <n v="0"/>
    <n v="0"/>
    <n v="0"/>
    <n v="0"/>
    <n v="1586.3233875243004"/>
    <n v="14189.503810433889"/>
    <n v="133552.66516754581"/>
    <m/>
    <m/>
    <m/>
    <n v="0"/>
    <n v="0"/>
    <n v="0"/>
    <n v="0"/>
    <m/>
    <n v="0"/>
    <n v="3349.9839768085362"/>
    <n v="11261.119346927293"/>
    <n v="0"/>
    <n v="0"/>
    <m/>
    <m/>
    <n v="0"/>
    <n v="0"/>
    <n v="0"/>
    <m/>
    <m/>
    <n v="0"/>
    <m/>
    <n v="0"/>
    <n v="0"/>
    <n v="0"/>
    <n v="0"/>
    <m/>
    <n v="0"/>
    <n v="0"/>
    <n v="0"/>
    <n v="0"/>
    <n v="9962.8799999999992"/>
    <n v="14"/>
    <m/>
    <m/>
    <m/>
    <m/>
    <m/>
    <n v="3774.6076000000025"/>
    <m/>
    <m/>
    <m/>
    <n v="0"/>
    <m/>
    <m/>
    <m/>
    <m/>
    <m/>
    <m/>
    <m/>
    <m/>
    <m/>
    <m/>
    <m/>
    <m/>
    <n v="90590.582399999999"/>
    <n v="-66791.617200000022"/>
    <m/>
    <m/>
    <m/>
    <m/>
    <n v="-69574.569999999992"/>
    <n v="0"/>
    <n v="31"/>
    <n v="1146.5733270625569"/>
    <n v="325.26227989435984"/>
    <n v="1093.3835440113235"/>
    <n v="0"/>
    <n v="0"/>
    <m/>
    <m/>
    <m/>
    <n v="-272.07249684312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3552.66516754581"/>
    <m/>
    <n v="0"/>
    <n v="0"/>
    <n v="-69574.569999999978"/>
    <m/>
    <n v="0"/>
    <m/>
    <n v="-70709.05584838375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06"/>
    <s v="Sistema de Compensação"/>
    <s v="Verde"/>
    <s v="A4"/>
    <s v="Rural"/>
    <s v="Não se aplica"/>
    <s v="Não se aplica"/>
    <s v="Não se aplica"/>
    <s v="Não se aplica"/>
    <s v="CATIVO"/>
    <x v="6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46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n v="31"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0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21.92500000000001"/>
    <n v="221.92500000000001"/>
    <n v="221.92500000000001"/>
    <n v="221.92500000000001"/>
    <m/>
    <n v="516.83000000000004"/>
    <n v="173.82"/>
    <m/>
    <n v="153272.50125"/>
    <n v="153272.50125"/>
    <n v="115722.79125000001"/>
    <n v="0"/>
    <n v="13570.592969099411"/>
    <n v="0"/>
    <n v="0"/>
    <n v="603.29070098726891"/>
    <n v="7640.1257620344968"/>
    <n v="80695.435342369674"/>
    <n v="35712.64493003385"/>
    <n v="1796.674927134409"/>
    <n v="0"/>
    <n v="0"/>
    <n v="0"/>
    <n v="0"/>
    <n v="2097.5233957421497"/>
    <m/>
    <n v="344.32595276851742"/>
    <n v="1286.8329511846325"/>
    <n v="4214.2039203683053"/>
    <n v="0"/>
    <n v="0"/>
    <n v="0"/>
    <n v="0"/>
    <n v="0"/>
    <n v="0"/>
    <n v="0"/>
    <n v="0"/>
    <n v="0"/>
    <n v="0"/>
    <m/>
    <n v="0"/>
    <n v="0"/>
    <n v="0"/>
    <n v="123.12679003928864"/>
    <n v="1066.5023842910834"/>
    <n v="4122.9943775238844"/>
    <n v="0"/>
    <n v="0"/>
    <n v="0"/>
    <n v="47339.23"/>
    <n v="259"/>
    <m/>
    <m/>
    <m/>
    <m/>
    <m/>
    <m/>
    <m/>
    <m/>
    <m/>
    <n v="41025.26848188811"/>
    <m/>
    <m/>
    <m/>
    <m/>
    <m/>
    <m/>
    <m/>
    <m/>
    <m/>
    <m/>
    <m/>
    <m/>
    <n v="115725.39850000001"/>
    <n v="-37547.13274999999"/>
    <m/>
    <m/>
    <m/>
    <m/>
    <n v="-42252.300750000009"/>
    <n v="4702.5907499999994"/>
    <n v="31"/>
    <n v="5172.1572001837339"/>
    <n v="124.94334971245507"/>
    <n v="409.17257651618547"/>
    <n v="0"/>
    <n v="0"/>
    <n v="0"/>
    <n v="0"/>
    <n v="0"/>
    <n v="-146.49336016553389"/>
    <n v="0"/>
    <n v="0"/>
    <n v="4584.112674790289"/>
    <n v="136.8973680639117"/>
    <n v="15.804684305268154"/>
    <n v="0"/>
    <n v="529.23189590476795"/>
    <n v="0"/>
    <n v="-396.60743973798344"/>
    <m/>
    <n v="0"/>
    <n v="0"/>
    <n v="-19.969382403216514"/>
    <n v="0"/>
    <n v="-54.325131454172379"/>
    <n v="-10.61003534822072"/>
    <n v="0"/>
    <n v="0"/>
    <m/>
    <m/>
    <m/>
    <n v="80695.435342369674"/>
    <n v="0"/>
    <n v="0"/>
    <n v="-42252.300750000009"/>
    <n v="4702.590750000003"/>
    <n v="0"/>
    <n v="0"/>
    <n v="-42723.95490704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8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"/>
    <n v="0"/>
    <n v="79.069999999999993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1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09"/>
    <s v="Regular"/>
    <s v="Azul"/>
    <s v="A4"/>
    <s v="Poder público"/>
    <s v="Não se aplica"/>
    <s v="Não se aplica"/>
    <s v="Não se aplica"/>
    <s v="Ponta"/>
    <s v="CATIVO"/>
    <x v="6"/>
    <n v="440"/>
    <n v="440"/>
    <n v="20.513000000000002"/>
    <n v="20.513000000000002"/>
    <n v="20.513000000000002"/>
    <n v="20.513000000000002"/>
    <n v="67.099999999999994"/>
    <n v="70.33"/>
    <n v="173.82"/>
    <n v="29523.999999999996"/>
    <n v="5008.2489500000001"/>
    <n v="34532.248949999994"/>
    <n v="23919.801289999996"/>
    <n v="0"/>
    <n v="1091.2921437889777"/>
    <n v="0"/>
    <n v="0"/>
    <n v="329.30395789898023"/>
    <n v="5023.5825818795756"/>
    <n v="21191.19101107831"/>
    <n v="3300.9957663615382"/>
    <n v="166.07048678746483"/>
    <n v="0"/>
    <n v="0"/>
    <n v="0"/>
    <n v="0"/>
    <n v="193.87855093774348"/>
    <m/>
    <n v="25.492134145068405"/>
    <n v="707.21213380757717"/>
    <n v="2274.0507542624432"/>
    <n v="0"/>
    <n v="0"/>
    <n v="0"/>
    <n v="0"/>
    <n v="0"/>
    <n v="0"/>
    <n v="0"/>
    <n v="0"/>
    <n v="0"/>
    <n v="0"/>
    <m/>
    <n v="0"/>
    <n v="0"/>
    <n v="0"/>
    <n v="3.8275950233961455"/>
    <n v="98.579084866342214"/>
    <n v="128.16993568877317"/>
    <n v="0"/>
    <n v="0"/>
    <n v="0"/>
    <n v="0"/>
    <n v="0"/>
    <m/>
    <m/>
    <m/>
    <m/>
    <m/>
    <m/>
    <m/>
    <m/>
    <m/>
    <n v="3531.5723819400496"/>
    <m/>
    <m/>
    <m/>
    <m/>
    <m/>
    <m/>
    <m/>
    <m/>
    <m/>
    <m/>
    <m/>
    <m/>
    <n v="23919.008299999998"/>
    <n v="-10613.270649999995"/>
    <m/>
    <m/>
    <m/>
    <m/>
    <n v="-11047.118129999997"/>
    <n v="434.67046999999997"/>
    <n v="31"/>
    <n v="606.90864350443735"/>
    <n v="68.665830225955688"/>
    <n v="220.79596142772107"/>
    <n v="0"/>
    <n v="0"/>
    <n v="0"/>
    <n v="0"/>
    <n v="0"/>
    <n v="-96.323217105324147"/>
    <n v="0"/>
    <n v="0"/>
    <n v="423.71928939043937"/>
    <n v="12.653715043798684"/>
    <n v="0.49131412403336006"/>
    <n v="0"/>
    <n v="16.452027786489197"/>
    <n v="0"/>
    <n v="-31.8935645730337"/>
    <m/>
    <n v="0"/>
    <n v="0"/>
    <n v="-1.845812509799174"/>
    <n v="0"/>
    <n v="-5.0213875026222468"/>
    <n v="-0.78551280322058048"/>
    <n v="0"/>
    <n v="0"/>
    <m/>
    <m/>
    <n v="21191.19101107831"/>
    <n v="0"/>
    <n v="0"/>
    <n v="0"/>
    <n v="-11047.118129999999"/>
    <n v="434.67047000000002"/>
    <n v="0"/>
    <n v="0"/>
    <n v="-11219.61217933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0"/>
    <s v="Regular"/>
    <s v="Azul"/>
    <s v="A4"/>
    <s v="Poder público"/>
    <s v="Não se aplica"/>
    <s v="Não se aplica"/>
    <s v="Não se aplica"/>
    <s v="Fora ponta"/>
    <s v="CATIVO"/>
    <x v="6"/>
    <n v="435"/>
    <n v="435"/>
    <n v="159.07300000000001"/>
    <n v="159.07300000000001"/>
    <n v="159.07300000000001"/>
    <n v="159.07300000000001"/>
    <n v="59.12"/>
    <n v="70.33"/>
    <n v="173.82"/>
    <n v="25717.199999999997"/>
    <n v="38837.67295"/>
    <n v="64554.872949999997"/>
    <n v="56850.81609"/>
    <n v="0"/>
    <n v="8462.6878169426236"/>
    <n v="0"/>
    <n v="0"/>
    <n v="248.84625805015168"/>
    <n v="2225.9048530612122"/>
    <n v="20950.382022316055"/>
    <n v="25598.366866983324"/>
    <n v="1287.8335955122309"/>
    <n v="0"/>
    <n v="0"/>
    <n v="0"/>
    <n v="0"/>
    <n v="1503.4779278174653"/>
    <m/>
    <n v="197.68489518151739"/>
    <n v="525.51137032517613"/>
    <n v="1766.5297208486738"/>
    <n v="0"/>
    <n v="0"/>
    <n v="0"/>
    <n v="0"/>
    <n v="0"/>
    <n v="0"/>
    <n v="0"/>
    <n v="0"/>
    <n v="0"/>
    <n v="0"/>
    <m/>
    <n v="0"/>
    <n v="0"/>
    <n v="0"/>
    <n v="29.682007661321848"/>
    <n v="764.45526090497026"/>
    <n v="993.92464192561863"/>
    <n v="0"/>
    <n v="0"/>
    <n v="0"/>
    <n v="0"/>
    <n v="0"/>
    <m/>
    <m/>
    <m/>
    <m/>
    <m/>
    <m/>
    <m/>
    <m/>
    <m/>
    <n v="27386.428777475237"/>
    <m/>
    <m/>
    <m/>
    <m/>
    <m/>
    <m/>
    <m/>
    <m/>
    <m/>
    <m/>
    <m/>
    <m/>
    <n v="56850.023099999999"/>
    <n v="-7704.8798500000048"/>
    <m/>
    <m/>
    <m/>
    <m/>
    <n v="-11074.813729999998"/>
    <n v="3370.7568699999997"/>
    <n v="31"/>
    <n v="3388.5424222243237"/>
    <n v="51.023834025981387"/>
    <n v="171.51887545796103"/>
    <n v="0"/>
    <n v="0"/>
    <n v="0"/>
    <n v="0"/>
    <n v="0"/>
    <n v="-42.679962541203622"/>
    <n v="0"/>
    <n v="0"/>
    <n v="3285.8333018673693"/>
    <n v="98.126281536693114"/>
    <n v="3.8100137304323383"/>
    <n v="0"/>
    <n v="127.58121269829837"/>
    <n v="0"/>
    <n v="-247.32632951426967"/>
    <m/>
    <n v="0"/>
    <n v="0"/>
    <n v="-14.313797756119584"/>
    <n v="0"/>
    <n v="-38.939559021334162"/>
    <n v="-6.091448259479705"/>
    <n v="0"/>
    <n v="0"/>
    <m/>
    <m/>
    <n v="20950.382022316055"/>
    <n v="0"/>
    <n v="0"/>
    <n v="0"/>
    <n v="-11074.813729999998"/>
    <n v="3370.7568700000011"/>
    <n v="0"/>
    <n v="0"/>
    <n v="-11092.11658638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1"/>
    <s v="Regular"/>
    <s v="Azul"/>
    <s v="A4"/>
    <s v="Poder público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12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98.56299999999999"/>
    <n v="298.56299999999999"/>
    <n v="298.56299999999999"/>
    <n v="298.56299999999999"/>
    <m/>
    <n v="284.26"/>
    <n v="95.6"/>
    <m/>
    <n v="113412.14117999999"/>
    <n v="113412.14117999999"/>
    <n v="85624.882769999997"/>
    <n v="0"/>
    <n v="10041.330727715576"/>
    <n v="0"/>
    <n v="0"/>
    <n v="446.39474983608949"/>
    <n v="5653.181828724425"/>
    <n v="59709.222458795201"/>
    <n v="26424.967554512303"/>
    <n v="1329.4192224783901"/>
    <n v="0"/>
    <n v="0"/>
    <n v="0"/>
    <n v="0"/>
    <n v="1552.0269581238247"/>
    <m/>
    <n v="254.77816465037714"/>
    <n v="952.17027609550723"/>
    <n v="3118.2289097321504"/>
    <n v="0"/>
    <n v="0"/>
    <n v="0"/>
    <n v="0"/>
    <n v="0"/>
    <n v="0"/>
    <n v="0"/>
    <n v="0"/>
    <n v="0"/>
    <n v="0"/>
    <m/>
    <n v="0"/>
    <n v="0"/>
    <n v="0"/>
    <n v="91.105585661710265"/>
    <n v="789.14039990359151"/>
    <n v="3050.7399512680527"/>
    <n v="0"/>
    <n v="0"/>
    <n v="0"/>
    <n v="32005.09"/>
    <n v="15"/>
    <m/>
    <m/>
    <m/>
    <m/>
    <m/>
    <m/>
    <m/>
    <m/>
    <m/>
    <n v="30355.953491345655"/>
    <m/>
    <m/>
    <m/>
    <m/>
    <m/>
    <m/>
    <m/>
    <m/>
    <m/>
    <m/>
    <m/>
    <m/>
    <n v="85624.022400000002"/>
    <n v="-27788.148779999974"/>
    <m/>
    <m/>
    <m/>
    <m/>
    <n v="-31265.517359999998"/>
    <n v="3478.2589500000017"/>
    <n v="31"/>
    <n v="3827.0502358324957"/>
    <n v="92.449718265675983"/>
    <n v="302.76032704436057"/>
    <n v="0"/>
    <n v="0"/>
    <n v="0"/>
    <n v="0"/>
    <n v="0"/>
    <n v="-108.39528399280789"/>
    <n v="0"/>
    <n v="0"/>
    <n v="3391.9366357456347"/>
    <n v="101.29489194861378"/>
    <n v="11.694408823379874"/>
    <n v="0"/>
    <n v="391.59618968281484"/>
    <n v="0"/>
    <n v="-293.4629666183373"/>
    <m/>
    <n v="0"/>
    <n v="0"/>
    <n v="-14.776006737178704"/>
    <n v="0"/>
    <n v="-40.196962137179071"/>
    <n v="-7.8507161924932234"/>
    <n v="0"/>
    <n v="0"/>
    <m/>
    <m/>
    <m/>
    <n v="59709.222458795201"/>
    <n v="0"/>
    <n v="0"/>
    <n v="-31265.517359999998"/>
    <n v="3478.2589500000031"/>
    <n v="0"/>
    <n v="0"/>
    <n v="-31612.86777920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3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0.1"/>
    <n v="9.4939999999999998"/>
    <n v="10.1"/>
    <n v="9.4939999999999998"/>
    <m/>
    <n v="516.83000000000004"/>
    <n v="173.82"/>
    <m/>
    <n v="6975.5650000000005"/>
    <n v="6975.5650000000005"/>
    <n v="5266.6449999999995"/>
    <n v="0"/>
    <n v="617.6095031560393"/>
    <n v="0"/>
    <n v="0"/>
    <n v="27.456285141247786"/>
    <n v="347.70877637286657"/>
    <n v="3672.5195311836596"/>
    <n v="1625.3135689685337"/>
    <n v="81.768240459873965"/>
    <n v="0"/>
    <n v="0"/>
    <n v="0"/>
    <n v="0"/>
    <n v="95.46011624195431"/>
    <m/>
    <n v="15.670573945981868"/>
    <n v="58.564888169267938"/>
    <n v="191.7920901012499"/>
    <n v="0"/>
    <n v="0"/>
    <n v="0"/>
    <n v="0"/>
    <n v="0"/>
    <n v="0"/>
    <n v="0"/>
    <n v="0"/>
    <n v="0"/>
    <n v="0"/>
    <m/>
    <n v="0"/>
    <n v="0"/>
    <n v="0"/>
    <n v="5.603607432226271"/>
    <n v="48.537452208358417"/>
    <n v="187.64106438207156"/>
    <n v="0"/>
    <n v="0"/>
    <n v="0"/>
    <n v="2864.14"/>
    <n v="7"/>
    <m/>
    <m/>
    <m/>
    <m/>
    <n v="315.99869999999993"/>
    <m/>
    <m/>
    <m/>
    <m/>
    <n v="1867.0956929911899"/>
    <m/>
    <m/>
    <m/>
    <m/>
    <m/>
    <m/>
    <m/>
    <m/>
    <m/>
    <m/>
    <m/>
    <m/>
    <n v="4948.5605000000005"/>
    <n v="-1608.5006000000003"/>
    <m/>
    <m/>
    <m/>
    <m/>
    <n v="-1922.9390000000003"/>
    <n v="214.01899999999998"/>
    <n v="31"/>
    <n v="235.38937804148236"/>
    <n v="5.6862806447935057"/>
    <n v="18.621800260509048"/>
    <n v="0"/>
    <n v="0"/>
    <n v="0"/>
    <n v="0"/>
    <n v="0"/>
    <n v="-6.6670403860398437"/>
    <n v="0"/>
    <n v="0"/>
    <n v="208.62695962772068"/>
    <n v="6.2303184294041145"/>
    <n v="0.71928494528876108"/>
    <n v="0"/>
    <n v="24.085804432299909"/>
    <n v="0"/>
    <n v="-18.049949944141531"/>
    <m/>
    <n v="0"/>
    <n v="0"/>
    <n v="-0.90882398230252193"/>
    <n v="0"/>
    <n v="-2.4723840382432911"/>
    <n v="-0.48287194780682441"/>
    <n v="0"/>
    <n v="0"/>
    <m/>
    <m/>
    <m/>
    <n v="3672.5195311836596"/>
    <n v="0"/>
    <n v="0"/>
    <n v="-1922.9390000000003"/>
    <n v="214.01900000000001"/>
    <n v="0"/>
    <n v="0"/>
    <n v="-1944.404391398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4"/>
    <s v="Regular"/>
    <s v="Azul"/>
    <s v="A4"/>
    <s v="Serviço público"/>
    <s v="Água, esgoto e saneamento"/>
    <s v="Não se aplica"/>
    <s v="Não se aplica"/>
    <s v="Ponta"/>
    <s v="CATIVO"/>
    <x v="6"/>
    <n v="100"/>
    <n v="94"/>
    <n v="4.4009999999999998"/>
    <n v="4.1369400000000001"/>
    <n v="4.4009999999999998"/>
    <n v="4.1369400000000001"/>
    <n v="67.099999999999994"/>
    <n v="70.33"/>
    <n v="173.82"/>
    <n v="6709.9999999999991"/>
    <n v="1074.50415"/>
    <n v="7784.5041499999988"/>
    <n v="5367.3163300000006"/>
    <n v="0"/>
    <n v="234.13331666822455"/>
    <n v="0"/>
    <n v="0"/>
    <n v="74.841808613404609"/>
    <n v="1141.7233140635399"/>
    <n v="4816.1797752450702"/>
    <n v="708.21831851787294"/>
    <n v="35.629903590485675"/>
    <n v="0"/>
    <n v="0"/>
    <n v="0"/>
    <n v="0"/>
    <n v="41.596036790182275"/>
    <m/>
    <n v="5.4692576596522224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82119854228861866"/>
    <n v="21.149834373166872"/>
    <n v="27.498458878091487"/>
    <n v="0"/>
    <n v="0"/>
    <n v="0"/>
    <n v="0"/>
    <n v="0"/>
    <m/>
    <m/>
    <m/>
    <m/>
    <n v="322.03897979999994"/>
    <m/>
    <m/>
    <m/>
    <m/>
    <n v="757.68781031141987"/>
    <m/>
    <m/>
    <m/>
    <m/>
    <m/>
    <m/>
    <m/>
    <m/>
    <m/>
    <m/>
    <m/>
    <m/>
    <n v="5046.0861999999997"/>
    <n v="-2271.3777010000003"/>
    <m/>
    <m/>
    <m/>
    <m/>
    <n v="-2510.4450099999995"/>
    <n v="93.25718999999998"/>
    <n v="31"/>
    <n v="132.66820489671318"/>
    <n v="15.60587050589902"/>
    <n v="50.180900324482081"/>
    <n v="0"/>
    <n v="0"/>
    <n v="0"/>
    <n v="0"/>
    <n v="0"/>
    <n v="-21.891640251209992"/>
    <n v="0"/>
    <n v="0"/>
    <n v="90.907648447683073"/>
    <n v="2.7148149908720285"/>
    <n v="0.10540990883199997"/>
    <n v="0"/>
    <n v="3.5297311114092942"/>
    <n v="0"/>
    <n v="-6.8426645388739757"/>
    <m/>
    <n v="0"/>
    <n v="0"/>
    <n v="-0.39601330159538861"/>
    <n v="0"/>
    <n v="-1.0773229853771085"/>
    <n v="-0.1685293154084615"/>
    <n v="0"/>
    <n v="0"/>
    <m/>
    <m/>
    <n v="4816.1797752450702"/>
    <n v="0"/>
    <n v="0"/>
    <n v="0"/>
    <n v="-2510.4450099999985"/>
    <n v="93.257189999999923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5"/>
    <s v="Regular"/>
    <s v="Azul"/>
    <s v="A4"/>
    <s v="Serviço público"/>
    <s v="Água, esgoto e saneamento"/>
    <s v="Não se aplica"/>
    <s v="Não se aplica"/>
    <s v="Fora ponta"/>
    <s v="CATIVO"/>
    <x v="6"/>
    <n v="100"/>
    <n v="94"/>
    <n v="38.728999999999999"/>
    <n v="36.405259999999998"/>
    <n v="38.728999999999999"/>
    <n v="36.405259999999998"/>
    <n v="59.12"/>
    <n v="70.33"/>
    <n v="173.82"/>
    <n v="5912"/>
    <n v="9455.6853499999997"/>
    <n v="15367.68535"/>
    <n v="13640.236569999999"/>
    <n v="0"/>
    <n v="2060.3838266856778"/>
    <n v="0"/>
    <n v="0"/>
    <n v="57.206036333368203"/>
    <n v="511.70226507154302"/>
    <n v="4816.1797752450702"/>
    <n v="6232.3533873843908"/>
    <n v="313.54477076935234"/>
    <n v="0"/>
    <n v="0"/>
    <n v="0"/>
    <n v="0"/>
    <n v="366.04701405293554"/>
    <m/>
    <n v="48.129715951072697"/>
    <n v="120.807211569006"/>
    <n v="406.098786401994"/>
    <n v="0"/>
    <n v="0"/>
    <n v="0"/>
    <n v="0"/>
    <n v="0"/>
    <n v="0"/>
    <n v="0"/>
    <n v="0"/>
    <n v="0"/>
    <n v="0"/>
    <m/>
    <n v="0"/>
    <n v="0"/>
    <n v="0"/>
    <n v="7.2265844908647843"/>
    <n v="186.11950362153596"/>
    <n v="241.98768777314365"/>
    <n v="0"/>
    <n v="0"/>
    <n v="0"/>
    <n v="0"/>
    <n v="0"/>
    <m/>
    <m/>
    <m/>
    <m/>
    <n v="818.41419420000011"/>
    <m/>
    <m/>
    <m/>
    <m/>
    <n v="6667.6871632699358"/>
    <m/>
    <m/>
    <m/>
    <m/>
    <m/>
    <m/>
    <m/>
    <m/>
    <m/>
    <m/>
    <m/>
    <m/>
    <n v="12823.075299999997"/>
    <n v="-1622.5789290000012"/>
    <m/>
    <m/>
    <m/>
    <m/>
    <n v="-2548.1162899999999"/>
    <n v="820.66750999999988"/>
    <n v="31"/>
    <n v="822.55484613510998"/>
    <n v="11.729617017467007"/>
    <n v="39.429626542059964"/>
    <n v="0"/>
    <n v="0"/>
    <n v="0"/>
    <n v="0"/>
    <n v="0"/>
    <n v="-9.8114856416560201"/>
    <n v="0"/>
    <n v="0"/>
    <n v="799.99143756653393"/>
    <n v="23.890495292316047"/>
    <n v="0.9276119879923943"/>
    <n v="0"/>
    <n v="31.061794186269196"/>
    <n v="0"/>
    <n v="-60.21575890162444"/>
    <m/>
    <n v="0"/>
    <n v="0"/>
    <n v="-3.4849350505538723"/>
    <n v="0"/>
    <n v="-9.4804912294183055"/>
    <n v="-1.4830656342772812"/>
    <n v="0"/>
    <n v="0"/>
    <m/>
    <m/>
    <n v="4816.1797752450702"/>
    <n v="0"/>
    <n v="0"/>
    <n v="0"/>
    <n v="-2548.1162899999999"/>
    <n v="820.66751000000022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6"/>
    <s v="Regular"/>
    <s v="Azul"/>
    <s v="A4"/>
    <s v="Serviço público"/>
    <s v="Água, esgoto e saneamento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135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17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.573"/>
    <n v="1.573"/>
    <n v="1.573"/>
    <n v="1.573"/>
    <m/>
    <n v="516.83000000000004"/>
    <n v="173.82"/>
    <m/>
    <n v="1086.3924500000001"/>
    <n v="1086.3924500000001"/>
    <n v="820.24084999999991"/>
    <n v="0"/>
    <n v="96.188093907371268"/>
    <n v="0"/>
    <n v="0"/>
    <n v="4.2761125274438383"/>
    <n v="54.153059924209813"/>
    <n v="571.96764579721753"/>
    <n v="253.13051920668352"/>
    <n v="12.734796261720964"/>
    <n v="0"/>
    <n v="0"/>
    <n v="0"/>
    <n v="0"/>
    <n v="14.867204242435063"/>
    <m/>
    <n v="2.440575526438562"/>
    <n v="9.1210464445800472"/>
    <n v="29.8701938345808"/>
    <n v="0"/>
    <n v="0"/>
    <n v="0"/>
    <n v="0"/>
    <n v="0"/>
    <n v="0"/>
    <n v="0"/>
    <n v="0"/>
    <n v="0"/>
    <n v="0"/>
    <m/>
    <n v="0"/>
    <n v="0"/>
    <n v="0"/>
    <n v="0.87272024662296277"/>
    <n v="7.559347754826514"/>
    <n v="29.223702403267186"/>
    <n v="0"/>
    <n v="0"/>
    <n v="0"/>
    <n v="447.18"/>
    <n v="7"/>
    <m/>
    <m/>
    <m/>
    <m/>
    <m/>
    <m/>
    <m/>
    <m/>
    <m/>
    <n v="290.78628961140015"/>
    <m/>
    <m/>
    <m/>
    <m/>
    <m/>
    <m/>
    <m/>
    <m/>
    <m/>
    <m/>
    <m/>
    <m/>
    <n v="818.67650000000003"/>
    <n v="-267.74594999999999"/>
    <m/>
    <m/>
    <m/>
    <m/>
    <n v="-299.48347000000007"/>
    <n v="33.331869999999995"/>
    <n v="31"/>
    <n v="36.660147689034829"/>
    <n v="0.88559598557031372"/>
    <n v="2.900207109879279"/>
    <n v="0"/>
    <n v="0"/>
    <n v="0"/>
    <n v="0"/>
    <n v="0"/>
    <n v="-1.0383420324000667"/>
    <n v="0"/>
    <n v="0"/>
    <n v="32.492099751921273"/>
    <n v="0.97032583063887845"/>
    <n v="0.11202328900388325"/>
    <n v="0"/>
    <n v="3.7511851853472997"/>
    <n v="0"/>
    <n v="-2.8111456695182824"/>
    <m/>
    <n v="0"/>
    <n v="0"/>
    <n v="-0.14154258655067942"/>
    <n v="0"/>
    <n v="-0.38505545466898106"/>
    <n v="-7.5203720188131928E-2"/>
    <n v="0"/>
    <n v="0"/>
    <m/>
    <m/>
    <m/>
    <n v="571.96764579721753"/>
    <n v="0"/>
    <n v="0"/>
    <n v="-299.48347000000012"/>
    <n v="33.331869999999981"/>
    <n v="0"/>
    <n v="0"/>
    <n v="-302.82654531384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18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1.84"/>
    <n v="7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19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2.32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20"/>
    <s v="Regular"/>
    <s v="Convencional"/>
    <s v="B2"/>
    <s v="Rural"/>
    <s v="Agropecuária rural"/>
    <s v="IRRIG./AQUIC."/>
    <s v="Não se aplica"/>
    <s v="Não se aplica"/>
    <s v="CATIVO"/>
    <x v="6"/>
    <n v="0"/>
    <n v="0"/>
    <n v="451.12900000000002"/>
    <n v="451.12900000000002"/>
    <n v="451.12900000000002"/>
    <n v="451.12900000000002"/>
    <m/>
    <n v="516.83000000000004"/>
    <n v="173.82"/>
    <m/>
    <n v="311572.24385000003"/>
    <n v="311572.24385000003"/>
    <n v="235241.21705000001"/>
    <n v="0"/>
    <n v="27586.292826661473"/>
    <n v="0"/>
    <n v="0"/>
    <n v="1226.3689563847499"/>
    <n v="15530.842829338111"/>
    <n v="164037.63005775775"/>
    <n v="72596.642084673833"/>
    <n v="3652.2796584576718"/>
    <n v="0"/>
    <n v="0"/>
    <n v="0"/>
    <n v="0"/>
    <n v="4263.8442356551104"/>
    <m/>
    <n v="699.94557957196582"/>
    <n v="2615.8732113775918"/>
    <n v="8566.6310708204728"/>
    <n v="0"/>
    <n v="0"/>
    <n v="0"/>
    <n v="0"/>
    <n v="0"/>
    <n v="0"/>
    <n v="0"/>
    <n v="0"/>
    <n v="0"/>
    <n v="0"/>
    <m/>
    <n v="0"/>
    <n v="0"/>
    <n v="0"/>
    <n v="250.29206111809955"/>
    <n v="2167.985373990547"/>
    <n v="8381.220369665305"/>
    <n v="0"/>
    <n v="0"/>
    <n v="0"/>
    <n v="0"/>
    <n v="0"/>
    <m/>
    <m/>
    <m/>
    <m/>
    <m/>
    <n v="28227.141529999997"/>
    <m/>
    <m/>
    <m/>
    <n v="83396.13988944779"/>
    <m/>
    <m/>
    <m/>
    <m/>
    <m/>
    <m/>
    <m/>
    <m/>
    <m/>
    <m/>
    <m/>
    <m/>
    <n v="207014.5344"/>
    <n v="-67168.167930000054"/>
    <m/>
    <m/>
    <m/>
    <m/>
    <n v="-85890.450310000029"/>
    <n v="9559.4235099999987"/>
    <n v="31"/>
    <n v="10513.957893710409"/>
    <n v="253.98476247574717"/>
    <n v="831.76575541813691"/>
    <n v="0"/>
    <n v="0"/>
    <n v="0"/>
    <n v="0"/>
    <n v="0"/>
    <n v="-297.79161013007433"/>
    <n v="0"/>
    <n v="0"/>
    <n v="9318.5813534548506"/>
    <n v="278.28488343947038"/>
    <n v="32.127752285462719"/>
    <n v="0"/>
    <n v="1075.8222641325756"/>
    <n v="0"/>
    <n v="-806.22335330204442"/>
    <m/>
    <n v="0"/>
    <n v="0"/>
    <n v="-40.593747951698333"/>
    <n v="0"/>
    <n v="-110.43209294937242"/>
    <n v="-21.568073162588689"/>
    <n v="0"/>
    <n v="0"/>
    <m/>
    <m/>
    <m/>
    <n v="164037.63005775775"/>
    <n v="0"/>
    <n v="0"/>
    <n v="-85890.450310000015"/>
    <n v="9559.4235099999933"/>
    <n v="0"/>
    <n v="0"/>
    <n v="-86849.22858289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1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35"/>
    <n v="0.35"/>
    <n v="0.35"/>
    <n v="0.35"/>
    <m/>
    <n v="516.83000000000004"/>
    <n v="173.82"/>
    <m/>
    <n v="241.72749999999999"/>
    <n v="241.72749999999999"/>
    <n v="182.50749999999999"/>
    <n v="0"/>
    <n v="21.402309515308293"/>
    <n v="0"/>
    <n v="0"/>
    <n v="0.95145542568680452"/>
    <n v="12.049314032723098"/>
    <n v="127.26552830834464"/>
    <n v="56.322747439503644"/>
    <n v="2.8335528872233549"/>
    <n v="0"/>
    <n v="0"/>
    <n v="0"/>
    <n v="0"/>
    <n v="3.3080238301667335"/>
    <m/>
    <n v="0.54303969119739148"/>
    <n v="2.0294763226974037"/>
    <n v="6.6462605480631147"/>
    <n v="0"/>
    <n v="0"/>
    <n v="0"/>
    <n v="0"/>
    <n v="0"/>
    <n v="0"/>
    <n v="0"/>
    <n v="0"/>
    <n v="0"/>
    <n v="0"/>
    <m/>
    <n v="0"/>
    <n v="0"/>
    <n v="0"/>
    <n v="0.1941844159682371"/>
    <n v="1.6819909181114303"/>
    <n v="6.5024131221509949"/>
    <n v="0"/>
    <n v="0"/>
    <n v="0"/>
    <n v="0"/>
    <n v="0"/>
    <m/>
    <m/>
    <m/>
    <m/>
    <m/>
    <n v="21.899499999999996"/>
    <m/>
    <m/>
    <m/>
    <n v="64.701335895734303"/>
    <m/>
    <m/>
    <m/>
    <m/>
    <m/>
    <m/>
    <m/>
    <m/>
    <m/>
    <m/>
    <m/>
    <m/>
    <n v="160.60799999999998"/>
    <n v="-52.141499999999979"/>
    <m/>
    <m/>
    <m/>
    <m/>
    <n v="-66.636500000000012"/>
    <n v="7.4164999999999983"/>
    <n v="31"/>
    <n v="8.1570576549028431"/>
    <n v="0.19704932927502217"/>
    <n v="0.64530991001764004"/>
    <n v="0"/>
    <n v="0"/>
    <n v="0"/>
    <n v="0"/>
    <n v="0"/>
    <n v="-0.23103605298157781"/>
    <n v="0"/>
    <n v="0"/>
    <n v="7.2296471158120994"/>
    <n v="0.21590212379123175"/>
    <n v="2.4925715925848163E-2"/>
    <n v="0"/>
    <n v="0.83465658923811503"/>
    <n v="0"/>
    <n v="-0.62549331489599425"/>
    <m/>
    <n v="0"/>
    <n v="0"/>
    <n v="-3.1493900376819539E-2"/>
    <n v="0"/>
    <n v="-8.5676674592589208E-2"/>
    <n v="-1.6733186310137538E-2"/>
    <n v="0"/>
    <n v="0"/>
    <m/>
    <m/>
    <m/>
    <n v="127.26552830834464"/>
    <n v="0"/>
    <n v="0"/>
    <n v="-66.636500000000012"/>
    <n v="7.4164999999999921"/>
    <n v="0"/>
    <n v="0"/>
    <n v="-67.380350196976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2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234.005"/>
    <n v="93.602000000000004"/>
    <n v="234.005"/>
    <n v="93.602000000000004"/>
    <m/>
    <n v="516.83000000000004"/>
    <n v="173.82"/>
    <m/>
    <n v="161615.55325"/>
    <n v="161615.55325"/>
    <n v="122021.90724999999"/>
    <n v="0"/>
    <n v="14309.278394656336"/>
    <n v="0"/>
    <n v="0"/>
    <n v="636.12950539383053"/>
    <n v="8055.9992292210536"/>
    <n v="85087.914147983392"/>
    <n v="37656.584327374432"/>
    <n v="1894.4729810705749"/>
    <n v="0"/>
    <n v="0"/>
    <n v="0"/>
    <n v="0"/>
    <n v="2211.6974753661902"/>
    <m/>
    <n v="363.06857982470166"/>
    <n v="1356.8788768365887"/>
    <n v="4443.5948558557402"/>
    <n v="0"/>
    <n v="0"/>
    <n v="0"/>
    <n v="0"/>
    <n v="0"/>
    <n v="0"/>
    <n v="0"/>
    <n v="0"/>
    <n v="0"/>
    <n v="0"/>
    <m/>
    <n v="0"/>
    <n v="0"/>
    <n v="0"/>
    <n v="129.82892645327809"/>
    <n v="1124.555099407615"/>
    <n v="4347.4205218541247"/>
    <n v="0"/>
    <n v="0"/>
    <n v="0"/>
    <n v="0"/>
    <n v="0"/>
    <m/>
    <m/>
    <m/>
    <m/>
    <m/>
    <m/>
    <n v="79069.821489999988"/>
    <m/>
    <m/>
    <n v="43258.388875089455"/>
    <m/>
    <m/>
    <m/>
    <m/>
    <m/>
    <m/>
    <m/>
    <m/>
    <m/>
    <m/>
    <m/>
    <m/>
    <n v="42951.167999999998"/>
    <n v="-13937.34954000001"/>
    <m/>
    <m/>
    <m/>
    <m/>
    <n v="-44552.211950000012"/>
    <n v="4958.5659499999992"/>
    <n v="31"/>
    <n v="5453.6922186729353"/>
    <n v="131.74436656286161"/>
    <n v="431.44498712479435"/>
    <n v="0"/>
    <n v="0"/>
    <n v="0"/>
    <n v="0"/>
    <n v="0"/>
    <n v="-154.46740450844118"/>
    <n v="0"/>
    <n v="0"/>
    <n v="4833.638780958885"/>
    <n v="144.34907565076333"/>
    <n v="16.664977586365978"/>
    <n v="0"/>
    <n v="558.03947189904284"/>
    <n v="0"/>
    <n v="-418.19589472067855"/>
    <m/>
    <n v="0"/>
    <n v="0"/>
    <n v="-21.056371879079279"/>
    <n v="0"/>
    <n v="-57.282200680111146"/>
    <n v="-11.187569321439184"/>
    <n v="0"/>
    <n v="0"/>
    <m/>
    <m/>
    <m/>
    <n v="85087.914147983392"/>
    <n v="0"/>
    <n v="0"/>
    <n v="-44552.211950000012"/>
    <n v="4958.5659499999965"/>
    <n v="0"/>
    <n v="0"/>
    <n v="-45049.53956526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3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0.1"/>
    <n v="0.04"/>
    <n v="0.1"/>
    <n v="0.04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"/>
    <n v="0"/>
    <n v="0"/>
    <n v="0"/>
    <m/>
    <m/>
    <m/>
    <m/>
    <m/>
    <m/>
    <n v="33.7898"/>
    <m/>
    <m/>
    <n v="18.486095970209803"/>
    <m/>
    <m/>
    <m/>
    <m/>
    <m/>
    <m/>
    <m/>
    <m/>
    <m/>
    <m/>
    <m/>
    <m/>
    <n v="18.3552"/>
    <n v="-5.9856000000000051"/>
    <m/>
    <m/>
    <m/>
    <m/>
    <n v="-19.039000000000005"/>
    <n v="2.1189999999999998"/>
    <n v="31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4"/>
    <s v="Regular"/>
    <s v="Verde"/>
    <s v="A4"/>
    <s v="Rural"/>
    <s v="Agropecuária rural"/>
    <s v="Não se aplica"/>
    <s v="Não se aplica"/>
    <s v="Ponta"/>
    <s v="CATIVO"/>
    <x v="6"/>
    <n v="0"/>
    <n v="0"/>
    <n v="0.51"/>
    <n v="0.48959999999999998"/>
    <n v="0.51"/>
    <n v="0.48959999999999998"/>
    <m/>
    <n v="1684.16"/>
    <n v="173.82"/>
    <m/>
    <n v="947.56979999999999"/>
    <n v="947.56979999999999"/>
    <n v="650.4846"/>
    <n v="0"/>
    <n v="27.132013519835159"/>
    <n v="0"/>
    <n v="0"/>
    <n v="9.1796939284650545"/>
    <n v="140.0388238818158"/>
    <n v="590.72915230278159"/>
    <n v="82.070289126133886"/>
    <n v="4.1288913499540323"/>
    <n v="0"/>
    <n v="0"/>
    <n v="0"/>
    <n v="0"/>
    <n v="4.8202632953858124"/>
    <m/>
    <n v="0.6337926394961676"/>
    <n v="19.714633250827944"/>
    <n v="63.392322214473722"/>
    <n v="0"/>
    <n v="0"/>
    <n v="0"/>
    <n v="0"/>
    <n v="0"/>
    <n v="0"/>
    <n v="0"/>
    <n v="0"/>
    <n v="0"/>
    <n v="0"/>
    <m/>
    <n v="0"/>
    <n v="0"/>
    <n v="0"/>
    <n v="9.5162748595136459E-2"/>
    <n v="2.4509010521052272"/>
    <n v="3.1865971433371185"/>
    <n v="0"/>
    <n v="0"/>
    <n v="0"/>
    <n v="0"/>
    <n v="0"/>
    <m/>
    <m/>
    <m/>
    <m/>
    <m/>
    <n v="26.019384000000038"/>
    <m/>
    <m/>
    <m/>
    <n v="87.802950070171377"/>
    <m/>
    <m/>
    <m/>
    <m/>
    <m/>
    <m/>
    <m/>
    <m/>
    <m/>
    <m/>
    <m/>
    <m/>
    <n v="624.97540000000004"/>
    <n v="-284.72160799999995"/>
    <m/>
    <m/>
    <m/>
    <m/>
    <n v="-307.89210000000003"/>
    <n v="10.806899999999999"/>
    <n v="31"/>
    <n v="15.671295124283517"/>
    <n v="1.9141663371639233"/>
    <n v="6.1549939922161201"/>
    <n v="0"/>
    <n v="0"/>
    <n v="0"/>
    <n v="0"/>
    <n v="0"/>
    <n v="-2.6851335309193303"/>
    <n v="0"/>
    <n v="0"/>
    <n v="10.53462865446906"/>
    <n v="0.31460023752436639"/>
    <n v="1.2215190525862299E-2"/>
    <n v="0"/>
    <n v="0.40903496178567167"/>
    <n v="0"/>
    <n v="-0.79294681091245778"/>
    <m/>
    <n v="0"/>
    <n v="0"/>
    <n v="-4.5891111977652166E-2"/>
    <n v="0"/>
    <n v="-0.12484315440634486"/>
    <n v="-1.9529641185711322E-2"/>
    <n v="0"/>
    <n v="0"/>
    <m/>
    <m/>
    <m/>
    <n v="590.72915230278159"/>
    <n v="0"/>
    <n v="0"/>
    <n v="-307.89210000000003"/>
    <n v="10.806899999999999"/>
    <n v="0"/>
    <n v="0"/>
    <n v="-312.75976835837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5"/>
    <s v="Regular"/>
    <s v="Verde"/>
    <s v="A4"/>
    <s v="Rural"/>
    <s v="Agropecuária rural"/>
    <s v="Não se aplica"/>
    <s v="Não se aplica"/>
    <s v="Fora ponta"/>
    <s v="CATIVO"/>
    <x v="6"/>
    <n v="0"/>
    <n v="0"/>
    <n v="285.05099999999999"/>
    <n v="273.64895999999999"/>
    <n v="285.05099999999999"/>
    <n v="273.64895999999999"/>
    <m/>
    <n v="70.33"/>
    <n v="173.82"/>
    <m/>
    <n v="69595.201649999988"/>
    <n v="69595.201649999988"/>
    <n v="75347.530829999989"/>
    <n v="0"/>
    <n v="15164.720756553983"/>
    <n v="0"/>
    <n v="0"/>
    <n v="0"/>
    <n v="0"/>
    <n v="0"/>
    <n v="45871.015658222721"/>
    <n v="2307.7345258740133"/>
    <n v="0"/>
    <n v="0"/>
    <n v="0"/>
    <n v="0"/>
    <n v="2694.1585737510218"/>
    <m/>
    <n v="354.24161898239618"/>
    <n v="0"/>
    <n v="0"/>
    <n v="0"/>
    <n v="0"/>
    <n v="0"/>
    <n v="0"/>
    <n v="0"/>
    <n v="0"/>
    <n v="0"/>
    <n v="0"/>
    <n v="0"/>
    <n v="0"/>
    <m/>
    <n v="0"/>
    <n v="0"/>
    <n v="0"/>
    <n v="53.188699313318118"/>
    <n v="1369.866266281661"/>
    <n v="1781.0641221674293"/>
    <n v="0"/>
    <n v="0"/>
    <n v="0"/>
    <n v="0"/>
    <n v="0"/>
    <m/>
    <m/>
    <m/>
    <m/>
    <m/>
    <n v="3013.9012331999993"/>
    <m/>
    <m/>
    <m/>
    <n v="49075.134745985131"/>
    <m/>
    <m/>
    <m/>
    <m/>
    <m/>
    <m/>
    <m/>
    <m/>
    <m/>
    <m/>
    <m/>
    <m/>
    <n v="72333.90449999999"/>
    <n v="5522.4809160000004"/>
    <m/>
    <m/>
    <m/>
    <m/>
    <n v="-287.90151000000145"/>
    <n v="6040.2306899999994"/>
    <n v="31"/>
    <n v="5749.7963206747081"/>
    <n v="0"/>
    <n v="0"/>
    <n v="0"/>
    <n v="0"/>
    <n v="0"/>
    <n v="0"/>
    <n v="0"/>
    <n v="0"/>
    <n v="0"/>
    <n v="0"/>
    <n v="5888.0518285981598"/>
    <n v="175.83747511089837"/>
    <n v="6.8273574011521063"/>
    <n v="0"/>
    <n v="228.61926449405382"/>
    <n v="0"/>
    <n v="-443.19663019099426"/>
    <m/>
    <n v="0"/>
    <n v="0"/>
    <n v="-25.649622275179809"/>
    <n v="0"/>
    <n v="-69.777776483691923"/>
    <n v="-10.915575979663117"/>
    <n v="0"/>
    <n v="0"/>
    <m/>
    <m/>
    <m/>
    <n v="0"/>
    <n v="0"/>
    <n v="0"/>
    <n v="-287.90151000000333"/>
    <n v="6040.2306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6"/>
    <s v="Regular"/>
    <s v="Verde"/>
    <s v="A4"/>
    <s v="Rural"/>
    <s v="Agropecuária rural"/>
    <s v="Não se aplica"/>
    <s v="Não se aplica"/>
    <s v="Não se aplica"/>
    <s v="CATIVO"/>
    <x v="6"/>
    <n v="1484"/>
    <n v="1424.64"/>
    <n v="0"/>
    <n v="0"/>
    <n v="0"/>
    <n v="0"/>
    <n v="59.12"/>
    <m/>
    <m/>
    <n v="87734.080000000002"/>
    <m/>
    <n v="87734.080000000002"/>
    <n v="50500.520000000004"/>
    <n v="0"/>
    <n v="0"/>
    <n v="0"/>
    <n v="0"/>
    <n v="848.93757918718416"/>
    <n v="7593.6616136616985"/>
    <n v="71472.107864636841"/>
    <m/>
    <m/>
    <m/>
    <n v="0"/>
    <n v="0"/>
    <n v="0"/>
    <n v="0"/>
    <m/>
    <n v="0"/>
    <n v="1792.779019684049"/>
    <n v="6026.5059902055909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.9"/>
    <n v="9"/>
    <m/>
    <m/>
    <m/>
    <m/>
    <m/>
    <n v="2020.0207999999966"/>
    <m/>
    <m/>
    <m/>
    <n v="0"/>
    <m/>
    <m/>
    <m/>
    <m/>
    <m/>
    <m/>
    <m/>
    <m/>
    <m/>
    <m/>
    <m/>
    <m/>
    <n v="48480.499200000006"/>
    <n v="-35744.247599999988"/>
    <m/>
    <m/>
    <m/>
    <m/>
    <n v="-37233.56"/>
    <n v="0"/>
    <n v="31"/>
    <n v="613.60072750120526"/>
    <n v="174.06751653921037"/>
    <n v="585.13565788417054"/>
    <n v="0"/>
    <n v="0"/>
    <m/>
    <m/>
    <m/>
    <n v="-145.602446922175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1472.107864636841"/>
    <m/>
    <n v="0"/>
    <n v="0"/>
    <n v="-37233.56"/>
    <m/>
    <n v="0"/>
    <m/>
    <n v="-37840.69198665757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27"/>
    <s v="Regular"/>
    <s v="Verde"/>
    <s v="A4"/>
    <s v="Rural"/>
    <s v="Agropecuária rural"/>
    <s v="IRRIG./AQUIC. PR"/>
    <s v="Não se aplica"/>
    <s v="Fora ponta"/>
    <s v="CATIVO"/>
    <x v="6"/>
    <n v="0"/>
    <n v="0"/>
    <n v="201.273"/>
    <n v="60.381900000000002"/>
    <n v="201.273"/>
    <n v="60.381900000000002"/>
    <m/>
    <n v="70.33"/>
    <n v="173.82"/>
    <m/>
    <n v="49140.802949999998"/>
    <n v="49140.802949999998"/>
    <n v="53202.492089999992"/>
    <n v="0"/>
    <n v="10707.728935642708"/>
    <n v="0"/>
    <n v="0"/>
    <n v="0"/>
    <n v="0"/>
    <n v="0"/>
    <n v="32389.280986832051"/>
    <n v="1629.4791150574467"/>
    <n v="0"/>
    <n v="0"/>
    <n v="0"/>
    <n v="0"/>
    <n v="1902.3310867689972"/>
    <m/>
    <n v="250.12812927316105"/>
    <n v="0"/>
    <n v="0"/>
    <n v="0"/>
    <n v="0"/>
    <n v="0"/>
    <n v="0"/>
    <n v="0"/>
    <n v="0"/>
    <n v="0"/>
    <n v="0"/>
    <n v="0"/>
    <n v="0"/>
    <m/>
    <n v="0"/>
    <n v="0"/>
    <n v="0"/>
    <n v="37.556258623507645"/>
    <n v="967.2553087458341"/>
    <n v="1257.5999349625331"/>
    <n v="0"/>
    <n v="0"/>
    <n v="0"/>
    <n v="0"/>
    <n v="0"/>
    <m/>
    <m/>
    <m/>
    <m/>
    <m/>
    <m/>
    <n v="37241.744462999995"/>
    <m/>
    <m/>
    <n v="34651.692489163928"/>
    <m/>
    <m/>
    <m/>
    <m/>
    <m/>
    <m/>
    <m/>
    <m/>
    <m/>
    <m/>
    <m/>
    <m/>
    <n v="15960.2454"/>
    <n v="1217.9745149999999"/>
    <m/>
    <m/>
    <m/>
    <m/>
    <n v="-203.28573000000102"/>
    <n v="4264.9748699999991"/>
    <n v="31"/>
    <n v="4059.9007014575182"/>
    <n v="0"/>
    <n v="0"/>
    <n v="0"/>
    <n v="0"/>
    <n v="0"/>
    <n v="0"/>
    <n v="0"/>
    <n v="0"/>
    <n v="0"/>
    <n v="0"/>
    <n v="4157.5221826881425"/>
    <n v="124.1579090338073"/>
    <n v="4.8207608680625142"/>
    <n v="0"/>
    <n v="161.42685071272058"/>
    <n v="0"/>
    <n v="-312.93879112310242"/>
    <m/>
    <n v="0"/>
    <n v="0"/>
    <n v="-18.111062315839035"/>
    <n v="0"/>
    <n v="-49.269718072212299"/>
    <n v="-7.70743033406211"/>
    <n v="0"/>
    <n v="0"/>
    <m/>
    <m/>
    <m/>
    <n v="0"/>
    <n v="0"/>
    <n v="0"/>
    <n v="-203.28573000000142"/>
    <n v="4264.97486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28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51999999999999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29"/>
    <s v="Regular"/>
    <s v="Convencional"/>
    <s v="B2"/>
    <s v="Rural"/>
    <s v="Aquicultura"/>
    <s v="IRRIG./AQUIC."/>
    <s v="Não se aplica"/>
    <s v="Não se aplica"/>
    <s v="CATIVO"/>
    <x v="6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1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1"/>
    <s v="Regular"/>
    <s v="Convencional"/>
    <s v="B1"/>
    <s v="Residencial"/>
    <s v="Residencial"/>
    <s v="Não se aplica"/>
    <s v="Não se aplica"/>
    <s v="Não se aplica"/>
    <s v="CATIVO"/>
    <x v="7"/>
    <n v="0"/>
    <n v="0"/>
    <n v="2596.9789999999998"/>
    <n v="2596.9789999999998"/>
    <n v="2596.9789999999998"/>
    <n v="2596.9789999999998"/>
    <m/>
    <n v="516.83000000000004"/>
    <n v="173.82"/>
    <m/>
    <n v="1793603.54635"/>
    <n v="1793603.54635"/>
    <n v="1354194.69955"/>
    <n v="0"/>
    <n v="158803.85246501662"/>
    <n v="0"/>
    <n v="0"/>
    <n v="7059.7421712705482"/>
    <n v="89405.187163963419"/>
    <n v="944302.58411621873"/>
    <n v="417911.40663627064"/>
    <n v="21024.79241002406"/>
    <n v="0"/>
    <n v="0"/>
    <n v="0"/>
    <n v="0"/>
    <n v="24545.338338407353"/>
    <m/>
    <n v="4029.3219263031724"/>
    <n v="15058.592545835374"/>
    <n v="49314.854490995429"/>
    <n v="0"/>
    <n v="0"/>
    <n v="0"/>
    <n v="0"/>
    <n v="0"/>
    <n v="0"/>
    <n v="0"/>
    <n v="0"/>
    <n v="0"/>
    <n v="0"/>
    <m/>
    <n v="0"/>
    <n v="0"/>
    <n v="0"/>
    <n v="1440.8367154193613"/>
    <n v="12480.271692931725"/>
    <n v="48247.515221573049"/>
    <n v="0"/>
    <n v="5962.46"/>
    <n v="27498.36"/>
    <n v="573891.13"/>
    <n v="12974"/>
    <m/>
    <m/>
    <m/>
    <m/>
    <m/>
    <m/>
    <m/>
    <m/>
    <m/>
    <n v="480080.03026619478"/>
    <m/>
    <m/>
    <m/>
    <m/>
    <m/>
    <m/>
    <m/>
    <m/>
    <m/>
    <m/>
    <m/>
    <m/>
    <n v="1354195.2209999999"/>
    <n v="-439408.35535000009"/>
    <m/>
    <m/>
    <m/>
    <m/>
    <n v="-494438.83181000006"/>
    <n v="55029.985009999989"/>
    <n v="29"/>
    <n v="60524.878375919652"/>
    <n v="1462.0942002609081"/>
    <n v="4788.1608137362855"/>
    <n v="0"/>
    <n v="0"/>
    <n v="0"/>
    <n v="0"/>
    <n v="0"/>
    <n v="-1714.2736509601236"/>
    <n v="0"/>
    <n v="0"/>
    <n v="53643.547820498876"/>
    <n v="1601.9808044035126"/>
    <n v="184.94731662683762"/>
    <n v="0"/>
    <n v="6193.1018127514617"/>
    <n v="0"/>
    <n v="-4641.1228669293923"/>
    <m/>
    <n v="0"/>
    <n v="0"/>
    <n v="-233.68285116197876"/>
    <n v="0"/>
    <n v="-635.71578487653824"/>
    <n v="-124.15923843004157"/>
    <n v="0"/>
    <n v="0"/>
    <m/>
    <m/>
    <m/>
    <n v="944302.58411621873"/>
    <n v="0"/>
    <n v="0"/>
    <n v="-494438.83181000012"/>
    <n v="55029.985009999946"/>
    <n v="0"/>
    <n v="0"/>
    <n v="-499958.1556405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2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59899999999999998"/>
    <n v="-0.59899999999999998"/>
    <n v="-0.59899999999999998"/>
    <n v="-0.59899999999999998"/>
    <m/>
    <n v="516.83000000000004"/>
    <n v="173.82"/>
    <m/>
    <n v="-413.69934999999998"/>
    <n v="-413.69934999999998"/>
    <n v="-312.34854999999999"/>
    <n v="0"/>
    <n v="-36.628523999056192"/>
    <n v="0"/>
    <n v="0"/>
    <n v="-1.6283479999611312"/>
    <n v="-20.62154030171753"/>
    <n v="-217.8058613048527"/>
    <n v="-96.392359189321951"/>
    <n v="-4.8494233698479707"/>
    <n v="0"/>
    <n v="0"/>
    <n v="0"/>
    <n v="0"/>
    <n v="-5.6614464979139241"/>
    <m/>
    <n v="-0.92937364293496427"/>
    <n v="-3.4733037637021282"/>
    <n v="-11.374600195113731"/>
    <n v="0"/>
    <n v="0"/>
    <n v="0"/>
    <n v="0"/>
    <n v="0"/>
    <n v="0"/>
    <n v="0"/>
    <n v="0"/>
    <n v="0"/>
    <n v="0"/>
    <m/>
    <n v="0"/>
    <n v="0"/>
    <n v="0"/>
    <n v="-0.33233275761421149"/>
    <n v="-2.8786073141392765"/>
    <n v="-11.128415600481274"/>
    <n v="0"/>
    <n v="0"/>
    <n v="0"/>
    <n v="-151.79"/>
    <n v="0"/>
    <m/>
    <m/>
    <m/>
    <m/>
    <m/>
    <m/>
    <m/>
    <m/>
    <m/>
    <n v="-110.73171486155671"/>
    <m/>
    <m/>
    <m/>
    <m/>
    <m/>
    <m/>
    <m/>
    <m/>
    <m/>
    <m/>
    <m/>
    <m/>
    <n v="-312.87"/>
    <n v="100.79935"/>
    <m/>
    <m/>
    <m/>
    <m/>
    <n v="114.04361000000002"/>
    <n v="-12.692809999999998"/>
    <n v="29"/>
    <n v="-13.960221529390907"/>
    <n v="-0.33723585210210949"/>
    <n v="-1.1044018174301904"/>
    <n v="0"/>
    <n v="0"/>
    <n v="0"/>
    <n v="0"/>
    <n v="0"/>
    <n v="0.39540170210275605"/>
    <n v="0"/>
    <n v="0"/>
    <n v="-12.373024635346994"/>
    <n v="-0.36950106328842214"/>
    <n v="-4.2658582398808709E-2"/>
    <n v="0"/>
    <n v="-1.4284551341532321"/>
    <n v="0"/>
    <n v="1.0704871303505712"/>
    <m/>
    <n v="0"/>
    <n v="0"/>
    <n v="5.3899560930614321E-2"/>
    <n v="0"/>
    <n v="0.14662950880274561"/>
    <n v="2.8637653142206787E-2"/>
    <n v="0"/>
    <n v="0"/>
    <m/>
    <m/>
    <m/>
    <n v="-217.8058613048527"/>
    <n v="0"/>
    <n v="0"/>
    <n v="114.04361"/>
    <n v="-12.692809999999994"/>
    <n v="0"/>
    <n v="0"/>
    <n v="115.31665647996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3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34.518000000000001"/>
    <n v="34.518000000000001"/>
    <n v="34.518000000000001"/>
    <n v="34.518000000000001"/>
    <m/>
    <n v="516.83000000000004"/>
    <n v="173.82"/>
    <m/>
    <n v="23839.856700000004"/>
    <n v="23839.856700000004"/>
    <n v="17999.411100000001"/>
    <n v="0"/>
    <n v="2110.7569138554622"/>
    <n v="0"/>
    <n v="0"/>
    <n v="93.835252525306061"/>
    <n v="1188.3377765186742"/>
    <n v="12551.290017564117"/>
    <n v="5554.7102746193914"/>
    <n v="279.45308160335935"/>
    <n v="0"/>
    <n v="0"/>
    <n v="0"/>
    <n v="0"/>
    <n v="326.24676162770089"/>
    <m/>
    <n v="53.556125887861597"/>
    <n v="200.15275344819713"/>
    <n v="655.473204565836"/>
    <n v="0"/>
    <n v="0"/>
    <n v="0"/>
    <n v="0"/>
    <n v="0"/>
    <n v="0"/>
    <n v="0"/>
    <n v="0"/>
    <n v="0"/>
    <n v="0"/>
    <m/>
    <n v="0"/>
    <n v="0"/>
    <n v="0"/>
    <n v="19.151021915404598"/>
    <n v="165.88275003248674"/>
    <n v="641.28656042973728"/>
    <n v="0"/>
    <n v="80.78"/>
    <n v="378.78"/>
    <n v="20396.7"/>
    <n v="313"/>
    <m/>
    <m/>
    <m/>
    <m/>
    <m/>
    <m/>
    <m/>
    <m/>
    <m/>
    <n v="6381.0306069970202"/>
    <m/>
    <m/>
    <m/>
    <m/>
    <m/>
    <m/>
    <m/>
    <m/>
    <m/>
    <m/>
    <m/>
    <m/>
    <n v="18000.454000000002"/>
    <n v="-5839.4326999999976"/>
    <m/>
    <m/>
    <m/>
    <m/>
    <n v="-6571.8820200000018"/>
    <n v="731.43641999999988"/>
    <n v="29"/>
    <n v="804.47233180553121"/>
    <n v="19.433567851186325"/>
    <n v="63.642307068539822"/>
    <n v="0"/>
    <n v="0"/>
    <n v="0"/>
    <n v="0"/>
    <n v="0"/>
    <n v="-22.785435648051816"/>
    <n v="0"/>
    <n v="0"/>
    <n v="713.00845469600608"/>
    <n v="21.292884311502092"/>
    <n v="2.4582453209383601"/>
    <n v="0"/>
    <n v="82.316217563775012"/>
    <n v="0"/>
    <n v="-61.687937838800281"/>
    <m/>
    <n v="0"/>
    <n v="0"/>
    <n v="-3.1060184377344626"/>
    <n v="0"/>
    <n v="-8.4496784388200012"/>
    <n v="-1.650274643009503"/>
    <n v="0"/>
    <n v="0"/>
    <m/>
    <m/>
    <m/>
    <n v="12551.290017564117"/>
    <n v="0"/>
    <n v="0"/>
    <n v="-6571.8820200000027"/>
    <n v="731.43642"/>
    <n v="0"/>
    <n v="0"/>
    <n v="-6645.242651712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4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5.86"/>
    <n v="25.86"/>
    <n v="25.86"/>
    <n v="25.86"/>
    <m/>
    <n v="446.23"/>
    <n v="173.82"/>
    <m/>
    <n v="16034.492999999999"/>
    <n v="16034.492999999999"/>
    <n v="11711.4768"/>
    <n v="0"/>
    <n v="0"/>
    <n v="0"/>
    <n v="0"/>
    <n v="70.298963737887902"/>
    <n v="890.27217396062667"/>
    <n v="9403.1044630108354"/>
    <n v="4161.4464251016125"/>
    <n v="209.35907903884561"/>
    <n v="0"/>
    <n v="0"/>
    <n v="0"/>
    <n v="0"/>
    <n v="0"/>
    <m/>
    <n v="40.122875469612978"/>
    <n v="149.94930772844248"/>
    <n v="491.06370792260617"/>
    <n v="0"/>
    <n v="0"/>
    <n v="0"/>
    <n v="0"/>
    <n v="0"/>
    <n v="0"/>
    <n v="0"/>
    <n v="0"/>
    <n v="0"/>
    <n v="0"/>
    <m/>
    <n v="0"/>
    <n v="0"/>
    <n v="0"/>
    <n v="14.347454276967461"/>
    <n v="124.2751004067474"/>
    <n v="480.43543811092781"/>
    <n v="0"/>
    <n v="43.1"/>
    <n v="215.5"/>
    <n v="1395.08"/>
    <n v="29"/>
    <m/>
    <m/>
    <m/>
    <m/>
    <m/>
    <m/>
    <m/>
    <n v="7612.4081999999999"/>
    <m/>
    <n v="4780.5044178962553"/>
    <m/>
    <m/>
    <m/>
    <m/>
    <m/>
    <m/>
    <m/>
    <m/>
    <m/>
    <m/>
    <m/>
    <m/>
    <n v="4099.0685999999996"/>
    <n v="-1513.0986000000012"/>
    <m/>
    <m/>
    <m/>
    <m/>
    <n v="-4870.9895999999999"/>
    <n v="547.97339999999997"/>
    <n v="29"/>
    <n v="655.2353339541778"/>
    <n v="14.559130443005927"/>
    <n v="47.679183637303311"/>
    <n v="0"/>
    <n v="0"/>
    <n v="0"/>
    <n v="0"/>
    <n v="0"/>
    <n v="-17.070263800296061"/>
    <n v="0"/>
    <n v="0"/>
    <n v="534.16764118543142"/>
    <n v="15.952082632117865"/>
    <n v="1.8416543252640949"/>
    <n v="0"/>
    <n v="61.669198279136197"/>
    <n v="0"/>
    <n v="0"/>
    <m/>
    <n v="0"/>
    <n v="0"/>
    <n v="-2.3269493249844686"/>
    <n v="0"/>
    <n v="0"/>
    <n v="-1.2363434228004451"/>
    <n v="0"/>
    <n v="0"/>
    <m/>
    <m/>
    <m/>
    <n v="9403.1044630108354"/>
    <n v="0"/>
    <n v="0"/>
    <n v="-4870.9895999999999"/>
    <n v="547.97339999999986"/>
    <n v="0"/>
    <n v="0"/>
    <n v="-4978.4453031251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5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03"/>
    <n v="-2.8500000000000001E-2"/>
    <n v="0.03"/>
    <n v="-2.8500000000000001E-2"/>
    <m/>
    <n v="446.23"/>
    <n v="173.82"/>
    <m/>
    <n v="18.601500000000001"/>
    <n v="18.601500000000001"/>
    <n v="13.586399999999999"/>
    <n v="0"/>
    <n v="0"/>
    <n v="0"/>
    <n v="0"/>
    <n v="8.1553322201726106E-2"/>
    <n v="1.0327983456619798"/>
    <n v="10.90847385500097"/>
    <n v="4.8276640662431696"/>
    <n v="0.24287596176200188"/>
    <n v="0"/>
    <n v="0"/>
    <n v="0"/>
    <n v="0"/>
    <n v="0"/>
    <m/>
    <n v="4.6546259245490697E-2"/>
    <n v="0.17395511337406319"/>
    <n v="0.56967947554826703"/>
    <n v="0"/>
    <n v="0"/>
    <n v="0"/>
    <n v="0"/>
    <n v="0"/>
    <n v="0"/>
    <n v="0"/>
    <n v="0"/>
    <n v="0"/>
    <n v="0"/>
    <m/>
    <n v="0"/>
    <n v="0"/>
    <n v="0"/>
    <n v="1.6644378511563182E-2"/>
    <n v="0.14417065012383687"/>
    <n v="0.55734969618437102"/>
    <n v="0"/>
    <n v="0.05"/>
    <n v="0.25"/>
    <n v="3.48"/>
    <n v="0"/>
    <m/>
    <m/>
    <m/>
    <m/>
    <m/>
    <m/>
    <m/>
    <n v="18.103935"/>
    <m/>
    <n v="5.5458287910629398"/>
    <m/>
    <m/>
    <m/>
    <m/>
    <m/>
    <m/>
    <m/>
    <m/>
    <m/>
    <m/>
    <m/>
    <m/>
    <n v="-4.7553000000000001"/>
    <n v="1.3997700000000011"/>
    <m/>
    <m/>
    <m/>
    <m/>
    <n v="-5.6508000000000003"/>
    <n v="0.63569999999999993"/>
    <n v="29"/>
    <n v="0.7601337980906937"/>
    <n v="1.6889942509287603E-2"/>
    <n v="5.531227800151195E-2"/>
    <n v="0"/>
    <n v="0"/>
    <n v="0"/>
    <n v="0"/>
    <n v="0"/>
    <n v="-1.9803090255563705E-2"/>
    <n v="0"/>
    <n v="0"/>
    <n v="0.6196840384981801"/>
    <n v="1.8505896324962745E-2"/>
    <n v="2.1364899365012673E-3"/>
    <n v="0"/>
    <n v="7.1541993363266942E-2"/>
    <n v="0"/>
    <n v="0"/>
    <m/>
    <n v="0"/>
    <n v="0"/>
    <n v="-2.6994771751560065E-3"/>
    <n v="0"/>
    <n v="0"/>
    <n v="-1.4342731122974975E-3"/>
    <n v="0"/>
    <n v="0"/>
    <m/>
    <m/>
    <m/>
    <n v="10.90847385500097"/>
    <n v="0"/>
    <n v="0"/>
    <n v="-5.6508000000000012"/>
    <n v="0.63569999999999993"/>
    <n v="0"/>
    <n v="0"/>
    <n v="-5.775458588312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6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5.597000000000001"/>
    <n v="55.597000000000001"/>
    <n v="55.597000000000001"/>
    <n v="55.597000000000001"/>
    <m/>
    <n v="446.23"/>
    <n v="173.82"/>
    <m/>
    <n v="34472.919850000006"/>
    <n v="34472.919850000006"/>
    <n v="25178.769359999998"/>
    <n v="0"/>
    <n v="0"/>
    <n v="0"/>
    <n v="0"/>
    <n v="151.13733514831222"/>
    <n v="1914.0163207923033"/>
    <n v="20215.947363882966"/>
    <n v="8946.7879696973832"/>
    <n v="450.10582820273396"/>
    <n v="0"/>
    <n v="0"/>
    <n v="0"/>
    <n v="0"/>
    <n v="0"/>
    <m/>
    <n v="86.261079175718208"/>
    <n v="322.37941460859304"/>
    <n v="1055.7489934019"/>
    <n v="0"/>
    <n v="0"/>
    <n v="0"/>
    <n v="0"/>
    <n v="0"/>
    <n v="0"/>
    <n v="0"/>
    <n v="0"/>
    <n v="0"/>
    <n v="0"/>
    <m/>
    <n v="0"/>
    <n v="0"/>
    <n v="0"/>
    <n v="30.845917070245942"/>
    <n v="267.18185449783198"/>
    <n v="1032.8990352920825"/>
    <n v="0"/>
    <n v="102.09"/>
    <n v="461.58"/>
    <n v="5196.7"/>
    <n v="103"/>
    <m/>
    <m/>
    <m/>
    <m/>
    <m/>
    <m/>
    <m/>
    <n v="10071.952519999999"/>
    <m/>
    <n v="10277.714776557545"/>
    <m/>
    <m/>
    <m/>
    <m/>
    <m/>
    <m/>
    <m/>
    <m/>
    <m/>
    <m/>
    <m/>
    <m/>
    <n v="15107.632000000001"/>
    <n v="-5576.1499100000001"/>
    <m/>
    <m/>
    <m/>
    <m/>
    <n v="-10472.25092"/>
    <n v="1178.10043"/>
    <n v="29"/>
    <n v="1408.705292414943"/>
    <n v="31.301004456295459"/>
    <n v="102.5065573350023"/>
    <n v="0"/>
    <n v="0"/>
    <n v="0"/>
    <n v="0"/>
    <n v="0"/>
    <n v="-36.699746964619408"/>
    <n v="0"/>
    <n v="0"/>
    <n v="1148.419116279445"/>
    <n v="34.295743932631751"/>
    <n v="3.9594143666553698"/>
    <n v="0"/>
    <n v="132.58400683391847"/>
    <n v="0"/>
    <n v="0"/>
    <m/>
    <n v="0"/>
    <n v="0"/>
    <n v="-5.0027610835716132"/>
    <n v="0"/>
    <n v="0"/>
    <n v="-2.658042740813471"/>
    <n v="0"/>
    <n v="0"/>
    <m/>
    <m/>
    <m/>
    <n v="20215.947363882966"/>
    <n v="0"/>
    <n v="0"/>
    <n v="-10472.250920000002"/>
    <n v="1178.1004300000004"/>
    <n v="0"/>
    <n v="0"/>
    <n v="-10703.2723711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7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1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38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65.634"/>
    <n v="65.634"/>
    <n v="65.634"/>
    <n v="65.634"/>
    <m/>
    <n v="446.23"/>
    <n v="173.82"/>
    <m/>
    <n v="40696.361700000001"/>
    <n v="40696.361700000001"/>
    <n v="29724.325919999999"/>
    <n v="0"/>
    <n v="0"/>
    <n v="0"/>
    <n v="0"/>
    <n v="178.42235831293638"/>
    <n v="2259.5562206392797"/>
    <n v="23865.559099971124"/>
    <n v="10561.963444126806"/>
    <n v="531.36402914290773"/>
    <n v="0"/>
    <n v="0"/>
    <n v="0"/>
    <n v="0"/>
    <n v="0"/>
    <m/>
    <n v="101.83390597728454"/>
    <n v="380.57899703977546"/>
    <n v="1246.3447566044986"/>
    <n v="0"/>
    <n v="0"/>
    <n v="0"/>
    <n v="0"/>
    <n v="0"/>
    <n v="0"/>
    <n v="0"/>
    <n v="0"/>
    <n v="0"/>
    <n v="0"/>
    <m/>
    <n v="0"/>
    <n v="0"/>
    <n v="0"/>
    <n v="36.414571307597932"/>
    <n v="315.41654834093032"/>
    <n v="1219.3696653121669"/>
    <n v="0"/>
    <n v="119.27"/>
    <n v="542.53"/>
    <n v="9139.52"/>
    <n v="393"/>
    <m/>
    <m/>
    <m/>
    <m/>
    <m/>
    <m/>
    <m/>
    <n v="2971.9075200000002"/>
    <m/>
    <n v="12133.164229087502"/>
    <m/>
    <m/>
    <m/>
    <m/>
    <m/>
    <m/>
    <m/>
    <m/>
    <m/>
    <m/>
    <m/>
    <m/>
    <n v="26750.788"/>
    <n v="-9876.2956999999951"/>
    <m/>
    <m/>
    <m/>
    <m/>
    <n v="-12362.820240000001"/>
    <n v="1390.7844599999999"/>
    <n v="29"/>
    <n v="1663.0207234628178"/>
    <n v="36.951816221819456"/>
    <n v="121.01220181170811"/>
    <n v="0"/>
    <n v="0"/>
    <n v="0"/>
    <n v="0"/>
    <n v="0"/>
    <n v="-43.325200861122539"/>
    <n v="0"/>
    <n v="0"/>
    <n v="1355.7447394263199"/>
    <n v="40.487199979753484"/>
    <n v="4.6742126830774779"/>
    <n v="0"/>
    <n v="156.51957308015562"/>
    <n v="0"/>
    <n v="0"/>
    <m/>
    <n v="0"/>
    <n v="0"/>
    <n v="-5.905916163806296"/>
    <n v="0"/>
    <n v="0"/>
    <n v="-3.1379027150844649"/>
    <n v="0"/>
    <n v="0"/>
    <m/>
    <m/>
    <m/>
    <n v="23865.559099971124"/>
    <n v="0"/>
    <n v="0"/>
    <n v="-12362.820240000001"/>
    <n v="1390.7844599999989"/>
    <n v="0"/>
    <n v="0"/>
    <n v="-12635.548299509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39"/>
    <s v="Sistema de Compensação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.8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4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33.692999999999998"/>
    <n v="33.692999999999998"/>
    <n v="33.692999999999998"/>
    <n v="33.692999999999998"/>
    <m/>
    <n v="446.23"/>
    <n v="173.82"/>
    <m/>
    <n v="20891.344649999999"/>
    <n v="20891.344649999999"/>
    <n v="15258.885839999999"/>
    <n v="0"/>
    <n v="0"/>
    <n v="0"/>
    <n v="0"/>
    <n v="91.592536164758585"/>
    <n v="1159.9358220129695"/>
    <n v="12251.306986551588"/>
    <n v="5421.9495127977034"/>
    <n v="272.7739926549043"/>
    <n v="0"/>
    <n v="0"/>
    <n v="0"/>
    <n v="0"/>
    <n v="0"/>
    <m/>
    <n v="52.276103758610596"/>
    <n v="195.36898783041036"/>
    <n v="639.80701898825862"/>
    <n v="0"/>
    <n v="0"/>
    <n v="0"/>
    <n v="0"/>
    <n v="0"/>
    <n v="0"/>
    <n v="0"/>
    <n v="0"/>
    <n v="0"/>
    <n v="0"/>
    <m/>
    <n v="0"/>
    <n v="0"/>
    <n v="0"/>
    <n v="18.693301506336606"/>
    <n v="161.9180571540812"/>
    <n v="625.95944378466709"/>
    <n v="0"/>
    <n v="60.78"/>
    <n v="281.11"/>
    <n v="5199.72"/>
    <n v="337"/>
    <m/>
    <m/>
    <m/>
    <m/>
    <m/>
    <m/>
    <m/>
    <m/>
    <m/>
    <n v="6228.5203152427885"/>
    <m/>
    <m/>
    <m/>
    <m/>
    <m/>
    <m/>
    <m/>
    <m/>
    <m/>
    <m/>
    <m/>
    <m/>
    <n v="15257.527199999999"/>
    <n v="-5633.8474499999993"/>
    <m/>
    <m/>
    <m/>
    <m/>
    <n v="-6346.4134800000002"/>
    <n v="713.95466999999985"/>
    <n v="29"/>
    <n v="853.70626863565667"/>
    <n v="18.969094432180924"/>
    <n v="62.121219423498133"/>
    <n v="0"/>
    <n v="0"/>
    <n v="0"/>
    <n v="0"/>
    <n v="0"/>
    <n v="-22.240850666023789"/>
    <n v="0"/>
    <n v="0"/>
    <n v="695.96714363730644"/>
    <n v="20.783972162565647"/>
    <n v="2.3994918476845797"/>
    <n v="0"/>
    <n v="80.348812746285148"/>
    <n v="0"/>
    <n v="0"/>
    <m/>
    <n v="0"/>
    <n v="0"/>
    <n v="-3.0317828154177278"/>
    <n v="0"/>
    <n v="0"/>
    <n v="-1.6108321324213151"/>
    <n v="0"/>
    <n v="0"/>
    <m/>
    <m/>
    <m/>
    <n v="12251.306986551588"/>
    <n v="0"/>
    <n v="0"/>
    <n v="-6346.4134800000011"/>
    <n v="713.95467000000008"/>
    <n v="0"/>
    <n v="0"/>
    <n v="-6486.417540533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1"/>
    <s v="Sistema de Compensação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.97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42"/>
    <s v="Regular"/>
    <s v="Convencional"/>
    <s v="B3"/>
    <s v="Industrial"/>
    <s v="Não se aplica"/>
    <s v="Não se aplica"/>
    <s v="Não se aplica"/>
    <s v="Não se aplica"/>
    <s v="CATIVO"/>
    <x v="7"/>
    <n v="0"/>
    <n v="0"/>
    <n v="69.040000000000006"/>
    <n v="69.040000000000006"/>
    <n v="69.040000000000006"/>
    <n v="69.040000000000006"/>
    <m/>
    <n v="516.83000000000004"/>
    <n v="173.82"/>
    <m/>
    <n v="47682.47600000001"/>
    <n v="47682.47600000001"/>
    <n v="36000.908000000003"/>
    <n v="0"/>
    <n v="4221.7584255339561"/>
    <n v="0"/>
    <n v="0"/>
    <n v="187.6813788269057"/>
    <n v="2376.8132594834365"/>
    <n v="25104.034498308902"/>
    <n v="11110.064237780949"/>
    <n v="558.93854666828702"/>
    <n v="0"/>
    <n v="0"/>
    <n v="0"/>
    <n v="0"/>
    <n v="652.53132924203237"/>
    <m/>
    <n v="107.1184579436226"/>
    <n v="400.32870091151079"/>
    <n v="1311.0223663950785"/>
    <n v="0"/>
    <n v="0"/>
    <n v="0"/>
    <n v="0"/>
    <n v="0"/>
    <n v="0"/>
    <n v="0"/>
    <n v="0"/>
    <n v="0"/>
    <n v="0"/>
    <m/>
    <n v="0"/>
    <n v="0"/>
    <n v="0"/>
    <n v="38.304263081277405"/>
    <n v="331.7847228183233"/>
    <n v="1282.6474341522992"/>
    <n v="0"/>
    <n v="159.94"/>
    <n v="729.28"/>
    <n v="9563.49"/>
    <n v="37"/>
    <m/>
    <m/>
    <m/>
    <m/>
    <m/>
    <m/>
    <m/>
    <m/>
    <m/>
    <n v="12762.80065783285"/>
    <m/>
    <m/>
    <m/>
    <m/>
    <m/>
    <m/>
    <m/>
    <m/>
    <m/>
    <m/>
    <m/>
    <m/>
    <n v="36000.908000000003"/>
    <n v="-11681.598000000013"/>
    <m/>
    <m/>
    <m/>
    <m/>
    <n v="-13144.525600000004"/>
    <n v="1462.9576"/>
    <n v="29"/>
    <n v="1609.0378871271241"/>
    <n v="38.869387694707257"/>
    <n v="127.29198910747982"/>
    <n v="0"/>
    <n v="0"/>
    <n v="0"/>
    <n v="0"/>
    <n v="0"/>
    <n v="-45.57351170813763"/>
    <n v="0"/>
    <n v="0"/>
    <n v="1426.0995339304791"/>
    <n v="42.58823607584759"/>
    <n v="4.9167755072015922"/>
    <n v="0"/>
    <n v="164.64197405999857"/>
    <n v="0"/>
    <n v="-123.3830241726273"/>
    <m/>
    <n v="0"/>
    <n v="0"/>
    <n v="-6.2123968057589991"/>
    <n v="0"/>
    <n v="-16.900336039635363"/>
    <n v="-3.3007405224339834"/>
    <n v="0"/>
    <n v="0"/>
    <m/>
    <m/>
    <m/>
    <n v="25104.034498308902"/>
    <n v="0"/>
    <n v="0"/>
    <n v="-13144.525600000008"/>
    <n v="1462.9575999999997"/>
    <n v="0"/>
    <n v="0"/>
    <n v="-13291.255364569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3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625"/>
    <n v="0.625"/>
    <n v="0.625"/>
    <n v="0.625"/>
    <m/>
    <n v="516.83000000000004"/>
    <n v="173.82"/>
    <m/>
    <n v="431.65625"/>
    <n v="431.65625"/>
    <n v="325.90625"/>
    <n v="0"/>
    <n v="38.218409848764814"/>
    <n v="0"/>
    <n v="0"/>
    <n v="1.6990275458692938"/>
    <n v="21.516632201291248"/>
    <n v="227.25987197918687"/>
    <n v="100.57633471339938"/>
    <n v="5.0599158700417055"/>
    <n v="0"/>
    <n v="0"/>
    <n v="0"/>
    <n v="0"/>
    <n v="5.9071854110120245"/>
    <m/>
    <n v="0.96971373428105623"/>
    <n v="3.6240648619596501"/>
    <n v="11.868322407255562"/>
    <n v="0"/>
    <n v="0"/>
    <n v="0"/>
    <n v="0"/>
    <n v="0"/>
    <n v="0"/>
    <n v="0"/>
    <n v="0"/>
    <n v="0"/>
    <n v="0"/>
    <m/>
    <n v="0"/>
    <n v="0"/>
    <n v="0"/>
    <n v="0.34675788565756627"/>
    <n v="3.0035552109132686"/>
    <n v="11.611452003841062"/>
    <n v="0"/>
    <n v="1.43"/>
    <n v="6.58"/>
    <n v="361.98"/>
    <n v="6"/>
    <m/>
    <m/>
    <m/>
    <m/>
    <m/>
    <m/>
    <m/>
    <m/>
    <m/>
    <n v="115.53809981381127"/>
    <m/>
    <m/>
    <m/>
    <m/>
    <m/>
    <m/>
    <m/>
    <m/>
    <m/>
    <m/>
    <m/>
    <m/>
    <n v="328.51349999999996"/>
    <n v="-103.17275000000001"/>
    <m/>
    <m/>
    <m/>
    <m/>
    <n v="-118.99375000000003"/>
    <n v="13.243749999999999"/>
    <n v="29"/>
    <n v="14.566174383755055"/>
    <n v="0.3518738022768253"/>
    <n v="1.1523391250315012"/>
    <n v="0"/>
    <n v="0"/>
    <n v="0"/>
    <n v="0"/>
    <n v="0"/>
    <n v="-0.41256438032424825"/>
    <n v="0"/>
    <n v="0"/>
    <n v="12.910084135378753"/>
    <n v="0.38553950677005666"/>
    <n v="4.451020701044317E-2"/>
    <n v="0"/>
    <n v="1.4904581950680633"/>
    <n v="0"/>
    <n v="-1.116952348028569"/>
    <m/>
    <n v="0"/>
    <n v="0"/>
    <n v="-5.6239107815749811E-2"/>
    <n v="0"/>
    <n v="-0.15299406177248098"/>
    <n v="-2.9880689839531294E-2"/>
    <n v="0"/>
    <n v="0"/>
    <m/>
    <m/>
    <m/>
    <n v="227.25987197918687"/>
    <n v="0"/>
    <n v="0"/>
    <n v="-118.99375000000001"/>
    <n v="13.243750000000006"/>
    <n v="0"/>
    <n v="0"/>
    <n v="-120.32205392317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-1.133"/>
    <n v="-1.133"/>
    <n v="-1.133"/>
    <n v="-1.133"/>
    <m/>
    <n v="516.83000000000004"/>
    <n v="173.82"/>
    <m/>
    <n v="-782.50645000000009"/>
    <n v="-782.50645000000009"/>
    <n v="-590.80285000000003"/>
    <n v="0"/>
    <n v="-69.282333373840856"/>
    <n v="0"/>
    <n v="0"/>
    <n v="-3.079997135151856"/>
    <n v="-39.005350854500776"/>
    <n v="-411.97669592386995"/>
    <n v="-182.32477956845037"/>
    <n v="-9.172615489211605"/>
    <n v="0"/>
    <n v="0"/>
    <n v="0"/>
    <n v="0"/>
    <n v="-10.708545713082598"/>
    <m/>
    <n v="-1.7578970575046986"/>
    <n v="-6.5697047817604535"/>
    <n v="-21.514894859872886"/>
    <n v="0"/>
    <n v="0"/>
    <n v="0"/>
    <n v="0"/>
    <n v="0"/>
    <n v="0"/>
    <n v="0"/>
    <n v="0"/>
    <n v="0"/>
    <n v="0"/>
    <m/>
    <n v="0"/>
    <n v="0"/>
    <n v="0"/>
    <n v="-0.62860269512003619"/>
    <n v="-5.4448448863435734"/>
    <n v="-21.049240192563079"/>
    <n v="0"/>
    <n v="0"/>
    <n v="0"/>
    <n v="-157.97"/>
    <n v="2"/>
    <m/>
    <m/>
    <m/>
    <m/>
    <m/>
    <m/>
    <m/>
    <m/>
    <m/>
    <n v="-209.44746734247704"/>
    <m/>
    <m/>
    <m/>
    <m/>
    <m/>
    <m/>
    <m/>
    <m/>
    <m/>
    <m/>
    <m/>
    <m/>
    <n v="-589.23849999999993"/>
    <n v="193.23795000000018"/>
    <m/>
    <m/>
    <m/>
    <m/>
    <n v="215.71187000000006"/>
    <n v="-24.008269999999996"/>
    <n v="29"/>
    <n v="-26.405560922871302"/>
    <n v="-0.63787682876742924"/>
    <n v="-2.0889603658571012"/>
    <n v="0"/>
    <n v="0"/>
    <n v="0"/>
    <n v="0"/>
    <n v="0"/>
    <n v="0.74789670865179403"/>
    <n v="0"/>
    <n v="0"/>
    <n v="-23.403400520614611"/>
    <n v="-0.69890601787275841"/>
    <n v="-8.0688103268531264E-2"/>
    <n v="0"/>
    <n v="-2.7019026160193853"/>
    <n v="0"/>
    <n v="2.0248112165061798"/>
    <m/>
    <n v="0"/>
    <n v="0"/>
    <n v="0.10195025464839169"/>
    <n v="0"/>
    <n v="0.2773476351811528"/>
    <n v="5.4167714541102141E-2"/>
    <n v="0"/>
    <n v="0"/>
    <m/>
    <m/>
    <m/>
    <n v="-411.97669592386995"/>
    <n v="0"/>
    <n v="0"/>
    <n v="215.71187000000003"/>
    <n v="-24.008269999999982"/>
    <n v="0"/>
    <n v="0"/>
    <n v="218.1198193519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5"/>
    <s v="Regular"/>
    <s v="Azul"/>
    <s v="A4"/>
    <s v="Industrial"/>
    <s v="Não se aplica"/>
    <s v="Não se aplica"/>
    <s v="Não se aplica"/>
    <s v="Ponta"/>
    <s v="CATIVO"/>
    <x v="7"/>
    <n v="1200"/>
    <n v="1200"/>
    <n v="34.667999999999999"/>
    <n v="34.667999999999999"/>
    <n v="34.667999999999999"/>
    <n v="34.667999999999999"/>
    <n v="67.099999999999994"/>
    <n v="70.33"/>
    <n v="173.82"/>
    <n v="80520"/>
    <n v="8464.1921999999995"/>
    <n v="88984.192200000005"/>
    <n v="59611.792439999997"/>
    <n v="0"/>
    <n v="1844.3385190306769"/>
    <n v="0"/>
    <n v="0"/>
    <n v="898.10170336085525"/>
    <n v="13700.67976876248"/>
    <n v="57794.157302940846"/>
    <n v="5578.8485949506066"/>
    <n v="280.66746141216936"/>
    <n v="0"/>
    <n v="0"/>
    <n v="0"/>
    <n v="0"/>
    <n v="327.66448612634377"/>
    <m/>
    <n v="43.082986717751254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6.4688277809729229"/>
    <n v="166.60360328310591"/>
    <n v="216.61362699061024"/>
    <n v="0"/>
    <n v="0"/>
    <n v="0"/>
    <n v="0"/>
    <n v="0"/>
    <m/>
    <m/>
    <m/>
    <m/>
    <m/>
    <m/>
    <m/>
    <m/>
    <m/>
    <n v="5968.5346530052957"/>
    <m/>
    <m/>
    <m/>
    <m/>
    <m/>
    <m/>
    <m/>
    <m/>
    <m/>
    <m/>
    <m/>
    <m/>
    <n v="59612.321100000001"/>
    <n v="-29371.901099999988"/>
    <m/>
    <m/>
    <m/>
    <m/>
    <n v="-30107.014679999993"/>
    <n v="734.61491999999987"/>
    <n v="29"/>
    <n v="1226.033759733622"/>
    <n v="187.27044607078801"/>
    <n v="602.17080389378407"/>
    <n v="0"/>
    <n v="0"/>
    <n v="0"/>
    <n v="0"/>
    <n v="0"/>
    <n v="-262.69968301452172"/>
    <n v="0"/>
    <n v="0"/>
    <n v="716.10687488849726"/>
    <n v="21.385413793126929"/>
    <n v="0.83034553951096868"/>
    <n v="0"/>
    <n v="27.804753049383663"/>
    <n v="0"/>
    <n v="-53.901725570025746"/>
    <m/>
    <n v="0"/>
    <n v="0"/>
    <n v="-3.1195158236102429"/>
    <n v="0"/>
    <n v="-8.4863970136453872"/>
    <n v="-1.3275560796592956"/>
    <n v="0"/>
    <n v="0"/>
    <m/>
    <m/>
    <n v="57794.157302940846"/>
    <n v="0"/>
    <n v="0"/>
    <n v="0"/>
    <n v="-30107.01468"/>
    <n v="734.61491999999998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6"/>
    <s v="Regular"/>
    <s v="Azul"/>
    <s v="A4"/>
    <s v="Industrial"/>
    <s v="Não se aplica"/>
    <s v="Não se aplica"/>
    <s v="Não se aplica"/>
    <s v="Fora ponta"/>
    <s v="CATIVO"/>
    <x v="7"/>
    <n v="1200"/>
    <n v="1200"/>
    <n v="335.35199999999998"/>
    <n v="335.35199999999998"/>
    <n v="335.35199999999998"/>
    <n v="335.35199999999998"/>
    <n v="59.12"/>
    <n v="70.33"/>
    <n v="173.82"/>
    <n v="70944"/>
    <n v="81876.190799999997"/>
    <n v="152820.19079999998"/>
    <n v="129479.59415999998"/>
    <n v="0"/>
    <n v="17840.735290007371"/>
    <n v="0"/>
    <n v="0"/>
    <n v="686.4724360004185"/>
    <n v="6140.4271808585163"/>
    <n v="57794.157302940846"/>
    <n v="53965.559998092642"/>
    <n v="2714.9646509603617"/>
    <n v="0"/>
    <n v="0"/>
    <n v="0"/>
    <n v="0"/>
    <n v="3169.578307125927"/>
    <m/>
    <n v="416.75221419670351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62.574545229169019"/>
    <n v="1611.5971953442981"/>
    <n v="2095.3563239458613"/>
    <n v="0"/>
    <n v="0"/>
    <n v="0"/>
    <n v="0"/>
    <n v="0"/>
    <m/>
    <m/>
    <m/>
    <m/>
    <m/>
    <m/>
    <m/>
    <m/>
    <m/>
    <n v="57735.088062611969"/>
    <m/>
    <m/>
    <m/>
    <m/>
    <m/>
    <m/>
    <m/>
    <m/>
    <m/>
    <m/>
    <m/>
    <m/>
    <n v="129479.0655"/>
    <n v="-23341.155299999984"/>
    <m/>
    <m/>
    <m/>
    <m/>
    <n v="-30446.70552"/>
    <n v="7106.1088799999989"/>
    <n v="29"/>
    <n v="7260.5966393307754"/>
    <n v="140.75540420960397"/>
    <n v="473.15551850471911"/>
    <n v="0"/>
    <n v="0"/>
    <n v="0"/>
    <n v="0"/>
    <n v="0"/>
    <n v="-117.73782769987247"/>
    <n v="0"/>
    <n v="0"/>
    <n v="6927.0760559480623"/>
    <n v="206.86631147896333"/>
    <n v="8.032134457311713"/>
    <n v="0"/>
    <n v="268.96214216617363"/>
    <n v="0"/>
    <n v="-521.40450771198812"/>
    <m/>
    <n v="0"/>
    <n v="0"/>
    <n v="-30.175835654763887"/>
    <n v="0"/>
    <n v="-82.090983365640113"/>
    <n v="-12.841773001785612"/>
    <n v="0"/>
    <n v="0"/>
    <m/>
    <m/>
    <n v="57794.157302940846"/>
    <n v="0"/>
    <n v="0"/>
    <n v="0"/>
    <n v="-30446.705519999996"/>
    <n v="7106.1088799999925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7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44.65"/>
    <n v="3847.37"/>
    <n v="44510.3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48"/>
    <s v="Regular"/>
    <s v="Verde"/>
    <s v="A4"/>
    <s v="Industrial"/>
    <s v="Não se aplica"/>
    <s v="Não se aplica"/>
    <s v="Não se aplica"/>
    <s v="Ponta"/>
    <s v="CATIVO"/>
    <x v="7"/>
    <n v="0"/>
    <n v="0"/>
    <n v="30.957000000000001"/>
    <n v="30.957000000000001"/>
    <n v="30.957000000000001"/>
    <n v="30.957000000000001"/>
    <m/>
    <n v="1684.16"/>
    <n v="173.82"/>
    <m/>
    <n v="57517.486860000005"/>
    <n v="57517.486860000005"/>
    <n v="39484.415220000003"/>
    <n v="0"/>
    <n v="1646.9132206539941"/>
    <n v="0"/>
    <n v="0"/>
    <n v="557.20742145782879"/>
    <n v="8500.3566096262184"/>
    <n v="35857.259544778841"/>
    <n v="4981.6665499563269"/>
    <n v="250.62370494220974"/>
    <n v="0"/>
    <n v="0"/>
    <n v="0"/>
    <n v="0"/>
    <n v="292.58998202991881"/>
    <m/>
    <n v="38.471213217417372"/>
    <n v="1196.6782383252562"/>
    <n v="3847.913958418555"/>
    <n v="0"/>
    <n v="0"/>
    <n v="0"/>
    <n v="0"/>
    <n v="0"/>
    <n v="0"/>
    <n v="0"/>
    <n v="0"/>
    <n v="0"/>
    <n v="0"/>
    <m/>
    <n v="0"/>
    <n v="0"/>
    <n v="0"/>
    <n v="5.7763788397247833"/>
    <n v="148.76969386278728"/>
    <n v="193.42644660056311"/>
    <n v="0"/>
    <n v="0"/>
    <n v="0"/>
    <n v="0"/>
    <n v="0"/>
    <m/>
    <m/>
    <m/>
    <m/>
    <m/>
    <m/>
    <m/>
    <m/>
    <m/>
    <n v="5329.6390692594023"/>
    <m/>
    <m/>
    <m/>
    <m/>
    <m/>
    <m/>
    <m/>
    <m/>
    <m/>
    <m/>
    <m/>
    <m/>
    <n v="39488.241600000001"/>
    <n v="-18029.275260000009"/>
    <m/>
    <m/>
    <m/>
    <m/>
    <n v="-18689.050470000002"/>
    <n v="655.9788299999999"/>
    <n v="29"/>
    <n v="951.24761404401215"/>
    <n v="116.18989666585026"/>
    <n v="373.60813532751854"/>
    <n v="0"/>
    <n v="0"/>
    <n v="0"/>
    <n v="0"/>
    <n v="0"/>
    <n v="-162.98760532680171"/>
    <n v="0"/>
    <n v="0"/>
    <n v="639.45195932627212"/>
    <n v="19.09623441772905"/>
    <n v="0.74146206491984135"/>
    <n v="0"/>
    <n v="24.828422180390248"/>
    <n v="0"/>
    <n v="-48.131871422386212"/>
    <m/>
    <n v="0"/>
    <n v="0"/>
    <n v="-2.7855904970434722"/>
    <n v="0"/>
    <n v="-7.577979472465131"/>
    <n v="-1.1854492199726749"/>
    <n v="0"/>
    <n v="0"/>
    <m/>
    <m/>
    <m/>
    <n v="35857.259544778841"/>
    <n v="0"/>
    <n v="0"/>
    <n v="-18689.050470000002"/>
    <n v="655.97883000000002"/>
    <n v="0"/>
    <n v="0"/>
    <n v="-18984.517939353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49"/>
    <s v="Sistema de Compensação"/>
    <s v="Verde"/>
    <s v="A4"/>
    <s v="Industrial"/>
    <s v="Não se aplica"/>
    <s v="Não se aplica"/>
    <s v="Não se aplica"/>
    <s v="Ponta"/>
    <s v="CATIVO"/>
    <x v="7"/>
    <n v="0"/>
    <n v="0"/>
    <n v="3.1E-2"/>
    <n v="3.1E-2"/>
    <n v="3.1E-2"/>
    <n v="3.1E-2"/>
    <m/>
    <n v="1684.16"/>
    <n v="173.82"/>
    <m/>
    <n v="57.597380000000001"/>
    <n v="57.597380000000001"/>
    <n v="39.539259999999999"/>
    <n v="0"/>
    <n v="1.6492008217939016"/>
    <n v="0"/>
    <n v="0"/>
    <n v="0.5579813956517975"/>
    <n v="8.5121638045809593"/>
    <n v="35.907066120365151"/>
    <n v="4.9885862017846083"/>
    <n v="0.25097182715406863"/>
    <n v="0"/>
    <n v="0"/>
    <n v="0"/>
    <n v="0"/>
    <n v="0.2929963963861964"/>
    <m/>
    <n v="3.852465063604156E-2"/>
    <n v="1.1983404525013064"/>
    <n v="3.8532588012719322"/>
    <n v="0"/>
    <n v="0"/>
    <n v="0"/>
    <n v="0"/>
    <n v="0"/>
    <n v="0"/>
    <n v="0"/>
    <n v="0"/>
    <n v="0"/>
    <n v="0"/>
    <m/>
    <n v="0"/>
    <n v="0"/>
    <n v="0"/>
    <n v="5.7844023655867259E-3"/>
    <n v="0.14897633846129812"/>
    <n v="0.19369512047735427"/>
    <n v="0"/>
    <n v="0"/>
    <n v="0"/>
    <n v="0"/>
    <n v="0"/>
    <m/>
    <m/>
    <m/>
    <m/>
    <m/>
    <m/>
    <m/>
    <m/>
    <m/>
    <n v="5.3370420630888473"/>
    <m/>
    <m/>
    <m/>
    <m/>
    <m/>
    <m/>
    <m/>
    <m/>
    <m/>
    <m/>
    <m/>
    <m/>
    <n v="38.263799999999996"/>
    <n v="-19.363579999999999"/>
    <m/>
    <m/>
    <m/>
    <m/>
    <n v="-18.715009999999999"/>
    <n v="0.65688999999999997"/>
    <n v="29"/>
    <n v="0.95256891931919796"/>
    <n v="0.11635128716094445"/>
    <n v="0.37412708580137144"/>
    <n v="0"/>
    <n v="0"/>
    <n v="0"/>
    <n v="0"/>
    <n v="0"/>
    <n v="-0.16321399893823241"/>
    <n v="0"/>
    <n v="0"/>
    <n v="0.64034017311478664"/>
    <n v="1.9122759535794814E-2"/>
    <n v="7.424919731406493E-4"/>
    <n v="0"/>
    <n v="2.4862909441874165E-2"/>
    <n v="0"/>
    <n v="-4.8198727722129631E-2"/>
    <m/>
    <n v="0"/>
    <n v="0"/>
    <n v="-2.7894597476612049E-3"/>
    <n v="0"/>
    <n v="-7.5885054639150407E-3"/>
    <n v="-1.1870958367785345E-3"/>
    <n v="0"/>
    <n v="0"/>
    <m/>
    <m/>
    <m/>
    <n v="35.907066120365151"/>
    <n v="0"/>
    <n v="0"/>
    <n v="-18.715010000000007"/>
    <n v="0.65688999999999975"/>
    <n v="0"/>
    <n v="0"/>
    <n v="-19.010887880607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0"/>
    <s v="Regular"/>
    <s v="Verde"/>
    <s v="A4"/>
    <s v="Industrial"/>
    <s v="Não se aplica"/>
    <s v="Não se aplica"/>
    <s v="Não se aplica"/>
    <s v="Fora ponta"/>
    <s v="CATIVO"/>
    <x v="7"/>
    <n v="0"/>
    <n v="0"/>
    <n v="608.33900000000006"/>
    <n v="608.33900000000006"/>
    <n v="608.33900000000006"/>
    <n v="608.33900000000006"/>
    <m/>
    <n v="70.33"/>
    <n v="173.82"/>
    <m/>
    <n v="148525.96685000003"/>
    <n v="148525.96685000003"/>
    <n v="160802.24787000002"/>
    <n v="0"/>
    <n v="32363.650926750983"/>
    <n v="0"/>
    <n v="0"/>
    <n v="0"/>
    <n v="0"/>
    <n v="0"/>
    <n v="97895.21101314346"/>
    <n v="4925.0306567444823"/>
    <n v="0"/>
    <n v="0"/>
    <n v="0"/>
    <n v="0"/>
    <n v="5749.7140251994315"/>
    <m/>
    <n v="756.0015304283512"/>
    <n v="0"/>
    <n v="0"/>
    <n v="0"/>
    <n v="0"/>
    <n v="0"/>
    <n v="0"/>
    <n v="0"/>
    <n v="0"/>
    <n v="0"/>
    <n v="0"/>
    <n v="0"/>
    <n v="0"/>
    <m/>
    <n v="0"/>
    <n v="0"/>
    <n v="0"/>
    <n v="113.51217905415044"/>
    <n v="2923.4876375228273"/>
    <n v="3801.0418030991364"/>
    <n v="0"/>
    <n v="0"/>
    <n v="0"/>
    <n v="0"/>
    <n v="0"/>
    <m/>
    <m/>
    <m/>
    <m/>
    <m/>
    <m/>
    <m/>
    <m/>
    <m/>
    <n v="104733.25263281958"/>
    <m/>
    <m/>
    <m/>
    <m/>
    <m/>
    <m/>
    <m/>
    <m/>
    <m/>
    <m/>
    <m/>
    <m/>
    <n v="160802.5122"/>
    <n v="12276.515349999972"/>
    <m/>
    <m/>
    <m/>
    <m/>
    <n v="-614.42239000000313"/>
    <n v="12890.70341"/>
    <n v="29"/>
    <n v="12270.875541299407"/>
    <n v="0"/>
    <n v="0"/>
    <n v="0"/>
    <n v="0"/>
    <n v="0"/>
    <n v="0"/>
    <n v="0"/>
    <n v="0"/>
    <n v="0"/>
    <n v="0"/>
    <n v="12565.932276531486"/>
    <n v="375.26194881438323"/>
    <n v="14.570542724142257"/>
    <n v="0"/>
    <n v="487.90572474065402"/>
    <n v="0"/>
    <n v="-945.84405883073123"/>
    <m/>
    <n v="0"/>
    <n v="0"/>
    <n v="-54.739908175240089"/>
    <n v="0"/>
    <n v="-148.91560727137585"/>
    <n v="-23.295377233871363"/>
    <n v="0"/>
    <n v="0"/>
    <m/>
    <m/>
    <m/>
    <n v="0"/>
    <n v="0"/>
    <n v="0"/>
    <n v="-614.422390000007"/>
    <n v="12890.7034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1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10.303000000000001"/>
    <n v="10.303000000000001"/>
    <n v="10.303000000000001"/>
    <n v="10.303000000000001"/>
    <m/>
    <n v="70.33"/>
    <n v="173.82"/>
    <m/>
    <n v="2515.4774500000003"/>
    <n v="2515.4774500000003"/>
    <n v="2723.3919900000001"/>
    <n v="0"/>
    <n v="548.11987312717974"/>
    <n v="0"/>
    <n v="0"/>
    <n v="0"/>
    <n v="0"/>
    <n v="0"/>
    <n v="1657.9807624834461"/>
    <n v="83.411701134463513"/>
    <n v="0"/>
    <n v="0"/>
    <n v="0"/>
    <n v="0"/>
    <n v="97.378770063451029"/>
    <m/>
    <n v="12.803854048488265"/>
    <n v="0"/>
    <n v="0"/>
    <n v="0"/>
    <n v="0"/>
    <n v="0"/>
    <n v="0"/>
    <n v="0"/>
    <n v="0"/>
    <n v="0"/>
    <n v="0"/>
    <n v="0"/>
    <n v="0"/>
    <m/>
    <n v="0"/>
    <n v="0"/>
    <n v="0"/>
    <n v="1.9224741152464528"/>
    <n v="49.51300694086305"/>
    <n v="64.375510525102627"/>
    <n v="0"/>
    <n v="0"/>
    <n v="0"/>
    <n v="0"/>
    <n v="0"/>
    <m/>
    <m/>
    <m/>
    <m/>
    <m/>
    <m/>
    <m/>
    <m/>
    <m/>
    <n v="1773.7917540646581"/>
    <m/>
    <m/>
    <m/>
    <m/>
    <m/>
    <m/>
    <m/>
    <m/>
    <m/>
    <m/>
    <m/>
    <m/>
    <n v="2722.5990000000002"/>
    <n v="207.09154999999964"/>
    <m/>
    <m/>
    <m/>
    <m/>
    <n v="-10.406030000000053"/>
    <n v="218.32057"/>
    <n v="29"/>
    <n v="207.82299129598505"/>
    <n v="0"/>
    <n v="0"/>
    <n v="0"/>
    <n v="0"/>
    <n v="0"/>
    <n v="0"/>
    <n v="0"/>
    <n v="0"/>
    <n v="0"/>
    <n v="0"/>
    <n v="212.82015495489168"/>
    <n v="6.3555416612030342"/>
    <n v="0.24677079997639084"/>
    <n v="0"/>
    <n v="8.2633082574073882"/>
    <n v="0"/>
    <n v="-16.01908037810017"/>
    <m/>
    <n v="0"/>
    <n v="0"/>
    <n v="-0.92709044452107037"/>
    <n v="0"/>
    <n v="-2.5220765095069879"/>
    <n v="-0.39453704536545864"/>
    <n v="0"/>
    <n v="0"/>
    <m/>
    <m/>
    <m/>
    <n v="0"/>
    <n v="0"/>
    <n v="0"/>
    <n v="-10.406030000000101"/>
    <n v="218.32056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2"/>
    <s v="Regular"/>
    <s v="Verde"/>
    <s v="A4"/>
    <s v="Industrial"/>
    <s v="Não se aplica"/>
    <s v="Não se aplica"/>
    <s v="Não se aplica"/>
    <s v="Não se aplica"/>
    <s v="CATIVO"/>
    <x v="7"/>
    <n v="4407"/>
    <n v="4407"/>
    <n v="0"/>
    <n v="0"/>
    <n v="0"/>
    <n v="0"/>
    <n v="59.12"/>
    <m/>
    <m/>
    <n v="260541.84"/>
    <m/>
    <n v="260541.84"/>
    <n v="149970.21"/>
    <n v="0"/>
    <n v="0"/>
    <n v="0"/>
    <n v="0"/>
    <n v="2521.0700212115366"/>
    <n v="22550.718821702903"/>
    <n v="212249.04269505024"/>
    <m/>
    <m/>
    <m/>
    <n v="0"/>
    <n v="0"/>
    <n v="0"/>
    <n v="0"/>
    <m/>
    <n v="0"/>
    <n v="5323.9738138460943"/>
    <n v="17896.773516735877"/>
    <n v="0"/>
    <n v="0"/>
    <m/>
    <m/>
    <n v="0"/>
    <n v="0"/>
    <n v="0"/>
    <m/>
    <m/>
    <n v="0"/>
    <m/>
    <n v="0"/>
    <n v="0"/>
    <n v="0"/>
    <n v="0"/>
    <m/>
    <n v="0"/>
    <n v="0"/>
    <n v="1585.59"/>
    <n v="7222.77"/>
    <n v="92463.24"/>
    <n v="25"/>
    <m/>
    <m/>
    <m/>
    <m/>
    <m/>
    <m/>
    <m/>
    <m/>
    <m/>
    <n v="0"/>
    <m/>
    <m/>
    <m/>
    <m/>
    <m/>
    <m/>
    <m/>
    <m/>
    <m/>
    <m/>
    <m/>
    <m/>
    <n v="149970.21"/>
    <n v="-110571.66000000003"/>
    <m/>
    <m/>
    <m/>
    <m/>
    <n v="-110571.62999999999"/>
    <n v="0"/>
    <n v="29"/>
    <n v="1822.1956914405746"/>
    <n v="516.92422195977088"/>
    <n v="1737.6636417085829"/>
    <n v="0"/>
    <n v="0"/>
    <m/>
    <m/>
    <m/>
    <n v="-432.392172227784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2249.04269505024"/>
    <m/>
    <n v="0"/>
    <n v="0"/>
    <n v="-110571.63"/>
    <m/>
    <n v="0"/>
    <m/>
    <n v="-112374.6156234501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53"/>
    <s v="Sistema de Compensação"/>
    <s v="Verde"/>
    <s v="A4"/>
    <s v="Industrial"/>
    <s v="Não se aplica"/>
    <s v="Não se aplica"/>
    <s v="Não se aplica"/>
    <s v="Não se aplica"/>
    <s v="CATIVO"/>
    <x v="7"/>
    <n v="115"/>
    <n v="115"/>
    <n v="0"/>
    <n v="0"/>
    <n v="0"/>
    <n v="0"/>
    <n v="59.12"/>
    <m/>
    <m/>
    <n v="6798.7999999999993"/>
    <m/>
    <n v="6798.7999999999993"/>
    <n v="3913.4500000000003"/>
    <n v="0"/>
    <n v="0"/>
    <n v="0"/>
    <n v="0"/>
    <n v="65.786941783373436"/>
    <n v="588.45760483227446"/>
    <n v="5538.6067415318312"/>
    <m/>
    <m/>
    <m/>
    <n v="0"/>
    <n v="0"/>
    <n v="0"/>
    <n v="0"/>
    <m/>
    <n v="0"/>
    <n v="138.92829330435691"/>
    <n v="467.01360436229311"/>
    <n v="0"/>
    <n v="0"/>
    <m/>
    <m/>
    <n v="0"/>
    <n v="0"/>
    <n v="0"/>
    <m/>
    <m/>
    <n v="0"/>
    <m/>
    <n v="0"/>
    <n v="0"/>
    <n v="0"/>
    <n v="0"/>
    <m/>
    <n v="0"/>
    <n v="0"/>
    <n v="30.29"/>
    <n v="137.97999999999999"/>
    <n v="1692.21"/>
    <n v="1"/>
    <m/>
    <m/>
    <m/>
    <m/>
    <m/>
    <m/>
    <m/>
    <m/>
    <m/>
    <n v="0"/>
    <m/>
    <m/>
    <m/>
    <m/>
    <m/>
    <m/>
    <m/>
    <m/>
    <m/>
    <m/>
    <m/>
    <m/>
    <n v="3913.4500000000003"/>
    <n v="-2885.3799999999997"/>
    <m/>
    <m/>
    <m/>
    <m/>
    <n v="-2885.3499999999995"/>
    <n v="0"/>
    <n v="29"/>
    <n v="47.54992160555139"/>
    <n v="13.489059570087022"/>
    <n v="45.344070523368941"/>
    <n v="0"/>
    <n v="0"/>
    <m/>
    <m/>
    <m/>
    <n v="-11.2832084879044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8.6067415318312"/>
    <m/>
    <n v="0"/>
    <n v="0"/>
    <n v="-2885.349999999999"/>
    <m/>
    <n v="0"/>
    <m/>
    <n v="-2932.398637780069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54"/>
    <s v="Regular"/>
    <s v="Convencional"/>
    <s v="B3"/>
    <s v="Comercial"/>
    <s v="Não se aplica"/>
    <s v="Não se aplica"/>
    <s v="Não se aplica"/>
    <s v="Não se aplica"/>
    <s v="CATIVO"/>
    <x v="7"/>
    <n v="0"/>
    <n v="0"/>
    <n v="411.83800000000002"/>
    <n v="411.83800000000002"/>
    <n v="411.83800000000002"/>
    <n v="411.83800000000002"/>
    <m/>
    <n v="516.83000000000004"/>
    <n v="173.82"/>
    <m/>
    <n v="284435.91470000002"/>
    <n v="284435.91470000002"/>
    <n v="214752.92510000002"/>
    <n v="0"/>
    <n v="25183.669560472965"/>
    <n v="0"/>
    <n v="0"/>
    <n v="1119.5585702971493"/>
    <n v="14178.186836024617"/>
    <n v="149750.801849863"/>
    <n v="66273.850457115157"/>
    <n v="3334.1850113379778"/>
    <n v="0"/>
    <n v="0"/>
    <n v="0"/>
    <n v="0"/>
    <n v="3892.4854804805927"/>
    <m/>
    <n v="638.98394383814662"/>
    <n v="2388.0441993915815"/>
    <n v="7820.5218616949069"/>
    <n v="0"/>
    <n v="0"/>
    <n v="0"/>
    <n v="0"/>
    <n v="0"/>
    <n v="0"/>
    <n v="0"/>
    <n v="0"/>
    <n v="0"/>
    <n v="0"/>
    <m/>
    <n v="0"/>
    <n v="0"/>
    <n v="0"/>
    <n v="228.49291858150525"/>
    <n v="1979.1650735233579"/>
    <n v="7651.2594725726331"/>
    <n v="0"/>
    <n v="951.9"/>
    <n v="4350.68"/>
    <n v="92840.52"/>
    <n v="521"/>
    <m/>
    <m/>
    <m/>
    <m/>
    <m/>
    <m/>
    <m/>
    <m/>
    <m/>
    <n v="76132.767921792649"/>
    <m/>
    <m/>
    <m/>
    <m/>
    <m/>
    <m/>
    <m/>
    <m/>
    <m/>
    <m/>
    <m/>
    <m/>
    <n v="214753.96799999999"/>
    <n v="-69681.976700000057"/>
    <m/>
    <m/>
    <m/>
    <m/>
    <n v="-78409.836820000026"/>
    <n v="8726.8472199999997"/>
    <n v="29"/>
    <n v="9598.2466013710655"/>
    <n v="231.86400477133293"/>
    <n v="759.323264919557"/>
    <n v="0"/>
    <n v="0"/>
    <n v="0"/>
    <n v="0"/>
    <n v="0"/>
    <n v="-271.85550282236363"/>
    <n v="0"/>
    <n v="0"/>
    <n v="8506.9811682337895"/>
    <n v="254.04771102266659"/>
    <n v="29.329591415627021"/>
    <n v="0"/>
    <n v="982.12371542470555"/>
    <n v="0"/>
    <n v="-736.00547377182011"/>
    <m/>
    <n v="0"/>
    <n v="0"/>
    <n v="-37.05824269539653"/>
    <n v="0"/>
    <n v="-100.81402945960826"/>
    <n v="-19.689605667412593"/>
    <n v="0"/>
    <n v="0"/>
    <m/>
    <m/>
    <m/>
    <n v="149750.801849863"/>
    <n v="0"/>
    <n v="0"/>
    <n v="-78409.836819999997"/>
    <n v="8726.847219999996"/>
    <n v="0"/>
    <n v="0"/>
    <n v="-79285.110469778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5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34.106999999999999"/>
    <n v="34.106999999999999"/>
    <n v="34.106999999999999"/>
    <n v="34.106999999999999"/>
    <m/>
    <n v="516.83000000000004"/>
    <n v="173.82"/>
    <m/>
    <n v="23555.99955"/>
    <n v="23555.99955"/>
    <n v="17785.095149999997"/>
    <n v="0"/>
    <n v="2085.6244875389143"/>
    <n v="0"/>
    <n v="0"/>
    <n v="92.717972011142407"/>
    <n v="1174.1884391831049"/>
    <n v="12401.843925750603"/>
    <n v="5488.57127691186"/>
    <n v="276.12568092721995"/>
    <n v="0"/>
    <n v="0"/>
    <n v="0"/>
    <n v="0"/>
    <n v="322.36219650141942"/>
    <m/>
    <n v="52.918442136198372"/>
    <n v="197.76956839497245"/>
    <n v="647.66859575082469"/>
    <n v="0"/>
    <n v="0"/>
    <n v="0"/>
    <n v="0"/>
    <n v="0"/>
    <n v="0"/>
    <n v="0"/>
    <n v="0"/>
    <n v="0"/>
    <n v="0"/>
    <m/>
    <n v="0"/>
    <n v="0"/>
    <n v="0"/>
    <n v="18.922993929796181"/>
    <n v="163.90761212579017"/>
    <n v="633.65086959201142"/>
    <n v="0"/>
    <n v="79.5"/>
    <n v="362.81"/>
    <n v="14542.39"/>
    <n v="49"/>
    <m/>
    <m/>
    <m/>
    <m/>
    <m/>
    <m/>
    <m/>
    <m/>
    <m/>
    <n v="6305.052752559458"/>
    <m/>
    <m/>
    <m/>
    <m/>
    <m/>
    <m/>
    <m/>
    <m/>
    <m/>
    <m/>
    <m/>
    <m/>
    <n v="17786.659499999998"/>
    <n v="-5769.3700499999977"/>
    <m/>
    <m/>
    <m/>
    <m/>
    <n v="-6493.631730000001"/>
    <n v="722.72732999999994"/>
    <n v="29"/>
    <n v="794.89361553077106"/>
    <n v="19.202175638809081"/>
    <n v="62.884528859919101"/>
    <n v="0"/>
    <n v="0"/>
    <n v="0"/>
    <n v="0"/>
    <n v="0"/>
    <n v="-22.514133311550495"/>
    <n v="0"/>
    <n v="0"/>
    <n v="704.51878336858044"/>
    <n v="21.039353531850111"/>
    <n v="2.4289754088082951"/>
    <n v="0"/>
    <n v="81.336092254698201"/>
    <n v="0"/>
    <n v="-60.953429974736309"/>
    <m/>
    <n v="0"/>
    <n v="0"/>
    <n v="-3.0690356004348587"/>
    <n v="0"/>
    <n v="-8.3490695437984641"/>
    <n v="-1.6306251013710238"/>
    <n v="0"/>
    <n v="0"/>
    <m/>
    <m/>
    <m/>
    <n v="12401.843925750603"/>
    <n v="0"/>
    <n v="0"/>
    <n v="-6493.6317300000028"/>
    <n v="722.72732999999971"/>
    <n v="0"/>
    <n v="0"/>
    <n v="-6566.1188690522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6"/>
    <s v="Regular"/>
    <s v="Verde"/>
    <s v="A4"/>
    <s v="Comercial"/>
    <s v="Não se aplica"/>
    <s v="Não se aplica"/>
    <s v="Não se aplica"/>
    <s v="Ponta"/>
    <s v="CATIVO"/>
    <x v="7"/>
    <n v="0"/>
    <n v="0"/>
    <n v="18.029"/>
    <n v="18.029"/>
    <n v="18.029"/>
    <n v="18.029"/>
    <m/>
    <n v="1684.16"/>
    <n v="173.82"/>
    <m/>
    <n v="33497.521419999997"/>
    <n v="33497.521419999997"/>
    <n v="22995.268339999999"/>
    <n v="0"/>
    <n v="959.14327793942755"/>
    <n v="0"/>
    <n v="0"/>
    <n v="324.51118007116958"/>
    <n v="4950.5097171867783"/>
    <n v="20882.854680131077"/>
    <n v="2901.2651816766033"/>
    <n v="145.96035715357107"/>
    <n v="0"/>
    <n v="0"/>
    <n v="0"/>
    <n v="0"/>
    <n v="170.40103324021726"/>
    <m/>
    <n v="22.405191171522365"/>
    <n v="696.93161348858234"/>
    <n v="2240.9807396171504"/>
    <n v="0"/>
    <n v="0"/>
    <n v="0"/>
    <n v="0"/>
    <n v="0"/>
    <n v="0"/>
    <n v="0"/>
    <n v="0"/>
    <n v="0"/>
    <n v="0"/>
    <m/>
    <n v="0"/>
    <n v="0"/>
    <n v="0"/>
    <n v="3.3640964596504217"/>
    <n v="86.641755036088512"/>
    <n v="112.64933313181355"/>
    <n v="0"/>
    <n v="0"/>
    <n v="0"/>
    <n v="0"/>
    <n v="0"/>
    <m/>
    <m/>
    <m/>
    <m/>
    <m/>
    <m/>
    <m/>
    <m/>
    <m/>
    <n v="3103.9203663041553"/>
    <m/>
    <m/>
    <m/>
    <m/>
    <m/>
    <m/>
    <m/>
    <m/>
    <m/>
    <m/>
    <m/>
    <m/>
    <n v="22996.543799999999"/>
    <n v="-10501.007619999997"/>
    <m/>
    <m/>
    <m/>
    <m/>
    <n v="-10884.28759"/>
    <n v="382.03450999999995"/>
    <n v="29"/>
    <n v="553.99564665824983"/>
    <n v="67.667656652408596"/>
    <n v="217.58507193267542"/>
    <n v="0"/>
    <n v="0"/>
    <n v="0"/>
    <n v="0"/>
    <n v="0"/>
    <n v="-94.922102801851906"/>
    <n v="0"/>
    <n v="0"/>
    <n v="372.40945100278987"/>
    <n v="11.121426828091757"/>
    <n v="0.4318189607662184"/>
    <n v="0"/>
    <n v="14.459786913791916"/>
    <n v="0"/>
    <n v="-28.031447164589622"/>
    <m/>
    <n v="0"/>
    <n v="0"/>
    <n v="-1.6222957996962464"/>
    <n v="0"/>
    <n v="-4.4133279035137036"/>
    <n v="-0.69039196262194125"/>
    <n v="0"/>
    <n v="0"/>
    <m/>
    <m/>
    <m/>
    <n v="20882.854680131077"/>
    <n v="0"/>
    <n v="0"/>
    <n v="-10884.28759"/>
    <n v="382.03450999999995"/>
    <n v="0"/>
    <n v="0"/>
    <n v="-11056.364438692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7"/>
    <s v="Sistema de Compensação"/>
    <s v="Verde"/>
    <s v="A4"/>
    <s v="Comercial"/>
    <s v="Não se aplica"/>
    <s v="Não se aplica"/>
    <s v="Não se aplica"/>
    <s v="Ponta"/>
    <s v="CATIVO"/>
    <x v="7"/>
    <n v="0"/>
    <n v="0"/>
    <n v="4.24"/>
    <n v="4.24"/>
    <n v="4.24"/>
    <n v="4.24"/>
    <m/>
    <n v="1684.16"/>
    <n v="173.82"/>
    <m/>
    <n v="7877.8352000000004"/>
    <n v="7877.8352000000004"/>
    <n v="5407.9503999999997"/>
    <n v="0"/>
    <n v="225.56811240019817"/>
    <n v="0"/>
    <n v="0"/>
    <n v="76.31745540527811"/>
    <n v="1164.2443397233314"/>
    <n v="4911.1600113015566"/>
    <n v="682.30985469570135"/>
    <n v="34.326469262362934"/>
    <n v="0"/>
    <n v="0"/>
    <n v="0"/>
    <n v="0"/>
    <n v="40.074345828305582"/>
    <m/>
    <n v="5.2691780224779423"/>
    <n v="163.90204898727546"/>
    <n v="527.0263650771933"/>
    <n v="0"/>
    <n v="0"/>
    <n v="0"/>
    <n v="0"/>
    <n v="0"/>
    <n v="0"/>
    <n v="0"/>
    <n v="0"/>
    <n v="0"/>
    <n v="0"/>
    <m/>
    <n v="0"/>
    <n v="0"/>
    <n v="0"/>
    <n v="0.79115696871250707"/>
    <n v="20.376118550835614"/>
    <n v="26.49249389754781"/>
    <n v="0"/>
    <n v="0"/>
    <n v="0"/>
    <n v="0"/>
    <n v="0"/>
    <m/>
    <m/>
    <m/>
    <m/>
    <m/>
    <m/>
    <m/>
    <m/>
    <m/>
    <n v="729.96962411279719"/>
    <m/>
    <m/>
    <m/>
    <m/>
    <m/>
    <m/>
    <m/>
    <m/>
    <m/>
    <m/>
    <m/>
    <m/>
    <n v="5407.9503999999997"/>
    <n v="-2469.9148000000014"/>
    <m/>
    <m/>
    <m/>
    <m/>
    <n v="-2559.7304000000004"/>
    <n v="89.84559999999999"/>
    <n v="29"/>
    <n v="130.28684573914279"/>
    <n v="15.913853469754969"/>
    <n v="51.170930445090903"/>
    <n v="0"/>
    <n v="0"/>
    <n v="0"/>
    <n v="0"/>
    <n v="0"/>
    <n v="-22.323463080584133"/>
    <n v="0"/>
    <n v="0"/>
    <n v="87.582010774409468"/>
    <n v="2.6155000139280666"/>
    <n v="0.10155374084246305"/>
    <n v="0"/>
    <n v="3.4006043881789196"/>
    <n v="0"/>
    <n v="-6.592342114252574"/>
    <m/>
    <n v="0"/>
    <n v="0"/>
    <n v="-0.38152610742204729"/>
    <n v="0"/>
    <n v="-1.0379117150645172"/>
    <n v="-0.16236407574003131"/>
    <n v="0"/>
    <n v="0"/>
    <m/>
    <m/>
    <m/>
    <n v="4911.1600113015566"/>
    <n v="0"/>
    <n v="0"/>
    <n v="-2559.7304000000004"/>
    <n v="89.84559999999999"/>
    <n v="0"/>
    <n v="0"/>
    <n v="-2600.1988585088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8"/>
    <s v="Regular"/>
    <s v="Verde"/>
    <s v="A4"/>
    <s v="Comercial"/>
    <s v="Não se aplica"/>
    <s v="Não se aplica"/>
    <s v="Não se aplica"/>
    <s v="Fora ponta"/>
    <s v="CATIVO"/>
    <x v="7"/>
    <n v="0"/>
    <n v="0"/>
    <n v="289.45299999999997"/>
    <n v="289.45299999999997"/>
    <n v="289.45299999999997"/>
    <n v="289.45299999999997"/>
    <m/>
    <n v="70.33"/>
    <n v="173.82"/>
    <m/>
    <n v="70669.949949999995"/>
    <n v="70669.949949999995"/>
    <n v="76511.111489999981"/>
    <n v="0"/>
    <n v="15398.907273248717"/>
    <n v="0"/>
    <n v="0"/>
    <n v="0"/>
    <n v="0"/>
    <n v="0"/>
    <n v="46579.394898876133"/>
    <n v="2343.3725253298908"/>
    <n v="0"/>
    <n v="0"/>
    <n v="0"/>
    <n v="0"/>
    <n v="2735.7640620378615"/>
    <m/>
    <n v="359.71211937271408"/>
    <n v="0"/>
    <n v="0"/>
    <n v="0"/>
    <n v="0"/>
    <n v="0"/>
    <n v="0"/>
    <n v="0"/>
    <n v="0"/>
    <n v="0"/>
    <n v="0"/>
    <n v="0"/>
    <n v="0"/>
    <m/>
    <n v="0"/>
    <n v="0"/>
    <n v="0"/>
    <n v="54.010084449231435"/>
    <n v="1391.0209063431651"/>
    <n v="1808.5688292752136"/>
    <n v="0"/>
    <n v="0"/>
    <n v="0"/>
    <n v="0"/>
    <n v="0"/>
    <m/>
    <m/>
    <m/>
    <m/>
    <m/>
    <m/>
    <m/>
    <m/>
    <m/>
    <n v="49832.994718943752"/>
    <m/>
    <m/>
    <m/>
    <m/>
    <m/>
    <m/>
    <m/>
    <m/>
    <m/>
    <m/>
    <m/>
    <m/>
    <n v="76510.318499999994"/>
    <n v="5840.3385500000004"/>
    <m/>
    <m/>
    <m/>
    <m/>
    <n v="-292.34753000000143"/>
    <n v="6133.5090699999992"/>
    <n v="29"/>
    <n v="5838.5895661066315"/>
    <n v="0"/>
    <n v="0"/>
    <n v="0"/>
    <n v="0"/>
    <n v="0"/>
    <n v="0"/>
    <n v="0"/>
    <n v="0"/>
    <n v="0"/>
    <n v="0"/>
    <n v="5978.9801331804629"/>
    <n v="178.55290696498128"/>
    <n v="6.9327912613380747"/>
    <n v="0"/>
    <n v="232.14979763479982"/>
    <n v="0"/>
    <n v="-450.04084952753692"/>
    <m/>
    <n v="0"/>
    <n v="0"/>
    <n v="-26.045725559347375"/>
    <n v="0"/>
    <n v="-70.855344259568028"/>
    <n v="-11.084143588485688"/>
    <n v="0"/>
    <n v="0"/>
    <m/>
    <m/>
    <m/>
    <n v="0"/>
    <n v="0"/>
    <n v="0"/>
    <n v="-292.34753000000273"/>
    <n v="6133.509069999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59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32.768999999999998"/>
    <n v="32.768999999999998"/>
    <n v="32.768999999999998"/>
    <n v="32.768999999999998"/>
    <m/>
    <n v="70.33"/>
    <n v="173.82"/>
    <m/>
    <n v="8000.5513499999988"/>
    <n v="8000.5513499999988"/>
    <n v="8661.8297699999985"/>
    <n v="0"/>
    <n v="1743.3116686891731"/>
    <n v="0"/>
    <n v="0"/>
    <n v="0"/>
    <n v="0"/>
    <n v="0"/>
    <n v="5273.2574595574142"/>
    <n v="265.29341303263465"/>
    <n v="0"/>
    <n v="0"/>
    <n v="0"/>
    <n v="0"/>
    <n v="309.71609397352483"/>
    <m/>
    <n v="40.723041183627288"/>
    <n v="0"/>
    <n v="0"/>
    <n v="0"/>
    <n v="0"/>
    <n v="0"/>
    <n v="0"/>
    <n v="0"/>
    <n v="0"/>
    <n v="0"/>
    <n v="0"/>
    <n v="0"/>
    <n v="0"/>
    <m/>
    <n v="0"/>
    <n v="0"/>
    <n v="0"/>
    <n v="6.1144864876745615"/>
    <n v="157.47760113026703"/>
    <n v="204.74823880394908"/>
    <n v="0"/>
    <n v="0"/>
    <n v="0"/>
    <n v="0"/>
    <n v="0"/>
    <m/>
    <m/>
    <m/>
    <m/>
    <m/>
    <m/>
    <m/>
    <m/>
    <m/>
    <n v="5641.5977859793047"/>
    <m/>
    <m/>
    <m/>
    <m/>
    <m/>
    <m/>
    <m/>
    <m/>
    <m/>
    <m/>
    <m/>
    <m/>
    <n v="8662.0941000000003"/>
    <n v="661.51275000000078"/>
    <m/>
    <m/>
    <m/>
    <m/>
    <n v="-33.096690000000166"/>
    <n v="694.37510999999984"/>
    <n v="29"/>
    <n v="660.98724660565949"/>
    <n v="0"/>
    <n v="0"/>
    <n v="0"/>
    <n v="0"/>
    <n v="0"/>
    <n v="0"/>
    <n v="0"/>
    <n v="0"/>
    <n v="0"/>
    <n v="0"/>
    <n v="676.88087525156243"/>
    <n v="20.213990555756766"/>
    <n v="0.78486191831761154"/>
    <n v="0"/>
    <n v="26.281699338734654"/>
    <n v="0"/>
    <n v="-50.9491647976281"/>
    <m/>
    <n v="0"/>
    <n v="0"/>
    <n v="-2.9486389184228869"/>
    <n v="0"/>
    <n v="-8.0215398563559006"/>
    <n v="-1.2548368863030888"/>
    <n v="0"/>
    <n v="0"/>
    <m/>
    <m/>
    <m/>
    <n v="0"/>
    <n v="0"/>
    <n v="0"/>
    <n v="-33.096689999999853"/>
    <n v="694.3751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0"/>
    <s v="Regular"/>
    <s v="Verde"/>
    <s v="A4"/>
    <s v="Comercial"/>
    <s v="Não se aplica"/>
    <s v="Não se aplica"/>
    <s v="Não se aplica"/>
    <s v="Não se aplica"/>
    <s v="CATIVO"/>
    <x v="7"/>
    <n v="2714"/>
    <n v="2714"/>
    <n v="0"/>
    <n v="0"/>
    <n v="0"/>
    <n v="0"/>
    <n v="59.12"/>
    <m/>
    <m/>
    <n v="160451.68"/>
    <m/>
    <n v="160451.68"/>
    <n v="92357.42"/>
    <n v="0"/>
    <n v="0"/>
    <n v="0"/>
    <n v="0"/>
    <n v="1552.5718260876131"/>
    <n v="13887.599474041677"/>
    <n v="130711.11910015121"/>
    <m/>
    <m/>
    <m/>
    <n v="0"/>
    <n v="0"/>
    <n v="0"/>
    <n v="0"/>
    <m/>
    <n v="0"/>
    <n v="3278.7077219828229"/>
    <n v="11021.521062950116"/>
    <n v="0"/>
    <n v="0"/>
    <m/>
    <m/>
    <n v="0"/>
    <n v="0"/>
    <n v="0"/>
    <m/>
    <m/>
    <n v="0"/>
    <m/>
    <n v="0"/>
    <n v="0"/>
    <n v="0"/>
    <n v="0"/>
    <m/>
    <n v="0"/>
    <n v="0"/>
    <n v="852.03"/>
    <n v="3881.22"/>
    <n v="76494.55"/>
    <n v="16"/>
    <m/>
    <m/>
    <m/>
    <m/>
    <m/>
    <m/>
    <m/>
    <m/>
    <m/>
    <n v="0"/>
    <m/>
    <m/>
    <m/>
    <m/>
    <m/>
    <m/>
    <m/>
    <m/>
    <m/>
    <m/>
    <m/>
    <m/>
    <n v="92357.42"/>
    <n v="-68094.290000000023"/>
    <m/>
    <m/>
    <m/>
    <m/>
    <n v="-68094.259999999995"/>
    <n v="0"/>
    <n v="29"/>
    <n v="1122.1781498910168"/>
    <n v="318.3418058540542"/>
    <n v="1070.1200643515094"/>
    <n v="0"/>
    <n v="0"/>
    <m/>
    <m/>
    <m/>
    <n v="-266.283720314544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0711.11910015121"/>
    <m/>
    <n v="0"/>
    <n v="0"/>
    <n v="-68094.259999999995"/>
    <m/>
    <n v="0"/>
    <m/>
    <n v="-69204.60785160961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61"/>
    <s v="Sistema de Compensação"/>
    <s v="Verde"/>
    <s v="A4"/>
    <s v="Comercial"/>
    <s v="Não se aplica"/>
    <s v="Não se aplica"/>
    <s v="Não se aplica"/>
    <s v="Não se aplica"/>
    <s v="CATIVO"/>
    <x v="7"/>
    <n v="100"/>
    <n v="100"/>
    <n v="0"/>
    <n v="0"/>
    <n v="0"/>
    <n v="0"/>
    <n v="59.12"/>
    <m/>
    <m/>
    <n v="5912"/>
    <m/>
    <n v="5912"/>
    <n v="3403"/>
    <n v="0"/>
    <n v="0"/>
    <n v="0"/>
    <n v="0"/>
    <n v="57.206036333368203"/>
    <n v="511.70226507154302"/>
    <n v="4816.1797752450702"/>
    <m/>
    <m/>
    <m/>
    <n v="0"/>
    <n v="0"/>
    <n v="0"/>
    <n v="0"/>
    <m/>
    <n v="0"/>
    <n v="120.807211569006"/>
    <n v="406.098786401994"/>
    <n v="0"/>
    <n v="0"/>
    <m/>
    <m/>
    <n v="0"/>
    <n v="0"/>
    <n v="0"/>
    <m/>
    <m/>
    <n v="0"/>
    <m/>
    <n v="0"/>
    <n v="0"/>
    <n v="0"/>
    <n v="0"/>
    <m/>
    <n v="0"/>
    <n v="0"/>
    <n v="82.08"/>
    <n v="373.91"/>
    <n v="7923.37"/>
    <n v="1"/>
    <m/>
    <m/>
    <m/>
    <m/>
    <m/>
    <m/>
    <m/>
    <m/>
    <m/>
    <n v="0"/>
    <m/>
    <m/>
    <m/>
    <m/>
    <m/>
    <m/>
    <m/>
    <m/>
    <m/>
    <m/>
    <m/>
    <m/>
    <n v="3403"/>
    <n v="-2509.0300000000007"/>
    <m/>
    <m/>
    <m/>
    <m/>
    <n v="-2508.9999999999995"/>
    <n v="0"/>
    <n v="29"/>
    <n v="41.347757917871149"/>
    <n v="11.729617017467007"/>
    <n v="39.429626542059964"/>
    <n v="0"/>
    <n v="0"/>
    <m/>
    <m/>
    <m/>
    <n v="-9.81148564165602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.1797752450702"/>
    <m/>
    <n v="0"/>
    <n v="0"/>
    <n v="-2509"/>
    <m/>
    <n v="0"/>
    <m/>
    <n v="-2549.911858939190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62"/>
    <s v="Regular"/>
    <s v="Convencional"/>
    <s v="B2"/>
    <s v="Rural"/>
    <s v="Não se aplica"/>
    <s v="Não se aplica"/>
    <s v="Não se aplica"/>
    <s v="Não se aplica"/>
    <s v="CATIVO"/>
    <x v="7"/>
    <n v="0"/>
    <n v="0"/>
    <n v="3636.623"/>
    <n v="3636.623"/>
    <n v="3636.623"/>
    <n v="3636.623"/>
    <m/>
    <n v="516.83000000000004"/>
    <n v="173.82"/>
    <m/>
    <n v="2511633.6749500004"/>
    <n v="2511633.6749500004"/>
    <n v="1896317.06335"/>
    <n v="0"/>
    <n v="222377.51724711142"/>
    <n v="0"/>
    <n v="0"/>
    <n v="9885.9562415069267"/>
    <n v="125196.60727321022"/>
    <n v="1322333.5638665063"/>
    <n v="585213.1393191145"/>
    <n v="29441.610289693886"/>
    <n v="0"/>
    <n v="0"/>
    <n v="0"/>
    <n v="0"/>
    <n v="34371.530129521256"/>
    <m/>
    <n v="5642.3732312038037"/>
    <n v="21086.972208790859"/>
    <n v="69056.982780225517"/>
    <n v="0"/>
    <n v="0"/>
    <n v="0"/>
    <n v="0"/>
    <n v="0"/>
    <n v="0"/>
    <n v="0"/>
    <n v="0"/>
    <n v="0"/>
    <n v="0"/>
    <m/>
    <n v="0"/>
    <n v="0"/>
    <n v="0"/>
    <n v="2017.644323861881"/>
    <n v="17476.47673884327"/>
    <n v="67562.357472903197"/>
    <n v="0"/>
    <n v="8379.76"/>
    <n v="38421.1"/>
    <n v="98746.9"/>
    <n v="10238"/>
    <m/>
    <m/>
    <m/>
    <m/>
    <m/>
    <n v="227543.50110999998"/>
    <m/>
    <m/>
    <m/>
    <n v="672269.61785472289"/>
    <m/>
    <m/>
    <m/>
    <m/>
    <m/>
    <m/>
    <m/>
    <m/>
    <m/>
    <m/>
    <m/>
    <m/>
    <n v="1668772.1856"/>
    <n v="-541458.20510999998"/>
    <m/>
    <m/>
    <m/>
    <m/>
    <n v="-692376.65297000017"/>
    <n v="77060.041369999992"/>
    <n v="29"/>
    <n v="84754.695657558972"/>
    <n v="2047.4117799317719"/>
    <n v="6704.9967454230937"/>
    <n v="0"/>
    <n v="0"/>
    <n v="0"/>
    <n v="0"/>
    <n v="0"/>
    <n v="-2400.5457831486565"/>
    <n v="0"/>
    <n v="0"/>
    <n v="75118.574237845605"/>
    <n v="2243.2989403658285"/>
    <n v="258.98694807830202"/>
    <n v="0"/>
    <n v="8672.3752843568072"/>
    <n v="0"/>
    <n v="-6499.0953579914931"/>
    <m/>
    <n v="0"/>
    <n v="0"/>
    <n v="-327.23269277157669"/>
    <n v="0"/>
    <n v="-890.21075824836589"/>
    <n v="-173.86368628208857"/>
    <n v="0"/>
    <n v="0"/>
    <m/>
    <m/>
    <m/>
    <n v="1322333.5638665063"/>
    <n v="0"/>
    <n v="0"/>
    <n v="-692376.65297000017"/>
    <n v="77060.041369999992"/>
    <n v="0"/>
    <n v="0"/>
    <n v="-700105.5179267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3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4.7720000000000002"/>
    <n v="-4.7720000000000002"/>
    <n v="-4.7720000000000002"/>
    <n v="-4.7720000000000002"/>
    <m/>
    <n v="516.83000000000004"/>
    <n v="173.82"/>
    <m/>
    <n v="-3295.7818000000002"/>
    <n v="-3295.7818000000002"/>
    <n v="-2488.3594000000003"/>
    <n v="0"/>
    <n v="-291.8052028772891"/>
    <n v="0"/>
    <n v="0"/>
    <n v="-12.972415118221233"/>
    <n v="-164.28379018329895"/>
    <n v="-1735.1745745354876"/>
    <n v="-767.92043080374685"/>
    <n v="-38.63346965094243"/>
    <n v="0"/>
    <n v="0"/>
    <n v="0"/>
    <n v="0"/>
    <n v="-45.102542050159016"/>
    <m/>
    <n v="-7.403958303982721"/>
    <n v="-27.670460034034321"/>
    <n v="-90.617015243877674"/>
    <n v="0"/>
    <n v="0"/>
    <n v="0"/>
    <n v="0"/>
    <n v="0"/>
    <n v="0"/>
    <n v="0"/>
    <n v="0"/>
    <n v="0"/>
    <n v="0"/>
    <m/>
    <n v="0"/>
    <n v="0"/>
    <n v="0"/>
    <n v="-2.6475658085726503"/>
    <n v="-22.932744746364989"/>
    <n v="-88.655758339727285"/>
    <n v="0"/>
    <n v="-0.36"/>
    <n v="-1.53"/>
    <n v="-31.86"/>
    <n v="0"/>
    <m/>
    <m/>
    <m/>
    <m/>
    <m/>
    <n v="-298.58403999999996"/>
    <m/>
    <m/>
    <m/>
    <n v="-882.15649969841172"/>
    <m/>
    <m/>
    <m/>
    <m/>
    <m/>
    <m/>
    <m/>
    <m/>
    <m/>
    <m/>
    <m/>
    <m/>
    <n v="-2188.8575999999998"/>
    <n v="711.39083999999957"/>
    <m/>
    <m/>
    <m/>
    <m/>
    <n v="908.54108000000031"/>
    <n v="-101.11868"/>
    <n v="29"/>
    <n v="-111.21565465484696"/>
    <n v="-2.6866268551440164"/>
    <n v="-8.7983396874405173"/>
    <n v="0"/>
    <n v="0"/>
    <n v="0"/>
    <n v="0"/>
    <n v="0"/>
    <n v="3.1500115566516911"/>
    <n v="0"/>
    <n v="0"/>
    <n v="-98.571074390443982"/>
    <n v="-2.9436712420907369"/>
    <n v="-0.33984433256613533"/>
    <n v="0"/>
    <n v="-11.379946410983678"/>
    <n v="0"/>
    <n v="8.5281545676676842"/>
    <m/>
    <n v="0"/>
    <n v="0"/>
    <n v="0.42939683599480816"/>
    <n v="0"/>
    <n v="1.1681402604452487"/>
    <n v="0.22814504306278938"/>
    <n v="0"/>
    <n v="0"/>
    <m/>
    <m/>
    <m/>
    <n v="-1735.1745745354876"/>
    <n v="0"/>
    <n v="0"/>
    <n v="908.54108000000019"/>
    <n v="-101.11867999999993"/>
    <n v="0"/>
    <n v="0"/>
    <n v="918.68294611420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4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76.325999999999993"/>
    <n v="76.325999999999993"/>
    <n v="76.325999999999993"/>
    <n v="76.325999999999993"/>
    <m/>
    <n v="516.83000000000004"/>
    <n v="173.82"/>
    <m/>
    <n v="52714.551899999999"/>
    <n v="52714.551899999999"/>
    <n v="39800.192699999992"/>
    <n v="0"/>
    <n v="4667.2933601869163"/>
    <n v="0"/>
    <n v="0"/>
    <n v="207.48796234563153"/>
    <n v="2627.6455510332089"/>
    <n v="27753.339181893465"/>
    <n v="12282.542917335872"/>
    <n v="617.92502191488506"/>
    <n v="0"/>
    <n v="0"/>
    <n v="0"/>
    <n v="0"/>
    <n v="721.39493388944607"/>
    <m/>
    <n v="118.42299277237743"/>
    <n v="442.57659944629154"/>
    <n v="1449.3785216899007"/>
    <n v="0"/>
    <n v="0"/>
    <n v="0"/>
    <n v="0"/>
    <n v="0"/>
    <n v="0"/>
    <n v="0"/>
    <n v="0"/>
    <n v="0"/>
    <n v="0"/>
    <m/>
    <n v="0"/>
    <n v="0"/>
    <n v="0"/>
    <n v="42.346627809119042"/>
    <n v="366.79896804506581"/>
    <n v="1418.0090970322767"/>
    <n v="0"/>
    <n v="180.84"/>
    <n v="831.19"/>
    <n v="1898.75"/>
    <n v="244"/>
    <m/>
    <m/>
    <m/>
    <m/>
    <m/>
    <n v="4775.7178199999989"/>
    <m/>
    <m/>
    <m/>
    <n v="14109.697610222333"/>
    <m/>
    <m/>
    <m/>
    <m/>
    <m/>
    <m/>
    <m/>
    <m/>
    <m/>
    <m/>
    <m/>
    <m/>
    <n v="35026.310400000002"/>
    <n v="-11362.372620000002"/>
    <m/>
    <m/>
    <m/>
    <m/>
    <n v="-14531.707140000002"/>
    <n v="1617.3479399999997"/>
    <n v="29"/>
    <n v="1778.8445216231739"/>
    <n v="42.971391732129575"/>
    <n v="140.72549769144689"/>
    <n v="0"/>
    <n v="0"/>
    <n v="0"/>
    <n v="0"/>
    <n v="0"/>
    <n v="-50.383022228205391"/>
    <n v="0"/>
    <n v="0"/>
    <n v="1576.6001307470706"/>
    <n v="47.082701429970143"/>
    <n v="5.4356576964465333"/>
    <n v="0"/>
    <n v="182.01713951482384"/>
    <n v="0"/>
    <n v="-136.40400786500504"/>
    <m/>
    <n v="0"/>
    <n v="0"/>
    <n v="-6.8680098290318483"/>
    <n v="0"/>
    <n v="-18.683879614154307"/>
    <n v="-3.6490776523072981"/>
    <n v="0"/>
    <n v="0"/>
    <m/>
    <m/>
    <m/>
    <n v="27753.339181893465"/>
    <n v="0"/>
    <n v="0"/>
    <n v="-14531.707140000002"/>
    <n v="1617.3479399999997"/>
    <n v="0"/>
    <n v="0"/>
    <n v="-14693.92174038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5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4.980000000000000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66"/>
    <s v="Regular"/>
    <s v="Verde"/>
    <s v="A4"/>
    <s v="Rural"/>
    <s v="Não se aplica"/>
    <s v="Não se aplica"/>
    <s v="Não se aplica"/>
    <s v="Ponta"/>
    <s v="CATIVO"/>
    <x v="7"/>
    <n v="0"/>
    <n v="0"/>
    <n v="52.546999999999997"/>
    <n v="50.445120000000003"/>
    <n v="52.546999999999997"/>
    <n v="50.445120000000003"/>
    <m/>
    <n v="1684.16"/>
    <n v="173.82"/>
    <m/>
    <n v="97631.275059999985"/>
    <n v="97631.275059999985"/>
    <n v="67021.596619999997"/>
    <n v="0"/>
    <n v="2795.5017929936821"/>
    <n v="0"/>
    <n v="0"/>
    <n v="945.81446442951608"/>
    <n v="14428.666820623086"/>
    <n v="60864.793658929921"/>
    <n v="8455.9754562959934"/>
    <n v="425.41343875693042"/>
    <n v="0"/>
    <n v="0"/>
    <n v="0"/>
    <n v="0"/>
    <n v="496.64779486791815"/>
    <m/>
    <n v="65.301768289421801"/>
    <n v="2031.2643792769725"/>
    <n v="6531.5222654979425"/>
    <n v="0"/>
    <n v="0"/>
    <n v="0"/>
    <n v="0"/>
    <n v="0"/>
    <n v="0"/>
    <n v="0"/>
    <n v="0"/>
    <n v="0"/>
    <n v="0"/>
    <m/>
    <n v="0"/>
    <n v="0"/>
    <n v="0"/>
    <n v="9.8049351969188923"/>
    <n v="252.52450506857522"/>
    <n v="328.32572566850109"/>
    <n v="0"/>
    <n v="0"/>
    <n v="0"/>
    <n v="0"/>
    <n v="0"/>
    <m/>
    <m/>
    <m/>
    <m/>
    <m/>
    <n v="2680.8638647999928"/>
    <m/>
    <m/>
    <m/>
    <n v="9046.6306222299881"/>
    <m/>
    <m/>
    <m/>
    <m/>
    <m/>
    <m/>
    <m/>
    <m/>
    <m/>
    <m/>
    <m/>
    <m/>
    <n v="64346.957000000009"/>
    <n v="-29379.097057599982"/>
    <m/>
    <m/>
    <m/>
    <m/>
    <n v="-31723.149369999999"/>
    <n v="1113.4709299999997"/>
    <n v="29"/>
    <n v="1614.6657743053438"/>
    <n v="197.22293827245608"/>
    <n v="634.16954766466733"/>
    <n v="0"/>
    <n v="0"/>
    <n v="0"/>
    <n v="0"/>
    <n v="0"/>
    <n v="-276.65825813571973"/>
    <n v="0"/>
    <n v="0"/>
    <n v="1085.4179056987959"/>
    <n v="32.414311139593877"/>
    <n v="1.2585717971813448"/>
    <n v="0"/>
    <n v="42.144235562650351"/>
    <n v="0"/>
    <n v="-81.699953084346816"/>
    <m/>
    <n v="0"/>
    <n v="0"/>
    <n v="-4.7283142374307658"/>
    <n v="0"/>
    <n v="-12.863006342333733"/>
    <n v="-2.0122040301677941"/>
    <n v="0"/>
    <n v="0"/>
    <m/>
    <m/>
    <m/>
    <n v="60864.793658929921"/>
    <n v="0"/>
    <n v="0"/>
    <n v="-31723.149369999992"/>
    <n v="1113.4709300000013"/>
    <n v="0"/>
    <n v="0"/>
    <n v="-32224.68146652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7"/>
    <s v="Sistema de Compensação"/>
    <s v="Verde"/>
    <s v="A4"/>
    <s v="Rural"/>
    <s v="Não se aplica"/>
    <s v="Não se aplica"/>
    <s v="Não se aplica"/>
    <s v="Ponta"/>
    <s v="CATIVO"/>
    <x v="7"/>
    <n v="0"/>
    <n v="0"/>
    <n v="6.367"/>
    <n v="6.1123200000000004"/>
    <n v="6.367"/>
    <n v="6.1123200000000004"/>
    <m/>
    <n v="1684.16"/>
    <n v="173.82"/>
    <m/>
    <n v="11829.75866"/>
    <n v="11829.75866"/>
    <n v="8120.8538200000003"/>
    <n v="0"/>
    <n v="338.7245687858636"/>
    <n v="0"/>
    <n v="0"/>
    <n v="114.60217890693531"/>
    <n v="1748.2886110892573"/>
    <n v="7374.8480641408041"/>
    <n v="1024.5912369923421"/>
    <n v="51.546374951288861"/>
    <n v="0"/>
    <n v="0"/>
    <n v="0"/>
    <n v="0"/>
    <n v="60.177679219061702"/>
    <m/>
    <n v="7.912466148376665"/>
    <n v="246.12366648631669"/>
    <n v="791.40963831285137"/>
    <n v="0"/>
    <n v="0"/>
    <n v="0"/>
    <n v="0"/>
    <n v="0"/>
    <n v="0"/>
    <n v="0"/>
    <n v="0"/>
    <n v="0"/>
    <n v="0"/>
    <m/>
    <n v="0"/>
    <n v="0"/>
    <n v="0"/>
    <n v="1.188041608441635"/>
    <n v="30.597817644615649"/>
    <n v="39.782478454171439"/>
    <n v="0"/>
    <n v="0"/>
    <n v="0"/>
    <n v="0"/>
    <n v="0"/>
    <m/>
    <m/>
    <m/>
    <m/>
    <m/>
    <n v="324.83415279999952"/>
    <m/>
    <m/>
    <m/>
    <n v="1096.1595746995708"/>
    <m/>
    <m/>
    <m/>
    <m/>
    <m/>
    <m/>
    <m/>
    <m/>
    <m/>
    <m/>
    <m/>
    <m/>
    <n v="7793.0606000000007"/>
    <n v="-3563.5377136000025"/>
    <m/>
    <m/>
    <m/>
    <m/>
    <n v="-3843.8215700000001"/>
    <n v="134.91672999999997"/>
    <n v="29"/>
    <n v="195.64536481630057"/>
    <n v="23.897053075926891"/>
    <n v="76.840875977333326"/>
    <n v="0"/>
    <n v="0"/>
    <n v="0"/>
    <n v="0"/>
    <n v="0"/>
    <n v="-33.522049394830219"/>
    <n v="0"/>
    <n v="0"/>
    <n v="131.51760910393045"/>
    <n v="3.9275680633679251"/>
    <n v="0.15249827074150035"/>
    <n v="0"/>
    <n v="5.1065207876262164"/>
    <n v="0"/>
    <n v="-9.8993967550580351"/>
    <m/>
    <n v="0"/>
    <n v="0"/>
    <n v="-0.57291903914060072"/>
    <n v="0"/>
    <n v="-1.5585811060886243"/>
    <n v="-0.24381416750867491"/>
    <n v="0"/>
    <n v="0"/>
    <m/>
    <m/>
    <m/>
    <n v="7374.8480641408041"/>
    <n v="0"/>
    <n v="0"/>
    <n v="-3843.8215700000001"/>
    <n v="134.91672999999992"/>
    <n v="0"/>
    <n v="0"/>
    <n v="-3904.5910688976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8"/>
    <s v="Regular"/>
    <s v="Verde"/>
    <s v="A4"/>
    <s v="Rural"/>
    <s v="Não se aplica"/>
    <s v="Não se aplica"/>
    <s v="Não se aplica"/>
    <s v="Fora ponta"/>
    <s v="CATIVO"/>
    <x v="7"/>
    <n v="0"/>
    <n v="0"/>
    <n v="576.44899999999996"/>
    <n v="553.39103999999998"/>
    <n v="576.44899999999996"/>
    <n v="553.39103999999998"/>
    <m/>
    <n v="70.33"/>
    <n v="173.82"/>
    <m/>
    <n v="140740.02334999997"/>
    <n v="140740.02334999997"/>
    <n v="152372.76416999998"/>
    <n v="0"/>
    <n v="30667.102081363639"/>
    <n v="0"/>
    <n v="0"/>
    <n v="0"/>
    <n v="0"/>
    <n v="0"/>
    <n v="92763.404110726959"/>
    <n v="4666.8535093914734"/>
    <n v="0"/>
    <n v="0"/>
    <n v="0"/>
    <n v="0"/>
    <n v="5448.3057967879522"/>
    <m/>
    <n v="716.37084949985547"/>
    <n v="0"/>
    <n v="0"/>
    <n v="0"/>
    <n v="0"/>
    <n v="0"/>
    <n v="0"/>
    <n v="0"/>
    <n v="0"/>
    <n v="0"/>
    <n v="0"/>
    <n v="0"/>
    <n v="0"/>
    <m/>
    <n v="0"/>
    <n v="0"/>
    <n v="0"/>
    <n v="107.56170836258394"/>
    <n v="2770.2342364411879"/>
    <n v="3601.7857581951739"/>
    <n v="0"/>
    <n v="0"/>
    <n v="0"/>
    <n v="0"/>
    <n v="0"/>
    <m/>
    <m/>
    <m/>
    <m/>
    <m/>
    <n v="6094.9105667999938"/>
    <m/>
    <m/>
    <m/>
    <n v="99242.9858137259"/>
    <m/>
    <m/>
    <m/>
    <m/>
    <m/>
    <m/>
    <m/>
    <m/>
    <m/>
    <m/>
    <m/>
    <m/>
    <n v="146277.57869999998"/>
    <n v="11167.126283999969"/>
    <m/>
    <m/>
    <m/>
    <m/>
    <n v="-582.21349000000293"/>
    <n v="12214.954309999997"/>
    <n v="29"/>
    <n v="11627.618704220018"/>
    <n v="0"/>
    <n v="0"/>
    <n v="0"/>
    <n v="0"/>
    <n v="0"/>
    <n v="0"/>
    <n v="0"/>
    <n v="0"/>
    <n v="0"/>
    <n v="0"/>
    <n v="11907.208143607917"/>
    <n v="355.59018102094797"/>
    <n v="13.806734045966266"/>
    <n v="0"/>
    <n v="462.32900918899713"/>
    <n v="0"/>
    <n v="-896.26156118367726"/>
    <m/>
    <n v="0"/>
    <n v="0"/>
    <n v="-51.870363938049195"/>
    <n v="0"/>
    <n v="-141.10923826349517"/>
    <n v="-22.074200258553105"/>
    <n v="0"/>
    <n v="0"/>
    <m/>
    <m/>
    <m/>
    <n v="0"/>
    <n v="0"/>
    <n v="0"/>
    <n v="-582.21349000000191"/>
    <n v="12214.95430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69"/>
    <s v="Sistema de Compensação"/>
    <s v="Verde"/>
    <s v="A4"/>
    <s v="Rural"/>
    <s v="Não se aplica"/>
    <s v="Não se aplica"/>
    <s v="Não se aplica"/>
    <s v="Fora ponta"/>
    <s v="CATIVO"/>
    <x v="7"/>
    <n v="0"/>
    <n v="0"/>
    <n v="46.212000000000003"/>
    <n v="44.363520000000001"/>
    <n v="46.212000000000003"/>
    <n v="44.363520000000001"/>
    <m/>
    <n v="70.33"/>
    <n v="173.82"/>
    <m/>
    <n v="11282.659800000001"/>
    <n v="11282.659800000001"/>
    <n v="12215.21796"/>
    <n v="0"/>
    <n v="2458.4796250561221"/>
    <n v="0"/>
    <n v="0"/>
    <n v="0"/>
    <n v="0"/>
    <n v="0"/>
    <n v="7436.5337276409791"/>
    <n v="374.1261314981877"/>
    <n v="0"/>
    <n v="0"/>
    <n v="0"/>
    <n v="0"/>
    <n v="436.77256354190035"/>
    <m/>
    <n v="57.429069522346865"/>
    <n v="0"/>
    <n v="0"/>
    <n v="0"/>
    <n v="0"/>
    <n v="0"/>
    <n v="0"/>
    <n v="0"/>
    <n v="0"/>
    <n v="0"/>
    <n v="0"/>
    <n v="0"/>
    <n v="0"/>
    <m/>
    <n v="0"/>
    <n v="0"/>
    <n v="0"/>
    <n v="8.6228645844675409"/>
    <n v="222.08046945075836"/>
    <n v="288.74319056449986"/>
    <n v="0"/>
    <n v="0"/>
    <n v="0"/>
    <n v="0"/>
    <n v="0"/>
    <m/>
    <m/>
    <m/>
    <m/>
    <m/>
    <n v="488.6087184000005"/>
    <m/>
    <m/>
    <m/>
    <n v="7955.9802522407053"/>
    <m/>
    <m/>
    <m/>
    <m/>
    <m/>
    <m/>
    <m/>
    <m/>
    <m/>
    <m/>
    <m/>
    <m/>
    <n v="11725.6788"/>
    <n v="894.29539199999817"/>
    <m/>
    <m/>
    <m/>
    <m/>
    <n v="-46.674120000000237"/>
    <n v="979.23227999999995"/>
    <n v="29"/>
    <n v="932.14753700573237"/>
    <n v="0"/>
    <n v="0"/>
    <n v="0"/>
    <n v="0"/>
    <n v="0"/>
    <n v="0"/>
    <n v="0"/>
    <n v="0"/>
    <n v="0"/>
    <n v="0"/>
    <n v="954.56129290259742"/>
    <n v="28.506482698972576"/>
    <n v="1.1068399697669591"/>
    <n v="0"/>
    <n v="37.063379713802874"/>
    <n v="0"/>
    <n v="-71.850309854679381"/>
    <m/>
    <n v="0"/>
    <n v="0"/>
    <n v="-4.1582746406102729"/>
    <n v="0"/>
    <n v="-11.312258532207863"/>
    <n v="-1.7696152519099897"/>
    <n v="0"/>
    <n v="0"/>
    <m/>
    <m/>
    <m/>
    <n v="0"/>
    <n v="0"/>
    <n v="0"/>
    <n v="-46.67412000000013"/>
    <n v="979.23228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0"/>
    <s v="Regular"/>
    <s v="Verde"/>
    <s v="A4"/>
    <s v="Rural"/>
    <s v="Não se aplica"/>
    <s v="Não se aplica"/>
    <s v="Não se aplica"/>
    <s v="Não se aplica"/>
    <s v="CATIVO"/>
    <x v="7"/>
    <n v="2460"/>
    <n v="2361.6"/>
    <n v="0"/>
    <n v="0"/>
    <n v="0"/>
    <n v="0"/>
    <n v="59.12"/>
    <m/>
    <m/>
    <n v="145435.19999999998"/>
    <m/>
    <n v="145435.19999999998"/>
    <n v="83713.8"/>
    <n v="0"/>
    <n v="0"/>
    <n v="0"/>
    <n v="0"/>
    <n v="1407.2684938008579"/>
    <n v="12587.875720759959"/>
    <n v="118478.02247102873"/>
    <m/>
    <m/>
    <m/>
    <n v="0"/>
    <n v="0"/>
    <n v="0"/>
    <n v="0"/>
    <m/>
    <n v="0"/>
    <n v="2971.8574045975474"/>
    <n v="9990.0301454890523"/>
    <n v="0"/>
    <n v="0"/>
    <m/>
    <m/>
    <n v="0"/>
    <n v="0"/>
    <n v="0"/>
    <m/>
    <m/>
    <n v="0"/>
    <m/>
    <n v="0"/>
    <n v="0"/>
    <n v="0"/>
    <n v="0"/>
    <m/>
    <n v="0"/>
    <n v="0"/>
    <n v="1437.09"/>
    <n v="6546.32"/>
    <n v="9674.93"/>
    <n v="14"/>
    <m/>
    <m/>
    <m/>
    <m/>
    <m/>
    <n v="3348.5520000000033"/>
    <m/>
    <m/>
    <m/>
    <n v="0"/>
    <m/>
    <m/>
    <m/>
    <m/>
    <m/>
    <m/>
    <m/>
    <m/>
    <m/>
    <m/>
    <m/>
    <m/>
    <n v="80365.247999999992"/>
    <n v="-59252.574000000022"/>
    <m/>
    <m/>
    <m/>
    <m/>
    <n v="-61721.399999999994"/>
    <n v="0"/>
    <n v="29"/>
    <n v="1017.1548447796304"/>
    <n v="288.54857862968856"/>
    <n v="969.96881293467595"/>
    <n v="0"/>
    <n v="0"/>
    <m/>
    <m/>
    <m/>
    <n v="-241.362546784739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478.02247102873"/>
    <m/>
    <n v="0"/>
    <n v="0"/>
    <n v="-61721.39999999998"/>
    <m/>
    <n v="0"/>
    <m/>
    <n v="-62727.83172990407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71"/>
    <s v="Sistema de Compensação"/>
    <s v="Verde"/>
    <s v="A4"/>
    <s v="Rural"/>
    <s v="Não se aplica"/>
    <s v="Não se aplica"/>
    <s v="Não se aplica"/>
    <s v="Não se aplica"/>
    <s v="CATIVO"/>
    <x v="7"/>
    <n v="197"/>
    <n v="189.12"/>
    <n v="0"/>
    <n v="0"/>
    <n v="0"/>
    <n v="0"/>
    <n v="59.12"/>
    <m/>
    <m/>
    <n v="11646.64"/>
    <m/>
    <n v="11646.64"/>
    <n v="6703.91"/>
    <n v="0"/>
    <n v="0"/>
    <n v="0"/>
    <n v="0"/>
    <n v="112.69589157673536"/>
    <n v="1008.0534621909397"/>
    <n v="9487.874157232789"/>
    <m/>
    <m/>
    <m/>
    <n v="0"/>
    <n v="0"/>
    <n v="0"/>
    <n v="0"/>
    <m/>
    <n v="0"/>
    <n v="237.99020679094181"/>
    <n v="800.01460921192813"/>
    <n v="0"/>
    <n v="0"/>
    <m/>
    <m/>
    <n v="0"/>
    <n v="0"/>
    <n v="0"/>
    <m/>
    <m/>
    <n v="0"/>
    <m/>
    <n v="0"/>
    <n v="0"/>
    <n v="0"/>
    <n v="0"/>
    <m/>
    <n v="0"/>
    <n v="0"/>
    <n v="142.28"/>
    <n v="648.09"/>
    <n v="7.33"/>
    <n v="1"/>
    <m/>
    <m/>
    <m/>
    <m/>
    <m/>
    <n v="268.15639999999985"/>
    <m/>
    <m/>
    <m/>
    <n v="0"/>
    <m/>
    <m/>
    <m/>
    <m/>
    <m/>
    <m/>
    <m/>
    <m/>
    <m/>
    <m/>
    <m/>
    <m/>
    <n v="6435.7536"/>
    <n v="-4745.0508000000009"/>
    <m/>
    <m/>
    <m/>
    <m/>
    <n v="-4942.7299999999996"/>
    <n v="0"/>
    <n v="29"/>
    <n v="81.455083098205705"/>
    <n v="23.107345524410022"/>
    <n v="77.676364287858178"/>
    <n v="0"/>
    <n v="0"/>
    <m/>
    <m/>
    <m/>
    <n v="-19.3286267140623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87.874157232789"/>
    <m/>
    <n v="0"/>
    <n v="0"/>
    <n v="-4942.7299999999996"/>
    <m/>
    <n v="0"/>
    <m/>
    <n v="-5023.326362110205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7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36.77600000000001"/>
    <n v="236.77600000000001"/>
    <n v="236.77600000000001"/>
    <n v="236.77600000000001"/>
    <m/>
    <n v="516.83000000000004"/>
    <n v="173.82"/>
    <m/>
    <n v="163529.3444"/>
    <n v="163529.3444"/>
    <n v="123466.84520000001"/>
    <n v="0"/>
    <n v="14478.72353656182"/>
    <n v="0"/>
    <n v="0"/>
    <n v="643.66231392119664"/>
    <n v="8151.3953697486986"/>
    <n v="86095.493516390328"/>
    <n v="38102.499564959762"/>
    <n v="1916.9066240719919"/>
    <n v="0"/>
    <n v="0"/>
    <n v="0"/>
    <n v="0"/>
    <n v="2237.887572604453"/>
    <m/>
    <n v="367.36790263701022"/>
    <n v="1372.946530808573"/>
    <n v="4496.2142500805494"/>
    <n v="0"/>
    <n v="0"/>
    <n v="0"/>
    <n v="0"/>
    <n v="0"/>
    <n v="0"/>
    <n v="0"/>
    <n v="0"/>
    <n v="0"/>
    <n v="0"/>
    <m/>
    <n v="0"/>
    <n v="0"/>
    <n v="0"/>
    <n v="131.36631221512945"/>
    <n v="1137.8716617907201"/>
    <n v="4398.9010554583547"/>
    <n v="0"/>
    <n v="547.55999999999995"/>
    <n v="2501.31"/>
    <n v="51728.24"/>
    <n v="260"/>
    <m/>
    <m/>
    <m/>
    <m/>
    <m/>
    <m/>
    <m/>
    <m/>
    <m/>
    <n v="43770.638594423959"/>
    <m/>
    <m/>
    <m/>
    <m/>
    <m/>
    <m/>
    <m/>
    <m/>
    <m/>
    <m/>
    <m/>
    <m/>
    <n v="123468.931"/>
    <n v="-40060.443400000033"/>
    <m/>
    <m/>
    <m/>
    <m/>
    <n v="-45079.782640000012"/>
    <n v="5017.2834399999992"/>
    <n v="29"/>
    <n v="5518.2728094207559"/>
    <n v="133.30443425263616"/>
    <n v="436.5539978695333"/>
    <n v="0"/>
    <n v="0"/>
    <n v="0"/>
    <n v="0"/>
    <n v="0"/>
    <n v="-156.29654994504654"/>
    <n v="0"/>
    <n v="0"/>
    <n v="4890.8769299815031"/>
    <n v="146.05840360797924"/>
    <n v="16.862318040167509"/>
    <n v="0"/>
    <n v="564.64756735269657"/>
    <n v="0"/>
    <n v="-423.1480146508984"/>
    <m/>
    <n v="0"/>
    <n v="0"/>
    <n v="-21.305713587491255"/>
    <n v="0"/>
    <n v="-57.960515152385597"/>
    <n v="-11.320048347911779"/>
    <n v="0"/>
    <n v="0"/>
    <m/>
    <m/>
    <m/>
    <n v="86095.493516390328"/>
    <n v="0"/>
    <n v="0"/>
    <n v="-45079.782640000005"/>
    <n v="5017.2834399999992"/>
    <n v="0"/>
    <n v="0"/>
    <n v="-45582.999423540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3"/>
    <s v="Refaturamento - Regular"/>
    <s v="Convencional"/>
    <s v="B3"/>
    <s v="Poder público"/>
    <s v="Não se aplica"/>
    <s v="Não se aplica"/>
    <s v="Não se aplica"/>
    <s v="Não se aplica"/>
    <s v="CATIVO"/>
    <x v="7"/>
    <n v="0"/>
    <n v="0"/>
    <n v="-9.8000000000000004E-2"/>
    <n v="-9.8000000000000004E-2"/>
    <n v="-9.8000000000000004E-2"/>
    <n v="-9.8000000000000004E-2"/>
    <m/>
    <n v="516.83000000000004"/>
    <n v="173.82"/>
    <m/>
    <n v="-67.683700000000016"/>
    <n v="-67.683700000000016"/>
    <n v="-51.102100000000007"/>
    <n v="0"/>
    <n v="-5.9926466642863225"/>
    <n v="0"/>
    <n v="0"/>
    <n v="-0.26640751919230526"/>
    <n v="-3.3738079291624676"/>
    <n v="-35.634347926336503"/>
    <n v="-15.770369283061022"/>
    <n v="-0.79339480842253951"/>
    <n v="0"/>
    <n v="0"/>
    <n v="0"/>
    <n v="0"/>
    <n v="-0.92624667244668557"/>
    <m/>
    <n v="-0.15205111353526962"/>
    <n v="-0.56825337035527312"/>
    <n v="-1.8609529534576723"/>
    <n v="0"/>
    <n v="0"/>
    <n v="0"/>
    <n v="0"/>
    <n v="0"/>
    <n v="0"/>
    <n v="0"/>
    <n v="0"/>
    <n v="0"/>
    <n v="0"/>
    <m/>
    <n v="0"/>
    <n v="0"/>
    <n v="0"/>
    <n v="-5.4371636471106398E-2"/>
    <n v="-0.47095745707120051"/>
    <n v="-1.8206756742022787"/>
    <n v="0"/>
    <n v="0"/>
    <n v="0"/>
    <n v="-21.67"/>
    <n v="0"/>
    <m/>
    <m/>
    <m/>
    <m/>
    <m/>
    <m/>
    <m/>
    <m/>
    <m/>
    <n v="-18.116374050805607"/>
    <m/>
    <m/>
    <m/>
    <m/>
    <m/>
    <m/>
    <m/>
    <m/>
    <m/>
    <m/>
    <m/>
    <m/>
    <n v="-52.144999999999996"/>
    <n v="15.508700000000005"/>
    <m/>
    <m/>
    <m/>
    <m/>
    <n v="18.658220000000004"/>
    <n v="-2.0766199999999997"/>
    <n v="29"/>
    <n v="-2.2839761433728043"/>
    <n v="-5.5173812197006233E-2"/>
    <n v="-0.18068677480493922"/>
    <n v="0"/>
    <n v="0"/>
    <n v="0"/>
    <n v="0"/>
    <n v="0"/>
    <n v="6.4690094834841894E-2"/>
    <n v="0"/>
    <n v="0"/>
    <n v="-2.0243011924273873"/>
    <n v="-6.0452594661544956E-2"/>
    <n v="-6.9792004592374793E-3"/>
    <n v="0"/>
    <n v="-0.23370384498667218"/>
    <n v="0"/>
    <n v="0.17513812817087882"/>
    <m/>
    <n v="0"/>
    <n v="0"/>
    <n v="8.8182921055095509E-3"/>
    <n v="0"/>
    <n v="2.3989468885925125E-2"/>
    <n v="4.685292166838495E-3"/>
    <n v="0"/>
    <n v="0"/>
    <m/>
    <m/>
    <m/>
    <n v="-35.634347926336503"/>
    <n v="0"/>
    <n v="0"/>
    <n v="18.658220000000007"/>
    <n v="-2.0766200000000019"/>
    <n v="0"/>
    <n v="0"/>
    <n v="18.866498055153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4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23"/>
    <n v="1.05"/>
    <n v="79.11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29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5"/>
    <s v="Regular"/>
    <s v="Azul"/>
    <s v="A4"/>
    <s v="Poder público"/>
    <s v="Não se aplica"/>
    <s v="Não se aplica"/>
    <s v="Não se aplica"/>
    <s v="Ponta"/>
    <s v="CATIVO"/>
    <x v="7"/>
    <n v="440"/>
    <n v="440"/>
    <n v="19.997"/>
    <n v="19.997"/>
    <n v="19.997"/>
    <n v="19.997"/>
    <n v="67.099999999999994"/>
    <n v="70.33"/>
    <n v="173.82"/>
    <n v="29523.999999999996"/>
    <n v="4882.2675499999996"/>
    <n v="34406.267549999997"/>
    <n v="23783.407009999999"/>
    <n v="0"/>
    <n v="1063.8409301100855"/>
    <n v="0"/>
    <n v="0"/>
    <n v="329.30395789898023"/>
    <n v="5023.5825818795756"/>
    <n v="21191.19101107831"/>
    <n v="3217.9599444221553"/>
    <n v="161.89302024515837"/>
    <n v="0"/>
    <n v="0"/>
    <n v="0"/>
    <n v="0"/>
    <n v="189.00157866241193"/>
    <m/>
    <n v="24.850885121578163"/>
    <n v="707.21213380757717"/>
    <n v="2274.0507542624432"/>
    <n v="0"/>
    <n v="0"/>
    <n v="0"/>
    <n v="0"/>
    <n v="0"/>
    <n v="0"/>
    <n v="0"/>
    <n v="0"/>
    <n v="0"/>
    <n v="0"/>
    <m/>
    <n v="0"/>
    <n v="0"/>
    <n v="0"/>
    <n v="3.731312713052831"/>
    <n v="96.099349684212214"/>
    <n v="124.94584916727914"/>
    <n v="0"/>
    <n v="0"/>
    <n v="0"/>
    <n v="0"/>
    <n v="0"/>
    <m/>
    <m/>
    <m/>
    <m/>
    <m/>
    <m/>
    <m/>
    <m/>
    <m/>
    <n v="3442.7364559866992"/>
    <m/>
    <m/>
    <m/>
    <m/>
    <m/>
    <m/>
    <m/>
    <m/>
    <m/>
    <m/>
    <m/>
    <m/>
    <n v="23784.2"/>
    <n v="-10622.097549999995"/>
    <m/>
    <m/>
    <m/>
    <m/>
    <n v="-11046.596969999999"/>
    <n v="423.73642999999993"/>
    <n v="29"/>
    <n v="596.50034849242911"/>
    <n v="68.665830225955688"/>
    <n v="220.79596142772107"/>
    <n v="0"/>
    <n v="0"/>
    <n v="0"/>
    <n v="0"/>
    <n v="0"/>
    <n v="-96.323217105324147"/>
    <n v="0"/>
    <n v="0"/>
    <n v="413.06072392827036"/>
    <n v="12.335413627009316"/>
    <n v="0.47895522538366375"/>
    <n v="0"/>
    <n v="16.038180648682498"/>
    <n v="0"/>
    <n v="-31.091288976110491"/>
    <m/>
    <n v="0"/>
    <n v="0"/>
    <n v="-1.799381502386467"/>
    <n v="0"/>
    <n v="-4.8950756052228996"/>
    <n v="-0.76575340155033089"/>
    <n v="0"/>
    <n v="0"/>
    <m/>
    <m/>
    <n v="21191.19101107831"/>
    <n v="0"/>
    <n v="0"/>
    <n v="0"/>
    <n v="-11046.596969999995"/>
    <n v="423.73642999999993"/>
    <n v="0"/>
    <n v="0"/>
    <n v="-11219.61217933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6"/>
    <s v="Regular"/>
    <s v="Azul"/>
    <s v="A4"/>
    <s v="Poder público"/>
    <s v="Não se aplica"/>
    <s v="Não se aplica"/>
    <s v="Não se aplica"/>
    <s v="Fora ponta"/>
    <s v="CATIVO"/>
    <x v="7"/>
    <n v="435"/>
    <n v="435"/>
    <n v="138.624"/>
    <n v="138.624"/>
    <n v="138.624"/>
    <n v="138.624"/>
    <n v="59.12"/>
    <n v="70.33"/>
    <n v="173.82"/>
    <n v="25717.199999999997"/>
    <n v="33845.049599999998"/>
    <n v="59562.249599999996"/>
    <n v="51445.531919999994"/>
    <n v="0"/>
    <n v="7374.8004748502526"/>
    <n v="0"/>
    <n v="0"/>
    <n v="248.84625805015168"/>
    <n v="2225.9048530612122"/>
    <n v="20950.382022316055"/>
    <n v="22307.670117296439"/>
    <n v="1122.2812441098583"/>
    <n v="0"/>
    <n v="0"/>
    <n v="0"/>
    <n v="0"/>
    <n v="1310.2042726658094"/>
    <m/>
    <n v="172.27229579905242"/>
    <n v="525.51137032517613"/>
    <n v="1766.5297208486738"/>
    <n v="0"/>
    <n v="0"/>
    <n v="0"/>
    <n v="0"/>
    <n v="0"/>
    <n v="0"/>
    <n v="0"/>
    <n v="0"/>
    <n v="0"/>
    <n v="0"/>
    <m/>
    <n v="0"/>
    <n v="0"/>
    <n v="0"/>
    <n v="25.866354629906265"/>
    <n v="666.18374009222543"/>
    <n v="866.15459293718573"/>
    <n v="0"/>
    <n v="0"/>
    <n v="0"/>
    <n v="0"/>
    <n v="0"/>
    <m/>
    <m/>
    <m/>
    <m/>
    <m/>
    <m/>
    <m/>
    <m/>
    <m/>
    <n v="23865.874804955758"/>
    <m/>
    <m/>
    <m/>
    <m/>
    <m/>
    <m/>
    <m/>
    <m/>
    <m/>
    <m/>
    <m/>
    <m/>
    <n v="51444.474600000001"/>
    <n v="-8117.804999999993"/>
    <m/>
    <m/>
    <m/>
    <m/>
    <n v="-11054.160239999999"/>
    <n v="2937.4425599999995"/>
    <n v="29"/>
    <n v="2976.0633045875657"/>
    <n v="51.023834025981387"/>
    <n v="171.51887545796103"/>
    <n v="0"/>
    <n v="0"/>
    <n v="0"/>
    <n v="0"/>
    <n v="0"/>
    <n v="-42.679962541203622"/>
    <n v="0"/>
    <n v="0"/>
    <n v="2863.4360050923897"/>
    <n v="85.512045738387769"/>
    <n v="3.3202324930532079"/>
    <n v="0"/>
    <n v="111.1805147893665"/>
    <n v="0"/>
    <n v="-215.53227199201683"/>
    <m/>
    <n v="0"/>
    <n v="0"/>
    <n v="-12.473744130960995"/>
    <n v="0"/>
    <n v="-33.933838110637453"/>
    <n v="-5.3083862347608601"/>
    <n v="0"/>
    <n v="0"/>
    <m/>
    <m/>
    <n v="20950.382022316055"/>
    <n v="0"/>
    <n v="0"/>
    <n v="0"/>
    <n v="-11054.160239999997"/>
    <n v="2937.4425599999995"/>
    <n v="0"/>
    <n v="0"/>
    <n v="-11092.11658638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7"/>
    <s v="Regular"/>
    <s v="Azul"/>
    <s v="A4"/>
    <s v="Poder público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41.7"/>
    <n v="1556.4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78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42.80099999999999"/>
    <n v="242.80099999999999"/>
    <n v="242.80099999999999"/>
    <n v="242.80099999999999"/>
    <m/>
    <n v="284.26"/>
    <n v="95.6"/>
    <m/>
    <n v="92230.387859999988"/>
    <n v="92230.387859999988"/>
    <n v="69632.898789999992"/>
    <n v="0"/>
    <n v="8165.931954127167"/>
    <n v="0"/>
    <n v="0"/>
    <n v="363.02251670485748"/>
    <n v="4597.3486372930311"/>
    <n v="48557.453275248212"/>
    <n v="21489.630487378348"/>
    <n v="1081.1263171825565"/>
    <n v="0"/>
    <n v="0"/>
    <n v="0"/>
    <n v="0"/>
    <n v="1262.1580619816345"/>
    <m/>
    <n v="207.19376866951438"/>
    <n v="774.33538384282463"/>
    <n v="2535.8436829475718"/>
    <n v="0"/>
    <n v="0"/>
    <n v="0"/>
    <n v="0"/>
    <n v="0"/>
    <n v="0"/>
    <n v="0"/>
    <n v="0"/>
    <n v="0"/>
    <n v="0"/>
    <m/>
    <n v="0"/>
    <n v="0"/>
    <n v="0"/>
    <n v="74.089982028077543"/>
    <n v="641.75426371315916"/>
    <n v="2480.9594990264513"/>
    <n v="0"/>
    <n v="363.86"/>
    <n v="1657.69"/>
    <n v="26532.92"/>
    <n v="14"/>
    <m/>
    <m/>
    <m/>
    <m/>
    <m/>
    <m/>
    <m/>
    <m/>
    <m/>
    <n v="24686.434232146039"/>
    <m/>
    <m/>
    <m/>
    <m/>
    <m/>
    <m/>
    <m/>
    <m/>
    <m/>
    <m/>
    <m/>
    <m/>
    <n v="69632.611999999994"/>
    <n v="-22597.805859999979"/>
    <m/>
    <m/>
    <m/>
    <m/>
    <n v="-25426.120719999999"/>
    <n v="2828.6316500000012"/>
    <n v="29"/>
    <n v="3112.2799017640064"/>
    <n v="75.183073738622625"/>
    <n v="246.21440086915572"/>
    <n v="0"/>
    <n v="0"/>
    <n v="0"/>
    <n v="0"/>
    <n v="0"/>
    <n v="-88.150518814246425"/>
    <n v="0"/>
    <n v="0"/>
    <n v="2758.4315775755058"/>
    <n v="82.376252449283243"/>
    <n v="9.5102680396614971"/>
    <n v="0"/>
    <n v="318.45857139423561"/>
    <n v="0"/>
    <n v="-238.65348940725653"/>
    <m/>
    <n v="0"/>
    <n v="0"/>
    <n v="-12.016322222759527"/>
    <n v="0"/>
    <n v="-32.689457849329074"/>
    <n v="-6.3844540088810504"/>
    <n v="0"/>
    <n v="0"/>
    <m/>
    <m/>
    <m/>
    <n v="48557.453275248212"/>
    <n v="0"/>
    <n v="0"/>
    <n v="-25426.120719999999"/>
    <n v="2828.631650000003"/>
    <n v="0"/>
    <n v="0"/>
    <n v="-25708.59721284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79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8.1359999999999992"/>
    <n v="7.6478400000000004"/>
    <n v="8.1359999999999992"/>
    <n v="7.6478400000000004"/>
    <m/>
    <n v="516.83000000000004"/>
    <n v="173.82"/>
    <m/>
    <n v="5619.1284000000005"/>
    <n v="5619.1284000000005"/>
    <n v="4242.5171999999993"/>
    <n v="0"/>
    <n v="497.51197204728078"/>
    <n v="0"/>
    <n v="0"/>
    <n v="22.117260981108117"/>
    <n v="280.09491134352891"/>
    <n v="2958.3781094762626"/>
    <n v="1309.2624947651475"/>
    <n v="65.867960829854908"/>
    <n v="0"/>
    <n v="0"/>
    <n v="0"/>
    <n v="0"/>
    <n v="76.897376806390128"/>
    <m/>
    <n v="12.623345507377076"/>
    <n v="47.176626747045937"/>
    <n v="154.49707376869"/>
    <n v="0"/>
    <n v="0"/>
    <n v="0"/>
    <n v="0"/>
    <n v="0"/>
    <n v="0"/>
    <n v="0"/>
    <n v="0"/>
    <n v="0"/>
    <n v="0"/>
    <m/>
    <n v="0"/>
    <n v="0"/>
    <n v="0"/>
    <n v="4.5139554523359342"/>
    <n v="39.099080313584558"/>
    <n v="151.15323760520141"/>
    <n v="0"/>
    <n v="18.809999999999999"/>
    <n v="85.97"/>
    <n v="1834.14"/>
    <n v="7"/>
    <m/>
    <m/>
    <m/>
    <m/>
    <n v="254.55103199999937"/>
    <m/>
    <m/>
    <m/>
    <m/>
    <n v="1504.0287681362695"/>
    <m/>
    <m/>
    <m/>
    <m/>
    <m/>
    <m/>
    <m/>
    <m/>
    <m/>
    <m/>
    <m/>
    <m/>
    <n v="3989.0924999999997"/>
    <n v="-1292.9181960000014"/>
    <m/>
    <m/>
    <m/>
    <m/>
    <n v="-1549.0130400000003"/>
    <n v="172.40183999999996"/>
    <n v="29"/>
    <n v="189.61663165797017"/>
    <n v="4.5805524085187983"/>
    <n v="15.000689794010071"/>
    <n v="0"/>
    <n v="0"/>
    <n v="0"/>
    <n v="0"/>
    <n v="0"/>
    <n v="-5.3705980773088982"/>
    <n v="0"/>
    <n v="0"/>
    <n v="168.05831124070642"/>
    <n v="5.0187990833298954"/>
    <n v="0.57941607077914448"/>
    <n v="0"/>
    <n v="19.402188600117995"/>
    <n v="0"/>
    <n v="-14.540038885696617"/>
    <m/>
    <n v="0"/>
    <n v="0"/>
    <n v="-0.73209820990230412"/>
    <n v="0"/>
    <n v="-1.9916154985294554"/>
    <n v="-0.3889748680550813"/>
    <n v="0"/>
    <n v="0"/>
    <m/>
    <m/>
    <m/>
    <n v="2958.3781094762626"/>
    <n v="0"/>
    <n v="0"/>
    <n v="-1549.0130400000007"/>
    <n v="172.40183999999999"/>
    <n v="0"/>
    <n v="0"/>
    <n v="-1566.304369150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0"/>
    <s v="Regular"/>
    <s v="Azul"/>
    <s v="A4"/>
    <s v="Serviço público"/>
    <s v="Água, esgoto e saneamento"/>
    <s v="Não se aplica"/>
    <s v="Não se aplica"/>
    <s v="Ponta"/>
    <s v="CATIVO"/>
    <x v="7"/>
    <n v="100"/>
    <n v="94"/>
    <n v="3.7440000000000002"/>
    <n v="3.5193599999999998"/>
    <n v="3.7440000000000002"/>
    <n v="3.5193599999999998"/>
    <n v="67.099999999999994"/>
    <n v="70.33"/>
    <n v="173.82"/>
    <n v="6709.9999999999991"/>
    <n v="914.09760000000006"/>
    <n v="7624.0975999999991"/>
    <n v="5193.6515200000003"/>
    <n v="0"/>
    <n v="199.18089925149576"/>
    <n v="0"/>
    <n v="0"/>
    <n v="74.841808613404609"/>
    <n v="1141.7233140635399"/>
    <n v="4816.1797752450702"/>
    <n v="602.49247546714764"/>
    <n v="30.310920027897836"/>
    <n v="0"/>
    <n v="0"/>
    <n v="0"/>
    <n v="0"/>
    <n v="35.386403486126433"/>
    <m/>
    <n v="4.6527836123012776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69860653086311941"/>
    <n v="17.992497135454844"/>
    <n v="23.393371969910142"/>
    <n v="0"/>
    <n v="0"/>
    <n v="0"/>
    <n v="0"/>
    <n v="0"/>
    <m/>
    <m/>
    <m/>
    <m/>
    <n v="311.61909120000013"/>
    <m/>
    <m/>
    <m/>
    <m/>
    <n v="644.57695110337579"/>
    <m/>
    <m/>
    <m/>
    <m/>
    <m/>
    <m/>
    <m/>
    <m/>
    <m/>
    <m/>
    <m/>
    <m/>
    <n v="4882.2015999999994"/>
    <n v="-2284.480144000001"/>
    <m/>
    <m/>
    <m/>
    <m/>
    <n v="-2509.7814399999997"/>
    <n v="79.335359999999994"/>
    <n v="29"/>
    <n v="119.41578275932898"/>
    <n v="15.60587050589902"/>
    <n v="50.180900324482081"/>
    <n v="0"/>
    <n v="0"/>
    <n v="0"/>
    <n v="0"/>
    <n v="0"/>
    <n v="-21.891640251209992"/>
    <n v="0"/>
    <n v="0"/>
    <n v="77.336568004572882"/>
    <n v="2.3095358613553501"/>
    <n v="8.9673869272212658E-2"/>
    <n v="0"/>
    <n v="3.0027978371089326"/>
    <n v="0"/>
    <n v="-5.8211624706985106"/>
    <m/>
    <n v="0"/>
    <n v="0"/>
    <n v="-0.33689475145946801"/>
    <n v="0"/>
    <n v="-0.91649562764187209"/>
    <n v="-0.1433705423515752"/>
    <n v="0"/>
    <n v="0"/>
    <m/>
    <m/>
    <n v="4816.1797752450702"/>
    <n v="0"/>
    <n v="0"/>
    <n v="0"/>
    <n v="-2509.7814399999988"/>
    <n v="79.335359999999923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1"/>
    <s v="Regular"/>
    <s v="Azul"/>
    <s v="A4"/>
    <s v="Serviço público"/>
    <s v="Água, esgoto e saneamento"/>
    <s v="Não se aplica"/>
    <s v="Não se aplica"/>
    <s v="Fora ponta"/>
    <s v="CATIVO"/>
    <x v="7"/>
    <n v="100"/>
    <n v="94"/>
    <n v="33.387999999999998"/>
    <n v="31.384720000000002"/>
    <n v="33.387999999999998"/>
    <n v="31.384720000000002"/>
    <n v="59.12"/>
    <n v="70.33"/>
    <n v="173.82"/>
    <n v="5912"/>
    <n v="8151.6801999999989"/>
    <n v="14063.680199999999"/>
    <n v="12228.45004"/>
    <n v="0"/>
    <n v="1776.2424850985415"/>
    <n v="0"/>
    <n v="0"/>
    <n v="57.206036333368203"/>
    <n v="511.70226507154302"/>
    <n v="4816.1797752450702"/>
    <n v="5372.8682614575646"/>
    <n v="270.30475371032395"/>
    <n v="0"/>
    <n v="0"/>
    <n v="0"/>
    <n v="0"/>
    <n v="315.56657040459118"/>
    <m/>
    <n v="41.492291465682435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2299879413615997"/>
    <n v="160.45232221115552"/>
    <n v="208.61589298380335"/>
    <n v="0"/>
    <n v="0"/>
    <n v="0"/>
    <n v="0"/>
    <n v="0"/>
    <m/>
    <m/>
    <m/>
    <m/>
    <n v="733.70700239999906"/>
    <m/>
    <m/>
    <m/>
    <m/>
    <n v="5748.1664645938845"/>
    <m/>
    <m/>
    <m/>
    <m/>
    <m/>
    <m/>
    <m/>
    <m/>
    <m/>
    <m/>
    <m/>
    <m/>
    <n v="11493.4954"/>
    <n v="-1726.3939880000016"/>
    <m/>
    <m/>
    <m/>
    <m/>
    <n v="-2542.7218799999996"/>
    <n v="707.49171999999987"/>
    <n v="29"/>
    <n v="714.82092431507044"/>
    <n v="11.729617017467007"/>
    <n v="39.429626542059964"/>
    <n v="0"/>
    <n v="0"/>
    <n v="0"/>
    <n v="0"/>
    <n v="0"/>
    <n v="-9.8114856416560201"/>
    <n v="0"/>
    <n v="0"/>
    <n v="689.66702257924135"/>
    <n v="20.595828883261845"/>
    <n v="0.79968780642645143"/>
    <n v="0"/>
    <n v="26.778155498235293"/>
    <n v="0"/>
    <n v="-51.911584554402225"/>
    <m/>
    <n v="0"/>
    <n v="0"/>
    <n v="-3.0043381308036032"/>
    <n v="0"/>
    <n v="-8.1730651751353776"/>
    <n v="-1.2785405096245626"/>
    <n v="0"/>
    <n v="0"/>
    <m/>
    <m/>
    <n v="4816.1797752450702"/>
    <n v="0"/>
    <n v="0"/>
    <n v="0"/>
    <n v="-2542.7218799999991"/>
    <n v="707.49171999999999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2"/>
    <s v="Regular"/>
    <s v="Azul"/>
    <s v="A4"/>
    <s v="Serviço público"/>
    <s v="Água, esgoto e saneamento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9.33"/>
    <n v="361.35"/>
    <n v="7479.1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83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.3759999999999999"/>
    <n v="1.3759999999999999"/>
    <n v="1.3759999999999999"/>
    <n v="1.3759999999999999"/>
    <m/>
    <n v="516.83000000000004"/>
    <n v="173.82"/>
    <m/>
    <n v="950.33439999999996"/>
    <n v="950.33439999999996"/>
    <n v="717.51519999999994"/>
    <n v="0"/>
    <n v="84.141651123040603"/>
    <n v="0"/>
    <n v="0"/>
    <n v="3.7405790449858372"/>
    <n v="47.371017454362807"/>
    <n v="500.33533414937779"/>
    <n v="221.42885850502003"/>
    <n v="11.139910779483818"/>
    <n v="0"/>
    <n v="0"/>
    <n v="0"/>
    <n v="0"/>
    <n v="13.005259400884073"/>
    <m/>
    <n v="2.1349217573931734"/>
    <n v="7.978741200090365"/>
    <n v="26.129298611813844"/>
    <n v="0"/>
    <n v="0"/>
    <n v="0"/>
    <n v="0"/>
    <n v="0"/>
    <n v="0"/>
    <n v="0"/>
    <n v="0"/>
    <n v="0"/>
    <n v="0"/>
    <m/>
    <n v="0"/>
    <n v="0"/>
    <n v="0"/>
    <n v="0.76342216106369787"/>
    <n v="6.6126271523466515"/>
    <n v="25.563772731656481"/>
    <n v="0"/>
    <n v="3.15"/>
    <n v="14.53"/>
    <n v="310.13"/>
    <n v="7"/>
    <m/>
    <m/>
    <m/>
    <m/>
    <m/>
    <m/>
    <m/>
    <m/>
    <m/>
    <n v="254.36868055008685"/>
    <m/>
    <m/>
    <m/>
    <m/>
    <m/>
    <m/>
    <m/>
    <m/>
    <m/>
    <m/>
    <m/>
    <m/>
    <n v="719.60099999999989"/>
    <n v="-230.76340000000005"/>
    <m/>
    <m/>
    <m/>
    <m/>
    <n v="-261.97664000000003"/>
    <n v="29.157439999999994"/>
    <n v="29"/>
    <n v="32.068889523275175"/>
    <n v="0.77468536309265801"/>
    <n v="2.5369898176693511"/>
    <n v="0"/>
    <n v="0"/>
    <n v="0"/>
    <n v="0"/>
    <n v="0"/>
    <n v="-0.90830173972186401"/>
    <n v="0"/>
    <n v="0"/>
    <n v="28.422841232449883"/>
    <n v="0.84880377810495666"/>
    <n v="9.7993671754191602E-2"/>
    <n v="0"/>
    <n v="3.2813927622618486"/>
    <n v="0"/>
    <n v="-2.4590822894196833"/>
    <m/>
    <n v="0"/>
    <n v="0"/>
    <n v="-0.12381601976715473"/>
    <n v="0"/>
    <n v="-0.33683172639829451"/>
    <n v="-6.5785326750712247E-2"/>
    <n v="0"/>
    <n v="0"/>
    <m/>
    <m/>
    <m/>
    <n v="500.33533414937779"/>
    <n v="0"/>
    <n v="0"/>
    <n v="-261.97664000000009"/>
    <n v="29.157440000000008"/>
    <n v="0"/>
    <n v="0"/>
    <n v="-264.9010339172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4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75.92"/>
    <n v="5813.32"/>
    <n v="649.36"/>
    <n v="7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85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71"/>
    <n v="53.39"/>
    <n v="69.28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86"/>
    <s v="Regular"/>
    <s v="Convencional"/>
    <s v="B2"/>
    <s v="Rural"/>
    <s v="Agropecuária rural"/>
    <s v="IRRIG./AQUIC."/>
    <s v="Não se aplica"/>
    <s v="Não se aplica"/>
    <s v="CATIVO"/>
    <x v="7"/>
    <n v="0"/>
    <n v="0"/>
    <n v="368.18799999999999"/>
    <n v="368.18799999999999"/>
    <n v="368.18799999999999"/>
    <n v="368.18799999999999"/>
    <m/>
    <n v="516.83000000000004"/>
    <n v="173.82"/>
    <m/>
    <n v="254289.0422"/>
    <n v="254289.0422"/>
    <n v="191991.63259999998"/>
    <n v="0"/>
    <n v="22514.49581663523"/>
    <n v="0"/>
    <n v="0"/>
    <n v="1000.8984864936376"/>
    <n v="12675.465243086435"/>
    <n v="133878.97239083657"/>
    <n v="59249.599240731339"/>
    <n v="2980.8004869742649"/>
    <n v="0"/>
    <n v="0"/>
    <n v="0"/>
    <n v="0"/>
    <n v="3479.9276513755126"/>
    <m/>
    <n v="571.25913663595759"/>
    <n v="2134.9395094323195"/>
    <n v="6991.6382247721776"/>
    <n v="0"/>
    <n v="0"/>
    <n v="0"/>
    <n v="0"/>
    <n v="0"/>
    <n v="0"/>
    <n v="0"/>
    <n v="0"/>
    <n v="0"/>
    <n v="0"/>
    <m/>
    <n v="0"/>
    <n v="0"/>
    <n v="0"/>
    <n v="204.27534784718083"/>
    <n v="1769.3967775931751"/>
    <n v="6840.3156646243733"/>
    <n v="0"/>
    <n v="0"/>
    <n v="0"/>
    <n v="0"/>
    <n v="0"/>
    <m/>
    <m/>
    <m/>
    <m/>
    <m/>
    <n v="23037.523159999997"/>
    <m/>
    <m/>
    <m/>
    <n v="68063.587030796072"/>
    <m/>
    <m/>
    <m/>
    <m/>
    <m/>
    <m/>
    <m/>
    <m/>
    <m/>
    <m/>
    <m/>
    <m/>
    <n v="168955.02720000001"/>
    <n v="-54818.623560000007"/>
    <m/>
    <m/>
    <m/>
    <m/>
    <n v="-70099.313320000016"/>
    <n v="7801.9037199999993"/>
    <n v="29"/>
    <n v="8580.9449824096082"/>
    <n v="207.28913842031943"/>
    <n v="678.84390042735686"/>
    <n v="0"/>
    <n v="0"/>
    <n v="0"/>
    <n v="0"/>
    <n v="0"/>
    <n v="-243.04200650051826"/>
    <n v="0"/>
    <n v="0"/>
    <n v="7605.3408922189337"/>
    <n v="227.12163186984594"/>
    <n v="26.220998558017641"/>
    <n v="0"/>
    <n v="878.03011508115196"/>
    <n v="0"/>
    <n v="-657.99752178550625"/>
    <m/>
    <n v="0"/>
    <n v="0"/>
    <n v="-33.130503405544459"/>
    <n v="0"/>
    <n v="-90.128924185418327"/>
    <n v="-17.602738289019726"/>
    <n v="0"/>
    <n v="0"/>
    <m/>
    <m/>
    <m/>
    <n v="133878.97239083657"/>
    <n v="0"/>
    <n v="0"/>
    <n v="-70099.313320000016"/>
    <n v="7801.9037199999948"/>
    <n v="0"/>
    <n v="0"/>
    <n v="-70881.818223784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7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1.252"/>
    <n v="1.252"/>
    <n v="1.252"/>
    <n v="1.252"/>
    <m/>
    <n v="516.83000000000004"/>
    <n v="173.82"/>
    <m/>
    <n v="864.69380000000001"/>
    <n v="864.69380000000001"/>
    <n v="652.85539999999992"/>
    <n v="0"/>
    <n v="76.559118609045669"/>
    <n v="0"/>
    <n v="0"/>
    <n v="3.4034919798853696"/>
    <n v="43.102117625626626"/>
    <n v="455.24697554870716"/>
    <n v="201.4745136978816"/>
    <n v="10.136023470867546"/>
    <n v="0"/>
    <n v="0"/>
    <n v="0"/>
    <n v="0"/>
    <n v="11.833273815339288"/>
    <m/>
    <n v="1.9425305525118117"/>
    <n v="7.2597267314775706"/>
    <n v="23.774623446214342"/>
    <n v="0"/>
    <n v="0"/>
    <n v="0"/>
    <n v="0"/>
    <n v="0"/>
    <n v="0"/>
    <n v="0"/>
    <n v="0"/>
    <n v="0"/>
    <n v="0"/>
    <m/>
    <n v="0"/>
    <n v="0"/>
    <n v="0"/>
    <n v="0.69462539654923683"/>
    <n v="6.0167217985014592"/>
    <n v="23.260060654094417"/>
    <n v="0"/>
    <n v="0"/>
    <n v="0"/>
    <n v="0"/>
    <n v="0"/>
    <m/>
    <m/>
    <m/>
    <m/>
    <m/>
    <n v="78.337639999999993"/>
    <m/>
    <m/>
    <m/>
    <n v="231.44592154702673"/>
    <m/>
    <m/>
    <m/>
    <m/>
    <m/>
    <m/>
    <m/>
    <m/>
    <m/>
    <m/>
    <m/>
    <m/>
    <n v="573.6"/>
    <n v="-187.35803999999996"/>
    <m/>
    <m/>
    <m/>
    <m/>
    <n v="-238.36828000000006"/>
    <n v="26.529879999999999"/>
    <n v="29"/>
    <n v="29.17896052553823"/>
    <n v="0.70487360072093619"/>
    <n v="2.3083657352631022"/>
    <n v="0"/>
    <n v="0"/>
    <n v="0"/>
    <n v="0"/>
    <n v="0"/>
    <n v="-0.8264489666655308"/>
    <n v="0"/>
    <n v="0"/>
    <n v="25.861480539990737"/>
    <n v="0.77231273996177841"/>
    <n v="8.9162846683319641E-2"/>
    <n v="0"/>
    <n v="2.9856858563603446"/>
    <n v="0"/>
    <n v="-2.2374789435708209"/>
    <m/>
    <n v="0"/>
    <n v="0"/>
    <n v="-0.11265818077650991"/>
    <n v="0"/>
    <n v="-0.30647770454263323"/>
    <n v="-5.9856997886548857E-2"/>
    <n v="0"/>
    <n v="0"/>
    <m/>
    <m/>
    <m/>
    <n v="455.24697554870716"/>
    <n v="0"/>
    <n v="0"/>
    <n v="-238.36828000000008"/>
    <n v="26.529879999999991"/>
    <n v="0"/>
    <n v="0"/>
    <n v="-241.02913841889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8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182.13499999999999"/>
    <n v="72.853999999999999"/>
    <n v="182.13499999999999"/>
    <n v="72.853999999999999"/>
    <m/>
    <n v="516.83000000000004"/>
    <n v="173.82"/>
    <m/>
    <n v="125791.53774999999"/>
    <n v="125791.53774999999"/>
    <n v="94974.29574999999"/>
    <n v="0"/>
    <n v="11137.456124487646"/>
    <n v="0"/>
    <n v="0"/>
    <n v="495.12381130704608"/>
    <n v="6270.29088957149"/>
    <n v="66227.162852686713"/>
    <n v="29309.553156839989"/>
    <n v="1474.5404431840736"/>
    <n v="0"/>
    <n v="0"/>
    <n v="0"/>
    <n v="0"/>
    <n v="1721.4483437354802"/>
    <m/>
    <n v="282.59009758924827"/>
    <n v="1056.1104858128333"/>
    <n v="3458.6190426327867"/>
    <n v="0"/>
    <n v="0"/>
    <n v="0"/>
    <n v="0"/>
    <n v="0"/>
    <n v="0"/>
    <n v="0"/>
    <n v="0"/>
    <n v="0"/>
    <n v="0"/>
    <m/>
    <n v="0"/>
    <n v="0"/>
    <n v="0"/>
    <n v="101.05079600678533"/>
    <n v="875.28404534350102"/>
    <n v="3383.7628971513468"/>
    <n v="0"/>
    <n v="0"/>
    <n v="0"/>
    <n v="0"/>
    <n v="0"/>
    <m/>
    <m/>
    <m/>
    <m/>
    <m/>
    <m/>
    <n v="61543.052229999994"/>
    <m/>
    <m/>
    <n v="33669.65089534162"/>
    <m/>
    <m/>
    <m/>
    <m/>
    <m/>
    <m/>
    <m/>
    <m/>
    <m/>
    <m/>
    <m/>
    <m/>
    <n v="33429.407999999996"/>
    <n v="-10849.097580000009"/>
    <m/>
    <m/>
    <m/>
    <m/>
    <n v="-34676.68265000001"/>
    <n v="3859.4406499999996"/>
    <n v="29"/>
    <n v="4244.8162742163768"/>
    <n v="102.54165596430335"/>
    <n v="335.81005846017979"/>
    <n v="0"/>
    <n v="0"/>
    <n v="0"/>
    <n v="0"/>
    <n v="0"/>
    <n v="-120.22786145657119"/>
    <n v="0"/>
    <n v="0"/>
    <n v="3762.2050783955347"/>
    <n v="112.35238090490282"/>
    <n v="12.970986486155297"/>
    <n v="0"/>
    <n v="434.34336537395484"/>
    <n v="0"/>
    <n v="-325.49778545309164"/>
    <m/>
    <n v="0"/>
    <n v="0"/>
    <n v="-16.388975843234448"/>
    <n v="0"/>
    <n v="-44.584917505489557"/>
    <n v="-8.7077111102768754"/>
    <n v="0"/>
    <n v="0"/>
    <m/>
    <m/>
    <m/>
    <n v="66227.162852686713"/>
    <n v="0"/>
    <n v="0"/>
    <n v="-34676.682650000002"/>
    <n v="3859.4406499999968"/>
    <n v="0"/>
    <n v="0"/>
    <n v="-35063.771666075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89"/>
    <s v="Sistema de Compensação"/>
    <s v="Convencional"/>
    <s v="B2"/>
    <s v="Rural"/>
    <s v="Agropecuária rural"/>
    <s v="IRRIG./AQUIC. PR"/>
    <s v="Não se aplica"/>
    <s v="Não se aplica"/>
    <s v="CATIVO"/>
    <x v="7"/>
    <n v="0"/>
    <n v="0"/>
    <n v="3.8039999999999998"/>
    <n v="1.5216000000000001"/>
    <n v="3.8039999999999998"/>
    <n v="1.5216000000000001"/>
    <m/>
    <n v="516.83000000000004"/>
    <n v="173.82"/>
    <m/>
    <n v="2627.2326000000003"/>
    <n v="2627.2326000000003"/>
    <n v="1983.5957999999998"/>
    <n v="0"/>
    <n v="232.61252970352214"/>
    <n v="0"/>
    <n v="0"/>
    <n v="10.34096125517887"/>
    <n v="130.95883022993905"/>
    <n v="1383.1944848141229"/>
    <n v="612.1478035996339"/>
    <n v="30.796671951421835"/>
    <n v="0"/>
    <n v="0"/>
    <n v="0"/>
    <n v="0"/>
    <n v="35.953493285583583"/>
    <m/>
    <n v="5.9020656723282201"/>
    <n v="22.057508375831212"/>
    <n v="72.235357499520248"/>
    <n v="0"/>
    <n v="0"/>
    <n v="0"/>
    <n v="0"/>
    <n v="0"/>
    <n v="0"/>
    <n v="0"/>
    <n v="0"/>
    <n v="0"/>
    <n v="0"/>
    <m/>
    <n v="0"/>
    <n v="0"/>
    <n v="0"/>
    <n v="2.1105071952662113"/>
    <n v="18.280838435702517"/>
    <n v="70.671941476178247"/>
    <n v="0"/>
    <n v="0"/>
    <n v="0"/>
    <n v="0"/>
    <n v="0"/>
    <m/>
    <m/>
    <m/>
    <m/>
    <m/>
    <m/>
    <n v="1285.3639920000001"/>
    <m/>
    <m/>
    <n v="703.21109070678096"/>
    <m/>
    <m/>
    <m/>
    <m/>
    <m/>
    <m/>
    <m/>
    <m/>
    <m/>
    <m/>
    <m/>
    <m/>
    <n v="697.49760000000003"/>
    <n v="-227.31523200000004"/>
    <m/>
    <m/>
    <m/>
    <m/>
    <n v="-724.24356000000012"/>
    <n v="80.606759999999994"/>
    <n v="29"/>
    <n v="88.6555637692868"/>
    <n v="2.141644710177669"/>
    <n v="7.0135968505917248"/>
    <n v="0"/>
    <n v="0"/>
    <n v="0"/>
    <n v="0"/>
    <n v="0"/>
    <n v="-2.511031844405494"/>
    <n v="0"/>
    <n v="0"/>
    <n v="78.575936081569239"/>
    <n v="2.3465476540052741"/>
    <n v="0.27090692394836102"/>
    <n v="0"/>
    <n v="9.071524758462246"/>
    <n v="0"/>
    <n v="-6.7982187710410642"/>
    <m/>
    <n v="0"/>
    <n v="0"/>
    <n v="-0.34229370580978014"/>
    <n v="0"/>
    <n v="-0.93118305757202791"/>
    <n v="-0.18186583063932282"/>
    <n v="0"/>
    <n v="0"/>
    <m/>
    <m/>
    <m/>
    <n v="1383.1944848141229"/>
    <n v="0"/>
    <n v="0"/>
    <n v="-724.24356000000012"/>
    <n v="80.606759999999895"/>
    <n v="0"/>
    <n v="0"/>
    <n v="-732.328148997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0"/>
    <s v="Regular"/>
    <s v="Verde"/>
    <s v="A4"/>
    <s v="Rural"/>
    <s v="Agropecuária rural"/>
    <s v="Não se aplica"/>
    <s v="Não se aplica"/>
    <s v="Ponta"/>
    <s v="CATIVO"/>
    <x v="7"/>
    <n v="0"/>
    <n v="0"/>
    <n v="6.5970000000000004"/>
    <n v="6.3331200000000001"/>
    <n v="6.5970000000000004"/>
    <n v="6.3331200000000001"/>
    <m/>
    <n v="1684.16"/>
    <n v="173.82"/>
    <m/>
    <n v="12257.094060000001"/>
    <n v="12257.094060000001"/>
    <n v="8414.2096200000015"/>
    <n v="0"/>
    <n v="350.96057488304422"/>
    <n v="0"/>
    <n v="0"/>
    <n v="118.74204087467444"/>
    <n v="1811.4433748006645"/>
    <n v="7641.2553289048037"/>
    <n v="1061.6033281668731"/>
    <n v="53.408423991464218"/>
    <n v="0"/>
    <n v="0"/>
    <n v="0"/>
    <n v="0"/>
    <n v="62.351523450314126"/>
    <m/>
    <n v="8.1982942014827795"/>
    <n v="255.01457952100384"/>
    <n v="819.99833264486892"/>
    <n v="0"/>
    <n v="0"/>
    <n v="0"/>
    <n v="0"/>
    <n v="0"/>
    <n v="0"/>
    <n v="0"/>
    <n v="0"/>
    <n v="0"/>
    <n v="0"/>
    <m/>
    <n v="0"/>
    <n v="0"/>
    <n v="0"/>
    <n v="1.2309581421217946"/>
    <n v="31.703125962231734"/>
    <n v="41.219571283519556"/>
    <n v="0"/>
    <n v="0"/>
    <n v="0"/>
    <n v="0"/>
    <n v="0"/>
    <m/>
    <m/>
    <m/>
    <m/>
    <m/>
    <n v="336.56838480000044"/>
    <m/>
    <m/>
    <m/>
    <n v="1135.7569835547463"/>
    <m/>
    <m/>
    <m/>
    <m/>
    <m/>
    <m/>
    <m/>
    <m/>
    <m/>
    <m/>
    <m/>
    <m/>
    <n v="8073.6618000000008"/>
    <n v="-3693.178497599999"/>
    <m/>
    <m/>
    <m/>
    <m/>
    <n v="-3982.6748700000003"/>
    <n v="139.79042999999999"/>
    <n v="29"/>
    <n v="202.71281163705589"/>
    <n v="24.760304561314513"/>
    <n v="79.616657581666232"/>
    <n v="0"/>
    <n v="0"/>
    <n v="0"/>
    <n v="0"/>
    <n v="0"/>
    <n v="-34.732991967597627"/>
    <n v="0"/>
    <n v="0"/>
    <n v="136.26852006574995"/>
    <n v="4.0694466018593012"/>
    <n v="0.15800708215512471"/>
    <n v="0"/>
    <n v="5.2909875350981892"/>
    <n v="0"/>
    <n v="-10.257000218802887"/>
    <m/>
    <n v="0"/>
    <n v="0"/>
    <n v="-0.59361503081680667"/>
    <n v="0"/>
    <n v="-1.6148829208208895"/>
    <n v="-0.25262165274928883"/>
    <n v="0"/>
    <n v="0"/>
    <m/>
    <m/>
    <m/>
    <n v="7641.2553289048037"/>
    <n v="0"/>
    <n v="0"/>
    <n v="-3982.6748700000007"/>
    <n v="139.79043000000001"/>
    <n v="0"/>
    <n v="0"/>
    <n v="-4045.639591882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1"/>
    <s v="Regular"/>
    <s v="Verde"/>
    <s v="A4"/>
    <s v="Rural"/>
    <s v="Agropecuária rural"/>
    <s v="Não se aplica"/>
    <s v="Não se aplica"/>
    <s v="Fora ponta"/>
    <s v="CATIVO"/>
    <x v="7"/>
    <n v="0"/>
    <n v="0"/>
    <n v="263.73700000000002"/>
    <n v="253.18752000000001"/>
    <n v="263.73700000000002"/>
    <n v="253.18752000000001"/>
    <m/>
    <n v="70.33"/>
    <n v="173.82"/>
    <m/>
    <n v="64391.388550000003"/>
    <n v="64391.388550000003"/>
    <n v="69713.601209999993"/>
    <n v="0"/>
    <n v="14030.815391530912"/>
    <n v="0"/>
    <n v="0"/>
    <n v="0"/>
    <n v="0"/>
    <n v="0"/>
    <n v="42441.121261292501"/>
    <n v="2135.179250907503"/>
    <n v="0"/>
    <n v="0"/>
    <n v="0"/>
    <n v="0"/>
    <n v="2492.7093739905258"/>
    <m/>
    <n v="327.75405757411914"/>
    <n v="0"/>
    <n v="0"/>
    <n v="0"/>
    <n v="0"/>
    <n v="0"/>
    <n v="0"/>
    <n v="0"/>
    <n v="0"/>
    <n v="0"/>
    <n v="0"/>
    <n v="0"/>
    <n v="0"/>
    <m/>
    <n v="0"/>
    <n v="0"/>
    <n v="0"/>
    <n v="49.211642796540211"/>
    <n v="1267.4378250570123"/>
    <n v="1647.8893544947093"/>
    <n v="0"/>
    <n v="0"/>
    <n v="0"/>
    <n v="0"/>
    <n v="0"/>
    <m/>
    <m/>
    <m/>
    <m/>
    <m/>
    <n v="2788.5440484000046"/>
    <m/>
    <m/>
    <m/>
    <n v="45405.66008364076"/>
    <m/>
    <m/>
    <m/>
    <m/>
    <m/>
    <m/>
    <m/>
    <m/>
    <m/>
    <m/>
    <m/>
    <m/>
    <n v="66925.712700000004"/>
    <n v="5109.949692000002"/>
    <m/>
    <m/>
    <m/>
    <m/>
    <n v="-266.37437000000136"/>
    <n v="5588.5870299999997"/>
    <n v="29"/>
    <n v="5319.8691891128037"/>
    <n v="0"/>
    <n v="0"/>
    <n v="0"/>
    <n v="0"/>
    <n v="0"/>
    <n v="0"/>
    <n v="0"/>
    <n v="0"/>
    <n v="0"/>
    <n v="0"/>
    <n v="5447.786975379815"/>
    <n v="162.68965263522318"/>
    <n v="6.3168582425869459"/>
    <n v="0"/>
    <n v="211.52481120876018"/>
    <n v="0"/>
    <n v="-410.057672685527"/>
    <m/>
    <n v="0"/>
    <n v="0"/>
    <n v="-23.731733724803689"/>
    <n v="0"/>
    <n v="-64.5603117915025"/>
    <n v="-10.099390151756722"/>
    <n v="0"/>
    <n v="0"/>
    <m/>
    <m/>
    <m/>
    <n v="0"/>
    <n v="0"/>
    <n v="0"/>
    <n v="-266.37437000000136"/>
    <n v="5588.58702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2"/>
    <s v="Regular"/>
    <s v="Verde"/>
    <s v="A4"/>
    <s v="Rural"/>
    <s v="Agropecuária rural"/>
    <s v="Não se aplica"/>
    <s v="Não se aplica"/>
    <s v="Não se aplica"/>
    <s v="CATIVO"/>
    <x v="7"/>
    <n v="1536"/>
    <n v="1474.56"/>
    <n v="0"/>
    <n v="0"/>
    <n v="0"/>
    <n v="0"/>
    <n v="59.12"/>
    <m/>
    <m/>
    <n v="90808.319999999992"/>
    <m/>
    <n v="90808.319999999992"/>
    <n v="52270.080000000002"/>
    <n v="0"/>
    <n v="0"/>
    <n v="0"/>
    <n v="0"/>
    <n v="878.68471808053562"/>
    <n v="7859.7467914989011"/>
    <n v="73976.521347764283"/>
    <m/>
    <m/>
    <m/>
    <n v="0"/>
    <n v="0"/>
    <n v="0"/>
    <n v="0"/>
    <m/>
    <n v="0"/>
    <n v="1855.5987696999323"/>
    <n v="6237.6773591346282"/>
    <n v="0"/>
    <n v="0"/>
    <m/>
    <m/>
    <n v="0"/>
    <n v="0"/>
    <n v="0"/>
    <m/>
    <m/>
    <n v="0"/>
    <m/>
    <n v="0"/>
    <n v="0"/>
    <n v="0"/>
    <n v="0"/>
    <m/>
    <n v="0"/>
    <n v="0"/>
    <n v="817.38"/>
    <n v="3723.37"/>
    <n v="58.96"/>
    <n v="10"/>
    <m/>
    <m/>
    <m/>
    <m/>
    <m/>
    <n v="2090.8032000000021"/>
    <m/>
    <m/>
    <m/>
    <n v="0"/>
    <m/>
    <m/>
    <m/>
    <m/>
    <m/>
    <m/>
    <m/>
    <m/>
    <m/>
    <m/>
    <m/>
    <m/>
    <n v="50179.2768"/>
    <n v="-36996.740399999973"/>
    <m/>
    <m/>
    <m/>
    <m/>
    <n v="-38538.239999999991"/>
    <n v="0"/>
    <n v="29"/>
    <n v="635.10156161849955"/>
    <n v="180.16691738829286"/>
    <n v="605.63906368604148"/>
    <n v="0"/>
    <n v="0"/>
    <m/>
    <m/>
    <m/>
    <n v="-150.704419455836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976.521347764283"/>
    <m/>
    <n v="0"/>
    <n v="0"/>
    <n v="-38538.239999999991"/>
    <m/>
    <n v="0"/>
    <m/>
    <n v="-39166.64615330596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493"/>
    <s v="Regular"/>
    <s v="Verde"/>
    <s v="A4"/>
    <s v="Rural"/>
    <s v="Agropecuária rural"/>
    <s v="IRRIG./AQUIC. PR"/>
    <s v="Não se aplica"/>
    <s v="Fora ponta"/>
    <s v="CATIVO"/>
    <x v="7"/>
    <n v="0"/>
    <n v="0"/>
    <n v="144.37799999999999"/>
    <n v="43.313400000000001"/>
    <n v="144.37799999999999"/>
    <n v="43.313400000000001"/>
    <m/>
    <n v="70.33"/>
    <n v="173.82"/>
    <m/>
    <n v="35249.888699999996"/>
    <n v="35249.888699999996"/>
    <n v="38163.436739999997"/>
    <n v="0"/>
    <n v="7680.9134273858035"/>
    <n v="0"/>
    <n v="0"/>
    <n v="0"/>
    <n v="0"/>
    <n v="0"/>
    <n v="23233.616085201877"/>
    <n v="1168.86485357581"/>
    <n v="0"/>
    <n v="0"/>
    <n v="0"/>
    <n v="0"/>
    <n v="1364.5881844337505"/>
    <m/>
    <n v="179.422968049368"/>
    <n v="0"/>
    <n v="0"/>
    <n v="0"/>
    <n v="0"/>
    <n v="0"/>
    <n v="0"/>
    <n v="0"/>
    <n v="0"/>
    <n v="0"/>
    <n v="0"/>
    <n v="0"/>
    <n v="0"/>
    <m/>
    <n v="0"/>
    <n v="0"/>
    <n v="0"/>
    <n v="26.94001434640904"/>
    <n v="693.8356707859773"/>
    <n v="902.10690658965973"/>
    <n v="0"/>
    <n v="0"/>
    <n v="0"/>
    <n v="0"/>
    <n v="0"/>
    <m/>
    <m/>
    <m/>
    <m/>
    <m/>
    <m/>
    <n v="26714.405717999995"/>
    <m/>
    <m/>
    <n v="24856.498676923922"/>
    <m/>
    <m/>
    <m/>
    <m/>
    <m/>
    <m/>
    <m/>
    <m/>
    <m/>
    <m/>
    <m/>
    <m/>
    <n v="11448.132300000001"/>
    <n v="873.13569000000098"/>
    <m/>
    <m/>
    <m/>
    <m/>
    <n v="-145.82178000000073"/>
    <n v="3059.3698199999994"/>
    <n v="29"/>
    <n v="2912.2651496973485"/>
    <n v="0"/>
    <n v="0"/>
    <n v="0"/>
    <n v="0"/>
    <n v="0"/>
    <n v="0"/>
    <n v="0"/>
    <n v="0"/>
    <n v="0"/>
    <n v="0"/>
    <n v="2982.2914036763432"/>
    <n v="89.061476653515683"/>
    <n v="3.458048583809699"/>
    <n v="0"/>
    <n v="115.79539159351316"/>
    <n v="0"/>
    <n v="-224.47857777631089"/>
    <m/>
    <n v="0"/>
    <n v="0"/>
    <n v="-12.991503853155564"/>
    <n v="0"/>
    <n v="-35.342362640939655"/>
    <n v="-5.5287265394325971"/>
    <n v="0"/>
    <n v="0"/>
    <m/>
    <m/>
    <m/>
    <n v="0"/>
    <n v="0"/>
    <n v="0"/>
    <n v="-145.82178000000022"/>
    <n v="3059.36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4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7"/>
    <n v="1.26"/>
    <n v="9.210000000000000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495"/>
    <s v="Regular"/>
    <s v="Convencional"/>
    <s v="B2"/>
    <s v="Rural"/>
    <s v="Aquicultura"/>
    <s v="IRRIG./AQUIC."/>
    <s v="Não se aplica"/>
    <s v="Não se aplica"/>
    <s v="CATIVO"/>
    <x v="7"/>
    <n v="0"/>
    <n v="0"/>
    <n v="7.8E-2"/>
    <n v="7.8E-2"/>
    <n v="7.8E-2"/>
    <n v="7.8E-2"/>
    <m/>
    <n v="516.83000000000004"/>
    <n v="173.82"/>
    <m/>
    <n v="53.870700000000006"/>
    <n v="53.870700000000006"/>
    <n v="40.673099999999998"/>
    <n v="0"/>
    <n v="4.7696575491258484"/>
    <n v="0"/>
    <n v="0"/>
    <n v="0.21203863772448786"/>
    <n v="2.6852756987211479"/>
    <n v="28.362032023002524"/>
    <n v="12.551926572232242"/>
    <n v="0.63147750058120489"/>
    <n v="0"/>
    <n v="0"/>
    <n v="0"/>
    <n v="0"/>
    <n v="0.73721673929430065"/>
    <m/>
    <n v="0.12102027403827581"/>
    <n v="0.45228329477256429"/>
    <n v="1.4811666364254943"/>
    <n v="0"/>
    <n v="0"/>
    <n v="0"/>
    <n v="0"/>
    <n v="0"/>
    <n v="0"/>
    <n v="0"/>
    <n v="0"/>
    <n v="0"/>
    <n v="0"/>
    <m/>
    <n v="0"/>
    <n v="0"/>
    <n v="0"/>
    <n v="4.3275384130064272E-2"/>
    <n v="0.3748436903219759"/>
    <n v="1.4491092100793646"/>
    <n v="0"/>
    <n v="0"/>
    <n v="0"/>
    <n v="0"/>
    <n v="0"/>
    <m/>
    <m/>
    <m/>
    <m/>
    <m/>
    <n v="4.8804599999999994"/>
    <m/>
    <m/>
    <m/>
    <n v="14.419154856763647"/>
    <m/>
    <m/>
    <m/>
    <m/>
    <m/>
    <m/>
    <m/>
    <m/>
    <m/>
    <m/>
    <m/>
    <m/>
    <n v="36.7104"/>
    <n v="-10.725659999999998"/>
    <m/>
    <m/>
    <m/>
    <m/>
    <n v="-14.850420000000003"/>
    <n v="1.6528199999999997"/>
    <n v="29"/>
    <n v="1.8178585630926314"/>
    <n v="4.3913850524147813E-2"/>
    <n v="0.14381192280393118"/>
    <n v="0"/>
    <n v="0"/>
    <n v="0"/>
    <n v="0"/>
    <n v="0"/>
    <n v="-5.1488034664466387E-2"/>
    <n v="0"/>
    <n v="0"/>
    <n v="1.611178500095269"/>
    <n v="4.8115330444903071E-2"/>
    <n v="5.5548738349033011E-3"/>
    <n v="0"/>
    <n v="0.18600918274449429"/>
    <n v="0"/>
    <n v="-0.13939565303396506"/>
    <m/>
    <n v="0"/>
    <n v="0"/>
    <n v="-7.0186406554055836E-3"/>
    <n v="0"/>
    <n v="-1.9093658909205669E-2"/>
    <n v="-3.7291100919734921E-3"/>
    <n v="0"/>
    <n v="0"/>
    <m/>
    <m/>
    <m/>
    <n v="28.362032023002524"/>
    <n v="0"/>
    <n v="0"/>
    <n v="-14.850420000000007"/>
    <n v="1.6528200000000002"/>
    <n v="0"/>
    <n v="0"/>
    <n v="-15.016192329611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6"/>
    <s v="Regular"/>
    <s v="Convencional"/>
    <s v="B2"/>
    <s v="Rural"/>
    <s v="Aquicultura"/>
    <s v="IRRIG./AQUIC. PR"/>
    <s v="Não se aplica"/>
    <s v="Não se aplica"/>
    <s v="CATIVO"/>
    <x v="7"/>
    <n v="0"/>
    <n v="0"/>
    <n v="4.1000000000000002E-2"/>
    <n v="1.6400000000000001E-2"/>
    <n v="4.1000000000000002E-2"/>
    <n v="1.6400000000000001E-2"/>
    <m/>
    <n v="516.83000000000004"/>
    <n v="173.82"/>
    <m/>
    <n v="28.316650000000003"/>
    <n v="28.316650000000003"/>
    <n v="21.379449999999999"/>
    <n v="0"/>
    <n v="2.507127686078972"/>
    <n v="0"/>
    <n v="0"/>
    <n v="0.11145620700902568"/>
    <n v="1.4114910724047058"/>
    <n v="14.90824760183466"/>
    <n v="6.5978075571989985"/>
    <n v="0.33193048107473588"/>
    <n v="0"/>
    <n v="0"/>
    <n v="0"/>
    <n v="0"/>
    <n v="0.38751136296238886"/>
    <m/>
    <n v="6.3613220968837286E-2"/>
    <n v="0.23773865494455304"/>
    <n v="0.77856194991596495"/>
    <n v="0"/>
    <n v="0"/>
    <n v="0"/>
    <n v="0"/>
    <n v="0"/>
    <n v="0"/>
    <n v="0"/>
    <n v="0"/>
    <n v="0"/>
    <n v="0"/>
    <m/>
    <n v="0"/>
    <n v="0"/>
    <n v="0"/>
    <n v="2.2747317299136351E-2"/>
    <n v="0.19703322183591043"/>
    <n v="0.76171125145197371"/>
    <n v="0"/>
    <n v="0"/>
    <n v="0"/>
    <n v="0"/>
    <n v="0"/>
    <m/>
    <m/>
    <m/>
    <m/>
    <m/>
    <m/>
    <n v="13.853817999999999"/>
    <m/>
    <m/>
    <n v="7.5792993477860193"/>
    <m/>
    <m/>
    <m/>
    <m/>
    <m/>
    <m/>
    <m/>
    <m/>
    <m/>
    <m/>
    <m/>
    <m/>
    <n v="9.1776"/>
    <n v="-0.81982800000000111"/>
    <m/>
    <m/>
    <m/>
    <m/>
    <n v="-7.8059900000000022"/>
    <n v="0.86878999999999995"/>
    <n v="29"/>
    <n v="0.95554103957433156"/>
    <n v="2.3082921429359748E-2"/>
    <n v="7.5593446602066461E-2"/>
    <n v="0"/>
    <n v="0"/>
    <n v="0"/>
    <n v="0"/>
    <n v="0"/>
    <n v="-2.7064223349270611E-2"/>
    <n v="0"/>
    <n v="0"/>
    <n v="0.84690151928084667"/>
    <n v="2.5291391644115702E-2"/>
    <n v="2.9198695798850691E-3"/>
    <n v="0"/>
    <n v="9.7774057596464958E-2"/>
    <n v="0"/>
    <n v="-7.3272074030673817E-2"/>
    <m/>
    <n v="0"/>
    <n v="0"/>
    <n v="-3.6892854727131885E-3"/>
    <n v="0"/>
    <n v="-1.0036410452274769E-2"/>
    <n v="-1.9601732534732449E-3"/>
    <n v="0"/>
    <n v="0"/>
    <m/>
    <m/>
    <m/>
    <n v="14.90824760183466"/>
    <n v="0"/>
    <n v="0"/>
    <n v="-7.8059900000000031"/>
    <n v="0.86878999999999973"/>
    <n v="0"/>
    <n v="0"/>
    <n v="-7.8931267373601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7"/>
    <s v="Regular"/>
    <s v="Convencional"/>
    <s v="B1"/>
    <s v="Residencial"/>
    <s v="Residencial"/>
    <s v="Não se aplica"/>
    <s v="Não se aplica"/>
    <s v="Não se aplica"/>
    <s v="CATIVO"/>
    <x v="8"/>
    <n v="0"/>
    <n v="0"/>
    <n v="2375.2170000000001"/>
    <n v="2375.2170000000001"/>
    <n v="2375.2170000000001"/>
    <n v="2375.2170000000001"/>
    <m/>
    <n v="516.83000000000004"/>
    <n v="173.82"/>
    <m/>
    <n v="1640443.6210500002"/>
    <n v="1640443.6210500002"/>
    <n v="1238556.9046499999"/>
    <n v="0"/>
    <n v="145243.22685720579"/>
    <n v="0"/>
    <n v="0"/>
    <n v="6456.8945766672423"/>
    <n v="81770.67293960703"/>
    <n v="863666.41814846138"/>
    <n v="382224.99201433011"/>
    <n v="19229.437108948561"/>
    <n v="0"/>
    <n v="0"/>
    <n v="0"/>
    <n v="0"/>
    <n v="22449.355536620398"/>
    <m/>
    <n v="3685.2488748765559"/>
    <n v="13772.704750766743"/>
    <n v="45103.745829110936"/>
    <n v="0"/>
    <n v="0"/>
    <n v="0"/>
    <n v="0"/>
    <n v="0"/>
    <n v="0"/>
    <n v="0"/>
    <n v="0"/>
    <n v="0"/>
    <n v="0"/>
    <m/>
    <n v="0"/>
    <n v="0"/>
    <n v="0"/>
    <n v="1317.8003598366522"/>
    <n v="11414.552635839649"/>
    <n v="44127.549110731772"/>
    <n v="0"/>
    <n v="0.45"/>
    <n v="2.08"/>
    <n v="513781.9"/>
    <n v="12618"/>
    <m/>
    <m/>
    <m/>
    <m/>
    <m/>
    <m/>
    <m/>
    <m/>
    <m/>
    <n v="439084.8941207382"/>
    <m/>
    <m/>
    <m/>
    <m/>
    <m/>
    <m/>
    <m/>
    <m/>
    <m/>
    <m/>
    <m/>
    <m/>
    <n v="1238558.4689999998"/>
    <n v="-401885.18205000041"/>
    <m/>
    <m/>
    <m/>
    <m/>
    <n v="-452217.5646300001"/>
    <n v="50330.848229999996"/>
    <n v="31"/>
    <n v="55356.520034015179"/>
    <n v="1337.2426192360872"/>
    <n v="4379.288767263919"/>
    <n v="0"/>
    <n v="0"/>
    <n v="0"/>
    <n v="0"/>
    <n v="0"/>
    <n v="-1567.8878875849769"/>
    <n v="0"/>
    <n v="0"/>
    <n v="49062.802095651103"/>
    <n v="1465.1839850429678"/>
    <n v="169.15424058355802"/>
    <n v="0"/>
    <n v="5664.2586283439668"/>
    <n v="0"/>
    <n v="-4244.8067283637938"/>
    <m/>
    <n v="0"/>
    <n v="0"/>
    <n v="-213.72813591808153"/>
    <n v="0"/>
    <n v="-581.43055427367653"/>
    <n v="-113.55699596573095"/>
    <n v="0"/>
    <n v="0"/>
    <m/>
    <m/>
    <m/>
    <n v="863666.41814846138"/>
    <n v="0"/>
    <n v="0"/>
    <n v="-452217.56463000015"/>
    <n v="50330.848230000003"/>
    <n v="0"/>
    <n v="0"/>
    <n v="-457265.58072517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8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4.6639999999999997"/>
    <n v="-4.6639999999999997"/>
    <n v="-4.6639999999999997"/>
    <n v="-4.6639999999999997"/>
    <m/>
    <n v="516.83000000000004"/>
    <n v="173.82"/>
    <m/>
    <n v="-3221.1916000000001"/>
    <n v="-3221.1916000000001"/>
    <n v="-2432.0427999999997"/>
    <n v="0"/>
    <n v="-285.20106165542251"/>
    <n v="0"/>
    <n v="0"/>
    <n v="-12.678823158295017"/>
    <n v="-160.5657161389158"/>
    <n v="-1695.904068657484"/>
    <n v="-750.54084016527145"/>
    <n v="-37.759116188599222"/>
    <n v="0"/>
    <n v="0"/>
    <n v="0"/>
    <n v="0"/>
    <n v="-44.08178041113613"/>
    <m/>
    <n v="-7.2363917706989529"/>
    <n v="-27.04422162588769"/>
    <n v="-88.566169131903905"/>
    <n v="0"/>
    <n v="0"/>
    <n v="0"/>
    <n v="0"/>
    <n v="0"/>
    <n v="0"/>
    <n v="0"/>
    <n v="0"/>
    <n v="0"/>
    <n v="0"/>
    <m/>
    <n v="0"/>
    <n v="0"/>
    <n v="0"/>
    <n v="-2.5876460459310224"/>
    <n v="-22.413730405919175"/>
    <n v="-86.64929943346354"/>
    <n v="0"/>
    <n v="-11.13"/>
    <n v="-50.69"/>
    <n v="-1065.75"/>
    <n v="0"/>
    <m/>
    <m/>
    <m/>
    <m/>
    <m/>
    <m/>
    <m/>
    <m/>
    <m/>
    <n v="-862.19151605058516"/>
    <m/>
    <m/>
    <m/>
    <m/>
    <m/>
    <m/>
    <m/>
    <m/>
    <m/>
    <m/>
    <m/>
    <m/>
    <n v="-2429.9569999999999"/>
    <n v="791.20459999999957"/>
    <m/>
    <m/>
    <m/>
    <m/>
    <n v="887.97896000000014"/>
    <n v="-98.830159999999978"/>
    <n v="31"/>
    <n v="-108.69861972133413"/>
    <n v="-2.6258230621105803"/>
    <n v="-8.5992154866350745"/>
    <n v="0"/>
    <n v="0"/>
    <n v="0"/>
    <n v="0"/>
    <n v="0"/>
    <n v="3.0787204317316537"/>
    <n v="0"/>
    <n v="0"/>
    <n v="-96.340211851850427"/>
    <n v="-2.8770500153208687"/>
    <n v="-0.33215296879473089"/>
    <n v="0"/>
    <n v="-11.12239523487591"/>
    <n v="0"/>
    <n v="8.3351452019283556"/>
    <m/>
    <n v="0"/>
    <n v="0"/>
    <n v="0.41967871816424918"/>
    <n v="0"/>
    <n v="1.1417028865709611"/>
    <n v="0.22298165985851703"/>
    <n v="0"/>
    <n v="0"/>
    <m/>
    <m/>
    <m/>
    <n v="-1695.904068657484"/>
    <n v="0"/>
    <n v="0"/>
    <n v="887.97896000000014"/>
    <n v="-98.830159999999978"/>
    <n v="0"/>
    <n v="0"/>
    <n v="897.89129519628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499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33.536000000000001"/>
    <n v="33.536000000000001"/>
    <n v="33.536000000000001"/>
    <n v="33.536000000000001"/>
    <m/>
    <n v="516.83000000000004"/>
    <n v="173.82"/>
    <m/>
    <n v="23161.638400000003"/>
    <n v="23161.638400000003"/>
    <n v="17487.3472"/>
    <n v="0"/>
    <n v="2050.7081483010829"/>
    <n v="0"/>
    <n v="0"/>
    <n v="91.165740445236224"/>
    <n v="1154.5308440040053"/>
    <n v="12194.219306710418"/>
    <n v="5396.6847375176985"/>
    <n v="271.50294178834986"/>
    <n v="0"/>
    <n v="0"/>
    <n v="0"/>
    <n v="0"/>
    <n v="316.96539190991882"/>
    <m/>
    <n v="52.032511668559202"/>
    <n v="194.45862273708613"/>
    <n v="636.82569639955614"/>
    <n v="0"/>
    <n v="0"/>
    <n v="0"/>
    <n v="0"/>
    <n v="0"/>
    <n v="0"/>
    <n v="0"/>
    <n v="0"/>
    <n v="0"/>
    <n v="0"/>
    <m/>
    <n v="0"/>
    <n v="0"/>
    <n v="0"/>
    <n v="18.606195925459428"/>
    <n v="161.16356408509981"/>
    <n v="623.04264704130219"/>
    <n v="0"/>
    <n v="0"/>
    <n v="0"/>
    <n v="19549.38"/>
    <n v="333"/>
    <m/>
    <m/>
    <m/>
    <m/>
    <m/>
    <m/>
    <m/>
    <m/>
    <m/>
    <n v="6199.4971445695601"/>
    <m/>
    <m/>
    <m/>
    <m/>
    <m/>
    <m/>
    <m/>
    <m/>
    <m/>
    <m/>
    <m/>
    <m/>
    <n v="17489.432999999997"/>
    <n v="-5672.2354000000014"/>
    <m/>
    <m/>
    <m/>
    <m/>
    <n v="-6384.9190400000016"/>
    <n v="710.62783999999999"/>
    <n v="31"/>
    <n v="781.5859586137758"/>
    <n v="18.880703733048961"/>
    <n v="61.83175183529022"/>
    <n v="0"/>
    <n v="0"/>
    <n v="0"/>
    <n v="0"/>
    <n v="0"/>
    <n v="-22.137214493686315"/>
    <n v="0"/>
    <n v="0"/>
    <n v="692.72413050249907"/>
    <n v="20.687124638465008"/>
    <n v="2.3883108836835554"/>
    <n v="0"/>
    <n v="79.974409647684183"/>
    <n v="0"/>
    <n v="-59.932982309577483"/>
    <m/>
    <n v="0"/>
    <n v="0"/>
    <n v="-3.0176555515344035"/>
    <n v="0"/>
    <n v="-8.2092941689630834"/>
    <n v="-1.6033261031336323"/>
    <n v="0"/>
    <n v="0"/>
    <m/>
    <m/>
    <m/>
    <n v="12194.219306710418"/>
    <n v="0"/>
    <n v="0"/>
    <n v="-6384.9190400000025"/>
    <n v="710.6278399999992"/>
    <n v="0"/>
    <n v="0"/>
    <n v="-6456.1926405880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0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35.520000000000003"/>
    <n v="35.520000000000003"/>
    <n v="35.520000000000003"/>
    <n v="35.520000000000003"/>
    <m/>
    <n v="446.23"/>
    <n v="173.82"/>
    <m/>
    <n v="22024.175999999999"/>
    <n v="22024.175999999999"/>
    <n v="16086.297600000002"/>
    <n v="0"/>
    <n v="0"/>
    <n v="0"/>
    <n v="0"/>
    <n v="96.55913348684372"/>
    <n v="1222.8332412637844"/>
    <n v="12915.63304432115"/>
    <n v="5715.9542544319138"/>
    <n v="287.56513872621025"/>
    <n v="0"/>
    <n v="0"/>
    <n v="0"/>
    <n v="0"/>
    <n v="0"/>
    <m/>
    <n v="55.110770946660992"/>
    <n v="205.96285423489084"/>
    <n v="674.50049904914817"/>
    <n v="0"/>
    <n v="0"/>
    <n v="0"/>
    <n v="0"/>
    <n v="0"/>
    <n v="0"/>
    <n v="0"/>
    <n v="0"/>
    <n v="0"/>
    <n v="0"/>
    <m/>
    <n v="0"/>
    <n v="0"/>
    <n v="0"/>
    <n v="19.70694415769081"/>
    <n v="170.6980497466229"/>
    <n v="659.90204028229539"/>
    <n v="0"/>
    <n v="0"/>
    <n v="0"/>
    <n v="1765.36"/>
    <n v="77"/>
    <m/>
    <m/>
    <m/>
    <m/>
    <m/>
    <m/>
    <m/>
    <n v="10456.022400000002"/>
    <m/>
    <n v="6566.2612886185225"/>
    <m/>
    <m/>
    <m/>
    <m/>
    <m/>
    <m/>
    <m/>
    <m/>
    <m/>
    <m/>
    <m/>
    <m/>
    <n v="5630.2752"/>
    <n v="-2078.3052000000025"/>
    <m/>
    <m/>
    <m/>
    <m/>
    <n v="-6690.5472000000009"/>
    <n v="752.66880000000003"/>
    <n v="31"/>
    <n v="899.99841693937742"/>
    <n v="19.997691930996552"/>
    <n v="65.489737153790315"/>
    <n v="0"/>
    <n v="0"/>
    <n v="0"/>
    <n v="0"/>
    <n v="0"/>
    <n v="-23.44685886258776"/>
    <n v="0"/>
    <n v="0"/>
    <n v="733.70590158184496"/>
    <n v="21.91098124875586"/>
    <n v="2.5296040848175032"/>
    <n v="0"/>
    <n v="84.705720142108134"/>
    <n v="0"/>
    <n v="0"/>
    <m/>
    <n v="0"/>
    <n v="0"/>
    <n v="-3.1961809753847206"/>
    <n v="0"/>
    <n v="0"/>
    <n v="-1.6981793649602395"/>
    <n v="0"/>
    <n v="0"/>
    <m/>
    <m/>
    <m/>
    <n v="12915.63304432115"/>
    <n v="0"/>
    <n v="0"/>
    <n v="-6690.5472000000009"/>
    <n v="752.66880000000037"/>
    <n v="0"/>
    <n v="0"/>
    <n v="-6838.1429685617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1"/>
    <s v="Refaturamento - 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3"/>
    <n v="0.03"/>
    <n v="0.03"/>
    <n v="0.03"/>
    <m/>
    <n v="446.23"/>
    <n v="173.82"/>
    <m/>
    <n v="18.601500000000001"/>
    <n v="18.601500000000001"/>
    <n v="13.586399999999999"/>
    <n v="0"/>
    <n v="0"/>
    <n v="0"/>
    <n v="0"/>
    <n v="8.1553322201726106E-2"/>
    <n v="1.0327983456619798"/>
    <n v="10.90847385500097"/>
    <n v="4.8276640662431696"/>
    <n v="0.24287596176200188"/>
    <n v="0"/>
    <n v="0"/>
    <n v="0"/>
    <n v="0"/>
    <n v="0"/>
    <m/>
    <n v="4.6546259245490697E-2"/>
    <n v="0.17395511337406319"/>
    <n v="0.56967947554826703"/>
    <n v="0"/>
    <n v="0"/>
    <n v="0"/>
    <n v="0"/>
    <n v="0"/>
    <n v="0"/>
    <n v="0"/>
    <n v="0"/>
    <n v="0"/>
    <n v="0"/>
    <m/>
    <n v="0"/>
    <n v="0"/>
    <n v="0"/>
    <n v="1.6644378511563182E-2"/>
    <n v="0.14417065012383687"/>
    <n v="0.55734969618437102"/>
    <n v="0"/>
    <n v="0.1"/>
    <n v="0.49"/>
    <n v="1.78"/>
    <n v="0"/>
    <m/>
    <m/>
    <m/>
    <m/>
    <m/>
    <m/>
    <m/>
    <n v="8.8310999999999993"/>
    <m/>
    <n v="5.5458287910629398"/>
    <m/>
    <m/>
    <m/>
    <m/>
    <m/>
    <m/>
    <m/>
    <m/>
    <m/>
    <m/>
    <m/>
    <m/>
    <n v="4.7553000000000001"/>
    <n v="-1.7852999999999994"/>
    <m/>
    <m/>
    <m/>
    <m/>
    <n v="-5.6508000000000003"/>
    <n v="0.63569999999999993"/>
    <n v="31"/>
    <n v="0.7601337980906937"/>
    <n v="1.6889942509287603E-2"/>
    <n v="5.531227800151195E-2"/>
    <n v="0"/>
    <n v="0"/>
    <n v="0"/>
    <n v="0"/>
    <n v="0"/>
    <n v="-1.9803090255563705E-2"/>
    <n v="0"/>
    <n v="0"/>
    <n v="0.6196840384981801"/>
    <n v="1.8505896324962745E-2"/>
    <n v="2.1364899365012673E-3"/>
    <n v="0"/>
    <n v="7.1541993363266942E-2"/>
    <n v="0"/>
    <n v="0"/>
    <m/>
    <n v="0"/>
    <n v="0"/>
    <n v="-2.6994771751560065E-3"/>
    <n v="0"/>
    <n v="0"/>
    <n v="-1.4342731122974975E-3"/>
    <n v="0"/>
    <n v="0"/>
    <m/>
    <m/>
    <m/>
    <n v="10.90847385500097"/>
    <n v="0"/>
    <n v="0"/>
    <n v="-5.6508000000000012"/>
    <n v="0.63569999999999993"/>
    <n v="0"/>
    <n v="0"/>
    <n v="-5.775458588312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2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9"/>
    <n v="-0.26100000000000001"/>
    <n v="0.09"/>
    <n v="-0.26100000000000001"/>
    <m/>
    <n v="446.23"/>
    <n v="173.82"/>
    <m/>
    <n v="55.804499999999997"/>
    <n v="55.804499999999997"/>
    <n v="40.7592"/>
    <n v="0"/>
    <n v="0"/>
    <n v="0"/>
    <n v="0"/>
    <n v="0.2446599666051783"/>
    <n v="3.0983950369859397"/>
    <n v="32.725421565002911"/>
    <n v="14.482992198729509"/>
    <n v="0.72862788528600564"/>
    <n v="0"/>
    <n v="0"/>
    <n v="0"/>
    <n v="0"/>
    <n v="0"/>
    <m/>
    <n v="0.1396387777364721"/>
    <n v="0.52186534012218955"/>
    <n v="1.7090384266448009"/>
    <n v="0"/>
    <n v="0"/>
    <n v="0"/>
    <n v="0"/>
    <n v="0"/>
    <n v="0"/>
    <n v="0"/>
    <n v="0"/>
    <n v="0"/>
    <n v="0"/>
    <m/>
    <n v="0"/>
    <n v="0"/>
    <n v="0"/>
    <n v="4.9933135534689539E-2"/>
    <n v="0.43251195037151063"/>
    <n v="1.672049088553113"/>
    <n v="0"/>
    <n v="0"/>
    <n v="0"/>
    <n v="7.44"/>
    <n v="0"/>
    <m/>
    <m/>
    <m/>
    <m/>
    <m/>
    <m/>
    <m/>
    <n v="82.130309999999994"/>
    <m/>
    <n v="16.637486373188825"/>
    <m/>
    <m/>
    <m/>
    <m/>
    <m/>
    <m/>
    <m/>
    <m/>
    <m/>
    <m/>
    <m/>
    <m/>
    <n v="-41.212600000000002"/>
    <n v="15.399620000000013"/>
    <m/>
    <m/>
    <m/>
    <m/>
    <n v="-16.952400000000001"/>
    <n v="1.9070999999999998"/>
    <n v="31"/>
    <n v="2.2804013942720829"/>
    <n v="5.0669827527862865E-2"/>
    <n v="0.16593683400453618"/>
    <n v="0"/>
    <n v="0"/>
    <n v="0"/>
    <n v="0"/>
    <n v="0"/>
    <n v="-5.940927076669178E-2"/>
    <n v="0"/>
    <n v="0"/>
    <n v="1.8590521154945421"/>
    <n v="5.551768897488818E-2"/>
    <n v="6.4094698095038122E-3"/>
    <n v="0"/>
    <n v="0.21462598008980116"/>
    <n v="0"/>
    <n v="0"/>
    <m/>
    <n v="0"/>
    <n v="0"/>
    <n v="-8.098431525467964E-3"/>
    <n v="0"/>
    <n v="0"/>
    <n v="-4.3028193368924994E-3"/>
    <n v="0"/>
    <n v="0"/>
    <m/>
    <m/>
    <m/>
    <n v="32.725421565002911"/>
    <n v="0"/>
    <n v="0"/>
    <n v="-16.952399999999997"/>
    <n v="1.9070999999999998"/>
    <n v="0"/>
    <n v="0"/>
    <n v="-17.326375764936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73.31"/>
    <n v="73.31"/>
    <n v="73.31"/>
    <n v="73.31"/>
    <m/>
    <n v="446.23"/>
    <n v="173.82"/>
    <m/>
    <n v="45455.8655"/>
    <n v="45455.8655"/>
    <n v="33200.632799999999"/>
    <n v="0"/>
    <n v="0"/>
    <n v="0"/>
    <n v="0"/>
    <n v="199.2891350202847"/>
    <n v="2523.8148906826582"/>
    <n v="26656.673943670703"/>
    <n v="11797.201756542892"/>
    <n v="593.50789189241198"/>
    <n v="0"/>
    <n v="0"/>
    <n v="0"/>
    <n v="0"/>
    <n v="0"/>
    <m/>
    <n v="113.74354217623078"/>
    <n v="425.08831204841914"/>
    <n v="1392.1067450814485"/>
    <n v="0"/>
    <n v="0"/>
    <n v="0"/>
    <n v="0"/>
    <n v="0"/>
    <n v="0"/>
    <n v="0"/>
    <n v="0"/>
    <n v="0"/>
    <n v="0"/>
    <m/>
    <n v="0"/>
    <n v="0"/>
    <n v="0"/>
    <n v="40.673312956089894"/>
    <n v="352.30501201928274"/>
    <n v="1361.9768742425413"/>
    <n v="0"/>
    <n v="0"/>
    <n v="0"/>
    <n v="6612.27"/>
    <n v="153"/>
    <m/>
    <m/>
    <m/>
    <m/>
    <m/>
    <m/>
    <m/>
    <n v="13280.839599999999"/>
    <m/>
    <n v="13552.156955760805"/>
    <m/>
    <m/>
    <m/>
    <m/>
    <m/>
    <m/>
    <m/>
    <m/>
    <m/>
    <m/>
    <m/>
    <m/>
    <n v="19919.7932"/>
    <n v="-7353.7560999999951"/>
    <m/>
    <m/>
    <m/>
    <m/>
    <n v="-13808.671600000001"/>
    <n v="1553.4388999999999"/>
    <n v="31"/>
    <n v="1857.5136246009642"/>
    <n v="41.27338951186249"/>
    <n v="135.16477000969485"/>
    <n v="0"/>
    <n v="0"/>
    <n v="0"/>
    <n v="0"/>
    <n v="0"/>
    <n v="-48.392151554512566"/>
    <n v="0"/>
    <n v="0"/>
    <n v="1514.3012287433867"/>
    <n v="45.222241986100585"/>
    <n v="5.220869241496942"/>
    <n v="0"/>
    <n v="174.82478444870367"/>
    <n v="0"/>
    <n v="0"/>
    <m/>
    <n v="0"/>
    <n v="0"/>
    <n v="-6.5966223903562877"/>
    <n v="0"/>
    <n v="0"/>
    <n v="-3.5048853954176593"/>
    <n v="0"/>
    <n v="0"/>
    <m/>
    <m/>
    <m/>
    <n v="26656.673943670703"/>
    <n v="0"/>
    <n v="0"/>
    <n v="-13808.671600000001"/>
    <n v="1553.438900000001"/>
    <n v="0"/>
    <n v="0"/>
    <n v="-14113.29563697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4"/>
    <s v="Refaturamento - 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7.0000000000000007E-2"/>
    <n v="7.0000000000000007E-2"/>
    <n v="7.0000000000000007E-2"/>
    <n v="7.0000000000000007E-2"/>
    <m/>
    <n v="446.23"/>
    <n v="173.82"/>
    <m/>
    <n v="43.403500000000008"/>
    <n v="43.403500000000008"/>
    <n v="31.701600000000003"/>
    <n v="0"/>
    <n v="0"/>
    <n v="0"/>
    <n v="0"/>
    <n v="0.19029108513736093"/>
    <n v="2.4098628065446199"/>
    <n v="25.453105661668932"/>
    <n v="11.26454948790073"/>
    <n v="0.56671057744467113"/>
    <n v="0"/>
    <n v="0"/>
    <n v="0"/>
    <n v="0"/>
    <n v="0"/>
    <m/>
    <n v="0.1086079382394783"/>
    <n v="0.40589526453948083"/>
    <n v="1.3292521096126231"/>
    <n v="0"/>
    <n v="0"/>
    <n v="0"/>
    <n v="0"/>
    <n v="0"/>
    <n v="0"/>
    <n v="0"/>
    <n v="0"/>
    <n v="0"/>
    <n v="0"/>
    <m/>
    <n v="0"/>
    <n v="0"/>
    <n v="0"/>
    <n v="3.8836883193647427E-2"/>
    <n v="0.33639818362228613"/>
    <n v="1.3004826244301992"/>
    <n v="0"/>
    <n v="0.24"/>
    <n v="1.1399999999999999"/>
    <n v="6.8"/>
    <n v="0"/>
    <m/>
    <m/>
    <m/>
    <m/>
    <m/>
    <m/>
    <m/>
    <n v="12.6812"/>
    <m/>
    <n v="12.940267179146863"/>
    <m/>
    <m/>
    <m/>
    <m/>
    <m/>
    <m/>
    <m/>
    <m/>
    <m/>
    <m/>
    <m/>
    <m/>
    <n v="19.020400000000002"/>
    <n v="-7.0517000000000039"/>
    <m/>
    <m/>
    <m/>
    <m/>
    <n v="-13.185200000000002"/>
    <n v="1.4833000000000001"/>
    <n v="31"/>
    <n v="1.7736455288782835"/>
    <n v="3.9409865855004445E-2"/>
    <n v="0.12906198200352814"/>
    <n v="0"/>
    <n v="0"/>
    <n v="0"/>
    <n v="0"/>
    <n v="0"/>
    <n v="-4.6207210596315829E-2"/>
    <n v="0"/>
    <n v="0"/>
    <n v="1.4459294231624202"/>
    <n v="4.318042475824635E-2"/>
    <n v="4.985143185169634E-3"/>
    <n v="0"/>
    <n v="0.16693131784762305"/>
    <n v="0"/>
    <n v="0"/>
    <m/>
    <n v="0"/>
    <n v="0"/>
    <n v="-6.2987800753639966E-3"/>
    <n v="0"/>
    <n v="0"/>
    <n v="-3.3466372620274965E-3"/>
    <n v="0"/>
    <n v="0"/>
    <m/>
    <m/>
    <m/>
    <n v="25.453105661668932"/>
    <n v="0"/>
    <n v="0"/>
    <n v="-13.185200000000002"/>
    <n v="1.4832999999999998"/>
    <n v="0"/>
    <n v="0"/>
    <n v="-13.47607003939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5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7.4999999999999997E-2"/>
    <n v="-0.105"/>
    <n v="7.4999999999999997E-2"/>
    <n v="-0.105"/>
    <m/>
    <n v="446.23"/>
    <n v="173.82"/>
    <m/>
    <n v="46.503749999999997"/>
    <n v="46.503749999999997"/>
    <n v="33.966000000000001"/>
    <n v="0"/>
    <n v="0"/>
    <n v="0"/>
    <n v="0"/>
    <n v="0.20388330550431524"/>
    <n v="2.5819958641549499"/>
    <n v="27.271184637502426"/>
    <n v="12.069160165607924"/>
    <n v="0.60718990440500464"/>
    <n v="0"/>
    <n v="0"/>
    <n v="0"/>
    <n v="0"/>
    <n v="0"/>
    <m/>
    <n v="0.11636564811372674"/>
    <n v="0.43488778343515799"/>
    <n v="1.4241986888706675"/>
    <n v="0"/>
    <n v="0"/>
    <n v="0"/>
    <n v="0"/>
    <n v="0"/>
    <n v="0"/>
    <n v="0"/>
    <n v="0"/>
    <n v="0"/>
    <n v="0"/>
    <m/>
    <n v="0"/>
    <n v="0"/>
    <n v="0"/>
    <n v="4.1610946278907955E-2"/>
    <n v="0.36042662530959219"/>
    <n v="1.3933742404609275"/>
    <n v="0"/>
    <n v="0"/>
    <n v="0"/>
    <n v="23.93"/>
    <n v="0"/>
    <m/>
    <m/>
    <m/>
    <m/>
    <m/>
    <m/>
    <m/>
    <n v="62.496599999999994"/>
    <m/>
    <n v="13.864571977657352"/>
    <m/>
    <m/>
    <m/>
    <m/>
    <m/>
    <m/>
    <m/>
    <m/>
    <m/>
    <m/>
    <m/>
    <m/>
    <n v="-29.889200000000002"/>
    <n v="9.1439499999999967"/>
    <m/>
    <m/>
    <m/>
    <m/>
    <n v="-14.127000000000001"/>
    <n v="1.5892499999999998"/>
    <n v="31"/>
    <n v="1.9003344952267298"/>
    <n v="4.2224856273219036E-2"/>
    <n v="0.13828069500378004"/>
    <n v="0"/>
    <n v="0"/>
    <n v="0"/>
    <n v="0"/>
    <n v="0"/>
    <n v="-4.9507725638910038E-2"/>
    <n v="0"/>
    <n v="0"/>
    <n v="1.5492100962454511"/>
    <n v="4.6264740812406835E-2"/>
    <n v="5.3412248412531699E-3"/>
    <n v="0"/>
    <n v="0.17885498340816763"/>
    <n v="0"/>
    <n v="0"/>
    <m/>
    <n v="0"/>
    <n v="0"/>
    <n v="-6.748692937889933E-3"/>
    <n v="0"/>
    <n v="0"/>
    <n v="-3.5856827807437541E-3"/>
    <n v="0"/>
    <n v="0"/>
    <m/>
    <m/>
    <m/>
    <n v="27.271184637502426"/>
    <n v="0"/>
    <n v="0"/>
    <n v="-14.126999999999999"/>
    <n v="1.5892499999999998"/>
    <n v="0"/>
    <n v="0"/>
    <n v="-14.43864647078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6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81.613"/>
    <n v="81.613"/>
    <n v="81.613"/>
    <n v="81.613"/>
    <m/>
    <n v="446.23"/>
    <n v="173.82"/>
    <m/>
    <n v="50604.140650000001"/>
    <n v="50604.140650000001"/>
    <n v="36960.89544"/>
    <n v="0"/>
    <n v="0"/>
    <n v="0"/>
    <n v="0"/>
    <n v="221.86037616164907"/>
    <n v="2809.659046150372"/>
    <n v="29675.775890939807"/>
    <n v="13133.33824794346"/>
    <n v="660.72786224274194"/>
    <n v="0"/>
    <n v="0"/>
    <n v="0"/>
    <n v="0"/>
    <n v="0"/>
    <m/>
    <n v="126.62599519340775"/>
    <n v="473.23328892658066"/>
    <n v="1549.7750345973573"/>
    <n v="0"/>
    <n v="0"/>
    <n v="0"/>
    <n v="0"/>
    <n v="0"/>
    <n v="0"/>
    <n v="0"/>
    <n v="0"/>
    <n v="0"/>
    <n v="0"/>
    <m/>
    <n v="0"/>
    <n v="0"/>
    <n v="0"/>
    <n v="45.279922115473532"/>
    <n v="392.20664228522332"/>
    <n v="1516.232691823169"/>
    <n v="0"/>
    <n v="0"/>
    <n v="0"/>
    <n v="11083.99"/>
    <n v="563"/>
    <m/>
    <m/>
    <m/>
    <m/>
    <m/>
    <m/>
    <m/>
    <n v="3695.4366400000004"/>
    <m/>
    <n v="15087.057504167326"/>
    <m/>
    <m/>
    <m/>
    <m/>
    <m/>
    <m/>
    <m/>
    <m/>
    <m/>
    <m/>
    <m/>
    <m/>
    <n v="33264.235999999997"/>
    <n v="-12279.928650000009"/>
    <m/>
    <m/>
    <m/>
    <m/>
    <n v="-15372.624680000001"/>
    <n v="1729.3794699999999"/>
    <n v="31"/>
    <n v="2067.893322119191"/>
    <n v="45.947962600349626"/>
    <n v="150.47336481791331"/>
    <n v="0"/>
    <n v="0"/>
    <n v="0"/>
    <n v="0"/>
    <n v="0"/>
    <n v="-53.87298683424433"/>
    <n v="0"/>
    <n v="0"/>
    <n v="1685.8091144650662"/>
    <n v="50.34405722563946"/>
    <n v="5.8121784395892675"/>
    <n v="0"/>
    <n v="194.62522347854383"/>
    <n v="0"/>
    <n v="0"/>
    <m/>
    <n v="0"/>
    <n v="0"/>
    <n v="-7.3437476898668592"/>
    <n v="0"/>
    <n v="0"/>
    <n v="-3.9018443837978651"/>
    <n v="0"/>
    <n v="0"/>
    <m/>
    <m/>
    <m/>
    <n v="29675.775890939807"/>
    <n v="0"/>
    <n v="0"/>
    <n v="-15372.624679999997"/>
    <n v="1729.3794699999999"/>
    <n v="0"/>
    <n v="0"/>
    <n v="-15711.750058931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7"/>
    <s v="Refaturamento - 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4.2999999999999997E-2"/>
    <n v="4.2999999999999997E-2"/>
    <n v="4.2999999999999997E-2"/>
    <n v="4.2999999999999997E-2"/>
    <m/>
    <n v="446.23"/>
    <n v="173.82"/>
    <m/>
    <n v="26.662149999999997"/>
    <n v="26.662149999999997"/>
    <n v="19.473839999999999"/>
    <n v="0"/>
    <n v="0"/>
    <n v="0"/>
    <n v="0"/>
    <n v="0.11689309515580741"/>
    <n v="1.4803442954488377"/>
    <n v="15.635479192168056"/>
    <n v="6.919651828281876"/>
    <n v="0.34812221185886932"/>
    <n v="0"/>
    <n v="0"/>
    <n v="0"/>
    <n v="0"/>
    <n v="0"/>
    <m/>
    <n v="6.6716304918536667E-2"/>
    <n v="0.24933566250282391"/>
    <n v="0.81654058161918264"/>
    <n v="0"/>
    <n v="0"/>
    <n v="0"/>
    <n v="0"/>
    <n v="0"/>
    <n v="0"/>
    <n v="0"/>
    <n v="0"/>
    <n v="0"/>
    <n v="0"/>
    <m/>
    <n v="0"/>
    <n v="0"/>
    <n v="0"/>
    <n v="2.3856942533240558E-2"/>
    <n v="0.20664459851083286"/>
    <n v="0.79886789786426504"/>
    <n v="0"/>
    <n v="0.16"/>
    <n v="0.69"/>
    <n v="6.12"/>
    <n v="0"/>
    <m/>
    <m/>
    <m/>
    <m/>
    <m/>
    <m/>
    <m/>
    <n v="1.9470399999999999"/>
    <m/>
    <n v="7.9490212671902141"/>
    <m/>
    <m/>
    <m/>
    <m/>
    <m/>
    <m/>
    <m/>
    <m/>
    <m/>
    <m/>
    <m/>
    <m/>
    <n v="16.303999999999998"/>
    <n v="-7.7221500000000063"/>
    <m/>
    <m/>
    <m/>
    <m/>
    <n v="-8.0994799999999998"/>
    <n v="0.91116999999999981"/>
    <n v="31"/>
    <n v="1.0895251105966608"/>
    <n v="2.4208917596645563E-2"/>
    <n v="7.928093180216722E-2"/>
    <n v="0"/>
    <n v="0"/>
    <n v="0"/>
    <n v="0"/>
    <n v="0"/>
    <n v="-2.838442936630825E-2"/>
    <n v="0"/>
    <n v="0"/>
    <n v="0.88821378851405886"/>
    <n v="2.6525118065779896E-2"/>
    <n v="3.0623022423184876E-3"/>
    <n v="0"/>
    <n v="0.10254352382068277"/>
    <n v="0"/>
    <n v="0"/>
    <m/>
    <n v="0"/>
    <n v="0"/>
    <n v="-3.8692506177235853E-3"/>
    <n v="0"/>
    <n v="0"/>
    <n v="-2.0557914609597577E-3"/>
    <n v="0"/>
    <n v="0"/>
    <m/>
    <m/>
    <m/>
    <n v="15.635479192168056"/>
    <n v="0"/>
    <n v="0"/>
    <n v="-8.0994799999999998"/>
    <n v="0.91117000000000026"/>
    <n v="0"/>
    <n v="0"/>
    <n v="-8.2781573099142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8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12"/>
    <n v="4.8000000000000001E-2"/>
    <n v="0.12"/>
    <n v="4.8000000000000001E-2"/>
    <m/>
    <n v="446.23"/>
    <n v="173.82"/>
    <m/>
    <n v="74.406000000000006"/>
    <n v="74.406000000000006"/>
    <n v="54.345599999999997"/>
    <n v="0"/>
    <n v="0"/>
    <n v="0"/>
    <n v="0"/>
    <n v="0.32621328880690442"/>
    <n v="4.1311933826479192"/>
    <n v="43.633895420003881"/>
    <n v="19.310656264972678"/>
    <n v="0.97150384704800752"/>
    <n v="0"/>
    <n v="0"/>
    <n v="0"/>
    <n v="0"/>
    <n v="0"/>
    <m/>
    <n v="0.18618503698196279"/>
    <n v="0.69582045349625277"/>
    <n v="2.2787179021930681"/>
    <n v="0"/>
    <n v="0"/>
    <n v="0"/>
    <n v="0"/>
    <n v="0"/>
    <n v="0"/>
    <n v="0"/>
    <n v="0"/>
    <n v="0"/>
    <n v="0"/>
    <m/>
    <n v="0"/>
    <n v="0"/>
    <n v="0"/>
    <n v="6.6577514046252728E-2"/>
    <n v="0.57668260049534747"/>
    <n v="2.2293987847374841"/>
    <n v="0"/>
    <n v="0"/>
    <n v="0"/>
    <n v="54.88"/>
    <n v="1"/>
    <m/>
    <m/>
    <m/>
    <m/>
    <m/>
    <m/>
    <m/>
    <n v="34.780799999999999"/>
    <m/>
    <n v="22.183315164251759"/>
    <m/>
    <m/>
    <m/>
    <m/>
    <m/>
    <m/>
    <m/>
    <m/>
    <m/>
    <m/>
    <m/>
    <m/>
    <n v="20.380000000000003"/>
    <n v="-6.4364000000000026"/>
    <m/>
    <m/>
    <m/>
    <m/>
    <n v="-22.603200000000001"/>
    <n v="2.5427999999999997"/>
    <n v="31"/>
    <n v="3.0405351923627748"/>
    <n v="6.7559770037150413E-2"/>
    <n v="0.2212491120060478"/>
    <n v="0"/>
    <n v="0"/>
    <n v="0"/>
    <n v="0"/>
    <n v="0"/>
    <n v="-7.9212361022254818E-2"/>
    <n v="0"/>
    <n v="0"/>
    <n v="2.4787361539927204"/>
    <n v="7.402358529985098E-2"/>
    <n v="8.545959746005069E-3"/>
    <n v="0"/>
    <n v="0.28616797345306777"/>
    <n v="0"/>
    <n v="0"/>
    <m/>
    <n v="0"/>
    <n v="0"/>
    <n v="-1.0797908700624026E-2"/>
    <n v="0"/>
    <n v="0"/>
    <n v="-5.73709244918999E-3"/>
    <n v="0"/>
    <n v="0"/>
    <m/>
    <m/>
    <m/>
    <n v="43.633895420003881"/>
    <n v="0"/>
    <n v="0"/>
    <n v="-22.603200000000005"/>
    <n v="2.5427999999999997"/>
    <n v="0"/>
    <n v="0"/>
    <n v="-23.10183435324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09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40.677999999999997"/>
    <n v="40.677999999999997"/>
    <n v="40.677999999999997"/>
    <n v="40.677999999999997"/>
    <m/>
    <n v="446.23"/>
    <n v="173.82"/>
    <m/>
    <n v="25222.393899999999"/>
    <n v="25222.393899999999"/>
    <n v="18422.252639999999"/>
    <n v="0"/>
    <n v="0"/>
    <n v="0"/>
    <n v="0"/>
    <n v="110.58086801739381"/>
    <n v="1400.4057034946006"/>
    <n v="14791.163315790982"/>
    <n v="6545.9906295546552"/>
    <n v="329.32361241849037"/>
    <n v="0"/>
    <n v="0"/>
    <n v="0"/>
    <n v="0"/>
    <n v="0"/>
    <m/>
    <n v="63.113624452935682"/>
    <n v="235.87153672767141"/>
    <n v="772.44739021174678"/>
    <n v="0"/>
    <n v="0"/>
    <n v="0"/>
    <n v="0"/>
    <n v="0"/>
    <n v="0"/>
    <n v="0"/>
    <n v="0"/>
    <n v="0"/>
    <n v="0"/>
    <m/>
    <n v="0"/>
    <n v="0"/>
    <n v="0"/>
    <n v="22.568667636445568"/>
    <n v="195.48579019124787"/>
    <n v="755.72903137959474"/>
    <n v="0"/>
    <n v="0"/>
    <n v="0"/>
    <n v="6140.09"/>
    <n v="391"/>
    <m/>
    <m/>
    <m/>
    <m/>
    <m/>
    <m/>
    <m/>
    <m/>
    <m/>
    <n v="7519.774118761944"/>
    <m/>
    <m/>
    <m/>
    <m/>
    <m/>
    <m/>
    <m/>
    <m/>
    <m/>
    <m/>
    <m/>
    <m/>
    <n v="18423.1584"/>
    <n v="-6799.2654999999941"/>
    <m/>
    <m/>
    <m/>
    <m/>
    <n v="-7662.10808"/>
    <n v="861.96681999999987"/>
    <n v="31"/>
    <n v="1030.6907546244402"/>
    <n v="22.901636046426688"/>
    <n v="74.999761484850183"/>
    <n v="0"/>
    <n v="0"/>
    <n v="0"/>
    <n v="0"/>
    <n v="0"/>
    <n v="-26.851670180527663"/>
    <n v="0"/>
    <n v="0"/>
    <n v="840.25024393429885"/>
    <n v="25.092761690227803"/>
    <n v="2.8969379212332882"/>
    <n v="0"/>
    <n v="97.006173534365871"/>
    <n v="0"/>
    <n v="0"/>
    <m/>
    <n v="0"/>
    <n v="0"/>
    <n v="-3.6603110843664695"/>
    <n v="0"/>
    <n v="0"/>
    <n v="-1.9447787220679231"/>
    <n v="0"/>
    <n v="0"/>
    <m/>
    <m/>
    <m/>
    <n v="14791.163315790982"/>
    <n v="0"/>
    <n v="0"/>
    <n v="-7662.10808"/>
    <n v="861.96682000000055"/>
    <n v="0"/>
    <n v="0"/>
    <n v="-7831.136815178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0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71"/>
    <n v="0.371"/>
    <n v="0.371"/>
    <n v="0.371"/>
    <m/>
    <n v="446.23"/>
    <n v="173.82"/>
    <m/>
    <n v="230.03854999999999"/>
    <n v="230.03854999999999"/>
    <n v="168.01848000000001"/>
    <n v="0"/>
    <n v="0"/>
    <n v="0"/>
    <n v="0"/>
    <n v="1.0085427512280127"/>
    <n v="12.772272874686484"/>
    <n v="134.90146000684533"/>
    <n v="59.702112285873866"/>
    <n v="3.0035660604567567"/>
    <n v="0"/>
    <n v="0"/>
    <n v="0"/>
    <n v="0"/>
    <n v="0"/>
    <m/>
    <n v="0.57562207266923493"/>
    <n v="2.1512449020592483"/>
    <n v="7.0450361809469015"/>
    <n v="0"/>
    <n v="0"/>
    <n v="0"/>
    <n v="0"/>
    <n v="0"/>
    <n v="0"/>
    <n v="0"/>
    <n v="0"/>
    <n v="0"/>
    <n v="0"/>
    <m/>
    <n v="0"/>
    <n v="0"/>
    <n v="0"/>
    <n v="0.20583548092633133"/>
    <n v="1.7829103731981162"/>
    <n v="6.8925579094800549"/>
    <n v="0"/>
    <n v="0"/>
    <n v="0"/>
    <n v="99.04"/>
    <n v="5"/>
    <m/>
    <m/>
    <m/>
    <m/>
    <m/>
    <m/>
    <m/>
    <m/>
    <m/>
    <n v="68.583416049478373"/>
    <m/>
    <m/>
    <m/>
    <m/>
    <m/>
    <m/>
    <m/>
    <m/>
    <m/>
    <m/>
    <m/>
    <m/>
    <n v="167.56560000000002"/>
    <n v="-62.502949999999942"/>
    <m/>
    <m/>
    <m/>
    <m/>
    <n v="-69.881560000000007"/>
    <n v="7.861489999999999"/>
    <n v="31"/>
    <n v="9.4003213030549091"/>
    <n v="0.20887228903152355"/>
    <n v="0.68402850461869935"/>
    <n v="0"/>
    <n v="0"/>
    <n v="0"/>
    <n v="0"/>
    <n v="0"/>
    <n v="-0.2448982161604718"/>
    <n v="0"/>
    <n v="0"/>
    <n v="7.6634259427608242"/>
    <n v="0.22885625121870579"/>
    <n v="2.642125888139904E-2"/>
    <n v="0"/>
    <n v="0.88473598459240232"/>
    <n v="0"/>
    <n v="0"/>
    <m/>
    <n v="0"/>
    <n v="0"/>
    <n v="-3.3383534399429315E-2"/>
    <n v="0"/>
    <n v="0"/>
    <n v="-1.7737177488745703E-2"/>
    <n v="0"/>
    <n v="0"/>
    <m/>
    <m/>
    <m/>
    <n v="134.90146000684533"/>
    <n v="0"/>
    <n v="0"/>
    <n v="-69.881560000000007"/>
    <n v="7.8614900000000034"/>
    <n v="0"/>
    <n v="0"/>
    <n v="-71.423171208795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1"/>
    <s v="Regular"/>
    <s v="Convencional"/>
    <s v="B3"/>
    <s v="Industrial"/>
    <s v="Não se aplica"/>
    <s v="Não se aplica"/>
    <s v="Não se aplica"/>
    <s v="Não se aplica"/>
    <s v="CATIVO"/>
    <x v="8"/>
    <n v="0"/>
    <n v="0"/>
    <n v="80.697999999999993"/>
    <n v="80.697999999999993"/>
    <n v="80.697999999999993"/>
    <n v="80.697999999999993"/>
    <m/>
    <n v="516.83000000000004"/>
    <n v="173.82"/>
    <m/>
    <n v="55734.073700000001"/>
    <n v="55734.073700000001"/>
    <n v="42079.972099999999"/>
    <n v="0"/>
    <n v="4934.6387807609963"/>
    <n v="0"/>
    <n v="0"/>
    <n v="219.37299983449643"/>
    <n v="2778.1586966076816"/>
    <n v="29343.067438362272"/>
    <n v="12986.094493923043"/>
    <n v="653.32014540900082"/>
    <n v="0"/>
    <n v="0"/>
    <n v="0"/>
    <n v="0"/>
    <n v="762.71687727655728"/>
    <m/>
    <n v="125.20633428642027"/>
    <n v="467.92765796867167"/>
    <n v="1532.3998105931348"/>
    <n v="0"/>
    <n v="0"/>
    <n v="0"/>
    <n v="0"/>
    <n v="0"/>
    <n v="0"/>
    <n v="0"/>
    <n v="0"/>
    <n v="0"/>
    <n v="0"/>
    <m/>
    <n v="0"/>
    <n v="0"/>
    <n v="0"/>
    <n v="44.77226857087085"/>
    <n v="387.80943745644629"/>
    <n v="1499.2335260895456"/>
    <n v="0"/>
    <n v="0"/>
    <n v="0"/>
    <n v="10965.54"/>
    <n v="37"/>
    <m/>
    <m/>
    <m/>
    <m/>
    <m/>
    <m/>
    <m/>
    <m/>
    <m/>
    <n v="14917.909726039905"/>
    <m/>
    <m/>
    <m/>
    <m/>
    <m/>
    <m/>
    <m/>
    <m/>
    <m/>
    <m/>
    <m/>
    <m/>
    <n v="42081.014999999999"/>
    <n v="-13653.088700000008"/>
    <m/>
    <m/>
    <m/>
    <m/>
    <n v="-15364.092220000002"/>
    <n v="1709.9906199999996"/>
    <n v="31"/>
    <n v="1880.7378246724184"/>
    <n v="45.432819353816456"/>
    <n v="148.78634033886738"/>
    <n v="0"/>
    <n v="0"/>
    <n v="0"/>
    <n v="0"/>
    <n v="0"/>
    <n v="-53.268992581449766"/>
    <n v="0"/>
    <n v="0"/>
    <n v="1666.9087512908718"/>
    <n v="49.779627387728056"/>
    <n v="5.7470154965259823"/>
    <n v="0"/>
    <n v="192.4431926809641"/>
    <n v="0"/>
    <n v="-144.21731292993445"/>
    <m/>
    <n v="0"/>
    <n v="0"/>
    <n v="-7.2614136360245993"/>
    <n v="0"/>
    <n v="-19.754103675065039"/>
    <n v="-3.8580990538727917"/>
    <n v="0"/>
    <n v="0"/>
    <m/>
    <m/>
    <m/>
    <n v="29343.067438362272"/>
    <n v="0"/>
    <n v="0"/>
    <n v="-15364.092220000006"/>
    <n v="1709.9906200000005"/>
    <n v="0"/>
    <n v="0"/>
    <n v="-15535.598571987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2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1.681"/>
    <n v="1.681"/>
    <n v="1.681"/>
    <n v="1.681"/>
    <m/>
    <n v="516.83000000000004"/>
    <n v="173.82"/>
    <m/>
    <n v="1160.9826499999999"/>
    <n v="1160.9826499999999"/>
    <n v="876.55745000000002"/>
    <n v="0"/>
    <n v="102.79223512923784"/>
    <n v="0"/>
    <n v="0"/>
    <n v="4.5697044873700525"/>
    <n v="57.871133968592943"/>
    <n v="611.23815167522105"/>
    <n v="270.51010984515898"/>
    <n v="13.609149724064173"/>
    <n v="0"/>
    <n v="0"/>
    <n v="0"/>
    <n v="0"/>
    <n v="15.887965881457943"/>
    <m/>
    <n v="2.6081420597223288"/>
    <n v="9.7472848527266756"/>
    <n v="31.921039946554561"/>
    <n v="0"/>
    <n v="0"/>
    <n v="0"/>
    <n v="0"/>
    <n v="0"/>
    <n v="0"/>
    <n v="0"/>
    <n v="0"/>
    <n v="0"/>
    <n v="0"/>
    <m/>
    <n v="0"/>
    <n v="0"/>
    <n v="0"/>
    <n v="0.93264000926459034"/>
    <n v="8.0783620952723272"/>
    <n v="31.230161309530924"/>
    <n v="0"/>
    <n v="0"/>
    <n v="0"/>
    <n v="640.48"/>
    <n v="7"/>
    <m/>
    <m/>
    <m/>
    <m/>
    <m/>
    <m/>
    <m/>
    <m/>
    <m/>
    <n v="310.75127325922682"/>
    <m/>
    <m/>
    <m/>
    <m/>
    <m/>
    <m/>
    <m/>
    <m/>
    <m/>
    <m/>
    <m/>
    <m/>
    <n v="876.03599999999983"/>
    <n v="-284.97665000000006"/>
    <m/>
    <m/>
    <m/>
    <m/>
    <n v="-320.04559000000006"/>
    <n v="35.62039"/>
    <n v="31"/>
    <n v="39.177182622547662"/>
    <n v="0.94639977860374813"/>
    <n v="3.0993313106847218"/>
    <n v="0"/>
    <n v="0"/>
    <n v="0"/>
    <n v="0"/>
    <n v="0"/>
    <n v="-1.109633157320097"/>
    <n v="0"/>
    <n v="0"/>
    <n v="34.722962290514658"/>
    <n v="1.036947057408744"/>
    <n v="0.1197146527752877"/>
    <n v="0"/>
    <n v="4.0087363614550604"/>
    <n v="0"/>
    <n v="-3.0041550352576252"/>
    <m/>
    <n v="0"/>
    <n v="0"/>
    <n v="-0.15126070438124195"/>
    <n v="0"/>
    <n v="-0.41149282854326508"/>
    <n v="-8.0367103392403383E-2"/>
    <n v="0"/>
    <n v="0"/>
    <m/>
    <m/>
    <m/>
    <n v="611.23815167522105"/>
    <n v="0"/>
    <n v="0"/>
    <n v="-320.04559000000006"/>
    <n v="35.620389999999986"/>
    <n v="0"/>
    <n v="0"/>
    <n v="-323.6181962317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3"/>
    <s v="Regular"/>
    <s v="Azul"/>
    <s v="A4"/>
    <s v="Industrial"/>
    <s v="Não se aplica"/>
    <s v="Não se aplica"/>
    <s v="Não se aplica"/>
    <s v="Ponta"/>
    <s v="CATIVO"/>
    <x v="8"/>
    <n v="1604"/>
    <n v="1604"/>
    <n v="37.411999999999999"/>
    <n v="37.411999999999999"/>
    <n v="37.411999999999999"/>
    <n v="37.411999999999999"/>
    <n v="67.099999999999994"/>
    <n v="70.33"/>
    <n v="173.82"/>
    <n v="107628.4"/>
    <n v="9134.139799999999"/>
    <n v="116762.5398"/>
    <n v="77321.273960000006"/>
    <n v="0"/>
    <n v="1990.3193917726919"/>
    <n v="0"/>
    <n v="0"/>
    <n v="1200.4626101590097"/>
    <n v="18313.241957579183"/>
    <n v="77251.523594930928"/>
    <n v="6020.4189348763157"/>
    <n v="302.88251604800047"/>
    <n v="0"/>
    <n v="0"/>
    <n v="0"/>
    <n v="0"/>
    <n v="353.599392954851"/>
    <m/>
    <n v="46.493039664373768"/>
    <n v="2578.1096877894406"/>
    <n v="8289.948658720361"/>
    <n v="0"/>
    <n v="0"/>
    <n v="0"/>
    <n v="0"/>
    <n v="0"/>
    <n v="0"/>
    <n v="0"/>
    <n v="0"/>
    <n v="0"/>
    <n v="0"/>
    <m/>
    <n v="0"/>
    <n v="0"/>
    <n v="0"/>
    <n v="6.980840687139696"/>
    <n v="179.7904120810995"/>
    <n v="233.75876926770252"/>
    <n v="0"/>
    <n v="0"/>
    <n v="0"/>
    <n v="0"/>
    <n v="0"/>
    <m/>
    <m/>
    <m/>
    <m/>
    <m/>
    <m/>
    <m/>
    <m/>
    <m/>
    <n v="6440.9489569122579"/>
    <m/>
    <m/>
    <m/>
    <m/>
    <m/>
    <m/>
    <m/>
    <m/>
    <m/>
    <m/>
    <m/>
    <m/>
    <n v="77320.745299999995"/>
    <n v="-39441.824499999988"/>
    <m/>
    <m/>
    <m/>
    <m/>
    <n v="-40234.026119999988"/>
    <n v="792.76027999999985"/>
    <n v="31"/>
    <n v="1458.7196250892812"/>
    <n v="250.31816291462019"/>
    <n v="804.90164120469126"/>
    <n v="0"/>
    <n v="0"/>
    <n v="0"/>
    <n v="0"/>
    <n v="0"/>
    <n v="-351.14190962941211"/>
    <n v="0"/>
    <n v="0"/>
    <n v="772.78730827646359"/>
    <n v="23.078086443650193"/>
    <n v="0.89606805481090301"/>
    <n v="0"/>
    <n v="30.005521549657942"/>
    <n v="0"/>
    <n v="-58.168090372268352"/>
    <m/>
    <n v="0"/>
    <n v="0"/>
    <n v="-3.3664280025645326"/>
    <n v="0"/>
    <n v="-9.1581021424512983"/>
    <n v="-1.432633207921242"/>
    <n v="0"/>
    <n v="0"/>
    <m/>
    <m/>
    <n v="77251.523594930928"/>
    <n v="0"/>
    <n v="0"/>
    <n v="0"/>
    <n v="-40234.026119999995"/>
    <n v="792.76028000000042"/>
    <n v="0"/>
    <n v="0"/>
    <n v="-40900.58621738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4"/>
    <s v="Regular"/>
    <s v="Azul"/>
    <s v="A4"/>
    <s v="Industrial"/>
    <s v="Não se aplica"/>
    <s v="Não se aplica"/>
    <s v="Não se aplica"/>
    <s v="Fora ponta"/>
    <s v="CATIVO"/>
    <x v="8"/>
    <n v="1730"/>
    <n v="1730"/>
    <n v="320.75400000000002"/>
    <n v="320.75400000000002"/>
    <n v="320.75400000000002"/>
    <n v="320.75400000000002"/>
    <n v="59.12"/>
    <n v="70.33"/>
    <n v="173.82"/>
    <n v="102277.59999999999"/>
    <n v="78312.089099999997"/>
    <n v="180589.68909999999"/>
    <n v="143656.80482000002"/>
    <n v="0"/>
    <n v="17064.121303021973"/>
    <n v="0"/>
    <n v="0"/>
    <n v="989.66442856726997"/>
    <n v="8852.4491857376943"/>
    <n v="83319.910111739722"/>
    <n v="51616.418663458724"/>
    <n v="2596.7812079669716"/>
    <n v="0"/>
    <n v="0"/>
    <n v="0"/>
    <n v="0"/>
    <n v="3031.6053589180019"/>
    <m/>
    <n v="398.61083193912503"/>
    <n v="2089.9647601438037"/>
    <n v="7025.5090047544963"/>
    <n v="0"/>
    <n v="0"/>
    <n v="0"/>
    <n v="0"/>
    <n v="0"/>
    <n v="0"/>
    <n v="0"/>
    <n v="0"/>
    <n v="0"/>
    <n v="0"/>
    <m/>
    <n v="0"/>
    <n v="0"/>
    <n v="0"/>
    <n v="59.850651495851764"/>
    <n v="1541.4437569940394"/>
    <n v="2004.1446668901062"/>
    <n v="0"/>
    <n v="0"/>
    <n v="0"/>
    <n v="0"/>
    <n v="0"/>
    <m/>
    <m/>
    <m/>
    <m/>
    <m/>
    <m/>
    <m/>
    <m/>
    <m/>
    <n v="55221.85773883872"/>
    <m/>
    <m/>
    <m/>
    <m/>
    <m/>
    <m/>
    <m/>
    <m/>
    <m/>
    <m/>
    <m/>
    <m/>
    <n v="143655.7475"/>
    <n v="-36933.97159999999"/>
    <m/>
    <m/>
    <m/>
    <m/>
    <n v="-43729.661540000001"/>
    <n v="6796.7772599999998"/>
    <n v="31"/>
    <n v="7185.2818288045964"/>
    <n v="202.92237440217923"/>
    <n v="682.13253917763723"/>
    <n v="0"/>
    <n v="0"/>
    <n v="0"/>
    <n v="0"/>
    <n v="0"/>
    <n v="-169.73870160064871"/>
    <n v="0"/>
    <n v="0"/>
    <n v="6625.537802814848"/>
    <n v="197.86134232723634"/>
    <n v="7.6824925920243885"/>
    <n v="0"/>
    <n v="257.2541179070613"/>
    <n v="0"/>
    <n v="-498.70757134786982"/>
    <m/>
    <n v="0"/>
    <n v="0"/>
    <n v="-28.862270061332765"/>
    <n v="0"/>
    <n v="-78.517531663632781"/>
    <n v="-12.282765742905212"/>
    <n v="0"/>
    <n v="0"/>
    <m/>
    <m/>
    <n v="83319.910111739722"/>
    <n v="0"/>
    <n v="0"/>
    <n v="0"/>
    <n v="-43729.661539999986"/>
    <n v="6796.7772600000026"/>
    <n v="0"/>
    <n v="0"/>
    <n v="-44113.47515964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5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023.14999999999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16"/>
    <s v="Regular"/>
    <s v="Verde"/>
    <s v="A4"/>
    <s v="Industrial"/>
    <s v="Não se aplica"/>
    <s v="Não se aplica"/>
    <s v="Não se aplica"/>
    <s v="Ponta"/>
    <s v="CATIVO"/>
    <x v="8"/>
    <n v="0"/>
    <n v="0"/>
    <n v="38.469000000000001"/>
    <n v="38.469000000000001"/>
    <n v="38.469000000000001"/>
    <n v="38.469000000000001"/>
    <m/>
    <n v="1684.16"/>
    <n v="173.82"/>
    <m/>
    <n v="71474.632620000004"/>
    <n v="71474.632620000004"/>
    <n v="49065.670740000001"/>
    <n v="0"/>
    <n v="2046.5518197932131"/>
    <n v="0"/>
    <n v="0"/>
    <n v="692.41891320416119"/>
    <n v="10563.046109626612"/>
    <n v="44558.352470462167"/>
    <n v="6190.5136321436166"/>
    <n v="311.43984576741502"/>
    <n v="0"/>
    <n v="0"/>
    <n v="0"/>
    <n v="0"/>
    <n v="363.58962492195457"/>
    <m/>
    <n v="47.80660597799622"/>
    <n v="1487.0631892668632"/>
    <n v="4781.6455750364503"/>
    <n v="0"/>
    <n v="0"/>
    <n v="0"/>
    <n v="0"/>
    <n v="0"/>
    <n v="0"/>
    <n v="0"/>
    <n v="0"/>
    <n v="0"/>
    <n v="0"/>
    <m/>
    <n v="0"/>
    <n v="0"/>
    <n v="0"/>
    <n v="7.1780701484437346"/>
    <n v="184.87002465379604"/>
    <n v="240.36314805301103"/>
    <n v="0"/>
    <n v="0"/>
    <n v="0"/>
    <n v="0"/>
    <n v="0"/>
    <m/>
    <m/>
    <m/>
    <m/>
    <m/>
    <m/>
    <m/>
    <m/>
    <m/>
    <n v="6622.9248749988683"/>
    <m/>
    <m/>
    <m/>
    <m/>
    <m/>
    <m/>
    <m/>
    <m/>
    <m/>
    <m/>
    <m/>
    <m/>
    <n v="49066.946199999998"/>
    <n v="-22407.716420000004"/>
    <m/>
    <m/>
    <m/>
    <m/>
    <n v="-23224.119990000003"/>
    <n v="815.15810999999997"/>
    <n v="31"/>
    <n v="1182.0765728158112"/>
    <n v="144.38444083207628"/>
    <n v="464.26757624816037"/>
    <n v="0"/>
    <n v="0"/>
    <n v="0"/>
    <n v="0"/>
    <n v="0"/>
    <n v="-202.53804274693175"/>
    <n v="0"/>
    <n v="0"/>
    <n v="794.62084256621711"/>
    <n v="23.73011085749971"/>
    <n v="0.9213846359596003"/>
    <n v="0"/>
    <n v="30.853266558692127"/>
    <n v="0"/>
    <n v="-59.811511507826026"/>
    <m/>
    <n v="0"/>
    <n v="0"/>
    <n v="-3.4615395817025387"/>
    <n v="0"/>
    <n v="-9.416845699720966"/>
    <n v="-1.4731093466139811"/>
    <n v="0"/>
    <n v="0"/>
    <m/>
    <m/>
    <m/>
    <n v="44558.352470462167"/>
    <n v="0"/>
    <n v="0"/>
    <n v="-23224.119990000007"/>
    <n v="815.1581099999994"/>
    <n v="0"/>
    <n v="0"/>
    <n v="-23591.285350938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7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.7999999999999999E-2"/>
    <n v="1.7999999999999999E-2"/>
    <n v="1.7999999999999999E-2"/>
    <n v="1.7999999999999999E-2"/>
    <m/>
    <n v="1684.16"/>
    <n v="173.82"/>
    <m/>
    <n v="33.443640000000002"/>
    <n v="33.443640000000002"/>
    <n v="22.958279999999998"/>
    <n v="0"/>
    <n v="0.95760047717065255"/>
    <n v="0"/>
    <n v="0"/>
    <n v="0.32398919747523719"/>
    <n v="4.9425467252405575"/>
    <n v="20.849264198921698"/>
    <n v="2.8965984397459015"/>
    <n v="0.14572557705720113"/>
    <n v="0"/>
    <n v="0"/>
    <n v="0"/>
    <n v="0"/>
    <n v="0.1701269398371463"/>
    <m/>
    <n v="2.2369151982217679E-2"/>
    <n v="0.69581058532333917"/>
    <n v="2.237376078157896"/>
    <n v="0"/>
    <n v="0"/>
    <n v="0"/>
    <n v="0"/>
    <n v="0"/>
    <n v="0"/>
    <n v="0"/>
    <n v="0"/>
    <n v="0"/>
    <n v="0"/>
    <m/>
    <n v="0"/>
    <n v="0"/>
    <n v="0"/>
    <n v="3.3586852445342276E-3"/>
    <n v="8.6502390074302132E-2"/>
    <n v="0.11246813447072183"/>
    <n v="0"/>
    <n v="0"/>
    <n v="0"/>
    <n v="0"/>
    <n v="0"/>
    <m/>
    <m/>
    <m/>
    <m/>
    <m/>
    <m/>
    <m/>
    <m/>
    <m/>
    <n v="3.0989276495354598"/>
    <m/>
    <m/>
    <m/>
    <m/>
    <m/>
    <m/>
    <m/>
    <m/>
    <m/>
    <m/>
    <m/>
    <m/>
    <n v="25.5092"/>
    <n v="-7.9644399999999962"/>
    <m/>
    <m/>
    <m/>
    <m/>
    <n v="-10.86678"/>
    <n v="0.38141999999999993"/>
    <n v="31"/>
    <n v="0.55310453379824054"/>
    <n v="6.7558811899903093E-2"/>
    <n v="0.21723508207821585"/>
    <n v="0"/>
    <n v="0"/>
    <n v="0"/>
    <n v="0"/>
    <n v="0"/>
    <n v="-9.4769418738329669E-2"/>
    <n v="0"/>
    <n v="0"/>
    <n v="0.37181042309890833"/>
    <n v="1.1103537794977622E-2"/>
    <n v="4.311243715010224E-4"/>
    <n v="0"/>
    <n v="1.4436528063023688E-2"/>
    <n v="0"/>
    <n v="-2.7986358032204395E-2"/>
    <m/>
    <n v="0"/>
    <n v="0"/>
    <n v="-1.6196863050935983E-3"/>
    <n v="0"/>
    <n v="-4.4062289790474662E-3"/>
    <n v="-6.8928145361334126E-4"/>
    <n v="0"/>
    <n v="0"/>
    <m/>
    <m/>
    <m/>
    <n v="20.849264198921698"/>
    <n v="0"/>
    <n v="0"/>
    <n v="-10.866779999999999"/>
    <n v="0.38141999999999987"/>
    <n v="0"/>
    <n v="0"/>
    <n v="-11.038580059707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8"/>
    <s v="Regular"/>
    <s v="Verde"/>
    <s v="A4"/>
    <s v="Industrial"/>
    <s v="Não se aplica"/>
    <s v="Não se aplica"/>
    <s v="Não se aplica"/>
    <s v="Fora ponta"/>
    <s v="CATIVO"/>
    <x v="8"/>
    <n v="0"/>
    <n v="0"/>
    <n v="938.06799999999998"/>
    <n v="938.06799999999998"/>
    <n v="938.06799999999998"/>
    <n v="938.06799999999998"/>
    <m/>
    <n v="70.33"/>
    <n v="173.82"/>
    <m/>
    <n v="229029.30219999998"/>
    <n v="229029.30219999998"/>
    <n v="247959.51443999997"/>
    <n v="0"/>
    <n v="49905.242467695542"/>
    <n v="0"/>
    <n v="0"/>
    <n v="0"/>
    <n v="0"/>
    <n v="0"/>
    <n v="150955.9058430866"/>
    <n v="7594.4722566052524"/>
    <n v="0"/>
    <n v="0"/>
    <n v="0"/>
    <n v="0"/>
    <n v="8866.1465666195654"/>
    <m/>
    <n v="1165.765870091943"/>
    <n v="0"/>
    <n v="0"/>
    <n v="0"/>
    <n v="0"/>
    <n v="0"/>
    <n v="0"/>
    <n v="0"/>
    <n v="0"/>
    <n v="0"/>
    <n v="0"/>
    <n v="0"/>
    <n v="0"/>
    <m/>
    <n v="0"/>
    <n v="0"/>
    <n v="0"/>
    <n v="175.03750833165188"/>
    <n v="4508.0624473455809"/>
    <n v="5861.2643314822826"/>
    <n v="0"/>
    <n v="0"/>
    <n v="0"/>
    <n v="0"/>
    <n v="0"/>
    <m/>
    <m/>
    <m/>
    <m/>
    <m/>
    <m/>
    <m/>
    <m/>
    <m/>
    <n v="161500.27013024612"/>
    <m/>
    <m/>
    <m/>
    <m/>
    <m/>
    <m/>
    <m/>
    <m/>
    <m/>
    <m/>
    <m/>
    <m/>
    <n v="247960.04310000001"/>
    <n v="18930.710900000005"/>
    <m/>
    <m/>
    <m/>
    <m/>
    <n v="-947.44868000000474"/>
    <n v="19877.660919999998"/>
    <n v="31"/>
    <n v="18921.876909544982"/>
    <n v="0"/>
    <n v="0"/>
    <n v="0"/>
    <n v="0"/>
    <n v="0"/>
    <n v="0"/>
    <n v="0"/>
    <n v="0"/>
    <n v="0"/>
    <n v="0"/>
    <n v="19376.858887530369"/>
    <n v="578.65963845883743"/>
    <n v="22.467998718067832"/>
    <n v="0"/>
    <n v="752.35805594580688"/>
    <n v="0"/>
    <n v="-1458.5059392529947"/>
    <m/>
    <n v="0"/>
    <n v="0"/>
    <n v="-84.409771824807649"/>
    <n v="0"/>
    <n v="-229.63013366206178"/>
    <n v="-35.921826368230995"/>
    <n v="0"/>
    <n v="0"/>
    <m/>
    <m/>
    <m/>
    <n v="0"/>
    <n v="0"/>
    <n v="0"/>
    <n v="-947.44868000000861"/>
    <n v="19877.66091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19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1.9950000000000001"/>
    <n v="1.9950000000000001"/>
    <n v="1.9950000000000001"/>
    <n v="1.9950000000000001"/>
    <m/>
    <n v="70.33"/>
    <n v="173.82"/>
    <m/>
    <n v="487.07925"/>
    <n v="487.07925"/>
    <n v="527.33834999999999"/>
    <n v="0"/>
    <n v="106.134052886414"/>
    <n v="0"/>
    <n v="0"/>
    <n v="0"/>
    <n v="0"/>
    <n v="0"/>
    <n v="321.03966040517082"/>
    <n v="16.151251457173124"/>
    <n v="0"/>
    <n v="0"/>
    <n v="0"/>
    <n v="0"/>
    <n v="18.855735831950383"/>
    <m/>
    <n v="2.4792476780291262"/>
    <n v="0"/>
    <n v="0"/>
    <n v="0"/>
    <n v="0"/>
    <n v="0"/>
    <n v="0"/>
    <n v="0"/>
    <n v="0"/>
    <n v="0"/>
    <n v="0"/>
    <n v="0"/>
    <n v="0"/>
    <m/>
    <n v="0"/>
    <n v="0"/>
    <n v="0"/>
    <n v="0.37225428126921029"/>
    <n v="9.5873482332351543"/>
    <n v="12.465218237171671"/>
    <n v="0"/>
    <n v="0"/>
    <n v="0"/>
    <n v="0"/>
    <n v="0"/>
    <m/>
    <m/>
    <m/>
    <m/>
    <m/>
    <m/>
    <m/>
    <m/>
    <m/>
    <n v="343.46448115684683"/>
    <m/>
    <m/>
    <m/>
    <m/>
    <m/>
    <m/>
    <m/>
    <m/>
    <m/>
    <m/>
    <m/>
    <m/>
    <n v="528.66"/>
    <n v="41.550749999999994"/>
    <m/>
    <m/>
    <m/>
    <m/>
    <n v="-2.0149500000000105"/>
    <n v="42.274049999999995"/>
    <n v="31"/>
    <n v="40.241373156895008"/>
    <n v="0"/>
    <n v="0"/>
    <n v="0"/>
    <n v="0"/>
    <n v="0"/>
    <n v="0"/>
    <n v="0"/>
    <n v="0"/>
    <n v="0"/>
    <n v="0"/>
    <n v="41.208988560129001"/>
    <n v="1.2306421056100199"/>
    <n v="4.7782951174696608E-2"/>
    <n v="0"/>
    <n v="1.6000485269851268"/>
    <n v="0"/>
    <n v="-3.1018213485693167"/>
    <m/>
    <n v="0"/>
    <n v="0"/>
    <n v="-0.17951523214787279"/>
    <n v="0"/>
    <n v="-0.4883570451777608"/>
    <n v="-7.6395361108811954E-2"/>
    <n v="0"/>
    <n v="0"/>
    <m/>
    <m/>
    <m/>
    <n v="0"/>
    <n v="0"/>
    <n v="0"/>
    <n v="-2.0149499999999989"/>
    <n v="42.27405000000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0"/>
    <s v="Regular"/>
    <s v="Verde"/>
    <s v="A4"/>
    <s v="Industrial"/>
    <s v="Não se aplica"/>
    <s v="Não se aplica"/>
    <s v="Não se aplica"/>
    <s v="Não se aplica"/>
    <s v="CATIVO"/>
    <x v="8"/>
    <n v="5218"/>
    <n v="5218"/>
    <n v="0"/>
    <n v="0"/>
    <n v="0"/>
    <n v="0"/>
    <n v="59.12"/>
    <m/>
    <m/>
    <n v="308488.15999999997"/>
    <m/>
    <n v="308488.15999999997"/>
    <n v="177568.54"/>
    <n v="0"/>
    <n v="0"/>
    <n v="0"/>
    <n v="0"/>
    <n v="2985.0109758751528"/>
    <n v="26700.624191433115"/>
    <n v="251308.26067228775"/>
    <m/>
    <m/>
    <m/>
    <n v="0"/>
    <n v="0"/>
    <n v="0"/>
    <n v="0"/>
    <m/>
    <n v="0"/>
    <n v="6303.7202996707329"/>
    <n v="21190.234674456045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7482.51"/>
    <n v="25"/>
    <m/>
    <m/>
    <m/>
    <m/>
    <m/>
    <m/>
    <m/>
    <m/>
    <m/>
    <n v="0"/>
    <m/>
    <m/>
    <m/>
    <m/>
    <m/>
    <m/>
    <m/>
    <m/>
    <m/>
    <m/>
    <m/>
    <m/>
    <n v="177568.54"/>
    <n v="-130919.65"/>
    <m/>
    <m/>
    <m/>
    <m/>
    <n v="-130919.61999999998"/>
    <n v="0"/>
    <n v="31"/>
    <n v="2157.5260081544984"/>
    <n v="612.05141597142847"/>
    <n v="2057.4379129646913"/>
    <n v="0"/>
    <n v="0"/>
    <m/>
    <m/>
    <m/>
    <n v="-511.96332078161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1308.26067228775"/>
    <m/>
    <n v="0"/>
    <n v="0"/>
    <n v="-130919.61999999997"/>
    <m/>
    <n v="0"/>
    <m/>
    <n v="-133054.4007994469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21"/>
    <s v="Sistema de Compensação"/>
    <s v="Verde"/>
    <s v="A4"/>
    <s v="Industrial"/>
    <s v="Não se aplica"/>
    <s v="Não se aplica"/>
    <s v="Não se aplica"/>
    <s v="Não se aplica"/>
    <s v="CATIVO"/>
    <x v="8"/>
    <n v="115"/>
    <n v="115"/>
    <n v="0"/>
    <n v="0"/>
    <n v="0"/>
    <n v="0"/>
    <n v="59.12"/>
    <m/>
    <m/>
    <n v="6798.7999999999993"/>
    <m/>
    <n v="6798.7999999999993"/>
    <n v="3913.4500000000003"/>
    <n v="0"/>
    <n v="0"/>
    <n v="0"/>
    <n v="0"/>
    <n v="65.786941783373436"/>
    <n v="588.45760483227446"/>
    <n v="5538.6067415318312"/>
    <m/>
    <m/>
    <m/>
    <n v="0"/>
    <n v="0"/>
    <n v="0"/>
    <n v="0"/>
    <m/>
    <n v="0"/>
    <n v="138.92829330435691"/>
    <n v="467.01360436229311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2.91"/>
    <n v="1"/>
    <m/>
    <m/>
    <m/>
    <m/>
    <m/>
    <m/>
    <m/>
    <m/>
    <m/>
    <n v="0"/>
    <m/>
    <m/>
    <m/>
    <m/>
    <m/>
    <m/>
    <m/>
    <m/>
    <m/>
    <m/>
    <m/>
    <m/>
    <n v="3913.4500000000003"/>
    <n v="-2885.3799999999997"/>
    <m/>
    <m/>
    <m/>
    <m/>
    <n v="-2885.3499999999995"/>
    <n v="0"/>
    <n v="31"/>
    <n v="47.54992160555139"/>
    <n v="13.489059570087022"/>
    <n v="45.344070523368941"/>
    <n v="0"/>
    <n v="0"/>
    <m/>
    <m/>
    <m/>
    <n v="-11.2832084879044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8.6067415318312"/>
    <m/>
    <n v="0"/>
    <n v="0"/>
    <n v="-2885.349999999999"/>
    <m/>
    <n v="0"/>
    <m/>
    <n v="-2932.398637780069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22"/>
    <s v="Regular"/>
    <s v="Convencional"/>
    <s v="B3"/>
    <s v="Comercial"/>
    <s v="Não se aplica"/>
    <s v="Não se aplica"/>
    <s v="Não se aplica"/>
    <s v="Não se aplica"/>
    <s v="CATIVO"/>
    <x v="8"/>
    <n v="0"/>
    <n v="0"/>
    <n v="434.04899999999998"/>
    <n v="434.04899999999998"/>
    <n v="434.04899999999998"/>
    <n v="434.04899999999998"/>
    <m/>
    <n v="516.83000000000004"/>
    <n v="173.82"/>
    <m/>
    <n v="299775.94185"/>
    <n v="299775.94185"/>
    <n v="226334.85105"/>
    <n v="0"/>
    <n v="26541.860122314429"/>
    <n v="0"/>
    <n v="0"/>
    <n v="1179.9379316112338"/>
    <n v="14942.836304541222"/>
    <n v="157827.07227631053"/>
    <n v="69848.092009626052"/>
    <n v="3514.0022775611715"/>
    <n v="0"/>
    <n v="0"/>
    <n v="0"/>
    <n v="0"/>
    <n v="4102.412672742973"/>
    <m/>
    <n v="673.44524264153301"/>
    <n v="2516.8347668299584"/>
    <n v="8242.293556074992"/>
    <n v="0"/>
    <n v="0"/>
    <n v="0"/>
    <n v="0"/>
    <n v="0"/>
    <n v="0"/>
    <n v="0"/>
    <n v="0"/>
    <n v="0"/>
    <n v="0"/>
    <m/>
    <n v="0"/>
    <n v="0"/>
    <n v="0"/>
    <n v="240.81586161884957"/>
    <n v="2085.904217186709"/>
    <n v="8063.9026093043349"/>
    <n v="0"/>
    <n v="0"/>
    <n v="0"/>
    <n v="95986.12"/>
    <n v="532"/>
    <m/>
    <m/>
    <m/>
    <m/>
    <m/>
    <m/>
    <m/>
    <m/>
    <m/>
    <n v="80238.714697735937"/>
    <m/>
    <m/>
    <m/>
    <m/>
    <m/>
    <m/>
    <m/>
    <m/>
    <m/>
    <m/>
    <m/>
    <m/>
    <n v="226335.3725"/>
    <n v="-73440.599350000033"/>
    <m/>
    <m/>
    <m/>
    <m/>
    <n v="-82638.589110000015"/>
    <n v="9197.498309999999"/>
    <n v="31"/>
    <n v="10115.893480151164"/>
    <n v="244.36875520712601"/>
    <n v="800.27463180927589"/>
    <n v="0"/>
    <n v="0"/>
    <n v="0"/>
    <n v="0"/>
    <n v="0"/>
    <n v="-286.51705074457459"/>
    <n v="0"/>
    <n v="0"/>
    <n v="8965.774574203213"/>
    <n v="267.7488597984584"/>
    <n v="30.911377348281349"/>
    <n v="0"/>
    <n v="1035.0910225777561"/>
    <n v="0"/>
    <n v="-775.6992795351216"/>
    <m/>
    <n v="0"/>
    <n v="0"/>
    <n v="-39.056845613309179"/>
    <n v="0"/>
    <n v="-106.25107122925374"/>
    <n v="-20.751493670653872"/>
    <n v="0"/>
    <n v="0"/>
    <m/>
    <m/>
    <m/>
    <n v="157827.07227631053"/>
    <n v="0"/>
    <n v="0"/>
    <n v="-82638.589110000001"/>
    <n v="9197.4983099999954"/>
    <n v="0"/>
    <n v="0"/>
    <n v="-83561.067493278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3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51.499000000000002"/>
    <n v="51.499000000000002"/>
    <n v="51.499000000000002"/>
    <n v="51.499000000000002"/>
    <m/>
    <n v="516.83000000000004"/>
    <n v="173.82"/>
    <m/>
    <n v="35567.784350000002"/>
    <n v="35567.784350000002"/>
    <n v="26854.153549999999"/>
    <n v="0"/>
    <n v="3149.1358220824627"/>
    <n v="0"/>
    <n v="0"/>
    <n v="139.99715133555642"/>
    <n v="1772.936066774877"/>
    <n v="18725.849835289831"/>
    <n v="8287.3290582485661"/>
    <n v="416.92897182604452"/>
    <n v="0"/>
    <n v="0"/>
    <n v="0"/>
    <n v="0"/>
    <n v="486.74262637073326"/>
    <m/>
    <n v="79.902860162784179"/>
    <n v="298.61714612169601"/>
    <n v="977.93077704200675"/>
    <n v="0"/>
    <n v="0"/>
    <n v="0"/>
    <n v="0"/>
    <n v="0"/>
    <n v="0"/>
    <n v="0"/>
    <n v="0"/>
    <n v="0"/>
    <n v="0"/>
    <m/>
    <n v="0"/>
    <n v="0"/>
    <n v="0"/>
    <n v="28.57229496556641"/>
    <n v="247.48814369091588"/>
    <n v="956.76506679329748"/>
    <n v="0"/>
    <n v="0"/>
    <n v="0"/>
    <n v="17711"/>
    <n v="51"/>
    <m/>
    <m/>
    <m/>
    <m/>
    <m/>
    <m/>
    <m/>
    <m/>
    <m/>
    <n v="9520.1545636983465"/>
    <m/>
    <m/>
    <m/>
    <m/>
    <m/>
    <m/>
    <m/>
    <m/>
    <m/>
    <m/>
    <m/>
    <m/>
    <n v="26854.674999999999"/>
    <n v="-8713.1393500000013"/>
    <m/>
    <m/>
    <m/>
    <m/>
    <n v="-9804.894610000003"/>
    <n v="1091.2638099999999"/>
    <n v="31"/>
    <n v="1200.2294633424062"/>
    <n v="28.99383830952678"/>
    <n v="94.95090015999574"/>
    <n v="0"/>
    <n v="0"/>
    <n v="0"/>
    <n v="0"/>
    <n v="0"/>
    <n v="-33.994644835709551"/>
    <n v="0"/>
    <n v="0"/>
    <n v="1063.770276620593"/>
    <n v="31.767838494641865"/>
    <n v="3.6675698413292999"/>
    <n v="0"/>
    <n v="122.81137054049634"/>
    <n v="0"/>
    <n v="-92.035086353796942"/>
    <m/>
    <n v="0"/>
    <n v="0"/>
    <n v="-4.6340125014452838"/>
    <n v="0"/>
    <n v="-12.606465899553655"/>
    <n v="-2.4621210336736254"/>
    <n v="0"/>
    <n v="0"/>
    <m/>
    <m/>
    <m/>
    <n v="18725.849835289831"/>
    <n v="0"/>
    <n v="0"/>
    <n v="-9804.894610000003"/>
    <n v="1091.2638100000004"/>
    <n v="0"/>
    <n v="0"/>
    <n v="-9914.344727983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4"/>
    <s v="Regular"/>
    <s v="Verde"/>
    <s v="A4"/>
    <s v="Comercial"/>
    <s v="Não se aplica"/>
    <s v="Não se aplica"/>
    <s v="Não se aplica"/>
    <s v="Ponta"/>
    <s v="CATIVO"/>
    <x v="8"/>
    <n v="0"/>
    <n v="0"/>
    <n v="8.9849999999999994"/>
    <n v="8.9849999999999994"/>
    <n v="8.9849999999999994"/>
    <n v="8.9849999999999994"/>
    <m/>
    <n v="1684.16"/>
    <n v="173.82"/>
    <m/>
    <n v="16693.9503"/>
    <n v="16693.9503"/>
    <n v="11460.008099999999"/>
    <n v="0"/>
    <n v="478.00223818768404"/>
    <n v="0"/>
    <n v="0"/>
    <n v="161.72460773972259"/>
    <n v="2467.1545736825783"/>
    <n v="10407.257712628416"/>
    <n v="1445.8853878398293"/>
    <n v="72.741350547719563"/>
    <n v="0"/>
    <n v="0"/>
    <n v="0"/>
    <n v="0"/>
    <n v="84.921697468708857"/>
    <m/>
    <n v="11.165935031123658"/>
    <n v="347.32545050723348"/>
    <n v="1116.8235590138163"/>
    <n v="0"/>
    <n v="0"/>
    <n v="0"/>
    <n v="0"/>
    <n v="0"/>
    <n v="0"/>
    <n v="0"/>
    <n v="0"/>
    <n v="0"/>
    <n v="0"/>
    <m/>
    <n v="0"/>
    <n v="0"/>
    <n v="0"/>
    <n v="1.6765437178966687"/>
    <n v="43.179109712089144"/>
    <n v="56.140343789968647"/>
    <n v="0"/>
    <n v="0"/>
    <n v="0"/>
    <n v="0"/>
    <n v="0"/>
    <m/>
    <m/>
    <m/>
    <m/>
    <m/>
    <m/>
    <m/>
    <m/>
    <m/>
    <n v="1546.8813850597837"/>
    <m/>
    <m/>
    <m/>
    <m/>
    <m/>
    <m/>
    <m/>
    <m/>
    <m/>
    <m/>
    <m/>
    <m/>
    <n v="11466.385400000001"/>
    <n v="-5227.5948999999982"/>
    <m/>
    <m/>
    <m/>
    <m/>
    <n v="-5424.3343500000001"/>
    <n v="190.39214999999996"/>
    <n v="31"/>
    <n v="276.09134645428912"/>
    <n v="33.723106940034995"/>
    <n v="108.43651180404299"/>
    <n v="0"/>
    <n v="0"/>
    <n v="0"/>
    <n v="0"/>
    <n v="0"/>
    <n v="-47.305734853549438"/>
    <n v="0"/>
    <n v="0"/>
    <n v="185.59536953020506"/>
    <n v="5.5425159493263365"/>
    <n v="0.21520291544092696"/>
    <n v="0"/>
    <n v="7.2062335914593305"/>
    <n v="0"/>
    <n v="-13.969857051075337"/>
    <m/>
    <n v="0"/>
    <n v="0"/>
    <n v="-0.80849341395922636"/>
    <n v="0"/>
    <n v="-2.1994426320411833"/>
    <n v="-0.34406632559532646"/>
    <n v="0"/>
    <n v="0"/>
    <m/>
    <m/>
    <m/>
    <n v="10407.257712628416"/>
    <n v="0"/>
    <n v="0"/>
    <n v="-5424.3343499999992"/>
    <n v="190.39215000000013"/>
    <n v="0"/>
    <n v="0"/>
    <n v="-5510.0912131373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5"/>
    <s v="Sistema de Compensação"/>
    <s v="Verde"/>
    <s v="A4"/>
    <s v="Comercial"/>
    <s v="Não se aplica"/>
    <s v="Não se aplica"/>
    <s v="Não se aplica"/>
    <s v="Ponta"/>
    <s v="CATIVO"/>
    <x v="8"/>
    <n v="0"/>
    <n v="0"/>
    <n v="11.816000000000001"/>
    <n v="11.816000000000001"/>
    <n v="11.816000000000001"/>
    <n v="11.816000000000001"/>
    <m/>
    <n v="1684.16"/>
    <n v="173.82"/>
    <m/>
    <n v="21953.891680000004"/>
    <n v="21953.891680000004"/>
    <n v="15070.835360000001"/>
    <n v="0"/>
    <n v="628.61151323602405"/>
    <n v="0"/>
    <n v="0"/>
    <n v="212.68090874263351"/>
    <n v="3244.507339191246"/>
    <n v="13686.383654136602"/>
    <n v="1901.4559535576432"/>
    <n v="95.66074547266048"/>
    <n v="0"/>
    <n v="0"/>
    <n v="0"/>
    <n v="0"/>
    <n v="111.67888450642894"/>
    <m/>
    <n v="14.684105545660229"/>
    <n v="456.76099312114314"/>
    <n v="1468.7130966396501"/>
    <n v="0"/>
    <n v="0"/>
    <n v="0"/>
    <n v="0"/>
    <n v="0"/>
    <n v="0"/>
    <n v="0"/>
    <n v="0"/>
    <n v="0"/>
    <n v="0"/>
    <m/>
    <n v="0"/>
    <n v="0"/>
    <n v="0"/>
    <n v="2.2047902694120243"/>
    <n v="56.784013395441889"/>
    <n v="73.829082050336069"/>
    <n v="0"/>
    <n v="0"/>
    <n v="0"/>
    <n v="0"/>
    <n v="0"/>
    <m/>
    <m/>
    <m/>
    <m/>
    <m/>
    <m/>
    <m/>
    <m/>
    <m/>
    <n v="2034.2738392728334"/>
    <m/>
    <m/>
    <m/>
    <m/>
    <m/>
    <m/>
    <m/>
    <m/>
    <m/>
    <m/>
    <m/>
    <m/>
    <n v="15075.937200000002"/>
    <n v="-6877.9844799999973"/>
    <m/>
    <m/>
    <m/>
    <m/>
    <n v="-7133.4373600000008"/>
    <n v="250.38103999999998"/>
    <n v="31"/>
    <n v="363.08239840889109"/>
    <n v="44.348606744958659"/>
    <n v="142.60276276867785"/>
    <n v="0"/>
    <n v="0"/>
    <n v="0"/>
    <n v="0"/>
    <n v="0"/>
    <n v="-62.210858434005331"/>
    <n v="0"/>
    <n v="0"/>
    <n v="244.07288662981682"/>
    <n v="7.2888556991919842"/>
    <n v="0.2830091985364489"/>
    <n v="0"/>
    <n v="9.4767786440382338"/>
    <n v="0"/>
    <n v="-18.371489250473815"/>
    <m/>
    <n v="0"/>
    <n v="0"/>
    <n v="-1.063234076721443"/>
    <n v="0"/>
    <n v="-2.8924445342458256"/>
    <n v="-0.4524749808830677"/>
    <n v="0"/>
    <n v="0"/>
    <m/>
    <m/>
    <m/>
    <n v="13686.383654136602"/>
    <n v="0"/>
    <n v="0"/>
    <n v="-7133.4373600000017"/>
    <n v="250.38103999999976"/>
    <n v="0"/>
    <n v="0"/>
    <n v="-7246.214554750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6"/>
    <s v="Regular"/>
    <s v="Verde"/>
    <s v="A4"/>
    <s v="Comercial"/>
    <s v="Não se aplica"/>
    <s v="Não se aplica"/>
    <s v="Não se aplica"/>
    <s v="Fora ponta"/>
    <s v="CATIVO"/>
    <x v="8"/>
    <n v="0"/>
    <n v="0"/>
    <n v="204.81399999999999"/>
    <n v="204.81399999999999"/>
    <n v="204.81399999999999"/>
    <n v="204.81399999999999"/>
    <m/>
    <n v="70.33"/>
    <n v="173.82"/>
    <m/>
    <n v="50005.338099999994"/>
    <n v="50005.338099999994"/>
    <n v="54138.484619999996"/>
    <n v="0"/>
    <n v="10896.11022951278"/>
    <n v="0"/>
    <n v="0"/>
    <n v="0"/>
    <n v="0"/>
    <n v="0"/>
    <n v="32959.106268784286"/>
    <n v="1658.146574410755"/>
    <n v="0"/>
    <n v="0"/>
    <n v="0"/>
    <n v="0"/>
    <n v="1935.7988364336268"/>
    <m/>
    <n v="254.52863856032954"/>
    <n v="0"/>
    <n v="0"/>
    <n v="0"/>
    <n v="0"/>
    <n v="0"/>
    <n v="0"/>
    <n v="0"/>
    <n v="0"/>
    <n v="0"/>
    <n v="0"/>
    <n v="0"/>
    <n v="0"/>
    <m/>
    <n v="0"/>
    <n v="0"/>
    <n v="0"/>
    <n v="38.216986648557409"/>
    <n v="984.27225114878422"/>
    <n v="1279.7249163048011"/>
    <n v="0"/>
    <n v="0"/>
    <n v="0"/>
    <n v="0"/>
    <n v="0"/>
    <m/>
    <m/>
    <m/>
    <m/>
    <m/>
    <m/>
    <m/>
    <m/>
    <m/>
    <n v="35261.320422886427"/>
    <m/>
    <m/>
    <m/>
    <m/>
    <m/>
    <m/>
    <m/>
    <m/>
    <m/>
    <m/>
    <m/>
    <m/>
    <n v="54137.427299999996"/>
    <n v="4132.0591999999961"/>
    <m/>
    <m/>
    <m/>
    <m/>
    <n v="-206.86214000000103"/>
    <n v="4340.0086599999995"/>
    <n v="31"/>
    <n v="4131.3266174217133"/>
    <n v="0"/>
    <n v="0"/>
    <n v="0"/>
    <n v="0"/>
    <n v="0"/>
    <n v="0"/>
    <n v="0"/>
    <n v="0"/>
    <n v="0"/>
    <n v="0"/>
    <n v="4230.6655553655437"/>
    <n v="126.34222166336383"/>
    <n v="4.9055726124783519"/>
    <n v="0"/>
    <n v="164.26683659445212"/>
    <n v="0"/>
    <n v="-318.44432966710701"/>
    <m/>
    <n v="0"/>
    <n v="0"/>
    <n v="-18.429690605079941"/>
    <n v="0"/>
    <n v="-50.136521228590254"/>
    <n v="-7.843027313353474"/>
    <n v="0"/>
    <n v="0"/>
    <m/>
    <m/>
    <m/>
    <n v="0"/>
    <n v="0"/>
    <n v="0"/>
    <n v="-206.86214000000109"/>
    <n v="4340.0086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7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70.665999999999997"/>
    <n v="70.665999999999997"/>
    <n v="70.665999999999997"/>
    <n v="70.665999999999997"/>
    <m/>
    <n v="70.33"/>
    <n v="173.82"/>
    <m/>
    <n v="17253.103899999998"/>
    <n v="17253.103899999998"/>
    <n v="18679.143779999999"/>
    <n v="0"/>
    <n v="3759.4330733189631"/>
    <n v="0"/>
    <n v="0"/>
    <n v="0"/>
    <n v="0"/>
    <n v="0"/>
    <n v="11371.723630171327"/>
    <n v="572.10242379578744"/>
    <n v="0"/>
    <n v="0"/>
    <n v="0"/>
    <n v="0"/>
    <n v="667.89946280732113"/>
    <m/>
    <n v="87.818805220855253"/>
    <n v="0"/>
    <n v="0"/>
    <n v="0"/>
    <n v="0"/>
    <n v="0"/>
    <n v="0"/>
    <n v="0"/>
    <n v="0"/>
    <n v="0"/>
    <n v="0"/>
    <n v="0"/>
    <n v="0"/>
    <m/>
    <n v="0"/>
    <n v="0"/>
    <n v="0"/>
    <n v="13.185825082791986"/>
    <n v="339.59877205503523"/>
    <n v="441.53739947266826"/>
    <n v="0"/>
    <n v="0"/>
    <n v="0"/>
    <n v="0"/>
    <n v="0"/>
    <m/>
    <m/>
    <m/>
    <m/>
    <m/>
    <m/>
    <m/>
    <m/>
    <m/>
    <n v="12166.045626781823"/>
    <m/>
    <m/>
    <m/>
    <m/>
    <m/>
    <m/>
    <m/>
    <m/>
    <m/>
    <m/>
    <m/>
    <m/>
    <n v="18680.201099999998"/>
    <n v="1427.0672000000013"/>
    <m/>
    <m/>
    <m/>
    <m/>
    <n v="-71.372660000000351"/>
    <n v="1497.4125399999998"/>
    <n v="31"/>
    <n v="1425.4119676717528"/>
    <n v="0"/>
    <n v="0"/>
    <n v="0"/>
    <n v="0"/>
    <n v="0"/>
    <n v="0"/>
    <n v="0"/>
    <n v="0"/>
    <n v="0"/>
    <n v="0"/>
    <n v="1459.6864088170805"/>
    <n v="43.591255656660564"/>
    <n v="1.6925463798050675"/>
    <n v="0"/>
    <n v="56.676205116757387"/>
    <n v="0"/>
    <n v="-109.87133203909752"/>
    <m/>
    <n v="0"/>
    <n v="0"/>
    <n v="-6.3587084686524804"/>
    <n v="0"/>
    <n v="-17.298365390742674"/>
    <n v="-2.7060424000577967"/>
    <n v="0"/>
    <n v="0"/>
    <m/>
    <m/>
    <m/>
    <n v="0"/>
    <n v="0"/>
    <n v="0"/>
    <n v="-71.372659999999996"/>
    <n v="1497.4125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28"/>
    <s v="Regular"/>
    <s v="Verde"/>
    <s v="A4"/>
    <s v="Comercial"/>
    <s v="Não se aplica"/>
    <s v="Não se aplica"/>
    <s v="Não se aplica"/>
    <s v="Não se aplica"/>
    <s v="CATIVO"/>
    <x v="8"/>
    <n v="2400"/>
    <n v="2400"/>
    <n v="0"/>
    <n v="0"/>
    <n v="0"/>
    <n v="0"/>
    <n v="59.12"/>
    <m/>
    <m/>
    <n v="141888"/>
    <m/>
    <n v="141888"/>
    <n v="81672"/>
    <n v="0"/>
    <n v="0"/>
    <n v="0"/>
    <n v="0"/>
    <n v="1372.944872000837"/>
    <n v="12280.854361717033"/>
    <n v="115588.31460588169"/>
    <m/>
    <m/>
    <m/>
    <n v="0"/>
    <n v="0"/>
    <n v="0"/>
    <n v="0"/>
    <m/>
    <n v="0"/>
    <n v="2899.3730776561442"/>
    <n v="9746.3708736478566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048.59"/>
    <n v="13"/>
    <m/>
    <m/>
    <m/>
    <m/>
    <m/>
    <m/>
    <m/>
    <m/>
    <m/>
    <n v="0"/>
    <m/>
    <m/>
    <m/>
    <m/>
    <m/>
    <m/>
    <m/>
    <m/>
    <m/>
    <m/>
    <m/>
    <m/>
    <n v="81672"/>
    <n v="-60216.030000000028"/>
    <m/>
    <m/>
    <m/>
    <m/>
    <n v="-60215.999999999993"/>
    <n v="0"/>
    <n v="31"/>
    <n v="992.34619002889667"/>
    <n v="281.51080841920793"/>
    <n v="946.31103700943822"/>
    <n v="0"/>
    <n v="0"/>
    <m/>
    <m/>
    <m/>
    <n v="-235.475655399744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588.31460588169"/>
    <m/>
    <n v="0"/>
    <n v="0"/>
    <n v="-60216"/>
    <m/>
    <n v="0"/>
    <m/>
    <n v="-61197.8846145405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29"/>
    <s v="Sistema de Compensação"/>
    <s v="Verde"/>
    <s v="A4"/>
    <s v="Comercial"/>
    <s v="Não se aplica"/>
    <s v="Não se aplica"/>
    <s v="Não se aplica"/>
    <s v="Não se aplica"/>
    <s v="CATIVO"/>
    <x v="8"/>
    <n v="299"/>
    <n v="299"/>
    <n v="0"/>
    <n v="0"/>
    <n v="0"/>
    <n v="0"/>
    <n v="59.12"/>
    <m/>
    <m/>
    <n v="17676.88"/>
    <m/>
    <n v="17676.88"/>
    <n v="10174.970000000001"/>
    <n v="0"/>
    <n v="0"/>
    <n v="0"/>
    <n v="0"/>
    <n v="171.04604863677093"/>
    <n v="1529.9897725639137"/>
    <n v="14400.377527982761"/>
    <m/>
    <m/>
    <m/>
    <n v="0"/>
    <n v="0"/>
    <n v="0"/>
    <n v="0"/>
    <m/>
    <n v="0"/>
    <n v="361.21356259132796"/>
    <n v="1214.235371341962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070.419999999998"/>
    <n v="3"/>
    <m/>
    <m/>
    <m/>
    <m/>
    <m/>
    <m/>
    <m/>
    <m/>
    <m/>
    <n v="0"/>
    <m/>
    <m/>
    <m/>
    <m/>
    <m/>
    <m/>
    <m/>
    <m/>
    <m/>
    <m/>
    <m/>
    <m/>
    <n v="10174.970000000001"/>
    <n v="-7501.9399999999951"/>
    <m/>
    <m/>
    <m/>
    <m/>
    <n v="-7501.9099999999989"/>
    <n v="0"/>
    <n v="31"/>
    <n v="123.62979617443398"/>
    <n v="35.071554882226337"/>
    <n v="117.89458336075927"/>
    <n v="0"/>
    <n v="0"/>
    <m/>
    <m/>
    <m/>
    <n v="-29.33634206855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00.377527982761"/>
    <m/>
    <n v="0"/>
    <n v="0"/>
    <n v="-7501.91"/>
    <m/>
    <n v="0"/>
    <m/>
    <n v="-7624.236458228178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30"/>
    <s v="Regular"/>
    <s v="Convencional"/>
    <s v="B2"/>
    <s v="Rural"/>
    <s v="Não se aplica"/>
    <s v="Não se aplica"/>
    <s v="Não se aplica"/>
    <s v="Não se aplica"/>
    <s v="CATIVO"/>
    <x v="8"/>
    <n v="0"/>
    <n v="0"/>
    <n v="3238.971"/>
    <n v="3238.971"/>
    <n v="3238.971"/>
    <n v="3238.971"/>
    <m/>
    <n v="516.83000000000004"/>
    <n v="173.82"/>
    <m/>
    <n v="2236995.3211500002"/>
    <n v="2236995.3211500002"/>
    <n v="1688961.4279499999"/>
    <n v="0"/>
    <n v="198061.31386602178"/>
    <n v="0"/>
    <n v="0"/>
    <n v="8804.9615188348998"/>
    <n v="111506.79634823762"/>
    <n v="1177741.0156868782"/>
    <n v="521222.13027679018"/>
    <n v="26222.273224807766"/>
    <n v="0"/>
    <n v="0"/>
    <n v="0"/>
    <n v="0"/>
    <n v="30613.123580625645"/>
    <m/>
    <n v="5025.3994618208753"/>
    <n v="18781.185584010094"/>
    <n v="61505.843353201533"/>
    <n v="0"/>
    <n v="0"/>
    <n v="0"/>
    <n v="0"/>
    <n v="0"/>
    <n v="0"/>
    <n v="0"/>
    <n v="0"/>
    <n v="0"/>
    <n v="0"/>
    <m/>
    <n v="0"/>
    <n v="0"/>
    <n v="0"/>
    <n v="1797.0219770658771"/>
    <n v="15565.485160075137"/>
    <n v="60174.650093332944"/>
    <n v="0"/>
    <n v="0"/>
    <n v="0"/>
    <n v="95822.24"/>
    <n v="10199"/>
    <m/>
    <m/>
    <m/>
    <m/>
    <m/>
    <n v="202662.41546999998"/>
    <m/>
    <m/>
    <m/>
    <n v="598759.28750726418"/>
    <m/>
    <m/>
    <m/>
    <m/>
    <m/>
    <m/>
    <m/>
    <m/>
    <m/>
    <m/>
    <m/>
    <m/>
    <n v="1486298.5535999998"/>
    <n v="-482250.88107000035"/>
    <m/>
    <m/>
    <m/>
    <m/>
    <n v="-616667.6886900001"/>
    <n v="68633.79548999999"/>
    <n v="31"/>
    <n v="75487.066255880985"/>
    <n v="1823.5344659749935"/>
    <n v="5971.8288130278524"/>
    <n v="0"/>
    <n v="0"/>
    <n v="0"/>
    <n v="0"/>
    <n v="0"/>
    <n v="-2138.0545016051328"/>
    <n v="0"/>
    <n v="0"/>
    <n v="66904.620995282952"/>
    <n v="1998.0020508520265"/>
    <n v="230.66763153731517"/>
    <n v="0"/>
    <n v="7724.0813928604839"/>
    <n v="0"/>
    <n v="-5788.4420218342857"/>
    <m/>
    <n v="0"/>
    <n v="0"/>
    <n v="-291.45094284974039"/>
    <n v="0"/>
    <n v="-792.86932680523751"/>
    <n v="-154.85230056037835"/>
    <n v="0"/>
    <n v="0"/>
    <m/>
    <m/>
    <m/>
    <n v="1177741.0156868782"/>
    <n v="0"/>
    <n v="0"/>
    <n v="-616667.68869000021"/>
    <n v="68633.795490000048"/>
    <n v="0"/>
    <n v="0"/>
    <n v="-623551.4293081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1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0.13200000000000001"/>
    <n v="-0.13200000000000001"/>
    <n v="-0.13200000000000001"/>
    <n v="-0.13200000000000001"/>
    <m/>
    <n v="516.83000000000004"/>
    <n v="173.82"/>
    <m/>
    <n v="-91.165800000000019"/>
    <n v="-91.165800000000019"/>
    <n v="-68.831400000000002"/>
    <n v="0"/>
    <n v="-8.0717281600591289"/>
    <n v="0"/>
    <n v="0"/>
    <n v="-0.35883461768759489"/>
    <n v="-4.5443127209127114"/>
    <n v="-47.997284962004272"/>
    <n v="-21.241721891469947"/>
    <n v="-1.0686542317528083"/>
    <n v="0"/>
    <n v="0"/>
    <n v="0"/>
    <n v="0"/>
    <n v="-1.2475975588057397"/>
    <m/>
    <n v="-0.20480354068015907"/>
    <n v="-0.76540249884587808"/>
    <n v="-2.5065896924123749"/>
    <n v="0"/>
    <n v="0"/>
    <n v="0"/>
    <n v="0"/>
    <n v="0"/>
    <n v="0"/>
    <n v="0"/>
    <n v="0"/>
    <n v="0"/>
    <n v="0"/>
    <m/>
    <n v="0"/>
    <n v="0"/>
    <n v="0"/>
    <n v="-7.3235265450877995E-2"/>
    <n v="-0.63435086054488232"/>
    <n v="-2.4523386632112327"/>
    <n v="0"/>
    <n v="-0.31"/>
    <n v="-1.39"/>
    <n v="-6.17"/>
    <n v="0"/>
    <m/>
    <m/>
    <m/>
    <m/>
    <m/>
    <n v="-8.2592399999999984"/>
    <m/>
    <m/>
    <m/>
    <n v="-24.40164668067694"/>
    <m/>
    <m/>
    <m/>
    <m/>
    <m/>
    <m/>
    <m/>
    <m/>
    <m/>
    <m/>
    <m/>
    <m/>
    <n v="-59.65440000000001"/>
    <n v="20.541239999999988"/>
    <m/>
    <m/>
    <m/>
    <m/>
    <n v="25.131480000000007"/>
    <n v="-2.7970799999999998"/>
    <n v="31"/>
    <n v="-3.076376029849051"/>
    <n v="-7.4315747040865521E-2"/>
    <n v="-0.2433740232066528"/>
    <n v="0"/>
    <n v="0"/>
    <n v="0"/>
    <n v="0"/>
    <n v="0"/>
    <n v="8.7133597124481099E-2"/>
    <n v="0"/>
    <n v="0"/>
    <n v="-2.7266097693919953"/>
    <n v="-8.1425943829836034E-2"/>
    <n v="-9.400555720605594E-3"/>
    <n v="0"/>
    <n v="-0.31478477079837486"/>
    <n v="0"/>
    <n v="0.23590033590363291"/>
    <m/>
    <n v="0"/>
    <n v="0"/>
    <n v="1.1877699570686406E-2"/>
    <n v="0"/>
    <n v="3.2312345846348123E-2"/>
    <n v="6.3108016941089973E-3"/>
    <n v="0"/>
    <n v="0"/>
    <m/>
    <m/>
    <m/>
    <n v="-47.997284962004272"/>
    <n v="0"/>
    <n v="0"/>
    <n v="25.13148000000001"/>
    <n v="-2.7970800000000011"/>
    <n v="0"/>
    <n v="0"/>
    <n v="25.41201778857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2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58.551000000000002"/>
    <n v="58.551000000000002"/>
    <n v="58.551000000000002"/>
    <n v="58.551000000000002"/>
    <m/>
    <n v="516.83000000000004"/>
    <n v="173.82"/>
    <m/>
    <n v="40438.248149999999"/>
    <n v="40438.248149999999"/>
    <n v="30531.418949999999"/>
    <n v="0"/>
    <n v="3580.3617840880456"/>
    <n v="0"/>
    <n v="0"/>
    <n v="159.16761894110886"/>
    <n v="2015.7125312284863"/>
    <n v="21290.068422805394"/>
    <n v="9422.1519580867953"/>
    <n v="474.02101457089907"/>
    <n v="0"/>
    <n v="0"/>
    <n v="0"/>
    <n v="0"/>
    <n v="553.39458080026407"/>
    <m/>
    <n v="90.844334169424201"/>
    <n v="339.50819477215913"/>
    <n v="1111.8434324275527"/>
    <n v="0"/>
    <n v="0"/>
    <n v="0"/>
    <n v="0"/>
    <n v="0"/>
    <n v="0"/>
    <n v="0"/>
    <n v="0"/>
    <n v="0"/>
    <n v="0"/>
    <m/>
    <n v="0"/>
    <n v="0"/>
    <n v="0"/>
    <n v="32.484833541017863"/>
    <n v="281.37785784669245"/>
    <n v="1087.779402043037"/>
    <n v="0"/>
    <n v="0"/>
    <n v="0"/>
    <n v="2167.34"/>
    <n v="282"/>
    <m/>
    <m/>
    <m/>
    <m/>
    <m/>
    <n v="3663.5360699999992"/>
    <m/>
    <m/>
    <m/>
    <n v="10823.794051517541"/>
    <m/>
    <m/>
    <m/>
    <m/>
    <m/>
    <m/>
    <m/>
    <m/>
    <m/>
    <m/>
    <m/>
    <m/>
    <n v="26867.423999999999"/>
    <n v="-8718.1472700000013"/>
    <m/>
    <m/>
    <m/>
    <m/>
    <n v="-11147.524890000002"/>
    <n v="1240.69569"/>
    <n v="31"/>
    <n v="1364.5825221491868"/>
    <n v="32.96410079537668"/>
    <n v="107.95297297555112"/>
    <n v="0"/>
    <n v="0"/>
    <n v="0"/>
    <n v="0"/>
    <n v="0"/>
    <n v="-38.649691251784134"/>
    <n v="0"/>
    <n v="0"/>
    <n v="1209.4373379368972"/>
    <n v="36.117957857429758"/>
    <n v="4.1697874090695279"/>
    <n v="0"/>
    <n v="139.62850844708828"/>
    <n v="0"/>
    <n v="-104.63788308707262"/>
    <m/>
    <n v="0"/>
    <n v="0"/>
    <n v="-5.2685696027519384"/>
    <n v="0"/>
    <n v="-14.332728497344874"/>
    <n v="-2.7992708332710379"/>
    <n v="0"/>
    <n v="0"/>
    <m/>
    <m/>
    <m/>
    <n v="21290.068422805394"/>
    <n v="0"/>
    <n v="0"/>
    <n v="-11147.524890000004"/>
    <n v="1240.6956900000005"/>
    <n v="0"/>
    <n v="0"/>
    <n v="-11271.962526809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3"/>
    <s v="Regular"/>
    <s v="Verde"/>
    <s v="A4"/>
    <s v="Rural"/>
    <s v="Não se aplica"/>
    <s v="Não se aplica"/>
    <s v="Não se aplica"/>
    <s v="Ponta"/>
    <s v="CATIVO"/>
    <x v="8"/>
    <n v="0"/>
    <n v="0"/>
    <n v="50.412999999999997"/>
    <n v="48.396479999999997"/>
    <n v="50.412999999999997"/>
    <n v="48.396479999999997"/>
    <m/>
    <n v="1684.16"/>
    <n v="173.82"/>
    <m/>
    <n v="93666.345740000004"/>
    <n v="93666.345740000004"/>
    <n v="64299.764979999993"/>
    <n v="0"/>
    <n v="2681.9729364224504"/>
    <n v="0"/>
    <n v="0"/>
    <n v="907.40374512884068"/>
    <n v="13842.700447752901"/>
    <n v="58392.997558902207"/>
    <n v="8112.5676190505637"/>
    <n v="408.13686201026002"/>
    <n v="0"/>
    <n v="0"/>
    <n v="0"/>
    <n v="0"/>
    <n v="476.4783010005587"/>
    <m/>
    <n v="62.649781048863325"/>
    <n v="1948.7721687725275"/>
    <n v="6266.2689015652222"/>
    <n v="0"/>
    <n v="0"/>
    <n v="0"/>
    <n v="0"/>
    <n v="0"/>
    <n v="0"/>
    <n v="0"/>
    <n v="0"/>
    <n v="0"/>
    <n v="0"/>
    <m/>
    <n v="0"/>
    <n v="0"/>
    <n v="0"/>
    <n v="9.4067444018168906"/>
    <n v="242.26916615643296"/>
    <n v="314.99200350402776"/>
    <n v="0"/>
    <n v="0"/>
    <n v="0"/>
    <n v="0"/>
    <n v="0"/>
    <m/>
    <m/>
    <m/>
    <m/>
    <m/>
    <n v="2571.9905991999999"/>
    <m/>
    <m/>
    <m/>
    <n v="8679.2355331128419"/>
    <m/>
    <m/>
    <m/>
    <m/>
    <m/>
    <m/>
    <m/>
    <m/>
    <m/>
    <m/>
    <m/>
    <m/>
    <n v="61732.263999999996"/>
    <n v="-28187.457910399986"/>
    <m/>
    <m/>
    <m/>
    <m/>
    <n v="-30434.83223"/>
    <n v="1068.2514699999999"/>
    <n v="31"/>
    <n v="1549.092159020598"/>
    <n v="189.21346579499004"/>
    <n v="608.415121822728"/>
    <n v="0"/>
    <n v="0"/>
    <n v="0"/>
    <n v="0"/>
    <n v="0"/>
    <n v="-265.42281704752168"/>
    <n v="0"/>
    <n v="0"/>
    <n v="1041.337714426958"/>
    <n v="31.097925047678189"/>
    <n v="1.2074596078045019"/>
    <n v="0"/>
    <n v="40.432704957845203"/>
    <n v="0"/>
    <n v="-78.382014859862011"/>
    <m/>
    <n v="0"/>
    <n v="0"/>
    <n v="-4.5362914277046684"/>
    <n v="0"/>
    <n v="-12.340623417817767"/>
    <n v="-1.9304858845005199"/>
    <n v="0"/>
    <n v="0"/>
    <m/>
    <m/>
    <m/>
    <n v="58392.997558902207"/>
    <n v="0"/>
    <n v="0"/>
    <n v="-30434.832230000007"/>
    <n v="1068.2514699999992"/>
    <n v="0"/>
    <n v="0"/>
    <n v="-30915.996475001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4"/>
    <s v="Sistema de Compensação"/>
    <s v="Verde"/>
    <s v="A4"/>
    <s v="Rural"/>
    <s v="Não se aplica"/>
    <s v="Não se aplica"/>
    <s v="Não se aplica"/>
    <s v="Ponta"/>
    <s v="CATIVO"/>
    <x v="8"/>
    <n v="0"/>
    <n v="0"/>
    <n v="7.0049999999999999"/>
    <n v="6.7248000000000001"/>
    <n v="7.0049999999999999"/>
    <n v="6.7248000000000001"/>
    <m/>
    <n v="1684.16"/>
    <n v="173.82"/>
    <m/>
    <n v="13015.1499"/>
    <n v="13015.1499"/>
    <n v="8934.5973000000013"/>
    <n v="0"/>
    <n v="372.66618569891233"/>
    <n v="0"/>
    <n v="0"/>
    <n v="126.08579601744648"/>
    <n v="1923.4744339061169"/>
    <n v="8113.8386507470286"/>
    <n v="1127.25955946778"/>
    <n v="56.711537071427436"/>
    <n v="0"/>
    <n v="0"/>
    <n v="0"/>
    <n v="0"/>
    <n v="66.207734086622779"/>
    <m/>
    <n v="8.705328313079713"/>
    <n v="270.78628612166619"/>
    <n v="870.71219041644792"/>
    <n v="0"/>
    <n v="0"/>
    <n v="0"/>
    <n v="0"/>
    <n v="0"/>
    <n v="0"/>
    <n v="0"/>
    <n v="0"/>
    <n v="0"/>
    <n v="0"/>
    <m/>
    <n v="0"/>
    <n v="0"/>
    <n v="0"/>
    <n v="1.3070883409979037"/>
    <n v="33.663846803915909"/>
    <n v="43.768848998189249"/>
    <n v="0"/>
    <n v="0"/>
    <n v="0"/>
    <n v="0"/>
    <n v="0"/>
    <m/>
    <m/>
    <m/>
    <m/>
    <m/>
    <n v="357.38389199999972"/>
    <m/>
    <m/>
    <m/>
    <n v="1205.9993436108832"/>
    <m/>
    <m/>
    <m/>
    <m/>
    <m/>
    <m/>
    <m/>
    <m/>
    <m/>
    <m/>
    <m/>
    <m/>
    <n v="8571.0911999999989"/>
    <n v="-3923.4827040000037"/>
    <m/>
    <m/>
    <m/>
    <m/>
    <n v="-4228.98855"/>
    <n v="148.43594999999999"/>
    <n v="31"/>
    <n v="215.24984773648157"/>
    <n v="26.291637631045603"/>
    <n v="84.540652775438957"/>
    <n v="0"/>
    <n v="0"/>
    <n v="0"/>
    <n v="0"/>
    <n v="0"/>
    <n v="-36.881098792332978"/>
    <n v="0"/>
    <n v="0"/>
    <n v="144.69622298932518"/>
    <n v="4.3211267918787968"/>
    <n v="0.16777923457581445"/>
    <n v="0"/>
    <n v="5.6182155045267237"/>
    <n v="0"/>
    <n v="-10.891357667532873"/>
    <m/>
    <n v="0"/>
    <n v="0"/>
    <n v="-0.63032792039892627"/>
    <n v="0"/>
    <n v="-1.7147574443459774"/>
    <n v="-0.26824536569785806"/>
    <n v="0"/>
    <n v="0"/>
    <m/>
    <m/>
    <m/>
    <n v="8113.8386507470286"/>
    <n v="0"/>
    <n v="0"/>
    <n v="-4228.98855"/>
    <n v="148.43595000000005"/>
    <n v="0"/>
    <n v="0"/>
    <n v="-4295.84740656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5"/>
    <s v="Regular"/>
    <s v="Verde"/>
    <s v="A4"/>
    <s v="Rural"/>
    <s v="Não se aplica"/>
    <s v="Não se aplica"/>
    <s v="Não se aplica"/>
    <s v="Fora ponta"/>
    <s v="CATIVO"/>
    <x v="8"/>
    <n v="0"/>
    <n v="0"/>
    <n v="525.40700000000004"/>
    <n v="504.39071999999999"/>
    <n v="525.40700000000004"/>
    <n v="504.39071999999999"/>
    <m/>
    <n v="70.33"/>
    <n v="173.82"/>
    <m/>
    <n v="128278.11905000001"/>
    <n v="128278.11905000001"/>
    <n v="138880.83231"/>
    <n v="0"/>
    <n v="27951.666328266729"/>
    <n v="0"/>
    <n v="0"/>
    <n v="0"/>
    <n v="0"/>
    <n v="0"/>
    <n v="84549.616468420849"/>
    <n v="4253.6243480496041"/>
    <n v="0"/>
    <n v="0"/>
    <n v="0"/>
    <n v="0"/>
    <n v="4965.8825043897523"/>
    <m/>
    <n v="652.93939086228033"/>
    <n v="0"/>
    <n v="0"/>
    <n v="0"/>
    <n v="0"/>
    <n v="0"/>
    <n v="0"/>
    <n v="0"/>
    <n v="0"/>
    <n v="0"/>
    <n v="0"/>
    <n v="0"/>
    <n v="0"/>
    <m/>
    <n v="0"/>
    <n v="0"/>
    <n v="0"/>
    <n v="98.037596570833074"/>
    <n v="2524.9422923204925"/>
    <n v="3282.8636182143641"/>
    <n v="0"/>
    <n v="0"/>
    <n v="0"/>
    <n v="0"/>
    <n v="0"/>
    <m/>
    <m/>
    <m/>
    <m/>
    <m/>
    <n v="5555.2332924000139"/>
    <m/>
    <m/>
    <m/>
    <n v="90455.459975526552"/>
    <m/>
    <m/>
    <m/>
    <m/>
    <m/>
    <m/>
    <m/>
    <m/>
    <m/>
    <m/>
    <m/>
    <m/>
    <n v="133325.40869999997"/>
    <n v="10178.38441199997"/>
    <m/>
    <m/>
    <m/>
    <m/>
    <n v="-530.66107000000272"/>
    <n v="11133.374329999999"/>
    <n v="31"/>
    <n v="10598.044684834473"/>
    <n v="0"/>
    <n v="0"/>
    <n v="0"/>
    <n v="0"/>
    <n v="0"/>
    <n v="0"/>
    <n v="0"/>
    <n v="0"/>
    <n v="0"/>
    <n v="0"/>
    <n v="10852.877720507109"/>
    <n v="324.1042490136565"/>
    <n v="12.584209036513201"/>
    <n v="0"/>
    <n v="421.39182777828273"/>
    <n v="0"/>
    <n v="-816.90157859035389"/>
    <m/>
    <n v="0"/>
    <n v="0"/>
    <n v="-47.277473472238853"/>
    <n v="0"/>
    <n v="-128.61464162191078"/>
    <n v="-20.11962781659031"/>
    <n v="0"/>
    <n v="0"/>
    <m/>
    <m/>
    <m/>
    <n v="0"/>
    <n v="0"/>
    <n v="0"/>
    <n v="-530.66107000000193"/>
    <n v="11133.37432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6"/>
    <s v="Sistema de Compensação"/>
    <s v="Verde"/>
    <s v="A4"/>
    <s v="Rural"/>
    <s v="Não se aplica"/>
    <s v="Não se aplica"/>
    <s v="Não se aplica"/>
    <s v="Fora ponta"/>
    <s v="CATIVO"/>
    <x v="8"/>
    <n v="0"/>
    <n v="0"/>
    <n v="54.393999999999998"/>
    <n v="52.218240000000002"/>
    <n v="54.393999999999998"/>
    <n v="52.218240000000002"/>
    <m/>
    <n v="70.33"/>
    <n v="173.82"/>
    <m/>
    <n v="13280.295099999999"/>
    <n v="13280.295099999999"/>
    <n v="14377.96602"/>
    <n v="0"/>
    <n v="2893.7622419566933"/>
    <n v="0"/>
    <n v="0"/>
    <n v="0"/>
    <n v="0"/>
    <n v="0"/>
    <n v="8753.1986406410324"/>
    <n v="440.36650213607766"/>
    <n v="0"/>
    <n v="0"/>
    <n v="0"/>
    <n v="0"/>
    <n v="514.10470919454087"/>
    <m/>
    <n v="67.597091828930473"/>
    <n v="0"/>
    <n v="0"/>
    <n v="0"/>
    <n v="0"/>
    <n v="0"/>
    <n v="0"/>
    <n v="0"/>
    <n v="0"/>
    <n v="0"/>
    <n v="0"/>
    <n v="0"/>
    <n v="0"/>
    <m/>
    <n v="0"/>
    <n v="0"/>
    <n v="0"/>
    <n v="10.149573621733044"/>
    <n v="261.40061142786612"/>
    <n v="339.86620591113575"/>
    <n v="0"/>
    <n v="0"/>
    <n v="0"/>
    <n v="0"/>
    <n v="0"/>
    <m/>
    <m/>
    <m/>
    <m/>
    <m/>
    <n v="575.11864079999918"/>
    <m/>
    <m/>
    <m/>
    <n v="9364.6150316017665"/>
    <m/>
    <m/>
    <m/>
    <m/>
    <m/>
    <m/>
    <m/>
    <m/>
    <m/>
    <m/>
    <m/>
    <m/>
    <n v="13803.312599999999"/>
    <n v="1054.1993039999979"/>
    <m/>
    <m/>
    <m/>
    <m/>
    <n v="-54.937940000000275"/>
    <n v="1152.6088599999998"/>
    <n v="31"/>
    <n v="1097.1875947349145"/>
    <n v="0"/>
    <n v="0"/>
    <n v="0"/>
    <n v="0"/>
    <n v="0"/>
    <n v="0"/>
    <n v="0"/>
    <n v="0"/>
    <n v="0"/>
    <n v="0"/>
    <n v="1123.5697863356672"/>
    <n v="33.553657490000717"/>
    <n v="1.3028099479681448"/>
    <n v="0"/>
    <n v="43.625583747783935"/>
    <n v="0"/>
    <n v="-84.571664377984689"/>
    <m/>
    <n v="0"/>
    <n v="0"/>
    <n v="-4.8945120488478437"/>
    <n v="0"/>
    <n v="-13.315134393683707"/>
    <n v="-2.0829319659913352"/>
    <n v="0"/>
    <n v="0"/>
    <m/>
    <m/>
    <m/>
    <n v="0"/>
    <n v="0"/>
    <n v="0"/>
    <n v="-54.937940000000253"/>
    <n v="1152.6088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37"/>
    <s v="Regular"/>
    <s v="Verde"/>
    <s v="A4"/>
    <s v="Rural"/>
    <s v="Não se aplica"/>
    <s v="Não se aplica"/>
    <s v="Não se aplica"/>
    <s v="Não se aplica"/>
    <s v="CATIVO"/>
    <x v="8"/>
    <n v="2236"/>
    <n v="2146.56"/>
    <n v="0"/>
    <n v="0"/>
    <n v="0"/>
    <n v="0"/>
    <n v="59.12"/>
    <m/>
    <m/>
    <n v="132192.32000000001"/>
    <m/>
    <n v="132192.32000000001"/>
    <n v="76091.08"/>
    <n v="0"/>
    <n v="0"/>
    <n v="0"/>
    <n v="0"/>
    <n v="1279.126972414113"/>
    <n v="11441.662646999703"/>
    <n v="107689.77977447977"/>
    <m/>
    <m/>
    <m/>
    <n v="0"/>
    <n v="0"/>
    <n v="0"/>
    <n v="0"/>
    <m/>
    <n v="0"/>
    <n v="2701.249250682974"/>
    <n v="9080.3688639485863"/>
    <n v="0"/>
    <n v="0"/>
    <m/>
    <m/>
    <n v="0"/>
    <n v="0"/>
    <n v="0"/>
    <m/>
    <m/>
    <n v="0"/>
    <m/>
    <n v="0"/>
    <n v="0"/>
    <n v="0"/>
    <n v="0"/>
    <m/>
    <n v="0"/>
    <n v="0"/>
    <n v="0"/>
    <n v="0"/>
    <n v="9263"/>
    <n v="14"/>
    <m/>
    <m/>
    <m/>
    <m/>
    <m/>
    <n v="3043.6432000000018"/>
    <m/>
    <m/>
    <m/>
    <n v="0"/>
    <m/>
    <m/>
    <m/>
    <m/>
    <m/>
    <m/>
    <m/>
    <m/>
    <m/>
    <m/>
    <m/>
    <m/>
    <n v="73047.436799999996"/>
    <n v="-53857.220399999977"/>
    <m/>
    <m/>
    <m/>
    <m/>
    <n v="-56101.239999999991"/>
    <n v="0"/>
    <n v="31"/>
    <n v="924.53586704359623"/>
    <n v="262.27423651056233"/>
    <n v="881.64644948046043"/>
    <n v="0"/>
    <n v="0"/>
    <m/>
    <m/>
    <m/>
    <n v="-219.384818947430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689.77977447977"/>
    <m/>
    <n v="0"/>
    <n v="0"/>
    <n v="-56101.240000000005"/>
    <m/>
    <n v="0"/>
    <m/>
    <n v="-57016.02916588029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38"/>
    <s v="Sistema de Compensação"/>
    <s v="Verde"/>
    <s v="A4"/>
    <s v="Rural"/>
    <s v="Não se aplica"/>
    <s v="Não se aplica"/>
    <s v="Não se aplica"/>
    <s v="Não se aplica"/>
    <s v="CATIVO"/>
    <x v="8"/>
    <n v="211"/>
    <n v="202.56"/>
    <n v="0"/>
    <n v="0"/>
    <n v="0"/>
    <n v="0"/>
    <n v="59.12"/>
    <m/>
    <m/>
    <n v="12474.32"/>
    <m/>
    <n v="12474.32"/>
    <n v="7180.33"/>
    <n v="0"/>
    <n v="0"/>
    <n v="0"/>
    <n v="0"/>
    <n v="120.7047366634069"/>
    <n v="1079.6917793009559"/>
    <n v="10162.139325767099"/>
    <m/>
    <m/>
    <m/>
    <n v="0"/>
    <n v="0"/>
    <n v="0"/>
    <n v="0"/>
    <m/>
    <n v="0"/>
    <n v="254.90321641060265"/>
    <n v="856.86843930820737"/>
    <n v="0"/>
    <n v="0"/>
    <m/>
    <m/>
    <n v="0"/>
    <n v="0"/>
    <n v="0"/>
    <m/>
    <m/>
    <n v="0"/>
    <m/>
    <n v="0"/>
    <n v="0"/>
    <n v="0"/>
    <n v="0"/>
    <m/>
    <n v="0"/>
    <n v="0"/>
    <n v="0"/>
    <n v="0"/>
    <n v="7.05"/>
    <n v="1"/>
    <m/>
    <m/>
    <m/>
    <m/>
    <m/>
    <n v="287.21319999999992"/>
    <m/>
    <m/>
    <m/>
    <n v="0"/>
    <m/>
    <m/>
    <m/>
    <m/>
    <m/>
    <m/>
    <m/>
    <m/>
    <m/>
    <m/>
    <m/>
    <m/>
    <n v="6893.1168000000007"/>
    <n v="-5082.2604000000001"/>
    <m/>
    <m/>
    <m/>
    <m/>
    <n v="-5293.9899999999989"/>
    <n v="0"/>
    <n v="31"/>
    <n v="87.243769206707839"/>
    <n v="24.749491906855354"/>
    <n v="83.196512003746534"/>
    <n v="0"/>
    <n v="0"/>
    <m/>
    <m/>
    <m/>
    <n v="-20.7022347038944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162.139325767099"/>
    <m/>
    <n v="0"/>
    <n v="0"/>
    <n v="-5293.99"/>
    <m/>
    <n v="0"/>
    <m/>
    <n v="-5380.31402236169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39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84.75"/>
    <n v="284.75"/>
    <n v="284.75"/>
    <n v="284.75"/>
    <m/>
    <n v="516.83000000000004"/>
    <n v="173.82"/>
    <m/>
    <n v="196662.58749999999"/>
    <n v="196662.58749999999"/>
    <n v="148482.88749999998"/>
    <n v="0"/>
    <n v="17412.307527097248"/>
    <n v="0"/>
    <n v="0"/>
    <n v="774.07694989805032"/>
    <n v="9802.9776309082918"/>
    <n v="103539.59767371754"/>
    <n v="45822.578095424753"/>
    <n v="2305.2976703910012"/>
    <n v="0"/>
    <n v="0"/>
    <n v="0"/>
    <n v="0"/>
    <n v="2691.3136732570783"/>
    <m/>
    <n v="441.80157733844919"/>
    <n v="1651.1239511088165"/>
    <n v="5407.2076887456342"/>
    <n v="0"/>
    <n v="0"/>
    <n v="0"/>
    <n v="0"/>
    <n v="0"/>
    <n v="0"/>
    <n v="0"/>
    <n v="0"/>
    <n v="0"/>
    <n v="0"/>
    <m/>
    <n v="0"/>
    <n v="0"/>
    <n v="0"/>
    <n v="157.9828927055872"/>
    <n v="1368.4197540920852"/>
    <n v="5290.1775329499878"/>
    <n v="0"/>
    <n v="0"/>
    <n v="0"/>
    <n v="60059.09"/>
    <n v="258"/>
    <m/>
    <m/>
    <m/>
    <m/>
    <m/>
    <m/>
    <m/>
    <m/>
    <m/>
    <n v="52639.158275172413"/>
    <m/>
    <m/>
    <m/>
    <m/>
    <m/>
    <m/>
    <m/>
    <m/>
    <m/>
    <m/>
    <m/>
    <m/>
    <n v="148482.88749999998"/>
    <n v="-48179.73000000004"/>
    <m/>
    <m/>
    <m/>
    <m/>
    <n v="-54213.552500000013"/>
    <n v="6033.8524999999991"/>
    <n v="31"/>
    <n v="6636.3490492388082"/>
    <n v="160.31370431732148"/>
    <n v="525.00570536435225"/>
    <n v="0"/>
    <n v="0"/>
    <n v="0"/>
    <n v="0"/>
    <n v="0"/>
    <n v="-187.9643316757265"/>
    <n v="0"/>
    <n v="0"/>
    <n v="5881.8343320785643"/>
    <n v="175.65179928443786"/>
    <n v="20.278850313957889"/>
    <n v="0"/>
    <n v="679.05275367300965"/>
    <n v="0"/>
    <n v="-508.88348976181442"/>
    <m/>
    <n v="0"/>
    <n v="0"/>
    <n v="-25.622537520855531"/>
    <n v="0"/>
    <n v="-69.704094543542396"/>
    <n v="-13.613642290890425"/>
    <n v="0"/>
    <n v="0"/>
    <m/>
    <m/>
    <m/>
    <n v="103539.59767371754"/>
    <n v="0"/>
    <n v="0"/>
    <n v="-54213.552500000005"/>
    <n v="6033.8525000000009"/>
    <n v="0"/>
    <n v="0"/>
    <n v="-54818.727767397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0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"/>
    <n v="0"/>
    <n v="221.12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1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1"/>
    <s v="Regular"/>
    <s v="Azul"/>
    <s v="A4"/>
    <s v="Poder público"/>
    <s v="Não se aplica"/>
    <s v="Não se aplica"/>
    <s v="Não se aplica"/>
    <s v="Ponta"/>
    <s v="CATIVO"/>
    <x v="8"/>
    <n v="440"/>
    <n v="440"/>
    <n v="24.181000000000001"/>
    <n v="24.181000000000001"/>
    <n v="24.181000000000001"/>
    <n v="24.181000000000001"/>
    <n v="67.099999999999994"/>
    <n v="70.33"/>
    <n v="173.82"/>
    <n v="29523.999999999996"/>
    <n v="5903.79115"/>
    <n v="35427.791149999997"/>
    <n v="24889.363729999997"/>
    <n v="0"/>
    <n v="1286.4298410257529"/>
    <n v="0"/>
    <n v="0"/>
    <n v="329.30395789898023"/>
    <n v="5023.5825818795756"/>
    <n v="21191.19101107831"/>
    <n v="3891.2581595275365"/>
    <n v="195.7661210455656"/>
    <n v="0"/>
    <n v="0"/>
    <n v="0"/>
    <n v="0"/>
    <n v="228.54664067789085"/>
    <m/>
    <n v="30.050470226778096"/>
    <n v="707.21213380757717"/>
    <n v="2274.0507542624432"/>
    <n v="0"/>
    <n v="0"/>
    <n v="0"/>
    <n v="0"/>
    <n v="0"/>
    <n v="0"/>
    <n v="0"/>
    <n v="0"/>
    <n v="0"/>
    <n v="0"/>
    <m/>
    <n v="0"/>
    <n v="0"/>
    <n v="0"/>
    <n v="4.5120204387823426"/>
    <n v="116.20634968815"/>
    <n v="151.08844220202914"/>
    <n v="0"/>
    <n v="0"/>
    <n v="0"/>
    <n v="0"/>
    <n v="0"/>
    <m/>
    <m/>
    <m/>
    <m/>
    <m/>
    <m/>
    <m/>
    <m/>
    <m/>
    <n v="4163.0649718564982"/>
    <m/>
    <m/>
    <m/>
    <m/>
    <m/>
    <m/>
    <m/>
    <m/>
    <m/>
    <m/>
    <m/>
    <m/>
    <n v="24889.099399999999"/>
    <n v="-10538.721749999997"/>
    <m/>
    <m/>
    <m/>
    <m/>
    <n v="-11050.822809999998"/>
    <n v="512.39539000000002"/>
    <n v="31"/>
    <n v="680.89629099290141"/>
    <n v="68.665830225955688"/>
    <n v="220.79596142772107"/>
    <n v="0"/>
    <n v="0"/>
    <n v="0"/>
    <n v="0"/>
    <n v="0"/>
    <n v="-96.323217105324147"/>
    <n v="0"/>
    <n v="0"/>
    <n v="499.48599116415016"/>
    <n v="14.9163693011308"/>
    <n v="0.5791676904036791"/>
    <n v="0"/>
    <n v="19.393871393998694"/>
    <n v="0"/>
    <n v="-37.596562420929786"/>
    <m/>
    <n v="0"/>
    <n v="0"/>
    <n v="-2.1758685857482476"/>
    <n v="0"/>
    <n v="-5.9192790523526071"/>
    <n v="-0.92597304610134401"/>
    <n v="0"/>
    <n v="0"/>
    <m/>
    <m/>
    <n v="21191.19101107831"/>
    <n v="0"/>
    <n v="0"/>
    <n v="0"/>
    <n v="-11050.822809999998"/>
    <n v="512.39538999999968"/>
    <n v="0"/>
    <n v="0"/>
    <n v="-11219.61217933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2"/>
    <s v="Regular"/>
    <s v="Azul"/>
    <s v="A4"/>
    <s v="Poder público"/>
    <s v="Não se aplica"/>
    <s v="Não se aplica"/>
    <s v="Não se aplica"/>
    <s v="Fora ponta"/>
    <s v="CATIVO"/>
    <x v="8"/>
    <n v="435"/>
    <n v="435"/>
    <n v="149.54400000000001"/>
    <n v="149.54400000000001"/>
    <n v="149.54400000000001"/>
    <n v="149.54400000000001"/>
    <n v="59.12"/>
    <n v="70.33"/>
    <n v="173.82"/>
    <n v="25717.199999999997"/>
    <n v="36511.167600000001"/>
    <n v="62228.367599999998"/>
    <n v="54332.015520000001"/>
    <n v="0"/>
    <n v="7955.7447643337828"/>
    <n v="0"/>
    <n v="0"/>
    <n v="248.84625805015168"/>
    <n v="2225.9048530612122"/>
    <n v="20950.382022316055"/>
    <n v="24064.939837408954"/>
    <n v="1210.688094191227"/>
    <n v="0"/>
    <n v="0"/>
    <n v="0"/>
    <n v="0"/>
    <n v="1413.4146161670117"/>
    <m/>
    <n v="185.84291466826451"/>
    <n v="525.51137032517613"/>
    <n v="1766.5297208486738"/>
    <n v="0"/>
    <n v="0"/>
    <n v="0"/>
    <n v="0"/>
    <n v="0"/>
    <n v="0"/>
    <n v="0"/>
    <n v="0"/>
    <n v="0"/>
    <n v="0"/>
    <m/>
    <n v="0"/>
    <n v="0"/>
    <n v="0"/>
    <n v="27.903957011590368"/>
    <n v="718.66185673730217"/>
    <n v="934.38526118275706"/>
    <n v="0"/>
    <n v="0"/>
    <n v="0"/>
    <n v="0"/>
    <n v="0"/>
    <m/>
    <m/>
    <m/>
    <m/>
    <m/>
    <m/>
    <m/>
    <m/>
    <m/>
    <n v="25745.890912340601"/>
    <m/>
    <m/>
    <m/>
    <m/>
    <m/>
    <m/>
    <m/>
    <m/>
    <m/>
    <m/>
    <m/>
    <m/>
    <n v="54330.958199999994"/>
    <n v="-7897.4394000000102"/>
    <m/>
    <m/>
    <m/>
    <m/>
    <n v="-11065.189439999998"/>
    <n v="3168.83736"/>
    <n v="31"/>
    <n v="3196.3318734463755"/>
    <n v="51.023834025981387"/>
    <n v="171.51887545796103"/>
    <n v="0"/>
    <n v="0"/>
    <n v="0"/>
    <n v="0"/>
    <n v="0"/>
    <n v="-42.679962541203622"/>
    <n v="0"/>
    <n v="0"/>
    <n v="3089.0009951057291"/>
    <n v="92.24819200067418"/>
    <n v="3.5817812784304941"/>
    <n v="0"/>
    <n v="119.93867514760097"/>
    <n v="0"/>
    <n v="-232.51066253155386"/>
    <m/>
    <n v="0"/>
    <n v="0"/>
    <n v="-13.456353822717574"/>
    <n v="0"/>
    <n v="-36.60695035792628"/>
    <n v="-5.7265503166196368"/>
    <n v="0"/>
    <n v="0"/>
    <m/>
    <m/>
    <n v="20950.382022316055"/>
    <n v="0"/>
    <n v="0"/>
    <n v="0"/>
    <n v="-11065.189439999995"/>
    <n v="3168.8373600000014"/>
    <n v="0"/>
    <n v="0"/>
    <n v="-11092.11658638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3"/>
    <s v="Regular"/>
    <s v="Azul"/>
    <s v="A4"/>
    <s v="Poder público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44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68.81700000000001"/>
    <n v="268.81700000000001"/>
    <n v="268.81700000000001"/>
    <n v="268.81700000000001"/>
    <m/>
    <n v="284.26"/>
    <n v="95.6"/>
    <m/>
    <n v="102112.82561999999"/>
    <n v="102112.82561999999"/>
    <n v="77094.027430000002"/>
    <n v="0"/>
    <n v="9040.9072866775787"/>
    <n v="0"/>
    <n v="0"/>
    <n v="401.92018926219282"/>
    <n v="5089.9521362399691"/>
    <n v="53760.358965129468"/>
    <n v="23792.233140413697"/>
    <n v="1196.9684359045609"/>
    <n v="0"/>
    <n v="0"/>
    <n v="0"/>
    <n v="0"/>
    <n v="1397.3976373561768"/>
    <m/>
    <n v="229.39447247924372"/>
    <n v="857.30501471771788"/>
    <n v="2807.5580056050735"/>
    <n v="0"/>
    <n v="0"/>
    <n v="0"/>
    <n v="0"/>
    <n v="0"/>
    <n v="0"/>
    <n v="0"/>
    <n v="0"/>
    <n v="0"/>
    <n v="0"/>
    <m/>
    <n v="0"/>
    <n v="0"/>
    <n v="0"/>
    <n v="82.028684802952711"/>
    <n v="710.51789699622452"/>
    <n v="2746.7930101185484"/>
    <n v="0"/>
    <n v="0"/>
    <n v="0"/>
    <n v="28816.400000000001"/>
    <n v="14"/>
    <m/>
    <m/>
    <m/>
    <m/>
    <m/>
    <m/>
    <m/>
    <m/>
    <m/>
    <n v="27331.572732331424"/>
    <m/>
    <m/>
    <m/>
    <m/>
    <m/>
    <m/>
    <m/>
    <m/>
    <m/>
    <m/>
    <m/>
    <m/>
    <n v="77094.887799999997"/>
    <n v="-25017.967819999976"/>
    <m/>
    <m/>
    <m/>
    <m/>
    <n v="-28150.516240000001"/>
    <n v="3131.7180500000018"/>
    <n v="31"/>
    <n v="3445.7590633996297"/>
    <n v="83.238900717852403"/>
    <n v="272.59614498475639"/>
    <n v="0"/>
    <n v="0"/>
    <n v="0"/>
    <n v="0"/>
    <n v="0"/>
    <n v="-97.595800742538813"/>
    <n v="0"/>
    <n v="0"/>
    <n v="3053.9960765775868"/>
    <n v="91.202824760437579"/>
    <n v="10.529288279775145"/>
    <n v="0"/>
    <n v="352.58124054877908"/>
    <n v="0"/>
    <n v="-264.22508581921102"/>
    <m/>
    <n v="0"/>
    <n v="0"/>
    <n v="-13.303864856221935"/>
    <n v="0"/>
    <n v="-36.19211613907305"/>
    <n v="-7.0685449125225261"/>
    <n v="0"/>
    <n v="0"/>
    <m/>
    <m/>
    <m/>
    <n v="53760.358965129468"/>
    <n v="0"/>
    <n v="0"/>
    <n v="-28150.516239999997"/>
    <n v="3131.7180500000031"/>
    <n v="0"/>
    <n v="0"/>
    <n v="-28463.259941129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5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8.8520000000000003"/>
    <n v="8.3208800000000007"/>
    <n v="8.8520000000000003"/>
    <n v="8.3208800000000007"/>
    <m/>
    <n v="516.83000000000004"/>
    <n v="173.82"/>
    <m/>
    <n v="6113.6338000000005"/>
    <n v="6113.6338000000005"/>
    <n v="4615.8753999999999"/>
    <n v="0"/>
    <n v="541.29498237002576"/>
    <n v="0"/>
    <n v="0"/>
    <n v="24.063666937655984"/>
    <n v="304.74436519332824"/>
    <n v="3218.7270188156199"/>
    <n v="1424.4827438128179"/>
    <n v="71.664600450574696"/>
    <n v="0"/>
    <n v="0"/>
    <n v="0"/>
    <n v="0"/>
    <n v="83.664648413245516"/>
    <m/>
    <n v="13.734249561369456"/>
    <n v="51.328355452906919"/>
    <n v="168.093423918442"/>
    <n v="0"/>
    <n v="0"/>
    <n v="0"/>
    <n v="0"/>
    <n v="0"/>
    <n v="0"/>
    <n v="0"/>
    <n v="0"/>
    <n v="0"/>
    <n v="0"/>
    <m/>
    <n v="0"/>
    <n v="0"/>
    <n v="0"/>
    <n v="4.9112012861452428"/>
    <n v="42.539953163206803"/>
    <n v="164.45531702080174"/>
    <n v="0"/>
    <n v="0"/>
    <n v="0"/>
    <n v="1957.58"/>
    <n v="7"/>
    <m/>
    <m/>
    <m/>
    <m/>
    <n v="276.95252399999981"/>
    <m/>
    <m/>
    <m/>
    <m/>
    <n v="1636.3892152829717"/>
    <m/>
    <m/>
    <m/>
    <m/>
    <m/>
    <m/>
    <m/>
    <m/>
    <m/>
    <m/>
    <m/>
    <m/>
    <n v="4338.4639999999999"/>
    <n v="-1408.3817720000015"/>
    <m/>
    <m/>
    <m/>
    <m/>
    <n v="-1685.3322800000005"/>
    <n v="187.57387999999997"/>
    <n v="31"/>
    <n v="206.30364103199963"/>
    <n v="4.9836590364071256"/>
    <n v="16.320809495646131"/>
    <n v="0"/>
    <n v="0"/>
    <n v="0"/>
    <n v="0"/>
    <n v="0"/>
    <n v="-5.8432318314083886"/>
    <n v="0"/>
    <n v="0"/>
    <n v="182.84810362619646"/>
    <n v="5.4604731422856716"/>
    <n v="0.63040696393030871"/>
    <n v="0"/>
    <n v="21.109657508387983"/>
    <n v="0"/>
    <n v="-15.81961949559809"/>
    <m/>
    <n v="0"/>
    <n v="0"/>
    <n v="-0.79652573181603259"/>
    <n v="0"/>
    <n v="-2.1668854956960075"/>
    <n v="-0.42320618633524987"/>
    <n v="0"/>
    <n v="0"/>
    <m/>
    <m/>
    <m/>
    <n v="3218.7270188156199"/>
    <n v="0"/>
    <n v="0"/>
    <n v="-1685.3322800000005"/>
    <n v="187.57387999999992"/>
    <n v="0"/>
    <n v="0"/>
    <n v="-1704.145314124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6"/>
    <s v="Regular"/>
    <s v="Azul"/>
    <s v="A4"/>
    <s v="Serviço público"/>
    <s v="Água, esgoto e saneamento"/>
    <s v="Não se aplica"/>
    <s v="Não se aplica"/>
    <s v="Ponta"/>
    <s v="CATIVO"/>
    <x v="8"/>
    <n v="100"/>
    <n v="94"/>
    <n v="3.81"/>
    <n v="3.5813999999999999"/>
    <n v="3.81"/>
    <n v="3.5813999999999999"/>
    <n v="67.099999999999994"/>
    <n v="70.33"/>
    <n v="173.82"/>
    <n v="6709.9999999999991"/>
    <n v="930.21149999999989"/>
    <n v="7640.2114999999994"/>
    <n v="5211.0972999999994"/>
    <n v="0"/>
    <n v="202.69210100112147"/>
    <n v="0"/>
    <n v="0"/>
    <n v="74.841808613404609"/>
    <n v="1141.7233140635399"/>
    <n v="4816.1797752450702"/>
    <n v="613.11333641288252"/>
    <n v="30.845247143774237"/>
    <n v="0"/>
    <n v="0"/>
    <n v="0"/>
    <n v="0"/>
    <n v="36.010202265529301"/>
    <m/>
    <n v="4.7348038362360754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71092171009307825"/>
    <n v="18.309672565727286"/>
    <n v="23.805755129636122"/>
    <n v="0"/>
    <n v="0"/>
    <n v="0"/>
    <n v="0"/>
    <n v="0"/>
    <m/>
    <m/>
    <m/>
    <m/>
    <n v="312.66583800000006"/>
    <m/>
    <m/>
    <m/>
    <m/>
    <n v="655.93968581833906"/>
    <m/>
    <m/>
    <m/>
    <m/>
    <m/>
    <m/>
    <m/>
    <m/>
    <m/>
    <m/>
    <m/>
    <m/>
    <n v="4898.0613999999996"/>
    <n v="-2283.7674100000004"/>
    <m/>
    <m/>
    <m/>
    <m/>
    <n v="-2509.8480999999997"/>
    <n v="80.733899999999991"/>
    <n v="31"/>
    <n v="120.74707630737657"/>
    <n v="15.60587050589902"/>
    <n v="50.180900324482081"/>
    <n v="0"/>
    <n v="0"/>
    <n v="0"/>
    <n v="0"/>
    <n v="0"/>
    <n v="-21.891640251209992"/>
    <n v="0"/>
    <n v="0"/>
    <n v="78.699872889268931"/>
    <n v="2.350248833270264"/>
    <n v="9.125465863438309E-2"/>
    <n v="0"/>
    <n v="3.0557317733400176"/>
    <n v="0"/>
    <n v="-5.9237791168166041"/>
    <m/>
    <n v="0"/>
    <n v="0"/>
    <n v="-0.34283360124480922"/>
    <n v="0"/>
    <n v="-0.93265180056503993"/>
    <n v="-0.14589790768149058"/>
    <n v="0"/>
    <n v="0"/>
    <m/>
    <m/>
    <n v="4816.1797752450702"/>
    <n v="0"/>
    <n v="0"/>
    <n v="0"/>
    <n v="-2509.8480999999992"/>
    <n v="80.733900000000062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7"/>
    <s v="Regular"/>
    <s v="Azul"/>
    <s v="A4"/>
    <s v="Serviço público"/>
    <s v="Água, esgoto e saneamento"/>
    <s v="Não se aplica"/>
    <s v="Não se aplica"/>
    <s v="Fora ponta"/>
    <s v="CATIVO"/>
    <x v="8"/>
    <n v="100"/>
    <n v="94"/>
    <n v="35.637999999999998"/>
    <n v="33.499720000000003"/>
    <n v="35.637999999999998"/>
    <n v="33.499720000000003"/>
    <n v="59.12"/>
    <n v="70.33"/>
    <n v="173.82"/>
    <n v="5912"/>
    <n v="8701.0176999999985"/>
    <n v="14613.017699999999"/>
    <n v="12823.192539999998"/>
    <n v="0"/>
    <n v="1895.9425447448732"/>
    <n v="0"/>
    <n v="0"/>
    <n v="57.206036333368203"/>
    <n v="511.70226507154302"/>
    <n v="4816.1797752450702"/>
    <n v="5734.9430664258025"/>
    <n v="288.52045084247408"/>
    <n v="0"/>
    <n v="0"/>
    <n v="0"/>
    <n v="0"/>
    <n v="336.83243788423442"/>
    <m/>
    <n v="44.288435463459649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6498235969283783"/>
    <n v="171.26512097044329"/>
    <n v="222.67440979264359"/>
    <n v="0"/>
    <n v="0"/>
    <n v="0"/>
    <n v="0"/>
    <n v="0"/>
    <m/>
    <m/>
    <m/>
    <m/>
    <n v="769.39155239999855"/>
    <m/>
    <m/>
    <m/>
    <m/>
    <n v="6135.5324207858184"/>
    <m/>
    <m/>
    <m/>
    <m/>
    <m/>
    <m/>
    <m/>
    <m/>
    <m/>
    <m/>
    <m/>
    <m/>
    <n v="12053.875"/>
    <n v="-1682.391638000001"/>
    <m/>
    <m/>
    <m/>
    <m/>
    <n v="-2544.9943799999996"/>
    <n v="755.16921999999988"/>
    <n v="31"/>
    <n v="760.20593163487683"/>
    <n v="11.729617017467007"/>
    <n v="39.429626542059964"/>
    <n v="0"/>
    <n v="0"/>
    <n v="0"/>
    <n v="0"/>
    <n v="0"/>
    <n v="-9.8114856416560201"/>
    <n v="0"/>
    <n v="0"/>
    <n v="736.14332546660535"/>
    <n v="21.983771107634055"/>
    <n v="0.85357835286407902"/>
    <n v="0"/>
    <n v="28.582721506113245"/>
    <n v="0"/>
    <n v="-55.40987930842789"/>
    <m/>
    <n v="0"/>
    <n v="0"/>
    <n v="-3.2067989189403079"/>
    <n v="0"/>
    <n v="-8.723843797516281"/>
    <n v="-1.3647006913262416"/>
    <n v="0"/>
    <n v="0"/>
    <m/>
    <m/>
    <n v="4816.1797752450702"/>
    <n v="0"/>
    <n v="0"/>
    <n v="0"/>
    <n v="-2544.9943800000001"/>
    <n v="755.16921999999977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48"/>
    <s v="Regular"/>
    <s v="Azul"/>
    <s v="A4"/>
    <s v="Serviço público"/>
    <s v="Água, esgoto e saneamento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650.4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49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1.536"/>
    <n v="1.536"/>
    <n v="1.536"/>
    <n v="1.536"/>
    <m/>
    <n v="516.83000000000004"/>
    <n v="173.82"/>
    <m/>
    <n v="1060.8384000000001"/>
    <n v="1060.8384000000001"/>
    <n v="800.94719999999995"/>
    <n v="0"/>
    <n v="93.925564044324403"/>
    <n v="0"/>
    <n v="0"/>
    <n v="4.1755300967283766"/>
    <n v="52.879275297893372"/>
    <n v="558.5138613760497"/>
    <n v="247.17640019165029"/>
    <n v="12.435249242214496"/>
    <n v="0"/>
    <n v="0"/>
    <n v="0"/>
    <n v="0"/>
    <n v="14.517498866103152"/>
    <m/>
    <n v="2.3831684733691239"/>
    <n v="8.9065018047520361"/>
    <n v="29.167589148071272"/>
    <n v="0"/>
    <n v="0"/>
    <n v="0"/>
    <n v="0"/>
    <n v="0"/>
    <n v="0"/>
    <n v="0"/>
    <n v="0"/>
    <n v="0"/>
    <n v="0"/>
    <m/>
    <n v="0"/>
    <n v="0"/>
    <n v="0"/>
    <n v="0.85219217979203488"/>
    <n v="7.3815372863404489"/>
    <n v="28.536304444639796"/>
    <n v="0"/>
    <n v="0"/>
    <n v="0"/>
    <n v="339.64"/>
    <n v="7"/>
    <m/>
    <m/>
    <m/>
    <m/>
    <m/>
    <m/>
    <m/>
    <m/>
    <m/>
    <n v="283.94643410242259"/>
    <m/>
    <m/>
    <m/>
    <m/>
    <m/>
    <m/>
    <m/>
    <m/>
    <m/>
    <m/>
    <m/>
    <m/>
    <n v="803.03300000000002"/>
    <n v="-257.83540000000005"/>
    <m/>
    <m/>
    <m/>
    <m/>
    <n v="-292.43904000000009"/>
    <n v="32.547839999999994"/>
    <n v="31"/>
    <n v="35.797830165516359"/>
    <n v="0.86476505647552493"/>
    <n v="2.8319886336774154"/>
    <n v="0"/>
    <n v="0"/>
    <n v="0"/>
    <n v="0"/>
    <n v="0"/>
    <n v="-1.0139182210848716"/>
    <n v="0"/>
    <n v="0"/>
    <n v="31.727822771106815"/>
    <n v="0.9475018918380913"/>
    <n v="0.10938828474886508"/>
    <n v="0"/>
    <n v="3.6629500601992717"/>
    <n v="0"/>
    <n v="-2.7450220905149934"/>
    <m/>
    <n v="0"/>
    <n v="0"/>
    <n v="-0.13821323136798647"/>
    <n v="0"/>
    <n v="-0.37599820621204927"/>
    <n v="-7.3434783349632049E-2"/>
    <n v="0"/>
    <n v="0"/>
    <m/>
    <m/>
    <m/>
    <n v="558.5138613760497"/>
    <n v="0"/>
    <n v="0"/>
    <n v="-292.43904000000009"/>
    <n v="32.547839999999951"/>
    <n v="0"/>
    <n v="0"/>
    <n v="-295.7034797215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0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19.24"/>
    <n v="7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51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76.17"/>
    <n v="-346.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52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5.77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53"/>
    <s v="Regular"/>
    <s v="Convencional"/>
    <s v="B2"/>
    <s v="Rural"/>
    <s v="Agropecuária rural"/>
    <s v="IRRIG./AQUIC."/>
    <s v="Não se aplica"/>
    <s v="Não se aplica"/>
    <s v="CATIVO"/>
    <x v="8"/>
    <n v="0"/>
    <n v="0"/>
    <n v="122.389"/>
    <n v="122.389"/>
    <n v="122.389"/>
    <n v="122.389"/>
    <m/>
    <n v="516.83000000000004"/>
    <n v="173.82"/>
    <m/>
    <n v="84527.962849999996"/>
    <n v="84527.962849999996"/>
    <n v="63819.744049999994"/>
    <n v="0"/>
    <n v="7484.0207407687622"/>
    <n v="0"/>
    <n v="0"/>
    <n v="332.70765169823517"/>
    <n v="4213.4385575741353"/>
    <n v="44502.573554657123"/>
    <n v="19695.099246781177"/>
    <n v="990.8448694696549"/>
    <n v="0"/>
    <n v="0"/>
    <n v="0"/>
    <n v="0"/>
    <n v="1156.759224429361"/>
    <m/>
    <n v="189.89167075987871"/>
    <n v="709.67307902460732"/>
    <n v="2324.0833777625617"/>
    <n v="0"/>
    <n v="0"/>
    <n v="0"/>
    <n v="0"/>
    <n v="0"/>
    <n v="0"/>
    <n v="0"/>
    <n v="0"/>
    <n v="0"/>
    <n v="0"/>
    <m/>
    <n v="0"/>
    <n v="0"/>
    <n v="0"/>
    <n v="67.90296138839021"/>
    <n v="588.16338993354236"/>
    <n v="2273.782398876966"/>
    <n v="0"/>
    <n v="0"/>
    <n v="0"/>
    <n v="0"/>
    <n v="0"/>
    <m/>
    <m/>
    <m/>
    <m/>
    <m/>
    <n v="7657.8797299999987"/>
    <m/>
    <m/>
    <m/>
    <n v="22624.947996980078"/>
    <m/>
    <m/>
    <m/>
    <m/>
    <m/>
    <m/>
    <m/>
    <m/>
    <m/>
    <m/>
    <m/>
    <m/>
    <n v="56162.323199999999"/>
    <n v="-18222.069329999998"/>
    <m/>
    <m/>
    <m/>
    <m/>
    <n v="-23301.641710000004"/>
    <n v="2593.4229099999998"/>
    <n v="31"/>
    <n v="2852.383226645441"/>
    <n v="68.904772458973412"/>
    <n v="225.65381307756843"/>
    <n v="0"/>
    <n v="0"/>
    <n v="0"/>
    <n v="0"/>
    <n v="0"/>
    <n v="-80.789347109606751"/>
    <n v="0"/>
    <n v="0"/>
    <n v="2528.0836595917899"/>
    <n v="75.497271510528776"/>
    <n v="8.7160955612817901"/>
    <n v="0"/>
    <n v="291.86510085789632"/>
    <n v="0"/>
    <n v="-218.72428947658864"/>
    <m/>
    <n v="0"/>
    <n v="0"/>
    <n v="-11.012877066338888"/>
    <n v="0"/>
    <n v="-29.959664362035483"/>
    <n v="-5.8513083980326428"/>
    <n v="0"/>
    <n v="0"/>
    <m/>
    <m/>
    <m/>
    <n v="44502.573554657123"/>
    <n v="0"/>
    <n v="0"/>
    <n v="-23301.641710000004"/>
    <n v="2593.4229099999975"/>
    <n v="0"/>
    <n v="0"/>
    <n v="-23561.753372165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4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32.845999999999997"/>
    <n v="-32.845999999999997"/>
    <n v="-32.845999999999997"/>
    <n v="-32.845999999999997"/>
    <m/>
    <n v="516.83000000000004"/>
    <n v="173.82"/>
    <m/>
    <n v="-22685.089899999999"/>
    <n v="-22685.089899999999"/>
    <n v="-17127.546699999999"/>
    <n v="0"/>
    <n v="-2008.5150238280462"/>
    <n v="0"/>
    <n v="0"/>
    <n v="-89.29001403459651"/>
    <n v="-1130.7764820537795"/>
    <n v="-11943.324408045393"/>
    <n v="-5285.6484639941045"/>
    <n v="-265.91679466782375"/>
    <n v="0"/>
    <n v="0"/>
    <n v="0"/>
    <n v="0"/>
    <n v="-310.44385921616151"/>
    <m/>
    <n v="-50.961947705912912"/>
    <n v="-190.45765512948265"/>
    <n v="-623.7230684619459"/>
    <n v="0"/>
    <n v="0"/>
    <n v="0"/>
    <n v="0"/>
    <n v="0"/>
    <n v="0"/>
    <n v="0"/>
    <n v="0"/>
    <n v="0"/>
    <n v="0"/>
    <m/>
    <n v="0"/>
    <n v="0"/>
    <n v="0"/>
    <n v="-18.223375219693473"/>
    <n v="-157.84763913225154"/>
    <n v="-610.22360402906168"/>
    <n v="0"/>
    <n v="0"/>
    <n v="0"/>
    <n v="0"/>
    <n v="0"/>
    <m/>
    <m/>
    <m/>
    <m/>
    <m/>
    <n v="-2055.1742199999999"/>
    <m/>
    <m/>
    <m/>
    <n v="-6071.9430823751118"/>
    <m/>
    <m/>
    <m/>
    <m/>
    <m/>
    <m/>
    <m/>
    <m/>
    <m/>
    <m/>
    <m/>
    <m/>
    <n v="-15074.208000000001"/>
    <n v="4888.5754199999992"/>
    <m/>
    <m/>
    <m/>
    <m/>
    <n v="6253.5499400000008"/>
    <n v="-696.00673999999981"/>
    <n v="31"/>
    <n v="-765.50490209410782"/>
    <n v="-18.492235055335357"/>
    <n v="-60.559569441255462"/>
    <n v="0"/>
    <n v="0"/>
    <n v="0"/>
    <n v="0"/>
    <n v="0"/>
    <n v="21.68174341780832"/>
    <n v="0"/>
    <n v="0"/>
    <n v="-678.47139761704057"/>
    <n v="-20.261489022990844"/>
    <n v="-2.3391716151440249"/>
    <n v="0"/>
    <n v="-78.32894380032883"/>
    <n v="0"/>
    <n v="58.699866917354029"/>
    <m/>
    <n v="0"/>
    <n v="0"/>
    <n v="2.9555675765057572"/>
    <n v="0"/>
    <n v="8.0403887247662738"/>
    <n v="1.5703378215507939"/>
    <n v="0"/>
    <n v="0"/>
    <m/>
    <m/>
    <m/>
    <n v="-11943.324408045393"/>
    <n v="0"/>
    <n v="0"/>
    <n v="6253.549939999999"/>
    <n v="-696.00673999999981"/>
    <n v="0"/>
    <n v="0"/>
    <n v="6323.357093056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5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5"/>
    <n v="0.5"/>
    <n v="0.5"/>
    <n v="0.5"/>
    <m/>
    <n v="516.83000000000004"/>
    <n v="173.82"/>
    <m/>
    <n v="345.32500000000005"/>
    <n v="345.32500000000005"/>
    <n v="260.72500000000002"/>
    <n v="0"/>
    <n v="30.574727879011849"/>
    <n v="0"/>
    <n v="0"/>
    <n v="1.3592220366954351"/>
    <n v="17.213305761032998"/>
    <n v="181.8078975833495"/>
    <n v="80.461067770719495"/>
    <n v="4.0479326960333646"/>
    <n v="0"/>
    <n v="0"/>
    <n v="0"/>
    <n v="0"/>
    <n v="4.7257483288096198"/>
    <m/>
    <n v="0.77577098742484496"/>
    <n v="2.89925188956772"/>
    <n v="9.4946579258044501"/>
    <n v="0"/>
    <n v="0"/>
    <n v="0"/>
    <n v="0"/>
    <n v="0"/>
    <n v="0"/>
    <n v="0"/>
    <n v="0"/>
    <n v="0"/>
    <n v="0"/>
    <m/>
    <n v="0"/>
    <n v="0"/>
    <n v="0"/>
    <n v="0.27740630852605302"/>
    <n v="2.4028441687306148"/>
    <n v="9.2891616030728503"/>
    <n v="0"/>
    <n v="0"/>
    <n v="0"/>
    <n v="0"/>
    <n v="0"/>
    <m/>
    <m/>
    <m/>
    <m/>
    <m/>
    <n v="31.284999999999997"/>
    <m/>
    <m/>
    <m/>
    <n v="92.430479851049014"/>
    <m/>
    <m/>
    <m/>
    <m/>
    <m/>
    <m/>
    <m/>
    <m/>
    <m/>
    <m/>
    <m/>
    <m/>
    <n v="229.44"/>
    <n v="-74.474999999999966"/>
    <m/>
    <m/>
    <m/>
    <m/>
    <n v="-95.195000000000022"/>
    <n v="10.594999999999999"/>
    <n v="31"/>
    <n v="11.652939507004049"/>
    <n v="0.28149904182146024"/>
    <n v="0.92187130002520057"/>
    <n v="0"/>
    <n v="0"/>
    <n v="0"/>
    <n v="0"/>
    <n v="0"/>
    <n v="-0.33005150425939789"/>
    <n v="0"/>
    <n v="0"/>
    <n v="10.328067308303005"/>
    <n v="0.30843160541604542"/>
    <n v="3.5608165608354503E-2"/>
    <n v="0"/>
    <n v="1.1923665560544503"/>
    <n v="0"/>
    <n v="-0.89356187842285095"/>
    <m/>
    <n v="0"/>
    <n v="0"/>
    <n v="-4.4991286252599849E-2"/>
    <n v="0"/>
    <n v="-0.12239524941798496"/>
    <n v="-2.3904551871624991E-2"/>
    <n v="0"/>
    <n v="0"/>
    <m/>
    <m/>
    <m/>
    <n v="181.8078975833495"/>
    <n v="0"/>
    <n v="0"/>
    <n v="-95.195000000000022"/>
    <n v="10.594999999999999"/>
    <n v="0"/>
    <n v="0"/>
    <n v="-96.257643138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61.761000000000003"/>
    <n v="24.7044"/>
    <n v="61.761000000000003"/>
    <n v="24.7044"/>
    <m/>
    <n v="516.83000000000004"/>
    <n v="173.82"/>
    <m/>
    <n v="42655.234650000006"/>
    <n v="42655.234650000006"/>
    <n v="32205.273450000001"/>
    <n v="0"/>
    <n v="3776.6515370713018"/>
    <n v="0"/>
    <n v="0"/>
    <n v="167.89382441669355"/>
    <n v="2126.221954214318"/>
    <n v="22457.275125290496"/>
    <n v="9938.7120131748143"/>
    <n v="500.00874247943329"/>
    <n v="0"/>
    <n v="0"/>
    <n v="0"/>
    <n v="0"/>
    <n v="583.73388507122183"/>
    <m/>
    <n v="95.8247839086917"/>
    <n v="358.12139190318391"/>
    <n v="1172.7991363112174"/>
    <n v="0"/>
    <n v="0"/>
    <n v="0"/>
    <n v="0"/>
    <n v="0"/>
    <n v="0"/>
    <n v="0"/>
    <n v="0"/>
    <n v="0"/>
    <n v="0"/>
    <m/>
    <n v="0"/>
    <n v="0"/>
    <n v="0"/>
    <n v="34.265782041755124"/>
    <n v="296.80411740994299"/>
    <n v="1147.4158195347648"/>
    <n v="0"/>
    <n v="0"/>
    <n v="0"/>
    <n v="0"/>
    <n v="0"/>
    <m/>
    <m/>
    <m/>
    <m/>
    <m/>
    <m/>
    <n v="20868.918378000002"/>
    <m/>
    <m/>
    <n v="11417.197732161278"/>
    <m/>
    <m/>
    <m/>
    <m/>
    <m/>
    <m/>
    <m/>
    <m/>
    <m/>
    <m/>
    <m/>
    <m/>
    <n v="11334.335999999999"/>
    <n v="-3680.2871880000021"/>
    <m/>
    <m/>
    <m/>
    <m/>
    <n v="-11758.676790000003"/>
    <n v="1308.71559"/>
    <n v="31"/>
    <n v="1439.3943937841577"/>
    <n v="34.7713246438704"/>
    <n v="113.87138672171272"/>
    <n v="0"/>
    <n v="0"/>
    <n v="0"/>
    <n v="0"/>
    <n v="0"/>
    <n v="-40.768621909129251"/>
    <n v="0"/>
    <n v="0"/>
    <n v="1275.7435300562029"/>
    <n v="38.098088764200781"/>
    <n v="4.3983918322751663"/>
    <n v="0"/>
    <n v="147.28350173695776"/>
    <n v="0"/>
    <n v="-110.37455034654749"/>
    <m/>
    <n v="0"/>
    <n v="0"/>
    <n v="-5.5574136604936371"/>
    <n v="0"/>
    <n v="-15.118505998608271"/>
    <n v="-2.9527380562868615"/>
    <n v="0"/>
    <n v="0"/>
    <m/>
    <m/>
    <m/>
    <n v="22457.275125290496"/>
    <n v="0"/>
    <n v="0"/>
    <n v="-11758.676790000005"/>
    <n v="1308.7155899999998"/>
    <n v="0"/>
    <n v="0"/>
    <n v="-11889.936595758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7"/>
    <s v="Regular"/>
    <s v="Verde"/>
    <s v="A4"/>
    <s v="Rural"/>
    <s v="Agropecuária rural"/>
    <s v="Não se aplica"/>
    <s v="Não se aplica"/>
    <s v="Ponta"/>
    <s v="CATIVO"/>
    <x v="8"/>
    <n v="0"/>
    <n v="0"/>
    <n v="0.19"/>
    <n v="0.18240000000000001"/>
    <n v="0.19"/>
    <n v="0.18240000000000001"/>
    <m/>
    <n v="1684.16"/>
    <n v="173.82"/>
    <m/>
    <n v="353.01620000000003"/>
    <n v="353.01620000000003"/>
    <n v="242.3374"/>
    <n v="0"/>
    <n v="10.108005036801334"/>
    <n v="0"/>
    <n v="0"/>
    <n v="3.4198859733497264"/>
    <n v="52.171326544205883"/>
    <n v="220.07556654417351"/>
    <n v="30.575205752873408"/>
    <n v="1.5382144244926785"/>
    <n v="0"/>
    <n v="0"/>
    <n v="0"/>
    <n v="0"/>
    <n v="1.7957843649476555"/>
    <m/>
    <n v="0.2361188264789644"/>
    <n v="7.3446672895241356"/>
    <n v="23.616747491666683"/>
    <n v="0"/>
    <n v="0"/>
    <n v="0"/>
    <n v="0"/>
    <n v="0"/>
    <n v="0"/>
    <n v="0"/>
    <n v="0"/>
    <n v="0"/>
    <n v="0"/>
    <m/>
    <n v="0"/>
    <n v="0"/>
    <n v="0"/>
    <n v="3.5452788692305739E-2"/>
    <n v="0.9130807841176336"/>
    <n v="1.1871636416353972"/>
    <n v="0"/>
    <n v="0"/>
    <n v="0"/>
    <n v="0"/>
    <n v="0"/>
    <m/>
    <m/>
    <m/>
    <m/>
    <m/>
    <n v="9.6934959999999943"/>
    <m/>
    <m/>
    <m/>
    <n v="32.710902967318745"/>
    <m/>
    <m/>
    <m/>
    <m/>
    <m/>
    <m/>
    <m/>
    <m/>
    <m/>
    <m/>
    <m/>
    <m/>
    <n v="229.58279999999999"/>
    <n v="-109.34275199999999"/>
    <m/>
    <m/>
    <m/>
    <m/>
    <n v="-114.70490000000001"/>
    <n v="4.0260999999999996"/>
    <n v="31"/>
    <n v="5.838325634537"/>
    <n v="0.71312079227675618"/>
    <n v="2.2930369774922781"/>
    <n v="0"/>
    <n v="0"/>
    <n v="0"/>
    <n v="0"/>
    <n v="0"/>
    <n v="-1.0003438644601346"/>
    <n v="0"/>
    <n v="0"/>
    <n v="3.9246655771551389"/>
    <n v="0.11720401005809733"/>
    <n v="4.550757254733015E-3"/>
    <n v="0"/>
    <n v="0.15238557399858355"/>
    <n v="0"/>
    <n v="-0.29541155700660227"/>
    <m/>
    <n v="0"/>
    <n v="0"/>
    <n v="-1.7096688775988023E-2"/>
    <n v="0"/>
    <n v="-4.6510194778834224E-2"/>
    <n v="-7.2757486770297086E-3"/>
    <n v="0"/>
    <n v="0"/>
    <m/>
    <m/>
    <m/>
    <n v="220.07556654417351"/>
    <n v="0"/>
    <n v="0"/>
    <n v="-114.70490000000001"/>
    <n v="4.0260999999999996"/>
    <n v="0"/>
    <n v="0"/>
    <n v="-116.51834507468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8"/>
    <s v="Regular"/>
    <s v="Verde"/>
    <s v="A4"/>
    <s v="Rural"/>
    <s v="Agropecuária rural"/>
    <s v="Não se aplica"/>
    <s v="Não se aplica"/>
    <s v="Fora ponta"/>
    <s v="CATIVO"/>
    <x v="8"/>
    <n v="0"/>
    <n v="0"/>
    <n v="17.239000000000001"/>
    <n v="16.549440000000001"/>
    <n v="17.239000000000001"/>
    <n v="16.549440000000001"/>
    <m/>
    <n v="70.33"/>
    <n v="173.82"/>
    <m/>
    <n v="4208.9018500000002"/>
    <n v="4208.9018500000002"/>
    <n v="4556.7848700000004"/>
    <n v="0"/>
    <n v="917.11525699693789"/>
    <n v="0"/>
    <n v="0"/>
    <n v="0"/>
    <n v="0"/>
    <n v="0"/>
    <n v="2774.1366945988671"/>
    <n v="139.56462349383835"/>
    <n v="0"/>
    <n v="0"/>
    <n v="0"/>
    <n v="0"/>
    <n v="162.93435088069808"/>
    <m/>
    <n v="21.423433945636145"/>
    <n v="0"/>
    <n v="0"/>
    <n v="0"/>
    <n v="0"/>
    <n v="0"/>
    <n v="0"/>
    <n v="0"/>
    <n v="0"/>
    <n v="0"/>
    <n v="0"/>
    <n v="0"/>
    <n v="0"/>
    <m/>
    <n v="0"/>
    <n v="0"/>
    <n v="0"/>
    <n v="3.2166874961403087"/>
    <n v="82.845261249494143"/>
    <n v="107.71323167448743"/>
    <n v="0"/>
    <n v="0"/>
    <n v="0"/>
    <n v="0"/>
    <n v="0"/>
    <m/>
    <m/>
    <m/>
    <m/>
    <m/>
    <n v="182.27139480000005"/>
    <m/>
    <m/>
    <m/>
    <n v="2967.9118750189891"/>
    <m/>
    <m/>
    <m/>
    <m/>
    <m/>
    <m/>
    <m/>
    <m/>
    <m/>
    <m/>
    <m/>
    <m/>
    <n v="4374.6615000000002"/>
    <n v="334.08572400000003"/>
    <m/>
    <m/>
    <m/>
    <m/>
    <n v="-17.41139000000009"/>
    <n v="365.29440999999997"/>
    <n v="31"/>
    <n v="347.72984052717402"/>
    <n v="0"/>
    <n v="0"/>
    <n v="0"/>
    <n v="0"/>
    <n v="0"/>
    <n v="0"/>
    <n v="0"/>
    <n v="0"/>
    <n v="0"/>
    <n v="0"/>
    <n v="356.09110465567073"/>
    <n v="10.634104891534406"/>
    <n v="0.41289739112811796"/>
    <n v="0"/>
    <n v="13.826183737692531"/>
    <n v="0"/>
    <n v="-26.803157006509537"/>
    <m/>
    <n v="0"/>
    <n v="0"/>
    <n v="-1.5512095674171462"/>
    <n v="0"/>
    <n v="-4.2199434094332844"/>
    <n v="-0.66014016549113208"/>
    <n v="0"/>
    <n v="0"/>
    <m/>
    <m/>
    <m/>
    <n v="0"/>
    <n v="0"/>
    <n v="0"/>
    <n v="-17.411389999999983"/>
    <n v="365.2944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59"/>
    <s v="Regular"/>
    <s v="Verde"/>
    <s v="A4"/>
    <s v="Rural"/>
    <s v="Agropecuária rural"/>
    <s v="Não se aplica"/>
    <s v="Não se aplica"/>
    <s v="Não se aplica"/>
    <s v="CATIVO"/>
    <x v="8"/>
    <n v="1053"/>
    <n v="1010.88"/>
    <n v="0"/>
    <n v="0"/>
    <n v="0"/>
    <n v="0"/>
    <n v="59.12"/>
    <m/>
    <m/>
    <n v="62253.36"/>
    <m/>
    <n v="62253.36"/>
    <n v="35833.590000000004"/>
    <n v="0"/>
    <n v="0"/>
    <n v="0"/>
    <n v="0"/>
    <n v="602.37956259036719"/>
    <n v="5388.2248512033484"/>
    <n v="50714.373033330587"/>
    <m/>
    <m/>
    <m/>
    <n v="0"/>
    <n v="0"/>
    <n v="0"/>
    <n v="0"/>
    <m/>
    <n v="0"/>
    <n v="1272.0999378216331"/>
    <n v="4276.2202208129966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.950000000000003"/>
    <n v="10"/>
    <m/>
    <m/>
    <m/>
    <m/>
    <m/>
    <n v="1433.3436000000002"/>
    <m/>
    <m/>
    <m/>
    <n v="0"/>
    <m/>
    <m/>
    <m/>
    <m/>
    <m/>
    <m/>
    <m/>
    <m/>
    <m/>
    <m/>
    <m/>
    <m/>
    <n v="34400.246400000004"/>
    <n v="-25363.0092"/>
    <m/>
    <m/>
    <m/>
    <m/>
    <n v="-26419.769999999997"/>
    <n v="0"/>
    <n v="31"/>
    <n v="435.39189087518207"/>
    <n v="123.5128671939276"/>
    <n v="415.19396748789222"/>
    <n v="0"/>
    <n v="0"/>
    <m/>
    <m/>
    <m/>
    <n v="-103.314943806638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714.373033330587"/>
    <m/>
    <n v="0"/>
    <n v="0"/>
    <n v="-26419.769999999997"/>
    <m/>
    <n v="0"/>
    <m/>
    <n v="-26850.5718746296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60"/>
    <s v="Regular"/>
    <s v="Verde"/>
    <s v="A4"/>
    <s v="Rural"/>
    <s v="Agropecuária rural"/>
    <s v="IRRIG./AQUIC. PR"/>
    <s v="Não se aplica"/>
    <s v="Fora ponta"/>
    <s v="CATIVO"/>
    <x v="8"/>
    <n v="0"/>
    <n v="0"/>
    <n v="10.193"/>
    <n v="3.0579000000000001"/>
    <n v="10.193"/>
    <n v="3.0579000000000001"/>
    <m/>
    <n v="70.33"/>
    <n v="173.82"/>
    <m/>
    <n v="2488.62095"/>
    <n v="2488.62095"/>
    <n v="2694.3156899999994"/>
    <n v="0"/>
    <n v="542.26787021113671"/>
    <n v="0"/>
    <n v="0"/>
    <n v="0"/>
    <n v="0"/>
    <n v="0"/>
    <n v="1640.2793275738875"/>
    <n v="82.521155941336161"/>
    <n v="0"/>
    <n v="0"/>
    <n v="0"/>
    <n v="0"/>
    <n v="96.339105431112912"/>
    <m/>
    <n v="12.6671536752636"/>
    <n v="0"/>
    <n v="0"/>
    <n v="0"/>
    <n v="0"/>
    <n v="0"/>
    <n v="0"/>
    <n v="0"/>
    <n v="0"/>
    <n v="0"/>
    <n v="0"/>
    <n v="0"/>
    <n v="0"/>
    <m/>
    <n v="0"/>
    <n v="0"/>
    <n v="0"/>
    <n v="1.9019488165298546"/>
    <n v="48.984381223742311"/>
    <n v="63.688205258892644"/>
    <n v="0"/>
    <n v="0"/>
    <n v="0"/>
    <n v="0"/>
    <n v="0"/>
    <m/>
    <m/>
    <m/>
    <m/>
    <m/>
    <m/>
    <n v="1886.0209829999997"/>
    <m/>
    <m/>
    <n v="1754.8538628730523"/>
    <m/>
    <m/>
    <m/>
    <m/>
    <m/>
    <m/>
    <m/>
    <m/>
    <m/>
    <m/>
    <m/>
    <m/>
    <n v="808.84979999999996"/>
    <n v="62.233515000000011"/>
    <m/>
    <m/>
    <m/>
    <m/>
    <n v="-10.294930000000052"/>
    <n v="215.98966999999996"/>
    <n v="31"/>
    <n v="205.60416871590542"/>
    <n v="0"/>
    <n v="0"/>
    <n v="0"/>
    <n v="0"/>
    <n v="0"/>
    <n v="0"/>
    <n v="0"/>
    <n v="0"/>
    <n v="0"/>
    <n v="0"/>
    <n v="210.54798014706512"/>
    <n v="6.2876867080114991"/>
    <n v="0.24413615103943997"/>
    <n v="0"/>
    <n v="8.1750850303555964"/>
    <n v="0"/>
    <n v="-15.848052634569854"/>
    <m/>
    <n v="0"/>
    <n v="0"/>
    <n v="-0.91719236154548867"/>
    <n v="0"/>
    <n v="-2.4951495546350486"/>
    <n v="-0.39032476981559938"/>
    <n v="0"/>
    <n v="0"/>
    <m/>
    <m/>
    <m/>
    <n v="0"/>
    <n v="0"/>
    <n v="0"/>
    <n v="-10.294930000000136"/>
    <n v="215.98966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1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51999999999999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62"/>
    <s v="Regular"/>
    <s v="Convencional"/>
    <s v="B2"/>
    <s v="Rural"/>
    <s v="Aquicultura"/>
    <s v="IRRIG./AQUIC."/>
    <s v="Não se aplica"/>
    <s v="Não se aplica"/>
    <s v="CATIVO"/>
    <x v="8"/>
    <n v="0"/>
    <n v="0"/>
    <n v="4.9000000000000002E-2"/>
    <n v="4.9000000000000002E-2"/>
    <n v="4.9000000000000002E-2"/>
    <n v="4.9000000000000002E-2"/>
    <m/>
    <n v="516.83000000000004"/>
    <n v="173.82"/>
    <m/>
    <n v="33.841850000000008"/>
    <n v="33.841850000000008"/>
    <n v="25.551050000000004"/>
    <n v="0"/>
    <n v="2.9963233321431613"/>
    <n v="0"/>
    <n v="0"/>
    <n v="0.13320375959615263"/>
    <n v="1.6869039645812338"/>
    <n v="17.817173963168251"/>
    <n v="7.8851846415305111"/>
    <n v="0.39669740421126976"/>
    <n v="0"/>
    <n v="0"/>
    <n v="0"/>
    <n v="0"/>
    <n v="0.46312333622334279"/>
    <m/>
    <n v="7.6025556767634811E-2"/>
    <n v="0.28412668517763656"/>
    <n v="0.93047647672883615"/>
    <n v="0"/>
    <n v="0"/>
    <n v="0"/>
    <n v="0"/>
    <n v="0"/>
    <n v="0"/>
    <n v="0"/>
    <n v="0"/>
    <n v="0"/>
    <n v="0"/>
    <m/>
    <n v="0"/>
    <n v="0"/>
    <n v="0"/>
    <n v="2.7185818235553199E-2"/>
    <n v="0.23547872853560026"/>
    <n v="0.91033783710113936"/>
    <n v="0"/>
    <n v="0"/>
    <n v="0"/>
    <n v="0"/>
    <n v="0"/>
    <m/>
    <m/>
    <m/>
    <m/>
    <m/>
    <n v="3.0659299999999998"/>
    <m/>
    <m/>
    <m/>
    <n v="9.0581870254028036"/>
    <m/>
    <m/>
    <m/>
    <m/>
    <m/>
    <m/>
    <m/>
    <m/>
    <m/>
    <m/>
    <m/>
    <m/>
    <n v="22.944000000000003"/>
    <n v="-6.866730000000004"/>
    <m/>
    <m/>
    <m/>
    <m/>
    <n v="-9.3291100000000018"/>
    <n v="1.0383099999999998"/>
    <n v="31"/>
    <n v="1.1419880716864022"/>
    <n v="2.7586906098503117E-2"/>
    <n v="9.034338740246961E-2"/>
    <n v="0"/>
    <n v="0"/>
    <n v="0"/>
    <n v="0"/>
    <n v="0"/>
    <n v="-3.2345047417420947E-2"/>
    <n v="0"/>
    <n v="0"/>
    <n v="1.0121505962136936"/>
    <n v="3.0226297330772478E-2"/>
    <n v="3.4896002296187396E-3"/>
    <n v="0"/>
    <n v="0.11685192249333609"/>
    <n v="0"/>
    <n v="-8.7569064085439408E-2"/>
    <m/>
    <n v="0"/>
    <n v="0"/>
    <n v="-4.4091460527547754E-3"/>
    <n v="0"/>
    <n v="-1.1994734442962562E-2"/>
    <n v="-2.3426460834192475E-3"/>
    <n v="0"/>
    <n v="0"/>
    <m/>
    <m/>
    <m/>
    <n v="17.817173963168251"/>
    <n v="0"/>
    <n v="0"/>
    <n v="-9.3291100000000036"/>
    <n v="1.038310000000001"/>
    <n v="0"/>
    <n v="0"/>
    <n v="-9.433249027576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3"/>
    <s v="Regular"/>
    <s v="Convencional"/>
    <s v="B2"/>
    <s v="Rural"/>
    <s v="Aquicultura"/>
    <s v="IRRIG./AQUIC. PR"/>
    <s v="Não se aplica"/>
    <s v="Não se aplica"/>
    <s v="CATIVO"/>
    <x v="8"/>
    <n v="0"/>
    <n v="0"/>
    <n v="1E-3"/>
    <n v="4.0000000000000002E-4"/>
    <n v="1E-3"/>
    <n v="4.0000000000000002E-4"/>
    <m/>
    <n v="516.83000000000004"/>
    <n v="173.82"/>
    <m/>
    <n v="0.69064999999999999"/>
    <n v="0.69064999999999999"/>
    <n v="0.52144999999999997"/>
    <n v="0"/>
    <n v="6.1149455758023698E-2"/>
    <n v="0"/>
    <n v="0"/>
    <n v="2.7184440733908702E-3"/>
    <n v="3.4426611522065997E-2"/>
    <n v="0.36361579516669901"/>
    <n v="0.160922135541439"/>
    <n v="8.0958653920667287E-3"/>
    <n v="0"/>
    <n v="0"/>
    <n v="0"/>
    <n v="0"/>
    <n v="9.4514966576192405E-3"/>
    <m/>
    <n v="1.5515419748496899E-3"/>
    <n v="5.7985037791354402E-3"/>
    <n v="1.8989315851608901E-2"/>
    <n v="0"/>
    <n v="0"/>
    <n v="0"/>
    <n v="0"/>
    <n v="0"/>
    <n v="0"/>
    <n v="0"/>
    <n v="0"/>
    <n v="0"/>
    <n v="0"/>
    <m/>
    <n v="0"/>
    <n v="0"/>
    <n v="0"/>
    <n v="5.5481261705210604E-4"/>
    <n v="4.8056883374612298E-3"/>
    <n v="1.8578323206145702E-2"/>
    <n v="0"/>
    <n v="0"/>
    <n v="0"/>
    <n v="0"/>
    <n v="0"/>
    <m/>
    <m/>
    <m/>
    <m/>
    <m/>
    <m/>
    <n v="0.33789800000000003"/>
    <m/>
    <m/>
    <n v="0.18486095970209804"/>
    <m/>
    <m/>
    <m/>
    <m/>
    <m/>
    <m/>
    <m/>
    <m/>
    <m/>
    <m/>
    <m/>
    <m/>
    <n v="0"/>
    <n v="-0.27310800000000002"/>
    <m/>
    <m/>
    <m/>
    <m/>
    <n v="-0.19039000000000006"/>
    <n v="2.1189999999999997E-2"/>
    <n v="31"/>
    <n v="2.3305879014008046E-2"/>
    <n v="5.6299808364292016E-4"/>
    <n v="1.8437426000504006E-3"/>
    <n v="0"/>
    <n v="0"/>
    <n v="0"/>
    <n v="0"/>
    <n v="0"/>
    <n v="-6.6010300851879894E-4"/>
    <n v="0"/>
    <n v="0"/>
    <n v="2.0656134616606009E-2"/>
    <n v="6.1686321083209098E-4"/>
    <n v="7.1216331216709039E-5"/>
    <n v="0"/>
    <n v="2.3847331121088985E-3"/>
    <n v="0"/>
    <n v="-1.7871237568456988E-3"/>
    <m/>
    <n v="0"/>
    <n v="0"/>
    <n v="-8.9982572505198366E-5"/>
    <n v="0"/>
    <n v="-2.4479049883597073E-4"/>
    <n v="-4.7809103743249887E-5"/>
    <n v="0"/>
    <n v="0"/>
    <m/>
    <m/>
    <m/>
    <n v="0.36361579516669901"/>
    <n v="0"/>
    <n v="0"/>
    <n v="-0.19039"/>
    <n v="2.1189999999999987E-2"/>
    <n v="0"/>
    <n v="0"/>
    <n v="-0.19251528627707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4"/>
    <s v="Regular"/>
    <s v="Convencional"/>
    <s v="B1"/>
    <s v="Residencial"/>
    <s v="Residencial"/>
    <s v="Não se aplica"/>
    <s v="Não se aplica"/>
    <s v="Não se aplica"/>
    <s v="CATIVO"/>
    <x v="9"/>
    <n v="0"/>
    <n v="0"/>
    <n v="1837.671"/>
    <n v="1837.671"/>
    <n v="1837.671"/>
    <n v="1837.671"/>
    <m/>
    <n v="516.83000000000004"/>
    <n v="173.82"/>
    <m/>
    <n v="1269187.47615"/>
    <n v="1269187.47615"/>
    <n v="958253.54294999992"/>
    <n v="0"/>
    <n v="112372.58151230316"/>
    <n v="0"/>
    <n v="0"/>
    <n v="4995.605838792274"/>
    <n v="63264.785622366544"/>
    <n v="668206.20191978291"/>
    <n v="295721.94174257171"/>
    <n v="14877.537050904659"/>
    <n v="0"/>
    <n v="0"/>
    <n v="0"/>
    <n v="0"/>
    <n v="17368.741314303807"/>
    <m/>
    <n v="2851.2236924640047"/>
    <n v="10655.742238307603"/>
    <n v="34896.115050341978"/>
    <n v="0"/>
    <n v="0"/>
    <n v="0"/>
    <n v="0"/>
    <n v="0"/>
    <n v="0"/>
    <n v="0"/>
    <n v="0"/>
    <n v="0"/>
    <n v="0"/>
    <m/>
    <n v="0"/>
    <n v="0"/>
    <n v="0"/>
    <n v="1019.5630567907608"/>
    <n v="8831.2740927907162"/>
    <n v="34140.845784560974"/>
    <n v="0"/>
    <n v="2161.92"/>
    <n v="10250.39"/>
    <n v="385943.26"/>
    <n v="12481"/>
    <m/>
    <m/>
    <m/>
    <m/>
    <m/>
    <m/>
    <m/>
    <m/>
    <m/>
    <n v="339713.62467671413"/>
    <m/>
    <m/>
    <m/>
    <m/>
    <m/>
    <m/>
    <m/>
    <m/>
    <m/>
    <m/>
    <m/>
    <m/>
    <n v="958253.02150000003"/>
    <n v="-310934.48465"/>
    <m/>
    <m/>
    <m/>
    <m/>
    <n v="-349874.18169000011"/>
    <n v="38940.248489999998"/>
    <n v="30"/>
    <n v="42828.537993551348"/>
    <n v="1034.6052513661707"/>
    <n v="3388.1923075772211"/>
    <n v="0"/>
    <n v="0"/>
    <n v="0"/>
    <n v="0"/>
    <n v="0"/>
    <n v="-1213.0521557677421"/>
    <n v="0"/>
    <n v="0"/>
    <n v="37959.179557033"/>
    <n v="1133.5916335130187"/>
    <n v="130.87218660334088"/>
    <n v="0"/>
    <n v="4382.3548828622806"/>
    <n v="0"/>
    <n v="-3284.1455013663945"/>
    <m/>
    <n v="0"/>
    <n v="0"/>
    <n v="-165.35836399820255"/>
    <n v="0"/>
    <n v="-449.84440078639454"/>
    <n v="-87.857403484962106"/>
    <n v="0"/>
    <n v="0"/>
    <m/>
    <m/>
    <m/>
    <n v="668206.20191978291"/>
    <n v="0"/>
    <n v="0"/>
    <n v="-349874.18169000011"/>
    <n v="38940.248490000027"/>
    <n v="0"/>
    <n v="0"/>
    <n v="-353779.75864808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5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7.9930000000000003"/>
    <n v="-7.9930000000000003"/>
    <n v="-7.9930000000000003"/>
    <n v="-7.9930000000000003"/>
    <m/>
    <n v="516.83000000000004"/>
    <n v="173.82"/>
    <m/>
    <n v="-5520.3654500000011"/>
    <n v="-5520.3654500000011"/>
    <n v="-4167.94985"/>
    <n v="0"/>
    <n v="-488.76759987388346"/>
    <n v="0"/>
    <n v="0"/>
    <n v="-21.728523478613226"/>
    <n v="-275.17190589587352"/>
    <n v="-2906.3810507674252"/>
    <n v="-1286.2506293827219"/>
    <n v="-64.710252078789367"/>
    <n v="0"/>
    <n v="0"/>
    <n v="0"/>
    <n v="0"/>
    <n v="-75.545812784350588"/>
    <m/>
    <n v="-12.401475004973571"/>
    <n v="-46.34744070662957"/>
    <n v="-151.78160160190995"/>
    <n v="0"/>
    <n v="0"/>
    <n v="0"/>
    <n v="0"/>
    <n v="0"/>
    <n v="0"/>
    <n v="0"/>
    <n v="0"/>
    <n v="0"/>
    <n v="0"/>
    <m/>
    <n v="0"/>
    <n v="0"/>
    <n v="0"/>
    <n v="-4.4346172480974841"/>
    <n v="-38.411866881327612"/>
    <n v="-148.49653738672259"/>
    <n v="0"/>
    <n v="-0.84"/>
    <n v="-3.86"/>
    <n v="-1777.56"/>
    <n v="0"/>
    <m/>
    <m/>
    <m/>
    <m/>
    <m/>
    <m/>
    <m/>
    <m/>
    <m/>
    <n v="-1477.5936508988696"/>
    <m/>
    <m/>
    <m/>
    <m/>
    <m/>
    <m/>
    <m/>
    <m/>
    <m/>
    <m/>
    <m/>
    <m/>
    <n v="-4166.3855000000003"/>
    <n v="1353.9499500000002"/>
    <m/>
    <m/>
    <m/>
    <m/>
    <n v="1521.7872700000005"/>
    <n v="-169.37166999999999"/>
    <n v="30"/>
    <n v="-186.28389095896591"/>
    <n v="-4.500043682557866"/>
    <n v="-14.73703460220284"/>
    <n v="0"/>
    <n v="0"/>
    <n v="0"/>
    <n v="0"/>
    <n v="0"/>
    <n v="5.2762033470907568"/>
    <n v="0"/>
    <n v="0"/>
    <n v="-165.10448399053189"/>
    <n v="-4.9305876441809033"/>
    <n v="-0.56923213541515505"/>
    <n v="0"/>
    <n v="-19.061171765086442"/>
    <n v="0"/>
    <n v="14.284480188467683"/>
    <m/>
    <n v="0"/>
    <n v="0"/>
    <n v="0.7192307020340607"/>
    <n v="0"/>
    <n v="1.9566104571959073"/>
    <n v="0.38213816621979646"/>
    <n v="0"/>
    <n v="0"/>
    <m/>
    <m/>
    <m/>
    <n v="-2906.3810507674252"/>
    <n v="0"/>
    <n v="0"/>
    <n v="1521.7872700000007"/>
    <n v="-169.37166999999999"/>
    <n v="0"/>
    <n v="0"/>
    <n v="1538.7746832126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6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26.408999999999999"/>
    <n v="26.408999999999999"/>
    <n v="26.408999999999999"/>
    <n v="26.408999999999999"/>
    <m/>
    <n v="516.83000000000004"/>
    <n v="173.82"/>
    <m/>
    <n v="18239.37585"/>
    <n v="18239.37585"/>
    <n v="13770.973049999999"/>
    <n v="0"/>
    <n v="1614.8959771136479"/>
    <n v="0"/>
    <n v="0"/>
    <n v="71.791389534179487"/>
    <n v="909.17238368624089"/>
    <n v="9602.729534557353"/>
    <n v="4249.7926775138621"/>
    <n v="213.80370913909024"/>
    <n v="0"/>
    <n v="0"/>
    <n v="0"/>
    <n v="0"/>
    <n v="249.60457523106649"/>
    <m/>
    <n v="40.97467201380546"/>
    <n v="153.13268630318782"/>
    <n v="501.48884232513944"/>
    <n v="0"/>
    <n v="0"/>
    <n v="0"/>
    <n v="0"/>
    <n v="0"/>
    <n v="0"/>
    <n v="0"/>
    <n v="0"/>
    <n v="0"/>
    <n v="0"/>
    <m/>
    <n v="0"/>
    <n v="0"/>
    <n v="0"/>
    <n v="14.652046403729068"/>
    <n v="126.91342330401361"/>
    <n v="490.63493755110181"/>
    <n v="0"/>
    <n v="30.06"/>
    <n v="147.21"/>
    <n v="15006.11"/>
    <n v="343"/>
    <m/>
    <m/>
    <m/>
    <m/>
    <m/>
    <m/>
    <m/>
    <m/>
    <m/>
    <n v="4881.9930847727073"/>
    <m/>
    <m/>
    <m/>
    <m/>
    <m/>
    <m/>
    <m/>
    <m/>
    <m/>
    <m/>
    <m/>
    <m/>
    <n v="13771.494500000001"/>
    <n v="-4467.9113499999985"/>
    <m/>
    <m/>
    <m/>
    <m/>
    <n v="-5028.0095100000008"/>
    <n v="559.60670999999991"/>
    <n v="30"/>
    <n v="615.48495888093748"/>
    <n v="14.86821639092588"/>
    <n v="48.69139832473104"/>
    <n v="0"/>
    <n v="0"/>
    <n v="0"/>
    <n v="0"/>
    <n v="0"/>
    <n v="-17.432660351972913"/>
    <n v="0"/>
    <n v="0"/>
    <n v="545.5078590899484"/>
    <n v="16.290740534864682"/>
    <n v="1.8807520911020692"/>
    <n v="0"/>
    <n v="62.978416757683874"/>
    <n v="0"/>
    <n v="-47.19615129453814"/>
    <m/>
    <n v="0"/>
    <n v="0"/>
    <n v="-2.3763497572898302"/>
    <n v="0"/>
    <n v="-6.4646722837591426"/>
    <n v="-1.2625906207554891"/>
    <n v="0"/>
    <n v="0"/>
    <m/>
    <m/>
    <m/>
    <n v="9602.729534557353"/>
    <n v="0"/>
    <n v="0"/>
    <n v="-5028.0095100000017"/>
    <n v="559.60671000000002"/>
    <n v="0"/>
    <n v="0"/>
    <n v="-5084.1361952912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7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-1.6379999999999999"/>
    <n v="-1.6379999999999999"/>
    <n v="-1.6379999999999999"/>
    <n v="-1.6379999999999999"/>
    <m/>
    <n v="516.83000000000004"/>
    <n v="173.82"/>
    <m/>
    <n v="-1131.2846999999999"/>
    <n v="-1131.2846999999999"/>
    <n v="-854.13509999999997"/>
    <n v="0"/>
    <n v="-100.16280853164281"/>
    <n v="0"/>
    <n v="0"/>
    <n v="-4.4528113922142447"/>
    <n v="-56.390789673144099"/>
    <n v="-595.60267248305297"/>
    <n v="-263.59045801687705"/>
    <n v="-13.261027512205301"/>
    <n v="0"/>
    <n v="0"/>
    <n v="0"/>
    <n v="0"/>
    <n v="-15.481551525180313"/>
    <m/>
    <n v="-2.5414257548037917"/>
    <n v="-9.4979491902238493"/>
    <n v="-31.104499364935375"/>
    <n v="0"/>
    <n v="0"/>
    <n v="0"/>
    <n v="0"/>
    <n v="0"/>
    <n v="0"/>
    <n v="0"/>
    <n v="0"/>
    <n v="0"/>
    <n v="0"/>
    <m/>
    <n v="0"/>
    <n v="0"/>
    <n v="0"/>
    <n v="-0.90878306673134968"/>
    <n v="-7.8717174967614936"/>
    <n v="-30.431293411666655"/>
    <n v="0"/>
    <n v="-6.84"/>
    <n v="-31.17"/>
    <n v="-522.30999999999995"/>
    <n v="2"/>
    <m/>
    <m/>
    <m/>
    <m/>
    <m/>
    <m/>
    <m/>
    <m/>
    <m/>
    <n v="-302.80225199203659"/>
    <m/>
    <m/>
    <m/>
    <m/>
    <m/>
    <m/>
    <m/>
    <m/>
    <m/>
    <m/>
    <m/>
    <m/>
    <n v="-855.17799999999988"/>
    <n v="276.07670000000007"/>
    <m/>
    <m/>
    <m/>
    <m/>
    <n v="311.85882000000004"/>
    <n v="-34.709219999999995"/>
    <n v="30"/>
    <n v="-38.175029824945341"/>
    <n v="-0.92219086100710435"/>
    <n v="-3.0200503788825621"/>
    <n v="0"/>
    <n v="0"/>
    <n v="0"/>
    <n v="0"/>
    <n v="0"/>
    <n v="1.0812487279537848"/>
    <n v="0"/>
    <n v="0"/>
    <n v="-33.83474850200065"/>
    <n v="-1.0104219393429643"/>
    <n v="-0.1166523505329693"/>
    <n v="0"/>
    <n v="-3.9061928376343822"/>
    <n v="0"/>
    <n v="2.9273087137132592"/>
    <m/>
    <n v="0"/>
    <n v="0"/>
    <n v="0.14739145376351637"/>
    <n v="0"/>
    <n v="0.40096683709331771"/>
    <n v="7.8311311931443139E-2"/>
    <n v="0"/>
    <n v="0"/>
    <m/>
    <m/>
    <m/>
    <n v="-595.60267248305297"/>
    <n v="0"/>
    <n v="0"/>
    <n v="311.85882000000004"/>
    <n v="-34.709219999999959"/>
    <n v="0"/>
    <n v="0"/>
    <n v="315.34003892185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40.200000000000003"/>
    <n v="40.200000000000003"/>
    <n v="40.200000000000003"/>
    <n v="40.200000000000003"/>
    <m/>
    <n v="446.23"/>
    <n v="173.82"/>
    <m/>
    <n v="24926.010000000002"/>
    <n v="24926.010000000002"/>
    <n v="18205.776000000002"/>
    <n v="0"/>
    <n v="0"/>
    <n v="0"/>
    <n v="0"/>
    <n v="109.28145175031298"/>
    <n v="1383.9497831870531"/>
    <n v="14617.354965701301"/>
    <n v="6469.0698487658483"/>
    <n v="325.45378876108254"/>
    <n v="0"/>
    <n v="0"/>
    <n v="0"/>
    <n v="0"/>
    <n v="0"/>
    <m/>
    <n v="62.371987388957542"/>
    <n v="233.09985192124469"/>
    <n v="763.37049723467783"/>
    <n v="0"/>
    <n v="0"/>
    <n v="0"/>
    <n v="0"/>
    <n v="0"/>
    <n v="0"/>
    <n v="0"/>
    <n v="0"/>
    <n v="0"/>
    <n v="0"/>
    <m/>
    <n v="0"/>
    <n v="0"/>
    <n v="0"/>
    <n v="22.303467205494666"/>
    <n v="193.18867116594143"/>
    <n v="746.84859288705718"/>
    <n v="0"/>
    <n v="39.090000000000003"/>
    <n v="175.74"/>
    <n v="2051.41"/>
    <n v="94"/>
    <m/>
    <m/>
    <m/>
    <m/>
    <m/>
    <m/>
    <m/>
    <n v="11833.674000000003"/>
    <m/>
    <n v="7431.4105800243415"/>
    <m/>
    <m/>
    <m/>
    <m/>
    <m/>
    <m/>
    <m/>
    <m/>
    <m/>
    <m/>
    <m/>
    <m/>
    <n v="6372.1020000000008"/>
    <n v="-2352.1320000000014"/>
    <m/>
    <m/>
    <m/>
    <m/>
    <n v="-7572.072000000001"/>
    <n v="851.83799999999997"/>
    <n v="30"/>
    <n v="1018.5792894415263"/>
    <n v="22.632522962445421"/>
    <n v="74.118452522026132"/>
    <n v="0"/>
    <n v="0"/>
    <n v="0"/>
    <n v="0"/>
    <n v="0"/>
    <n v="-26.536140942455404"/>
    <n v="0"/>
    <n v="0"/>
    <n v="830.37661158756146"/>
    <n v="24.797901075450056"/>
    <n v="2.8628965149117001"/>
    <n v="0"/>
    <n v="95.866271106777845"/>
    <n v="0"/>
    <n v="0"/>
    <m/>
    <n v="0"/>
    <n v="0"/>
    <n v="-3.6172994147090094"/>
    <n v="0"/>
    <n v="0"/>
    <n v="-1.9219259704786538"/>
    <n v="0"/>
    <n v="0"/>
    <m/>
    <m/>
    <m/>
    <n v="14617.354965701301"/>
    <n v="0"/>
    <n v="0"/>
    <n v="-7572.0720000000019"/>
    <n v="851.83799999999974"/>
    <n v="0"/>
    <n v="0"/>
    <n v="-7739.1145083384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69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06"/>
    <n v="-0.21299999999999999"/>
    <n v="0.06"/>
    <n v="-0.21299999999999999"/>
    <m/>
    <n v="446.23"/>
    <n v="173.82"/>
    <m/>
    <n v="37.203000000000003"/>
    <n v="37.203000000000003"/>
    <n v="27.172799999999999"/>
    <n v="0"/>
    <n v="0"/>
    <n v="0"/>
    <n v="0"/>
    <n v="0.16310664440345221"/>
    <n v="2.0655966913239596"/>
    <n v="21.816947710001941"/>
    <n v="9.6553281324863391"/>
    <n v="0.48575192352400376"/>
    <n v="0"/>
    <n v="0"/>
    <n v="0"/>
    <n v="0"/>
    <n v="0"/>
    <m/>
    <n v="9.3092518490981394E-2"/>
    <n v="0.34791022674812638"/>
    <n v="1.1393589510965341"/>
    <n v="0"/>
    <n v="0"/>
    <n v="0"/>
    <n v="0"/>
    <n v="0"/>
    <n v="0"/>
    <n v="0"/>
    <n v="0"/>
    <n v="0"/>
    <n v="0"/>
    <m/>
    <n v="0"/>
    <n v="0"/>
    <n v="0"/>
    <n v="3.3288757023126364E-2"/>
    <n v="0.28834130024767374"/>
    <n v="1.114699392368742"/>
    <n v="0"/>
    <n v="0.04"/>
    <n v="0.28000000000000003"/>
    <n v="7.76"/>
    <n v="0"/>
    <m/>
    <m/>
    <m/>
    <m/>
    <m/>
    <m/>
    <m/>
    <n v="60.935430000000011"/>
    <m/>
    <n v="11.09165758212588"/>
    <m/>
    <m/>
    <m/>
    <m/>
    <m/>
    <m/>
    <m/>
    <m/>
    <m/>
    <m/>
    <m/>
    <m/>
    <n v="-33.287099999999995"/>
    <n v="12.908160000000009"/>
    <m/>
    <m/>
    <m/>
    <m/>
    <n v="-11.301600000000001"/>
    <n v="1.2713999999999999"/>
    <n v="30"/>
    <n v="1.5202675961813874"/>
    <n v="3.3779885018575206E-2"/>
    <n v="0.1106245560030239"/>
    <n v="0"/>
    <n v="0"/>
    <n v="0"/>
    <n v="0"/>
    <n v="0"/>
    <n v="-3.9606180511127409E-2"/>
    <n v="0"/>
    <n v="0"/>
    <n v="1.2393680769963602"/>
    <n v="3.701179264992549E-2"/>
    <n v="4.2729798730025345E-3"/>
    <n v="0"/>
    <n v="0.14308398672653388"/>
    <n v="0"/>
    <n v="0"/>
    <m/>
    <n v="0"/>
    <n v="0"/>
    <n v="-5.398954350312013E-3"/>
    <n v="0"/>
    <n v="0"/>
    <n v="-2.868546224594995E-3"/>
    <n v="0"/>
    <n v="0"/>
    <m/>
    <m/>
    <m/>
    <n v="21.816947710001941"/>
    <n v="0"/>
    <n v="0"/>
    <n v="-11.301600000000002"/>
    <n v="1.2713999999999999"/>
    <n v="0"/>
    <n v="0"/>
    <n v="-11.55091717662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0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79.793999999999997"/>
    <n v="79.793999999999997"/>
    <n v="79.793999999999997"/>
    <n v="79.793999999999997"/>
    <m/>
    <n v="446.23"/>
    <n v="173.82"/>
    <m/>
    <n v="49476.269700000004"/>
    <n v="49476.269700000004"/>
    <n v="36137.106719999996"/>
    <n v="0"/>
    <n v="0"/>
    <n v="0"/>
    <n v="0"/>
    <n v="216.91552639215109"/>
    <n v="2747.0370397917341"/>
    <n v="29014.35875953158"/>
    <n v="12840.620883393582"/>
    <n v="646.00148309457256"/>
    <n v="0"/>
    <n v="0"/>
    <n v="0"/>
    <n v="0"/>
    <n v="0"/>
    <m/>
    <n v="123.80374034115616"/>
    <n v="462.68581055233329"/>
    <n v="1515.2334690632806"/>
    <n v="0"/>
    <n v="0"/>
    <n v="0"/>
    <n v="0"/>
    <n v="0"/>
    <n v="0"/>
    <n v="0"/>
    <n v="0"/>
    <n v="0"/>
    <n v="0"/>
    <m/>
    <n v="0"/>
    <n v="0"/>
    <n v="0"/>
    <n v="44.270717965055745"/>
    <n v="383.46509519938132"/>
    <n v="1482.43872191119"/>
    <n v="0"/>
    <n v="76.709999999999994"/>
    <n v="357.84"/>
    <n v="7344.73"/>
    <n v="277"/>
    <m/>
    <m/>
    <m/>
    <m/>
    <m/>
    <m/>
    <m/>
    <n v="14455.481039999999"/>
    <m/>
    <n v="14750.795418469208"/>
    <m/>
    <m/>
    <m/>
    <m/>
    <m/>
    <m/>
    <m/>
    <m/>
    <m/>
    <m/>
    <m/>
    <m/>
    <n v="21680.538800000002"/>
    <n v="-8005.2530199999928"/>
    <m/>
    <m/>
    <m/>
    <m/>
    <n v="-15029.99784"/>
    <n v="1690.8348599999997"/>
    <n v="30"/>
    <n v="2021.8038761616299"/>
    <n v="44.923869086203183"/>
    <n v="147.11959702842159"/>
    <n v="0"/>
    <n v="0"/>
    <n v="0"/>
    <n v="0"/>
    <n v="0"/>
    <n v="-52.672259461748581"/>
    <n v="0"/>
    <n v="0"/>
    <n v="1648.2356055974615"/>
    <n v="49.221983045135858"/>
    <n v="5.6826359331060843"/>
    <n v="0"/>
    <n v="190.2873939476176"/>
    <n v="0"/>
    <n v="0"/>
    <m/>
    <n v="0"/>
    <n v="0"/>
    <n v="-7.1800693904799573"/>
    <n v="0"/>
    <n v="0"/>
    <n v="-3.8148796240888885"/>
    <n v="0"/>
    <n v="0"/>
    <m/>
    <m/>
    <m/>
    <n v="29014.35875953158"/>
    <n v="0"/>
    <n v="0"/>
    <n v="-15029.99784"/>
    <n v="1690.834859999999"/>
    <n v="0"/>
    <n v="0"/>
    <n v="-15361.56475319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1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.9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72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72.399000000000001"/>
    <n v="72.399000000000001"/>
    <n v="72.399000000000001"/>
    <n v="72.399000000000001"/>
    <m/>
    <n v="446.23"/>
    <n v="173.82"/>
    <m/>
    <n v="44890.999949999998"/>
    <n v="44890.999949999998"/>
    <n v="32788.059119999998"/>
    <n v="0"/>
    <n v="0"/>
    <n v="0"/>
    <n v="0"/>
    <n v="196.81263246942561"/>
    <n v="2492.4522475860563"/>
    <n v="26325.419954273842"/>
    <n v="11650.601691064641"/>
    <n v="586.13255852023917"/>
    <n v="0"/>
    <n v="0"/>
    <n v="0"/>
    <n v="0"/>
    <n v="0"/>
    <m/>
    <n v="112.33008743714271"/>
    <n v="419.80587510562674"/>
    <n v="1374.8074783406328"/>
    <n v="0"/>
    <n v="0"/>
    <n v="0"/>
    <n v="0"/>
    <n v="0"/>
    <n v="0"/>
    <n v="0"/>
    <n v="0"/>
    <n v="0"/>
    <n v="0"/>
    <m/>
    <n v="0"/>
    <n v="0"/>
    <n v="0"/>
    <n v="40.167878661955427"/>
    <n v="347.92702994385559"/>
    <n v="1345.0520218017425"/>
    <n v="0"/>
    <n v="67.709999999999994"/>
    <n v="332.28"/>
    <n v="9965.1"/>
    <n v="682"/>
    <m/>
    <m/>
    <m/>
    <m/>
    <m/>
    <m/>
    <m/>
    <n v="3278.2267200000001"/>
    <m/>
    <n v="13383.748621472196"/>
    <m/>
    <m/>
    <m/>
    <m/>
    <m/>
    <m/>
    <m/>
    <m/>
    <m/>
    <m/>
    <m/>
    <m/>
    <n v="29510.240000000005"/>
    <n v="-10892.051949999994"/>
    <m/>
    <m/>
    <m/>
    <m/>
    <n v="-13637.075640000001"/>
    <n v="1534.1348099999998"/>
    <n v="30"/>
    <n v="1834.4308949322731"/>
    <n v="40.760498257663755"/>
    <n v="133.4851205010491"/>
    <n v="0"/>
    <n v="0"/>
    <n v="0"/>
    <n v="0"/>
    <n v="0"/>
    <n v="-47.790797713752454"/>
    <n v="0"/>
    <n v="0"/>
    <n v="1495.4834901076592"/>
    <n v="44.660279601032528"/>
    <n v="5.1559911637585145"/>
    <n v="0"/>
    <n v="172.65229258357249"/>
    <n v="0"/>
    <n v="0"/>
    <m/>
    <n v="0"/>
    <n v="0"/>
    <n v="-6.514648266803988"/>
    <n v="0"/>
    <n v="0"/>
    <n v="-3.4613313019075633"/>
    <n v="0"/>
    <n v="0"/>
    <m/>
    <m/>
    <m/>
    <n v="26325.419954273842"/>
    <n v="0"/>
    <n v="0"/>
    <n v="-13637.075640000003"/>
    <n v="1534.1348099999996"/>
    <n v="0"/>
    <n v="0"/>
    <n v="-13937.914211174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3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8.5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74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2.033000000000001"/>
    <n v="22.033000000000001"/>
    <n v="22.033000000000001"/>
    <n v="22.033000000000001"/>
    <m/>
    <n v="446.23"/>
    <n v="173.82"/>
    <m/>
    <n v="13661.561650000001"/>
    <n v="13661.561650000001"/>
    <n v="9978.3050399999993"/>
    <n v="0"/>
    <n v="0"/>
    <n v="0"/>
    <n v="0"/>
    <n v="59.895478269021048"/>
    <n v="758.52153166568019"/>
    <n v="8011.5468149078797"/>
    <n v="3545.5974123845253"/>
    <n v="178.37620218340626"/>
    <n v="0"/>
    <n v="0"/>
    <n v="0"/>
    <n v="0"/>
    <n v="0"/>
    <m/>
    <n v="34.185124331863221"/>
    <n v="127.75843376569115"/>
    <n v="418.39159615849894"/>
    <n v="0"/>
    <n v="0"/>
    <n v="0"/>
    <n v="0"/>
    <n v="0"/>
    <n v="0"/>
    <n v="0"/>
    <n v="0"/>
    <n v="0"/>
    <n v="0"/>
    <m/>
    <n v="0"/>
    <n v="0"/>
    <n v="0"/>
    <n v="12.224186391509054"/>
    <n v="105.88373113928328"/>
    <n v="409.33619520100825"/>
    <n v="0"/>
    <n v="19.59"/>
    <n v="101.76"/>
    <n v="3366"/>
    <n v="284"/>
    <m/>
    <m/>
    <m/>
    <m/>
    <m/>
    <m/>
    <m/>
    <m/>
    <m/>
    <n v="4073.0415251163258"/>
    <m/>
    <m/>
    <m/>
    <m/>
    <m/>
    <m/>
    <m/>
    <m/>
    <m/>
    <m/>
    <m/>
    <m/>
    <n v="9976.9464000000007"/>
    <n v="-3684.6452500000014"/>
    <m/>
    <m/>
    <m/>
    <m/>
    <n v="-4150.1358800000007"/>
    <n v="466.87926999999996"/>
    <n v="30"/>
    <n v="558.26759911107547"/>
    <n v="12.404536776904465"/>
    <n v="40.623180706910489"/>
    <n v="0"/>
    <n v="0"/>
    <n v="0"/>
    <n v="0"/>
    <n v="0"/>
    <n v="-14.544049586694655"/>
    <n v="0"/>
    <n v="0"/>
    <n v="455.11661400768025"/>
    <n v="13.59134712426345"/>
    <n v="1.5691094256977483"/>
    <n v="0"/>
    <n v="52.542824659095402"/>
    <n v="0"/>
    <n v="0"/>
    <m/>
    <n v="0"/>
    <n v="0"/>
    <n v="-1.9825860200070622"/>
    <n v="0"/>
    <n v="0"/>
    <n v="-1.0533779827750251"/>
    <n v="0"/>
    <n v="0"/>
    <m/>
    <m/>
    <m/>
    <n v="8011.5468149078797"/>
    <n v="0"/>
    <n v="0"/>
    <n v="-4150.1358800000007"/>
    <n v="466.87926999999945"/>
    <n v="0"/>
    <n v="0"/>
    <n v="-4241.689302542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5"/>
    <s v="Sistema de Compensação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.8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76"/>
    <s v="Regular"/>
    <s v="Convencional"/>
    <s v="B3"/>
    <s v="Industrial"/>
    <s v="Não se aplica"/>
    <s v="Não se aplica"/>
    <s v="Não se aplica"/>
    <s v="Não se aplica"/>
    <s v="CATIVO"/>
    <x v="9"/>
    <n v="0"/>
    <n v="0"/>
    <n v="55.664000000000001"/>
    <n v="55.664000000000001"/>
    <n v="55.664000000000001"/>
    <n v="55.664000000000001"/>
    <m/>
    <n v="516.83000000000004"/>
    <n v="173.82"/>
    <m/>
    <n v="38444.3416"/>
    <n v="38444.3416"/>
    <n v="29025.9928"/>
    <n v="0"/>
    <n v="3403.8233053146314"/>
    <n v="0"/>
    <n v="0"/>
    <n v="151.31947090122941"/>
    <n v="1916.3229037642818"/>
    <n v="20240.309622159133"/>
    <n v="8957.5697527786597"/>
    <n v="450.64825118400245"/>
    <n v="0"/>
    <n v="0"/>
    <n v="0"/>
    <n v="0"/>
    <n v="526.10810994971735"/>
    <m/>
    <n v="86.365032488033137"/>
    <n v="322.76791436179514"/>
    <n v="1057.0212775639579"/>
    <n v="0"/>
    <n v="0"/>
    <n v="0"/>
    <n v="0"/>
    <n v="0"/>
    <n v="0"/>
    <n v="0"/>
    <n v="0"/>
    <n v="0"/>
    <n v="0"/>
    <m/>
    <n v="0"/>
    <n v="0"/>
    <n v="0"/>
    <n v="30.883089515588431"/>
    <n v="267.5038356164419"/>
    <n v="1034.1437829468944"/>
    <n v="0"/>
    <n v="65.28"/>
    <n v="301"/>
    <n v="7209.19"/>
    <n v="35"/>
    <m/>
    <m/>
    <m/>
    <m/>
    <m/>
    <m/>
    <m/>
    <m/>
    <m/>
    <n v="10290.100460857584"/>
    <m/>
    <m/>
    <m/>
    <m/>
    <m/>
    <m/>
    <m/>
    <m/>
    <m/>
    <m/>
    <m/>
    <m/>
    <n v="29023.906999999999"/>
    <n v="-9420.4645999999993"/>
    <m/>
    <m/>
    <m/>
    <m/>
    <n v="-10597.868960000003"/>
    <n v="1179.5201599999998"/>
    <n v="30"/>
    <n v="1297.2984494357479"/>
    <n v="31.33872532789951"/>
    <n v="102.6300880892054"/>
    <n v="0"/>
    <n v="0"/>
    <n v="0"/>
    <n v="0"/>
    <n v="0"/>
    <n v="-36.743973866190345"/>
    <n v="0"/>
    <n v="0"/>
    <n v="1149.8030772987568"/>
    <n v="34.337073767757488"/>
    <n v="3.9641858608468894"/>
    <n v="0"/>
    <n v="132.74378395242979"/>
    <n v="0"/>
    <n v="-99.47845680105911"/>
    <m/>
    <n v="0"/>
    <n v="0"/>
    <n v="-5.0087899159294693"/>
    <n v="0"/>
    <n v="-13.626018327205429"/>
    <n v="-2.6612459507642683"/>
    <n v="0"/>
    <n v="0"/>
    <m/>
    <m/>
    <m/>
    <n v="20240.309622159133"/>
    <n v="0"/>
    <n v="0"/>
    <n v="-10597.86896"/>
    <n v="1179.52016"/>
    <n v="0"/>
    <n v="0"/>
    <n v="-10716.170895327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7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1.262"/>
    <n v="1.262"/>
    <n v="1.262"/>
    <n v="1.262"/>
    <m/>
    <n v="516.83000000000004"/>
    <n v="173.82"/>
    <m/>
    <n v="871.60030000000006"/>
    <n v="871.60030000000006"/>
    <n v="658.06989999999996"/>
    <n v="0"/>
    <n v="77.170613166625913"/>
    <n v="0"/>
    <n v="0"/>
    <n v="3.4306764206192781"/>
    <n v="43.446383740847288"/>
    <n v="458.88313350037413"/>
    <n v="203.08373505329601"/>
    <n v="10.216982124788212"/>
    <n v="0"/>
    <n v="0"/>
    <n v="0"/>
    <n v="0"/>
    <n v="11.927788781915481"/>
    <m/>
    <n v="1.9580459722603087"/>
    <n v="7.3177117692689251"/>
    <n v="23.964516604730431"/>
    <n v="0"/>
    <n v="0"/>
    <n v="0"/>
    <n v="0"/>
    <n v="0"/>
    <n v="0"/>
    <n v="0"/>
    <n v="0"/>
    <n v="0"/>
    <n v="0"/>
    <m/>
    <n v="0"/>
    <n v="0"/>
    <n v="0"/>
    <n v="0.70017352271975786"/>
    <n v="6.0647786818760716"/>
    <n v="23.445843886155874"/>
    <n v="0"/>
    <n v="1.49"/>
    <n v="7.02"/>
    <n v="513.41"/>
    <n v="8"/>
    <m/>
    <m/>
    <m/>
    <m/>
    <m/>
    <m/>
    <m/>
    <m/>
    <m/>
    <n v="233.29453114404771"/>
    <m/>
    <m/>
    <m/>
    <m/>
    <m/>
    <m/>
    <m/>
    <m/>
    <m/>
    <m/>
    <m/>
    <m/>
    <n v="657.02699999999993"/>
    <n v="-214.6033000000001"/>
    <m/>
    <m/>
    <m/>
    <m/>
    <n v="-240.27218000000005"/>
    <n v="26.741779999999999"/>
    <n v="30"/>
    <n v="29.412019315678151"/>
    <n v="0.71050358155736504"/>
    <n v="2.3268031612636086"/>
    <n v="0"/>
    <n v="0"/>
    <n v="0"/>
    <n v="0"/>
    <n v="0"/>
    <n v="-0.83304999675072366"/>
    <n v="0"/>
    <n v="0"/>
    <n v="26.068041886156777"/>
    <n v="0.77848137207009849"/>
    <n v="8.9875009995486699E-2"/>
    <n v="0"/>
    <n v="3.0095331874814342"/>
    <n v="0"/>
    <n v="-2.2553501811392778"/>
    <m/>
    <n v="0"/>
    <n v="0"/>
    <n v="-0.11355800650156134"/>
    <n v="0"/>
    <n v="-0.3089256095309949"/>
    <n v="-6.0335088923981539E-2"/>
    <n v="0"/>
    <n v="0"/>
    <m/>
    <m/>
    <m/>
    <n v="458.88313350037413"/>
    <n v="0"/>
    <n v="0"/>
    <n v="-240.27217999999999"/>
    <n v="26.741780000000006"/>
    <n v="0"/>
    <n v="0"/>
    <n v="-242.954291281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8"/>
    <s v="Regular"/>
    <s v="Azul"/>
    <s v="A4"/>
    <s v="Industrial"/>
    <s v="Não se aplica"/>
    <s v="Não se aplica"/>
    <s v="Não se aplica"/>
    <s v="Ponta"/>
    <s v="CATIVO"/>
    <x v="9"/>
    <n v="1200"/>
    <n v="1200"/>
    <n v="37.624000000000002"/>
    <n v="37.624000000000002"/>
    <n v="37.624000000000002"/>
    <n v="37.624000000000002"/>
    <n v="67.099999999999994"/>
    <n v="70.33"/>
    <n v="173.82"/>
    <n v="80520"/>
    <n v="9185.8996000000006"/>
    <n v="89705.899600000004"/>
    <n v="60393.151919999997"/>
    <n v="0"/>
    <n v="2001.597797392702"/>
    <n v="0"/>
    <n v="0"/>
    <n v="898.10170336085525"/>
    <n v="13700.67976876248"/>
    <n v="57794.157302940846"/>
    <n v="6054.5344276111009"/>
    <n v="304.59883951111863"/>
    <n v="0"/>
    <n v="0"/>
    <n v="0"/>
    <n v="0"/>
    <n v="355.60311024626628"/>
    <m/>
    <n v="46.756498565497672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7.020398535575322"/>
    <n v="180.80921800864132"/>
    <n v="235.08339396257992"/>
    <n v="0"/>
    <n v="0"/>
    <n v="0"/>
    <n v="0"/>
    <n v="0"/>
    <m/>
    <m/>
    <m/>
    <m/>
    <m/>
    <m/>
    <m/>
    <m/>
    <m/>
    <n v="6477.4474381178979"/>
    <m/>
    <m/>
    <m/>
    <m/>
    <m/>
    <m/>
    <m/>
    <m/>
    <m/>
    <m/>
    <m/>
    <m/>
    <n v="60392.094599999997"/>
    <n v="-29313.834999999992"/>
    <m/>
    <m/>
    <m/>
    <m/>
    <n v="-30110.000239999994"/>
    <n v="797.25256000000002"/>
    <n v="30"/>
    <n v="1285.6595737946627"/>
    <n v="187.27044607078801"/>
    <n v="602.17080389378407"/>
    <n v="0"/>
    <n v="0"/>
    <n v="0"/>
    <n v="0"/>
    <n v="0"/>
    <n v="-262.69968301452172"/>
    <n v="0"/>
    <n v="0"/>
    <n v="777.1664088151847"/>
    <n v="23.208861444346581"/>
    <n v="0.90114574185302576"/>
    <n v="0"/>
    <n v="30.175551769066885"/>
    <n v="0"/>
    <n v="-58.497707477980839"/>
    <m/>
    <n v="0"/>
    <n v="0"/>
    <n v="-3.3855043079356051"/>
    <n v="0"/>
    <n v="-9.2099977282045415"/>
    <n v="-1.4407514117082414"/>
    <n v="0"/>
    <n v="0"/>
    <m/>
    <m/>
    <n v="57794.157302940846"/>
    <n v="0"/>
    <n v="0"/>
    <n v="0"/>
    <n v="-30110.000240000008"/>
    <n v="797.2525599999999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79"/>
    <s v="Refaturamento - Regular"/>
    <s v="Azul"/>
    <s v="A4"/>
    <s v="Industrial"/>
    <s v="Não se aplica"/>
    <s v="Não se aplica"/>
    <s v="Não se aplica"/>
    <s v="Ponta"/>
    <s v="CATIVO"/>
    <x v="9"/>
    <n v="-404"/>
    <n v="-404"/>
    <n v="0"/>
    <n v="0"/>
    <n v="0"/>
    <n v="0"/>
    <n v="67.099999999999994"/>
    <m/>
    <m/>
    <n v="-27108.399999999998"/>
    <m/>
    <n v="-27108.399999999998"/>
    <n v="-16984.16"/>
    <n v="0"/>
    <n v="0"/>
    <n v="0"/>
    <n v="0"/>
    <n v="-302.36090679815459"/>
    <n v="-4612.5621888167016"/>
    <n v="-19457.366291990085"/>
    <m/>
    <m/>
    <m/>
    <n v="0"/>
    <n v="0"/>
    <n v="0"/>
    <n v="0"/>
    <m/>
    <n v="0"/>
    <n v="-649.34932285968455"/>
    <n v="-2087.99205618642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-16984.16"/>
    <n v="10124.210000000003"/>
    <m/>
    <m/>
    <m/>
    <m/>
    <n v="10124.239999999998"/>
    <n v="0"/>
    <n v="30"/>
    <n v="-177.33632753985057"/>
    <n v="-63.04771684383195"/>
    <n v="-202.73083731090765"/>
    <n v="0"/>
    <n v="0"/>
    <m/>
    <m/>
    <m/>
    <n v="88.4422266148885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9457.366291990085"/>
    <m/>
    <n v="0"/>
    <n v="0"/>
    <n v="10124.239999999998"/>
    <m/>
    <n v="0"/>
    <m/>
    <n v="10301.6439101143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80"/>
    <s v="Regular"/>
    <s v="Azul"/>
    <s v="A4"/>
    <s v="Industrial"/>
    <s v="Não se aplica"/>
    <s v="Não se aplica"/>
    <s v="Não se aplica"/>
    <s v="Fora ponta"/>
    <s v="CATIVO"/>
    <x v="9"/>
    <n v="1200"/>
    <n v="1200"/>
    <n v="374.53100000000001"/>
    <n v="374.53100000000001"/>
    <n v="374.53100000000001"/>
    <n v="374.53100000000001"/>
    <n v="59.12"/>
    <n v="70.33"/>
    <n v="173.82"/>
    <n v="70944"/>
    <n v="91441.743650000004"/>
    <n v="162385.74365000002"/>
    <n v="139835.77922999999"/>
    <n v="0"/>
    <n v="19925.059128622317"/>
    <n v="0"/>
    <n v="0"/>
    <n v="686.4724360004185"/>
    <n v="6140.4271808585163"/>
    <n v="57794.157302940846"/>
    <n v="60270.328346470691"/>
    <n v="3032.1525611561442"/>
    <n v="0"/>
    <n v="0"/>
    <n v="0"/>
    <n v="0"/>
    <n v="3539.8784946747915"/>
    <m/>
    <n v="465.44115894733164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69.885096851147168"/>
    <n v="1799.8792587176918"/>
    <n v="2340.1557150807735"/>
    <n v="0"/>
    <n v="0"/>
    <n v="0"/>
    <n v="0"/>
    <n v="0"/>
    <m/>
    <m/>
    <m/>
    <m/>
    <m/>
    <m/>
    <m/>
    <m/>
    <m/>
    <n v="64480.248417120303"/>
    <m/>
    <m/>
    <m/>
    <m/>
    <m/>
    <m/>
    <m/>
    <m/>
    <m/>
    <m/>
    <m/>
    <m/>
    <n v="139835.51489999998"/>
    <n v="-22550.258750000008"/>
    <m/>
    <m/>
    <m/>
    <m/>
    <n v="-30486.276309999997"/>
    <n v="7936.311889999999"/>
    <n v="30"/>
    <n v="8050.8807290119585"/>
    <n v="140.75540420960397"/>
    <n v="473.15551850471911"/>
    <n v="0"/>
    <n v="0"/>
    <n v="0"/>
    <n v="0"/>
    <n v="0"/>
    <n v="-117.73782769987247"/>
    <n v="0"/>
    <n v="0"/>
    <n v="7736.362754092057"/>
    <n v="231.03439521615383"/>
    <n v="8.9705245545916341"/>
    <n v="0"/>
    <n v="300.38484955401827"/>
    <n v="0"/>
    <n v="-582.31992556441764"/>
    <m/>
    <n v="0"/>
    <n v="0"/>
    <n v="-33.701262862944986"/>
    <n v="0"/>
    <n v="-91.681630319534634"/>
    <n v="-14.342070672403224"/>
    <n v="0"/>
    <n v="0"/>
    <m/>
    <m/>
    <n v="57794.157302940846"/>
    <n v="0"/>
    <n v="0"/>
    <n v="0"/>
    <n v="-30486.276310000001"/>
    <n v="7936.3118899999972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81"/>
    <s v="Refaturamento - Regular"/>
    <s v="Azul"/>
    <s v="A4"/>
    <s v="Industrial"/>
    <s v="Não se aplica"/>
    <s v="Não se aplica"/>
    <s v="Não se aplica"/>
    <s v="Fora ponta"/>
    <s v="CATIVO"/>
    <x v="9"/>
    <n v="-530"/>
    <n v="-530"/>
    <n v="0"/>
    <n v="0"/>
    <n v="0"/>
    <n v="0"/>
    <n v="59.12"/>
    <m/>
    <m/>
    <n v="-31333.599999999999"/>
    <m/>
    <n v="-31333.599999999999"/>
    <n v="-18035.900000000001"/>
    <n v="0"/>
    <n v="0"/>
    <n v="0"/>
    <n v="0"/>
    <n v="-303.19199256685147"/>
    <n v="-2712.022004879178"/>
    <n v="-25525.752808798872"/>
    <m/>
    <m/>
    <m/>
    <n v="0"/>
    <n v="0"/>
    <n v="0"/>
    <n v="0"/>
    <m/>
    <n v="0"/>
    <n v="-640.2782213157318"/>
    <n v="-2152.323567930568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-18035.900000000001"/>
    <n v="13297.670000000002"/>
    <m/>
    <m/>
    <m/>
    <m/>
    <n v="13297.699999999999"/>
    <n v="0"/>
    <n v="30"/>
    <n v="-219.14311696471577"/>
    <n v="-62.16697019257515"/>
    <n v="-208.97702067291812"/>
    <n v="0"/>
    <n v="0"/>
    <m/>
    <m/>
    <m/>
    <n v="52.0008739007771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-25525.752808798872"/>
    <m/>
    <n v="0"/>
    <n v="0"/>
    <n v="13297.699999999997"/>
    <m/>
    <n v="0"/>
    <m/>
    <n v="13514.53285237770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82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31.11"/>
    <n v="1983.26"/>
    <n v="41885.0500000000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83"/>
    <s v="Refaturamento - 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7917.4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584"/>
    <s v="Regular"/>
    <s v="Verde"/>
    <s v="A4"/>
    <s v="Industrial"/>
    <s v="Não se aplica"/>
    <s v="Não se aplica"/>
    <s v="Não se aplica"/>
    <s v="Ponta"/>
    <s v="CATIVO"/>
    <x v="9"/>
    <n v="0"/>
    <n v="0"/>
    <n v="38.107999999999997"/>
    <n v="38.107999999999997"/>
    <n v="38.107999999999997"/>
    <n v="38.107999999999997"/>
    <m/>
    <n v="1684.16"/>
    <n v="173.82"/>
    <m/>
    <n v="70803.901839999991"/>
    <n v="70803.901839999991"/>
    <n v="48605.229679999997"/>
    <n v="0"/>
    <n v="2027.3466102232903"/>
    <n v="0"/>
    <n v="0"/>
    <n v="685.92112985479662"/>
    <n v="10463.920589192619"/>
    <n v="44140.208894028226"/>
    <n v="6132.4207412131564"/>
    <n v="308.51723836087888"/>
    <n v="0"/>
    <n v="0"/>
    <n v="0"/>
    <n v="0"/>
    <n v="360.17763462855396"/>
    <m/>
    <n v="47.357980207686182"/>
    <n v="1473.108321416767"/>
    <n v="4736.7737548022833"/>
    <n v="0"/>
    <n v="0"/>
    <n v="0"/>
    <n v="0"/>
    <n v="0"/>
    <n v="0"/>
    <n v="0"/>
    <n v="0"/>
    <n v="0"/>
    <n v="0"/>
    <m/>
    <n v="0"/>
    <n v="0"/>
    <n v="0"/>
    <n v="7.1107098499283525"/>
    <n v="183.13517116397253"/>
    <n v="238.10753713390375"/>
    <n v="0"/>
    <n v="0"/>
    <n v="0"/>
    <n v="0"/>
    <n v="0"/>
    <m/>
    <m/>
    <m/>
    <m/>
    <m/>
    <m/>
    <m/>
    <m/>
    <m/>
    <n v="6560.7741593609617"/>
    <m/>
    <m/>
    <m/>
    <m/>
    <m/>
    <m/>
    <m/>
    <m/>
    <m/>
    <m/>
    <m/>
    <m/>
    <n v="48607.780599999998"/>
    <n v="-22196.151239999992"/>
    <m/>
    <m/>
    <m/>
    <m/>
    <n v="-23006.180680000001"/>
    <n v="807.50851999999986"/>
    <n v="30"/>
    <n v="1170.9837541101842"/>
    <n v="143.02951132675071"/>
    <n v="459.91080599092493"/>
    <n v="0"/>
    <n v="0"/>
    <n v="0"/>
    <n v="0"/>
    <n v="0"/>
    <n v="-200.63738940445728"/>
    <n v="0"/>
    <n v="0"/>
    <n v="787.16397796962156"/>
    <n v="23.507423238389322"/>
    <n v="0.91273819717560922"/>
    <n v="0"/>
    <n v="30.563733968094823"/>
    <n v="0"/>
    <n v="-59.250229549513506"/>
    <m/>
    <n v="0"/>
    <n v="0"/>
    <n v="-3.4290558730281191"/>
    <n v="0"/>
    <n v="-9.3284763296411484"/>
    <n v="-1.4592854241276214"/>
    <n v="0"/>
    <n v="0"/>
    <m/>
    <m/>
    <m/>
    <n v="44140.208894028226"/>
    <n v="0"/>
    <n v="0"/>
    <n v="-23006.180679999998"/>
    <n v="807.50851999999941"/>
    <n v="0"/>
    <n v="0"/>
    <n v="-23369.90049529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85"/>
    <s v="Sistema de Compensação"/>
    <s v="Verde"/>
    <s v="A4"/>
    <s v="Industrial"/>
    <s v="Não se aplica"/>
    <s v="Não se aplica"/>
    <s v="Não se aplica"/>
    <s v="Ponta"/>
    <s v="CATIVO"/>
    <x v="9"/>
    <n v="0"/>
    <n v="0"/>
    <n v="2.3E-2"/>
    <n v="2.3E-2"/>
    <n v="2.3E-2"/>
    <n v="2.3E-2"/>
    <m/>
    <n v="1684.16"/>
    <n v="173.82"/>
    <m/>
    <n v="42.733540000000005"/>
    <n v="42.733540000000005"/>
    <n v="29.33558"/>
    <n v="0"/>
    <n v="1.2236006097180561"/>
    <n v="0"/>
    <n v="0"/>
    <n v="0.41398619677391424"/>
    <n v="6.3154763711407123"/>
    <n v="26.640726476399951"/>
    <n v="3.7012091174530966"/>
    <n v="0.18620490401753476"/>
    <n v="0"/>
    <n v="0"/>
    <n v="0"/>
    <n v="0"/>
    <n v="0.2173844231252425"/>
    <m/>
    <n v="2.858280531061148E-2"/>
    <n v="0.88909130346871124"/>
    <n v="2.8588694332017561"/>
    <n v="0"/>
    <n v="0"/>
    <n v="0"/>
    <n v="0"/>
    <n v="0"/>
    <n v="0"/>
    <n v="0"/>
    <n v="0"/>
    <n v="0"/>
    <n v="0"/>
    <m/>
    <n v="0"/>
    <n v="0"/>
    <n v="0"/>
    <n v="4.2916533680159574E-3"/>
    <n v="0.11053083176160827"/>
    <n v="0.14370928293481122"/>
    <n v="0"/>
    <n v="0"/>
    <n v="0"/>
    <n v="0"/>
    <n v="0"/>
    <m/>
    <m/>
    <m/>
    <m/>
    <m/>
    <m/>
    <m/>
    <m/>
    <m/>
    <n v="3.9597408855175322"/>
    <m/>
    <m/>
    <m/>
    <m/>
    <m/>
    <m/>
    <m/>
    <m/>
    <m/>
    <m/>
    <m/>
    <m/>
    <n v="25.5092"/>
    <n v="-17.254339999999999"/>
    <m/>
    <m/>
    <m/>
    <m/>
    <n v="-13.88533"/>
    <n v="0.48736999999999991"/>
    <n v="30"/>
    <n v="0.70674468207553076"/>
    <n v="8.6325148538765162E-2"/>
    <n v="0.27757816043327566"/>
    <n v="0"/>
    <n v="0"/>
    <n v="0"/>
    <n v="0"/>
    <n v="0"/>
    <n v="-0.12109425727675394"/>
    <n v="0"/>
    <n v="0"/>
    <n v="0.47509109618193879"/>
    <n v="1.4187853849138093E-2"/>
    <n v="5.5088114136241789E-4"/>
    <n v="0"/>
    <n v="1.8446674747196967E-2"/>
    <n v="0"/>
    <n v="-3.5760346374483332E-2"/>
    <m/>
    <n v="0"/>
    <n v="0"/>
    <n v="-2.0695991676195902E-3"/>
    <n v="0"/>
    <n v="-5.6301814732273026E-3"/>
    <n v="-8.8074852406149276E-4"/>
    <n v="0"/>
    <n v="0"/>
    <m/>
    <m/>
    <m/>
    <n v="26.640726476399951"/>
    <n v="0"/>
    <n v="0"/>
    <n v="-13.88533"/>
    <n v="0.48736999999999986"/>
    <n v="0"/>
    <n v="0"/>
    <n v="-14.1048522985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86"/>
    <s v="Regular"/>
    <s v="Verde"/>
    <s v="A4"/>
    <s v="Industrial"/>
    <s v="Não se aplica"/>
    <s v="Não se aplica"/>
    <s v="Não se aplica"/>
    <s v="Fora ponta"/>
    <s v="CATIVO"/>
    <x v="9"/>
    <n v="0"/>
    <n v="0"/>
    <n v="1100.4770000000001"/>
    <n v="1100.4770000000001"/>
    <n v="1100.4770000000001"/>
    <n v="1100.4770000000001"/>
    <m/>
    <n v="70.33"/>
    <n v="173.82"/>
    <m/>
    <n v="268681.45955000003"/>
    <n v="268681.45955000003"/>
    <n v="290889.08541"/>
    <n v="0"/>
    <n v="58545.405573073796"/>
    <n v="0"/>
    <n v="0"/>
    <n v="0"/>
    <n v="0"/>
    <n v="0"/>
    <n v="177091.10895423617"/>
    <n v="8909.3136590654194"/>
    <n v="0"/>
    <n v="0"/>
    <n v="0"/>
    <n v="0"/>
    <n v="10401.154687286849"/>
    <m/>
    <n v="1367.5965147741649"/>
    <n v="0"/>
    <n v="0"/>
    <n v="0"/>
    <n v="0"/>
    <n v="0"/>
    <n v="0"/>
    <n v="0"/>
    <n v="0"/>
    <n v="0"/>
    <n v="0"/>
    <n v="0"/>
    <n v="0"/>
    <m/>
    <n v="0"/>
    <n v="0"/>
    <n v="0"/>
    <n v="205.34199232496076"/>
    <n v="5288.5494845443218"/>
    <n v="6876.033067663142"/>
    <n v="0"/>
    <n v="0"/>
    <n v="0"/>
    <n v="0"/>
    <n v="0"/>
    <m/>
    <m/>
    <m/>
    <m/>
    <m/>
    <m/>
    <m/>
    <m/>
    <m/>
    <n v="189461.03349876861"/>
    <m/>
    <m/>
    <m/>
    <m/>
    <m/>
    <m/>
    <m/>
    <m/>
    <m/>
    <m/>
    <m/>
    <m/>
    <n v="290889.87839999999"/>
    <n v="22208.388849999988"/>
    <m/>
    <m/>
    <m/>
    <m/>
    <n v="-1111.4817700000058"/>
    <n v="23319.107629999999"/>
    <n v="30"/>
    <n v="22197.847422346065"/>
    <n v="0"/>
    <n v="0"/>
    <n v="0"/>
    <n v="0"/>
    <n v="0"/>
    <n v="0"/>
    <n v="0"/>
    <n v="0"/>
    <n v="0"/>
    <n v="0"/>
    <n v="22731.601054478728"/>
    <n v="678.84377566686726"/>
    <n v="26.357914165351701"/>
    <n v="0"/>
    <n v="882.61483851178582"/>
    <n v="0"/>
    <n v="-1711.0190737892335"/>
    <m/>
    <n v="0"/>
    <n v="0"/>
    <n v="-99.023751442806315"/>
    <n v="0"/>
    <n v="-269.38631378751234"/>
    <n v="-42.141021457113766"/>
    <n v="0"/>
    <n v="0"/>
    <m/>
    <m/>
    <m/>
    <n v="0"/>
    <n v="0"/>
    <n v="0"/>
    <n v="-1111.4817699999985"/>
    <n v="23319.10763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87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0.76400000000000001"/>
    <n v="0.76400000000000001"/>
    <n v="0.76400000000000001"/>
    <n v="0.76400000000000001"/>
    <m/>
    <n v="70.33"/>
    <n v="173.82"/>
    <m/>
    <n v="186.53059999999999"/>
    <n v="186.53059999999999"/>
    <n v="201.94811999999999"/>
    <n v="0"/>
    <n v="40.644820253243253"/>
    <n v="0"/>
    <n v="0"/>
    <n v="0"/>
    <n v="0"/>
    <n v="0"/>
    <n v="122.9445115536594"/>
    <n v="6.1852411595389816"/>
    <n v="0"/>
    <n v="0"/>
    <n v="0"/>
    <n v="0"/>
    <n v="7.2209434464210993"/>
    <m/>
    <n v="0.94944622857857264"/>
    <n v="0"/>
    <n v="0"/>
    <n v="0"/>
    <n v="0"/>
    <n v="0"/>
    <n v="0"/>
    <n v="0"/>
    <n v="0"/>
    <n v="0"/>
    <n v="0"/>
    <n v="0"/>
    <n v="0"/>
    <m/>
    <n v="0"/>
    <n v="0"/>
    <n v="0"/>
    <n v="0.14255752926800835"/>
    <n v="3.6715458898203797"/>
    <n v="4.7736474853128605"/>
    <n v="0"/>
    <n v="0"/>
    <n v="0"/>
    <n v="0"/>
    <n v="0"/>
    <m/>
    <m/>
    <m/>
    <m/>
    <m/>
    <m/>
    <m/>
    <m/>
    <m/>
    <n v="131.53226245806064"/>
    <m/>
    <m/>
    <m/>
    <m/>
    <m/>
    <m/>
    <m/>
    <m/>
    <m/>
    <m/>
    <m/>
    <m/>
    <n v="200.89079999999998"/>
    <n v="14.330200000000019"/>
    <m/>
    <m/>
    <m/>
    <m/>
    <n v="-0.77164000000000388"/>
    <n v="16.189159999999998"/>
    <n v="30"/>
    <n v="15.410731374369846"/>
    <n v="0"/>
    <n v="0"/>
    <n v="0"/>
    <n v="0"/>
    <n v="0"/>
    <n v="0"/>
    <n v="0"/>
    <n v="0"/>
    <n v="0"/>
    <n v="0"/>
    <n v="15.781286847086989"/>
    <n v="0.47128349307571726"/>
    <n v="1.8298834434821165E-2"/>
    <n v="0"/>
    <n v="0.61275041334167213"/>
    <n v="0"/>
    <n v="-1.1878654187002269"/>
    <m/>
    <n v="0"/>
    <n v="0"/>
    <n v="-6.8746685393972662E-2"/>
    <n v="0"/>
    <n v="-0.18701994111068121"/>
    <n v="-2.9256168364477309E-2"/>
    <n v="0"/>
    <n v="0"/>
    <m/>
    <m/>
    <m/>
    <n v="0"/>
    <n v="0"/>
    <n v="0"/>
    <n v="-0.77164000000000499"/>
    <n v="16.18916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88"/>
    <s v="Regular"/>
    <s v="Verde"/>
    <s v="A4"/>
    <s v="Industrial"/>
    <s v="Não se aplica"/>
    <s v="Não se aplica"/>
    <s v="Não se aplica"/>
    <s v="Não se aplica"/>
    <s v="CATIVO"/>
    <x v="9"/>
    <n v="5315"/>
    <n v="5315"/>
    <n v="0"/>
    <n v="0"/>
    <n v="0"/>
    <n v="0"/>
    <n v="59.12"/>
    <m/>
    <m/>
    <n v="314222.8"/>
    <m/>
    <n v="314222.8"/>
    <n v="180869.45"/>
    <n v="0"/>
    <n v="0"/>
    <n v="0"/>
    <n v="0"/>
    <n v="3040.5008311185202"/>
    <n v="27196.975388552513"/>
    <n v="255979.95505427549"/>
    <m/>
    <m/>
    <m/>
    <n v="0"/>
    <n v="0"/>
    <n v="0"/>
    <n v="0"/>
    <m/>
    <n v="0"/>
    <n v="6420.9032948926688"/>
    <n v="21584.150497265982"/>
    <n v="0"/>
    <n v="0"/>
    <m/>
    <m/>
    <n v="0"/>
    <n v="0"/>
    <n v="0"/>
    <m/>
    <m/>
    <n v="0"/>
    <m/>
    <n v="0"/>
    <n v="0"/>
    <n v="0"/>
    <n v="0"/>
    <m/>
    <n v="0"/>
    <n v="0"/>
    <n v="1165.22"/>
    <n v="5360.95"/>
    <n v="125907.64"/>
    <n v="26"/>
    <m/>
    <m/>
    <m/>
    <m/>
    <m/>
    <m/>
    <m/>
    <m/>
    <m/>
    <n v="0"/>
    <m/>
    <m/>
    <m/>
    <m/>
    <m/>
    <m/>
    <m/>
    <m/>
    <m/>
    <m/>
    <m/>
    <m/>
    <n v="180869.45"/>
    <n v="-133353.38"/>
    <m/>
    <m/>
    <m/>
    <m/>
    <n v="-133353.34999999998"/>
    <n v="0"/>
    <n v="30"/>
    <n v="2197.6333333348375"/>
    <n v="623.4291444783712"/>
    <n v="2095.6846507104856"/>
    <n v="0"/>
    <n v="0"/>
    <m/>
    <m/>
    <m/>
    <n v="-521.4804618540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5979.95505427549"/>
    <m/>
    <n v="0"/>
    <n v="0"/>
    <n v="-133353.34999999998"/>
    <m/>
    <n v="0"/>
    <m/>
    <n v="-135527.8153026179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89"/>
    <s v="Sistema de Compensação"/>
    <s v="Verde"/>
    <s v="A4"/>
    <s v="Industrial"/>
    <s v="Não se aplica"/>
    <s v="Não se aplica"/>
    <s v="Não se aplica"/>
    <s v="Não se aplica"/>
    <s v="CATIVO"/>
    <x v="9"/>
    <n v="115"/>
    <n v="115"/>
    <n v="0"/>
    <n v="0"/>
    <n v="0"/>
    <n v="0"/>
    <n v="59.12"/>
    <m/>
    <m/>
    <n v="6798.7999999999993"/>
    <m/>
    <n v="6798.7999999999993"/>
    <n v="3913.4500000000003"/>
    <n v="0"/>
    <n v="0"/>
    <n v="0"/>
    <n v="0"/>
    <n v="65.786941783373436"/>
    <n v="588.45760483227446"/>
    <n v="5538.6067415318312"/>
    <m/>
    <m/>
    <m/>
    <n v="0"/>
    <n v="0"/>
    <n v="0"/>
    <n v="0"/>
    <m/>
    <n v="0"/>
    <n v="138.92829330435691"/>
    <n v="467.01360436229311"/>
    <n v="0"/>
    <n v="0"/>
    <m/>
    <m/>
    <n v="0"/>
    <n v="0"/>
    <n v="0"/>
    <m/>
    <m/>
    <n v="0"/>
    <m/>
    <n v="0"/>
    <n v="0"/>
    <n v="0"/>
    <n v="0"/>
    <m/>
    <n v="0"/>
    <n v="0"/>
    <n v="8.89"/>
    <n v="40.93"/>
    <n v="691.74"/>
    <n v="1"/>
    <m/>
    <m/>
    <m/>
    <m/>
    <m/>
    <m/>
    <m/>
    <m/>
    <m/>
    <n v="0"/>
    <m/>
    <m/>
    <m/>
    <m/>
    <m/>
    <m/>
    <m/>
    <m/>
    <m/>
    <m/>
    <m/>
    <m/>
    <n v="3913.4500000000003"/>
    <n v="-2885.3799999999997"/>
    <m/>
    <m/>
    <m/>
    <m/>
    <n v="-2885.3499999999995"/>
    <n v="0"/>
    <n v="30"/>
    <n v="47.54992160555139"/>
    <n v="13.489059570087022"/>
    <n v="45.344070523368941"/>
    <n v="0"/>
    <n v="0"/>
    <m/>
    <m/>
    <m/>
    <n v="-11.2832084879044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38.6067415318312"/>
    <m/>
    <n v="0"/>
    <n v="0"/>
    <n v="-2885.349999999999"/>
    <m/>
    <n v="0"/>
    <m/>
    <n v="-2932.398637780069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90"/>
    <s v="Regular"/>
    <s v="Convencional"/>
    <s v="B3"/>
    <s v="Comercial"/>
    <s v="Não se aplica"/>
    <s v="Não se aplica"/>
    <s v="Não se aplica"/>
    <s v="Não se aplica"/>
    <s v="CATIVO"/>
    <x v="9"/>
    <n v="0"/>
    <n v="0"/>
    <n v="365.59399999999999"/>
    <n v="365.59399999999999"/>
    <n v="365.59399999999999"/>
    <n v="365.59399999999999"/>
    <m/>
    <n v="516.83000000000004"/>
    <n v="173.82"/>
    <m/>
    <n v="252497.49610000002"/>
    <n v="252497.49610000002"/>
    <n v="190638.99129999999"/>
    <n v="0"/>
    <n v="22355.874128398915"/>
    <n v="0"/>
    <n v="0"/>
    <n v="993.84684256726177"/>
    <n v="12586.162612798196"/>
    <n v="132935.75301817415"/>
    <n v="58832.167221136842"/>
    <n v="2959.7998121472438"/>
    <n v="0"/>
    <n v="0"/>
    <n v="0"/>
    <n v="0"/>
    <n v="3455.4104690456484"/>
    <m/>
    <n v="567.23443675319754"/>
    <n v="2119.898190629242"/>
    <n v="6942.3799394531043"/>
    <n v="0"/>
    <n v="0"/>
    <n v="0"/>
    <n v="0"/>
    <n v="0"/>
    <n v="0"/>
    <n v="0"/>
    <n v="0"/>
    <n v="0"/>
    <n v="0"/>
    <m/>
    <n v="0"/>
    <n v="0"/>
    <n v="0"/>
    <n v="202.83616391854767"/>
    <n v="1756.9308220458008"/>
    <n v="6792.1234942276315"/>
    <n v="0"/>
    <n v="435.4"/>
    <n v="2015.55"/>
    <n v="78563.490000000005"/>
    <n v="536"/>
    <m/>
    <m/>
    <m/>
    <m/>
    <m/>
    <m/>
    <m/>
    <m/>
    <m/>
    <n v="67584.057701328828"/>
    <m/>
    <m/>
    <m/>
    <m/>
    <m/>
    <m/>
    <m/>
    <m/>
    <m/>
    <m/>
    <m/>
    <m/>
    <n v="190636.90549999999"/>
    <n v="-61860.620600000053"/>
    <m/>
    <m/>
    <m/>
    <m/>
    <n v="-69605.441660000011"/>
    <n v="7746.9368599999989"/>
    <n v="30"/>
    <n v="8520.489532247273"/>
    <n v="205.82872139134997"/>
    <n v="674.06123212282637"/>
    <n v="0"/>
    <n v="0"/>
    <n v="0"/>
    <n v="0"/>
    <n v="0"/>
    <n v="-241.32969929642059"/>
    <n v="0"/>
    <n v="0"/>
    <n v="7551.7588790234586"/>
    <n v="225.52148870094743"/>
    <n v="26.036263394841512"/>
    <n v="0"/>
    <n v="871.84411738834115"/>
    <n v="0"/>
    <n v="-653.36172276024809"/>
    <m/>
    <n v="0"/>
    <n v="0"/>
    <n v="-32.897088612466177"/>
    <n v="0"/>
    <n v="-89.493937631437802"/>
    <n v="-17.478721473909786"/>
    <n v="0"/>
    <n v="0"/>
    <m/>
    <m/>
    <m/>
    <n v="132935.75301817415"/>
    <n v="0"/>
    <n v="0"/>
    <n v="-69605.441660000026"/>
    <n v="7746.9368600000016"/>
    <n v="0"/>
    <n v="0"/>
    <n v="-70382.43357118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36.756999999999998"/>
    <n v="36.756999999999998"/>
    <n v="36.756999999999998"/>
    <n v="36.756999999999998"/>
    <m/>
    <n v="516.83000000000004"/>
    <n v="173.82"/>
    <m/>
    <n v="25386.22205"/>
    <n v="25386.22205"/>
    <n v="19166.93765"/>
    <n v="0"/>
    <n v="2247.6705452976771"/>
    <n v="0"/>
    <n v="0"/>
    <n v="99.921848805628201"/>
    <n v="1265.4189597165798"/>
    <n v="13365.425782942355"/>
    <n v="5915.0149360966725"/>
    <n v="297.57972421619672"/>
    <n v="0"/>
    <n v="0"/>
    <n v="0"/>
    <n v="0"/>
    <n v="347.40866264411039"/>
    <m/>
    <n v="57.030028369550053"/>
    <n v="213.13560340968135"/>
    <n v="697.99028275758826"/>
    <n v="0"/>
    <n v="0"/>
    <n v="0"/>
    <n v="0"/>
    <n v="0"/>
    <n v="0"/>
    <n v="0"/>
    <n v="0"/>
    <n v="0"/>
    <n v="0"/>
    <m/>
    <n v="0"/>
    <n v="0"/>
    <n v="0"/>
    <n v="20.393247364984262"/>
    <n v="176.64268622006242"/>
    <n v="682.88342608829748"/>
    <n v="0"/>
    <n v="43.63"/>
    <n v="201.75"/>
    <n v="13332.48"/>
    <n v="50"/>
    <m/>
    <m/>
    <m/>
    <m/>
    <m/>
    <m/>
    <m/>
    <m/>
    <m/>
    <n v="6794.9342957700164"/>
    <m/>
    <m/>
    <m/>
    <m/>
    <m/>
    <m/>
    <m/>
    <m/>
    <m/>
    <m/>
    <m/>
    <m/>
    <n v="19168.502"/>
    <n v="-6217.7500499999951"/>
    <m/>
    <m/>
    <m/>
    <m/>
    <n v="-6998.1652300000014"/>
    <n v="778.88082999999983"/>
    <n v="30"/>
    <n v="856.65419491789362"/>
    <n v="20.694120560462835"/>
    <n v="67.770446750052656"/>
    <n v="0"/>
    <n v="0"/>
    <n v="0"/>
    <n v="0"/>
    <n v="0"/>
    <n v="-24.263406284125494"/>
    <n v="0"/>
    <n v="0"/>
    <n v="759.25754010258697"/>
    <n v="22.674041040555153"/>
    <n v="2.6176986865325702"/>
    <n v="0"/>
    <n v="87.655635001786891"/>
    <n v="0"/>
    <n v="-65.689307930377709"/>
    <m/>
    <n v="0"/>
    <n v="0"/>
    <n v="-3.3074894175736063"/>
    <n v="0"/>
    <n v="-8.9977643657137492"/>
    <n v="-1.7573192262906403"/>
    <n v="0"/>
    <n v="0"/>
    <m/>
    <m/>
    <m/>
    <n v="13365.425782942355"/>
    <n v="0"/>
    <n v="0"/>
    <n v="-6998.1652300000023"/>
    <n v="778.88083000000006"/>
    <n v="0"/>
    <n v="0"/>
    <n v="-7076.2843776864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2"/>
    <s v="Regular"/>
    <s v="Verde"/>
    <s v="A4"/>
    <s v="Comercial"/>
    <s v="Não se aplica"/>
    <s v="Não se aplica"/>
    <s v="Não se aplica"/>
    <s v="Ponta"/>
    <s v="CATIVO"/>
    <x v="9"/>
    <n v="0"/>
    <n v="0"/>
    <n v="9.2260000000000009"/>
    <n v="9.2260000000000009"/>
    <n v="9.2260000000000009"/>
    <n v="9.2260000000000009"/>
    <m/>
    <n v="1684.16"/>
    <n v="173.82"/>
    <m/>
    <n v="17141.723480000004"/>
    <n v="17141.723480000004"/>
    <n v="11767.393960000001"/>
    <n v="0"/>
    <n v="490.823444576469"/>
    <n v="0"/>
    <n v="0"/>
    <n v="166.06246310591882"/>
    <n v="2533.329782614966"/>
    <n v="10686.406194402869"/>
    <n v="1484.6676225053163"/>
    <n v="74.692454107207652"/>
    <n v="0"/>
    <n v="0"/>
    <n v="0"/>
    <n v="0"/>
    <n v="87.199508163195119"/>
    <m/>
    <n v="11.465433121552241"/>
    <n v="356.64158112184043"/>
    <n v="1146.7795387269307"/>
    <n v="0"/>
    <n v="0"/>
    <n v="0"/>
    <n v="0"/>
    <n v="0"/>
    <n v="0"/>
    <n v="0"/>
    <n v="0"/>
    <n v="0"/>
    <n v="0"/>
    <m/>
    <n v="0"/>
    <n v="0"/>
    <n v="0"/>
    <n v="1.7215127814484883"/>
    <n v="44.337280601417305"/>
    <n v="57.646167145937767"/>
    <n v="0"/>
    <n v="0"/>
    <n v="0"/>
    <n v="0"/>
    <n v="0"/>
    <m/>
    <m/>
    <m/>
    <m/>
    <m/>
    <m/>
    <m/>
    <m/>
    <m/>
    <n v="1588.3725830341198"/>
    <m/>
    <m/>
    <m/>
    <m/>
    <m/>
    <m/>
    <m/>
    <m/>
    <m/>
    <m/>
    <m/>
    <m/>
    <n v="11772.495800000001"/>
    <n v="-5369.2576800000024"/>
    <m/>
    <m/>
    <m/>
    <m/>
    <n v="-5569.8284600000006"/>
    <n v="195.49894"/>
    <n v="30"/>
    <n v="283.49680160125354"/>
    <n v="34.627644366028164"/>
    <n v="111.34504818075652"/>
    <n v="0"/>
    <n v="0"/>
    <n v="0"/>
    <n v="0"/>
    <n v="0"/>
    <n v="-48.574592071101506"/>
    <n v="0"/>
    <n v="0"/>
    <n v="190.57349797280699"/>
    <n v="5.6911799831368768"/>
    <n v="0.22097519174824631"/>
    <n v="0"/>
    <n v="7.3995226616364818"/>
    <n v="0"/>
    <n v="-14.344563289173209"/>
    <m/>
    <n v="0"/>
    <n v="0"/>
    <n v="-0.83017921393297911"/>
    <n v="0"/>
    <n v="-2.2584371422606608"/>
    <n v="-0.35329503839092702"/>
    <n v="0"/>
    <n v="0"/>
    <m/>
    <m/>
    <m/>
    <n v="10686.406194402869"/>
    <n v="0"/>
    <n v="0"/>
    <n v="-5569.8284600000006"/>
    <n v="195.49893999999995"/>
    <n v="0"/>
    <n v="0"/>
    <n v="-5657.8855350478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3"/>
    <s v="Sistema de Compensação"/>
    <s v="Verde"/>
    <s v="A4"/>
    <s v="Comercial"/>
    <s v="Não se aplica"/>
    <s v="Não se aplica"/>
    <s v="Não se aplica"/>
    <s v="Ponta"/>
    <s v="CATIVO"/>
    <x v="9"/>
    <n v="0"/>
    <n v="0"/>
    <n v="9.7949999999999999"/>
    <n v="9.7949999999999999"/>
    <n v="9.7949999999999999"/>
    <n v="9.7949999999999999"/>
    <m/>
    <n v="1684.16"/>
    <n v="173.82"/>
    <m/>
    <n v="18198.914100000002"/>
    <n v="18198.914100000002"/>
    <n v="12493.130700000002"/>
    <n v="0"/>
    <n v="521.09425966036349"/>
    <n v="0"/>
    <n v="0"/>
    <n v="176.30412162610827"/>
    <n v="2689.5691763184032"/>
    <n v="11345.474601579892"/>
    <n v="1576.2323176283949"/>
    <n v="79.299001515293611"/>
    <n v="0"/>
    <n v="0"/>
    <n v="0"/>
    <n v="0"/>
    <n v="92.577409761380451"/>
    <m/>
    <n v="12.172546870323455"/>
    <n v="378.63692684678375"/>
    <n v="1217.5054825309219"/>
    <n v="0"/>
    <n v="0"/>
    <n v="0"/>
    <n v="0"/>
    <n v="0"/>
    <n v="0"/>
    <n v="0"/>
    <n v="0"/>
    <n v="0"/>
    <n v="0"/>
    <m/>
    <n v="0"/>
    <n v="0"/>
    <n v="0"/>
    <n v="1.8276845539007089"/>
    <n v="47.071717265432746"/>
    <n v="61.201409841151133"/>
    <n v="0"/>
    <n v="0"/>
    <n v="0"/>
    <n v="0"/>
    <n v="0"/>
    <m/>
    <m/>
    <m/>
    <m/>
    <m/>
    <m/>
    <m/>
    <m/>
    <m/>
    <n v="1686.3331292888795"/>
    <m/>
    <m/>
    <m/>
    <m/>
    <m/>
    <m/>
    <m/>
    <m/>
    <m/>
    <m/>
    <m/>
    <m/>
    <n v="12499.508000000002"/>
    <n v="-5699.4360999999953"/>
    <m/>
    <m/>
    <m/>
    <m/>
    <n v="-5913.3394500000004"/>
    <n v="207.55604999999997"/>
    <n v="30"/>
    <n v="300.9810504752104"/>
    <n v="36.763253475530632"/>
    <n v="118.21209049756249"/>
    <n v="0"/>
    <n v="0"/>
    <n v="0"/>
    <n v="0"/>
    <n v="0"/>
    <n v="-51.570358696773837"/>
    <n v="0"/>
    <n v="0"/>
    <n v="202.32683856965582"/>
    <n v="6.0421751501003271"/>
    <n v="0.23460351215847286"/>
    <n v="0"/>
    <n v="7.8558773542954015"/>
    <n v="0"/>
    <n v="-15.229243162524597"/>
    <m/>
    <n v="0"/>
    <n v="0"/>
    <n v="-0.88137929768842582"/>
    <n v="0"/>
    <n v="-2.3977229360983188"/>
    <n v="-0.37508399100792644"/>
    <n v="0"/>
    <n v="0"/>
    <m/>
    <m/>
    <m/>
    <n v="11345.474601579892"/>
    <n v="0"/>
    <n v="0"/>
    <n v="-5913.3394499999995"/>
    <n v="207.55604999999991"/>
    <n v="0"/>
    <n v="0"/>
    <n v="-6006.8273158241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4"/>
    <s v="Regular"/>
    <s v="Verde"/>
    <s v="A4"/>
    <s v="Comercial"/>
    <s v="Não se aplica"/>
    <s v="Não se aplica"/>
    <s v="Não se aplica"/>
    <s v="Fora ponta"/>
    <s v="CATIVO"/>
    <x v="9"/>
    <n v="0"/>
    <n v="0"/>
    <n v="218.614"/>
    <n v="218.614"/>
    <n v="218.614"/>
    <n v="218.614"/>
    <m/>
    <n v="70.33"/>
    <n v="173.82"/>
    <m/>
    <n v="53374.608099999998"/>
    <n v="53374.608099999998"/>
    <n v="57786.238620000004"/>
    <n v="0"/>
    <n v="11630.270595343614"/>
    <n v="0"/>
    <n v="0"/>
    <n v="0"/>
    <n v="0"/>
    <n v="0"/>
    <n v="35179.831739256144"/>
    <n v="1769.869516821276"/>
    <n v="0"/>
    <n v="0"/>
    <n v="0"/>
    <n v="0"/>
    <n v="2066.2294903087727"/>
    <m/>
    <n v="271.67832174669644"/>
    <n v="0"/>
    <n v="0"/>
    <n v="0"/>
    <n v="0"/>
    <n v="0"/>
    <n v="0"/>
    <n v="0"/>
    <n v="0"/>
    <n v="0"/>
    <n v="0"/>
    <n v="0"/>
    <n v="0"/>
    <m/>
    <n v="0"/>
    <n v="0"/>
    <n v="0"/>
    <n v="40.791978669366983"/>
    <n v="1050.5907502057494"/>
    <n v="1365.950486065688"/>
    <n v="0"/>
    <n v="0"/>
    <n v="0"/>
    <n v="0"/>
    <n v="0"/>
    <m/>
    <m/>
    <m/>
    <m/>
    <m/>
    <m/>
    <m/>
    <m/>
    <m/>
    <n v="37637.164954196953"/>
    <m/>
    <m/>
    <m/>
    <m/>
    <m/>
    <m/>
    <m/>
    <m/>
    <m/>
    <m/>
    <m/>
    <m/>
    <n v="57785.181300000004"/>
    <n v="4410.5432000000073"/>
    <m/>
    <m/>
    <m/>
    <m/>
    <n v="-220.80014000000114"/>
    <n v="4632.43066"/>
    <n v="30"/>
    <n v="4409.6879956498524"/>
    <n v="0"/>
    <n v="0"/>
    <n v="0"/>
    <n v="0"/>
    <n v="0"/>
    <n v="0"/>
    <n v="0"/>
    <n v="0"/>
    <n v="0"/>
    <n v="0"/>
    <n v="4515.72021307471"/>
    <n v="134.85493397284654"/>
    <n v="5.2361012972958036"/>
    <n v="0"/>
    <n v="175.33484144277031"/>
    <n v="0"/>
    <n v="-339.90053749179606"/>
    <m/>
    <n v="0"/>
    <n v="0"/>
    <n v="-19.671450105651729"/>
    <n v="0"/>
    <n v="-53.514630112526902"/>
    <n v="-8.3714764277903555"/>
    <n v="0"/>
    <n v="0"/>
    <m/>
    <m/>
    <m/>
    <n v="0"/>
    <n v="0"/>
    <n v="0"/>
    <n v="-220.80014000000119"/>
    <n v="4632.430660000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5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46.93"/>
    <n v="46.93"/>
    <n v="46.93"/>
    <n v="46.93"/>
    <m/>
    <n v="70.33"/>
    <n v="173.82"/>
    <m/>
    <n v="11457.959499999999"/>
    <n v="11457.959499999999"/>
    <n v="12405.006899999998"/>
    <n v="0"/>
    <n v="2496.6772440899294"/>
    <n v="0"/>
    <n v="0"/>
    <n v="0"/>
    <n v="0"/>
    <n v="0"/>
    <n v="7552.0758209597316"/>
    <n v="379.93896284969162"/>
    <n v="0"/>
    <n v="0"/>
    <n v="0"/>
    <n v="0"/>
    <n v="443.55873814207092"/>
    <m/>
    <n v="58.321350140304205"/>
    <n v="0"/>
    <n v="0"/>
    <n v="0"/>
    <n v="0"/>
    <n v="0"/>
    <n v="0"/>
    <n v="0"/>
    <n v="0"/>
    <n v="0"/>
    <n v="0"/>
    <n v="0"/>
    <n v="0"/>
    <m/>
    <n v="0"/>
    <n v="0"/>
    <n v="0"/>
    <n v="8.756838806999518"/>
    <n v="225.53095367705549"/>
    <n v="293.2294194839431"/>
    <n v="0"/>
    <n v="0"/>
    <n v="0"/>
    <n v="0"/>
    <n v="0"/>
    <m/>
    <m/>
    <m/>
    <m/>
    <m/>
    <m/>
    <m/>
    <m/>
    <m/>
    <n v="8079.5930329277298"/>
    <m/>
    <m/>
    <m/>
    <m/>
    <m/>
    <m/>
    <m/>
    <m/>
    <m/>
    <m/>
    <m/>
    <m/>
    <n v="12405.006899999998"/>
    <n v="947.01739999999882"/>
    <m/>
    <m/>
    <m/>
    <m/>
    <n v="-47.399300000000238"/>
    <n v="994.44669999999985"/>
    <n v="30"/>
    <n v="946.63039711934289"/>
    <n v="0"/>
    <n v="0"/>
    <n v="0"/>
    <n v="0"/>
    <n v="0"/>
    <n v="0"/>
    <n v="0"/>
    <n v="0"/>
    <n v="0"/>
    <n v="0"/>
    <n v="969.39239755731978"/>
    <n v="28.949390484350033"/>
    <n v="1.1240370419190544"/>
    <n v="0"/>
    <n v="37.639236777650126"/>
    <n v="0"/>
    <n v="-72.966654580630802"/>
    <m/>
    <n v="0"/>
    <n v="0"/>
    <n v="-4.2228821276690383"/>
    <n v="0"/>
    <n v="-11.488018110372082"/>
    <n v="-1.797109923226337"/>
    <n v="0"/>
    <n v="0"/>
    <m/>
    <m/>
    <m/>
    <n v="0"/>
    <n v="0"/>
    <n v="0"/>
    <n v="-47.399300000000039"/>
    <n v="994.446699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6"/>
    <s v="Regular"/>
    <s v="Verde"/>
    <s v="A4"/>
    <s v="Comercial"/>
    <s v="Não se aplica"/>
    <s v="Não se aplica"/>
    <s v="Não se aplica"/>
    <s v="Não se aplica"/>
    <s v="CATIVO"/>
    <x v="9"/>
    <n v="2377"/>
    <n v="2377"/>
    <n v="0"/>
    <n v="0"/>
    <n v="0"/>
    <n v="0"/>
    <n v="59.12"/>
    <m/>
    <m/>
    <n v="140528.24"/>
    <m/>
    <n v="140528.24"/>
    <n v="80889.31"/>
    <n v="0"/>
    <n v="0"/>
    <n v="0"/>
    <n v="0"/>
    <n v="1359.7874836441622"/>
    <n v="12163.162840750578"/>
    <n v="114480.59325757532"/>
    <m/>
    <m/>
    <m/>
    <n v="0"/>
    <n v="0"/>
    <n v="0"/>
    <n v="0"/>
    <m/>
    <n v="0"/>
    <n v="2871.5874189952729"/>
    <n v="9652.9681527753964"/>
    <n v="0"/>
    <n v="0"/>
    <m/>
    <m/>
    <n v="0"/>
    <n v="0"/>
    <n v="0"/>
    <m/>
    <m/>
    <n v="0"/>
    <m/>
    <n v="0"/>
    <n v="0"/>
    <n v="0"/>
    <n v="0"/>
    <m/>
    <n v="0"/>
    <n v="0"/>
    <n v="312.95"/>
    <n v="1439.9"/>
    <n v="50839.37"/>
    <n v="13"/>
    <m/>
    <m/>
    <m/>
    <m/>
    <m/>
    <m/>
    <m/>
    <m/>
    <m/>
    <n v="0"/>
    <m/>
    <m/>
    <m/>
    <m/>
    <m/>
    <m/>
    <m/>
    <m/>
    <m/>
    <m/>
    <m/>
    <m/>
    <n v="80889.31"/>
    <n v="-59638.960000000021"/>
    <m/>
    <m/>
    <m/>
    <m/>
    <n v="-59638.929999999993"/>
    <n v="0"/>
    <n v="30"/>
    <n v="982.83620570779021"/>
    <n v="278.81299650519031"/>
    <n v="937.24222290476609"/>
    <n v="0"/>
    <n v="0"/>
    <m/>
    <m/>
    <m/>
    <n v="-233.219013702164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480.59325757532"/>
    <m/>
    <n v="0"/>
    <n v="0"/>
    <n v="-59638.929999999993"/>
    <m/>
    <n v="0"/>
    <m/>
    <n v="-60611.40488698455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97"/>
    <s v="Sistema de Compensação"/>
    <s v="Verde"/>
    <s v="A4"/>
    <s v="Comercial"/>
    <s v="Não se aplica"/>
    <s v="Não se aplica"/>
    <s v="Não se aplica"/>
    <s v="Não se aplica"/>
    <s v="CATIVO"/>
    <x v="9"/>
    <n v="285"/>
    <n v="285"/>
    <n v="0"/>
    <n v="0"/>
    <n v="0"/>
    <n v="0"/>
    <n v="59.12"/>
    <m/>
    <m/>
    <n v="16849.2"/>
    <m/>
    <n v="16849.2"/>
    <n v="9698.5500000000011"/>
    <n v="0"/>
    <n v="0"/>
    <n v="0"/>
    <n v="0"/>
    <n v="163.03720355009938"/>
    <n v="1458.3514554538976"/>
    <n v="13726.112359448451"/>
    <m/>
    <m/>
    <m/>
    <n v="0"/>
    <n v="0"/>
    <n v="0"/>
    <n v="0"/>
    <m/>
    <n v="0"/>
    <n v="344.30055297166712"/>
    <n v="1157.3815412456829"/>
    <n v="0"/>
    <n v="0"/>
    <m/>
    <m/>
    <n v="0"/>
    <n v="0"/>
    <n v="0"/>
    <m/>
    <m/>
    <n v="0"/>
    <m/>
    <n v="0"/>
    <n v="0"/>
    <n v="0"/>
    <n v="0"/>
    <m/>
    <n v="0"/>
    <n v="0"/>
    <n v="76.12"/>
    <n v="350.23"/>
    <n v="13396.11"/>
    <n v="3"/>
    <m/>
    <m/>
    <m/>
    <m/>
    <m/>
    <m/>
    <m/>
    <m/>
    <m/>
    <n v="0"/>
    <m/>
    <m/>
    <m/>
    <m/>
    <m/>
    <m/>
    <m/>
    <m/>
    <m/>
    <m/>
    <m/>
    <m/>
    <n v="9698.5500000000011"/>
    <n v="-7150.6799999999948"/>
    <m/>
    <m/>
    <m/>
    <m/>
    <n v="-7150.6499999999987"/>
    <n v="0"/>
    <n v="30"/>
    <n v="117.8411100659323"/>
    <n v="33.429408499780948"/>
    <n v="112.37443564487103"/>
    <n v="0"/>
    <n v="0"/>
    <m/>
    <m/>
    <m/>
    <n v="-27.9627340787196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726.112359448451"/>
    <m/>
    <n v="0"/>
    <n v="0"/>
    <n v="-7150.65"/>
    <m/>
    <n v="0"/>
    <m/>
    <n v="-7267.24879797669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598"/>
    <s v="Regular"/>
    <s v="Convencional"/>
    <s v="B2"/>
    <s v="Rural"/>
    <s v="Não se aplica"/>
    <s v="Não se aplica"/>
    <s v="Não se aplica"/>
    <s v="Não se aplica"/>
    <s v="CATIVO"/>
    <x v="9"/>
    <n v="0"/>
    <n v="0"/>
    <n v="2382.8510000000001"/>
    <n v="2382.8510000000001"/>
    <n v="2382.8510000000001"/>
    <n v="2382.8510000000001"/>
    <m/>
    <n v="516.83000000000004"/>
    <n v="173.82"/>
    <m/>
    <n v="1645716.0431500003"/>
    <n v="1645716.0431500003"/>
    <n v="1242537.6539499999"/>
    <n v="0"/>
    <n v="145710.04180246254"/>
    <n v="0"/>
    <n v="0"/>
    <n v="6477.6471787235087"/>
    <n v="82033.485691966489"/>
    <n v="866442.2611287639"/>
    <n v="383453.47159705346"/>
    <n v="19291.240945351597"/>
    <n v="0"/>
    <n v="0"/>
    <n v="0"/>
    <n v="0"/>
    <n v="22521.508262104664"/>
    <m/>
    <n v="3697.0933463125584"/>
    <n v="13816.970528616663"/>
    <n v="45248.710266322123"/>
    <n v="0"/>
    <n v="0"/>
    <n v="0"/>
    <n v="0"/>
    <n v="0"/>
    <n v="0"/>
    <n v="0"/>
    <n v="0"/>
    <n v="0"/>
    <n v="0"/>
    <m/>
    <n v="0"/>
    <n v="0"/>
    <n v="0"/>
    <n v="1322.0357993552279"/>
    <n v="11451.239260607828"/>
    <n v="44269.376030087493"/>
    <n v="0"/>
    <n v="2843.24"/>
    <n v="13319.21"/>
    <n v="90183.83"/>
    <n v="10191"/>
    <m/>
    <m/>
    <m/>
    <m/>
    <m/>
    <n v="149094.98706999997"/>
    <m/>
    <m/>
    <m/>
    <n v="440496.12268710398"/>
    <m/>
    <m/>
    <m/>
    <m/>
    <m/>
    <m/>
    <m/>
    <m/>
    <m/>
    <m/>
    <m/>
    <m/>
    <n v="1093442.2080000001"/>
    <n v="-354783.17427000008"/>
    <m/>
    <m/>
    <m/>
    <m/>
    <n v="-453671.00189000013"/>
    <n v="50492.612689999994"/>
    <n v="30"/>
    <n v="55534.437114408356"/>
    <n v="1341.5405466066168"/>
    <n v="4393.3638982726989"/>
    <n v="0"/>
    <n v="0"/>
    <n v="0"/>
    <n v="0"/>
    <n v="0"/>
    <n v="-1572.9271139520279"/>
    <n v="0"/>
    <n v="0"/>
    <n v="49220.491027314274"/>
    <n v="1469.89311879446"/>
    <n v="169.69790605606636"/>
    <n v="0"/>
    <n v="5682.4636809218064"/>
    <n v="0"/>
    <n v="-4258.4496311235416"/>
    <m/>
    <n v="0"/>
    <n v="0"/>
    <n v="-214.41506287658558"/>
    <n v="0"/>
    <n v="-583.29928494178967"/>
    <n v="-113.92197066370682"/>
    <n v="0"/>
    <n v="0"/>
    <m/>
    <m/>
    <m/>
    <n v="866442.2611287639"/>
    <n v="0"/>
    <n v="0"/>
    <n v="-453671.00189000019"/>
    <n v="50492.612690000038"/>
    <n v="0"/>
    <n v="0"/>
    <n v="-458735.2424206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599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9.6790000000000003"/>
    <n v="-9.6790000000000003"/>
    <n v="-9.6790000000000003"/>
    <n v="-9.6790000000000003"/>
    <m/>
    <n v="516.83000000000004"/>
    <n v="173.82"/>
    <m/>
    <n v="-6684.8013499999997"/>
    <n v="-6684.8013499999997"/>
    <n v="-5047.1145500000002"/>
    <n v="0"/>
    <n v="-591.86558228191143"/>
    <n v="0"/>
    <n v="0"/>
    <n v="-26.311820186350232"/>
    <n v="-333.21517292207682"/>
    <n v="-3519.4372814184799"/>
    <n v="-1557.5653499055879"/>
    <n v="-78.359881129813871"/>
    <n v="0"/>
    <n v="0"/>
    <n v="0"/>
    <n v="0"/>
    <n v="-91.481036149096624"/>
    <m/>
    <n v="-15.017374774570149"/>
    <n v="-56.123718078251926"/>
    <n v="-183.79758812772255"/>
    <n v="0"/>
    <n v="0"/>
    <n v="0"/>
    <n v="0"/>
    <n v="0"/>
    <n v="0"/>
    <n v="0"/>
    <n v="0"/>
    <n v="0"/>
    <n v="0"/>
    <m/>
    <n v="0"/>
    <n v="0"/>
    <n v="0"/>
    <n v="-5.3700313204473344"/>
    <n v="-46.514257418287244"/>
    <n v="-179.81959031228425"/>
    <n v="0"/>
    <n v="-5.35"/>
    <n v="-24.39"/>
    <n v="-1536.05"/>
    <n v="0"/>
    <m/>
    <m/>
    <m/>
    <m/>
    <m/>
    <n v="-605.61502999999993"/>
    <m/>
    <m/>
    <m/>
    <n v="-1789.2692289566069"/>
    <m/>
    <m/>
    <m/>
    <m/>
    <m/>
    <m/>
    <m/>
    <m/>
    <m/>
    <m/>
    <m/>
    <m/>
    <n v="-4441.9583999999995"/>
    <n v="1440.6174300000002"/>
    <m/>
    <m/>
    <m/>
    <m/>
    <n v="1842.7848100000006"/>
    <n v="-205.09800999999999"/>
    <n v="30"/>
    <n v="-225.57760297658524"/>
    <n v="-5.4492584515798228"/>
    <n v="-17.845584625887824"/>
    <n v="0"/>
    <n v="0"/>
    <n v="0"/>
    <n v="0"/>
    <n v="0"/>
    <n v="6.3891370194534716"/>
    <n v="0"/>
    <n v="0"/>
    <n v="-199.93072695412957"/>
    <n v="-5.9706190176438056"/>
    <n v="-0.68930286984652689"/>
    <n v="0"/>
    <n v="-23.081831792102037"/>
    <n v="0"/>
    <n v="17.297570842509572"/>
    <m/>
    <n v="0"/>
    <n v="0"/>
    <n v="0.87094131927781859"/>
    <n v="0"/>
    <n v="2.3693272382333532"/>
    <n v="0.46274431513091585"/>
    <n v="0"/>
    <n v="0"/>
    <m/>
    <m/>
    <m/>
    <n v="-3519.4372814184799"/>
    <n v="0"/>
    <n v="0"/>
    <n v="1842.7848100000001"/>
    <n v="-205.09801000000016"/>
    <n v="0"/>
    <n v="0"/>
    <n v="1863.3554558758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0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42.94"/>
    <n v="42.94"/>
    <n v="42.94"/>
    <n v="42.94"/>
    <m/>
    <n v="516.83000000000004"/>
    <n v="173.82"/>
    <m/>
    <n v="29656.510999999999"/>
    <n v="29656.510999999999"/>
    <n v="22391.062999999998"/>
    <n v="0"/>
    <n v="2625.7576302495377"/>
    <n v="0"/>
    <n v="0"/>
    <n v="116.72998851140396"/>
    <n v="1478.2786987575139"/>
    <n v="15613.662244458053"/>
    <n v="6909.9965001493902"/>
    <n v="347.63645993534533"/>
    <n v="0"/>
    <n v="0"/>
    <n v="0"/>
    <n v="0"/>
    <n v="405.84726647817013"/>
    <m/>
    <n v="66.623212400045688"/>
    <n v="248.98775227607578"/>
    <n v="815.40122266808612"/>
    <n v="0"/>
    <n v="0"/>
    <n v="0"/>
    <n v="0"/>
    <n v="0"/>
    <n v="0"/>
    <n v="0"/>
    <n v="0"/>
    <n v="0"/>
    <n v="0"/>
    <m/>
    <n v="0"/>
    <n v="0"/>
    <n v="0"/>
    <n v="23.823653776217434"/>
    <n v="206.3562572105852"/>
    <n v="797.75319847189633"/>
    <n v="0"/>
    <n v="53.72"/>
    <n v="254.38"/>
    <n v="2181.8200000000002"/>
    <n v="298"/>
    <m/>
    <m/>
    <m/>
    <m/>
    <m/>
    <n v="2686.7557999999995"/>
    <m/>
    <m/>
    <m/>
    <n v="7937.9296096080889"/>
    <m/>
    <m/>
    <m/>
    <m/>
    <m/>
    <m/>
    <m/>
    <m/>
    <m/>
    <m/>
    <m/>
    <m/>
    <n v="19704.307199999999"/>
    <n v="-6393.3665999999939"/>
    <m/>
    <m/>
    <m/>
    <m/>
    <n v="-8175.3466000000017"/>
    <n v="909.89859999999987"/>
    <n v="30"/>
    <n v="1000.7544448615063"/>
    <n v="24.175137711627002"/>
    <n v="79.170307246164271"/>
    <n v="0"/>
    <n v="0"/>
    <n v="0"/>
    <n v="0"/>
    <n v="0"/>
    <n v="-28.344823185797168"/>
    <n v="0"/>
    <n v="0"/>
    <n v="886.97442043706178"/>
    <n v="26.488106273129972"/>
    <n v="3.0580292624454835"/>
    <n v="0"/>
    <n v="102.40043983395617"/>
    <n v="0"/>
    <n v="-76.739094118954654"/>
    <m/>
    <n v="0"/>
    <n v="0"/>
    <n v="-3.863851663373282"/>
    <n v="0"/>
    <n v="-10.511304020016553"/>
    <n v="-2.0529229147351629"/>
    <n v="0"/>
    <n v="0"/>
    <m/>
    <m/>
    <m/>
    <n v="15613.662244458053"/>
    <n v="0"/>
    <n v="0"/>
    <n v="-8175.3465999999989"/>
    <n v="909.89859999999862"/>
    <n v="0"/>
    <n v="0"/>
    <n v="-8266.6063927376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0.85799999999999998"/>
    <n v="0.85799999999999998"/>
    <n v="0.85799999999999998"/>
    <n v="0.85799999999999998"/>
    <m/>
    <n v="516.83000000000004"/>
    <n v="173.82"/>
    <m/>
    <n v="592.57770000000005"/>
    <n v="592.57770000000005"/>
    <n v="447.40409999999997"/>
    <n v="0"/>
    <n v="52.466233040384331"/>
    <n v="0"/>
    <n v="0"/>
    <n v="2.3324250149693664"/>
    <n v="29.538032685932624"/>
    <n v="311.98235225302773"/>
    <n v="138.07119229455466"/>
    <n v="6.9462525063932539"/>
    <n v="0"/>
    <n v="0"/>
    <n v="0"/>
    <n v="0"/>
    <n v="8.1093841322373077"/>
    <m/>
    <n v="1.331223014421034"/>
    <n v="4.9751162424982072"/>
    <n v="16.292833000680435"/>
    <n v="0"/>
    <n v="0"/>
    <n v="0"/>
    <n v="0"/>
    <n v="0"/>
    <n v="0"/>
    <n v="0"/>
    <n v="0"/>
    <n v="0"/>
    <n v="0"/>
    <m/>
    <n v="0"/>
    <n v="0"/>
    <n v="0"/>
    <n v="0.47602922543070697"/>
    <n v="4.1232805935417352"/>
    <n v="15.940201310873011"/>
    <n v="0"/>
    <n v="0"/>
    <n v="0"/>
    <n v="9.0399999999999991"/>
    <n v="1"/>
    <m/>
    <m/>
    <m/>
    <m/>
    <m/>
    <n v="53.685059999999993"/>
    <m/>
    <m/>
    <m/>
    <n v="158.6107034244001"/>
    <m/>
    <m/>
    <m/>
    <m/>
    <m/>
    <m/>
    <m/>
    <m/>
    <m/>
    <m/>
    <m/>
    <m/>
    <n v="394.63679999999999"/>
    <n v="-126.85985999999991"/>
    <m/>
    <m/>
    <m/>
    <m/>
    <n v="-163.35462000000004"/>
    <n v="18.181019999999997"/>
    <n v="30"/>
    <n v="19.996444194019034"/>
    <n v="0.48305235576562566"/>
    <n v="1.5819311508432463"/>
    <n v="0"/>
    <n v="0"/>
    <n v="0"/>
    <n v="0"/>
    <n v="0"/>
    <n v="-0.56636838130912537"/>
    <n v="0"/>
    <n v="0"/>
    <n v="17.722963501047957"/>
    <n v="0.52926863489393394"/>
    <n v="6.1103612183936284E-2"/>
    <n v="0"/>
    <n v="2.0461010101894352"/>
    <n v="0"/>
    <n v="-1.5333521833736086"/>
    <m/>
    <n v="0"/>
    <n v="0"/>
    <n v="-7.7205047209461419E-2"/>
    <n v="0"/>
    <n v="-0.2100302480012628"/>
    <n v="-4.1020211011708607E-2"/>
    <n v="0"/>
    <n v="0"/>
    <m/>
    <m/>
    <m/>
    <n v="311.98235225302773"/>
    <n v="0"/>
    <n v="0"/>
    <n v="-163.35462000000007"/>
    <n v="18.181020000000018"/>
    <n v="0"/>
    <n v="0"/>
    <n v="-165.17811562573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2"/>
    <s v="Regular"/>
    <s v="Verde"/>
    <s v="A4"/>
    <s v="Rural"/>
    <s v="Não se aplica"/>
    <s v="Não se aplica"/>
    <s v="Não se aplica"/>
    <s v="Ponta"/>
    <s v="CATIVO"/>
    <x v="9"/>
    <n v="0"/>
    <n v="0"/>
    <n v="37.643000000000001"/>
    <n v="36.137279999999997"/>
    <n v="37.643000000000001"/>
    <n v="36.137279999999997"/>
    <m/>
    <n v="1684.16"/>
    <n v="173.82"/>
    <m/>
    <n v="69939.941139999995"/>
    <n v="69939.941139999995"/>
    <n v="48012.140780000002"/>
    <n v="0"/>
    <n v="2002.608597896382"/>
    <n v="0"/>
    <n v="0"/>
    <n v="677.55140892001975"/>
    <n v="10336.238132123906"/>
    <n v="43601.602902222759"/>
    <n v="6057.5919481863884"/>
    <n v="304.7526609535679"/>
    <n v="0"/>
    <n v="0"/>
    <n v="0"/>
    <n v="0"/>
    <n v="355.78268868276103"/>
    <m/>
    <n v="46.780110448145564"/>
    <n v="1455.1332146292477"/>
    <n v="4678.9748727832048"/>
    <n v="0"/>
    <n v="0"/>
    <n v="0"/>
    <n v="0"/>
    <n v="0"/>
    <n v="0"/>
    <n v="0"/>
    <n v="0"/>
    <n v="0"/>
    <n v="0"/>
    <m/>
    <n v="0"/>
    <n v="0"/>
    <n v="0"/>
    <n v="7.0239438144445527"/>
    <n v="180.90052608705307"/>
    <n v="235.20211032674345"/>
    <n v="0"/>
    <n v="0"/>
    <n v="0"/>
    <n v="0"/>
    <n v="0"/>
    <m/>
    <m/>
    <m/>
    <m/>
    <m/>
    <n v="1920.4856312000047"/>
    <m/>
    <m/>
    <m/>
    <n v="6480.718528414629"/>
    <m/>
    <m/>
    <m/>
    <m/>
    <m/>
    <m/>
    <m/>
    <m/>
    <m/>
    <m/>
    <m/>
    <m/>
    <n v="46095.124400000001"/>
    <n v="-21047.249094400002"/>
    <m/>
    <m/>
    <m/>
    <m/>
    <n v="-22725.455530000003"/>
    <n v="797.65516999999988"/>
    <n v="30"/>
    <n v="1156.6952203204091"/>
    <n v="141.28424201933626"/>
    <n v="454.29889970390468"/>
    <n v="0"/>
    <n v="0"/>
    <n v="0"/>
    <n v="0"/>
    <n v="0"/>
    <n v="-198.18917942038388"/>
    <n v="0"/>
    <n v="0"/>
    <n v="777.55887537289982"/>
    <n v="23.220581845352399"/>
    <n v="0.90160081757849841"/>
    <n v="0"/>
    <n v="30.190790326466725"/>
    <n v="0"/>
    <n v="-58.527248633681438"/>
    <m/>
    <n v="0"/>
    <n v="0"/>
    <n v="-3.387213976813257"/>
    <n v="0"/>
    <n v="-9.2146487476824177"/>
    <n v="-1.4414789865759445"/>
    <n v="0"/>
    <n v="0"/>
    <m/>
    <m/>
    <m/>
    <n v="43601.602902222759"/>
    <n v="0"/>
    <n v="0"/>
    <n v="-22725.455529999999"/>
    <n v="797.65517"/>
    <n v="0"/>
    <n v="0"/>
    <n v="-23084.737177087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3"/>
    <s v="Sistema de Compensação"/>
    <s v="Verde"/>
    <s v="A4"/>
    <s v="Rural"/>
    <s v="Não se aplica"/>
    <s v="Não se aplica"/>
    <s v="Não se aplica"/>
    <s v="Ponta"/>
    <s v="CATIVO"/>
    <x v="9"/>
    <n v="0"/>
    <n v="0"/>
    <n v="4.8929999999999998"/>
    <n v="4.6972800000000001"/>
    <n v="4.8929999999999998"/>
    <n v="4.6972800000000001"/>
    <m/>
    <n v="1684.16"/>
    <n v="173.82"/>
    <m/>
    <n v="9091.0961399999997"/>
    <n v="9091.0961399999997"/>
    <n v="6240.8257800000001"/>
    <n v="0"/>
    <n v="260.30772971088908"/>
    <n v="0"/>
    <n v="0"/>
    <n v="88.071063513685317"/>
    <n v="1343.5489514778915"/>
    <n v="5667.5249847402156"/>
    <n v="787.39200920426094"/>
    <n v="39.613069363382508"/>
    <n v="0"/>
    <n v="0"/>
    <n v="0"/>
    <n v="0"/>
    <n v="46.246173145730936"/>
    <m/>
    <n v="6.0806811471661728"/>
    <n v="189.14451077706104"/>
    <n v="608.19339724592135"/>
    <n v="0"/>
    <n v="0"/>
    <n v="0"/>
    <n v="0"/>
    <n v="0"/>
    <n v="0"/>
    <n v="0"/>
    <n v="0"/>
    <n v="0"/>
    <n v="0"/>
    <m/>
    <n v="0"/>
    <n v="0"/>
    <n v="0"/>
    <n v="0.91300260563922087"/>
    <n v="23.514233035197794"/>
    <n v="30.572587886957884"/>
    <n v="0"/>
    <n v="0"/>
    <n v="0"/>
    <n v="0"/>
    <n v="0"/>
    <m/>
    <m/>
    <m/>
    <m/>
    <m/>
    <n v="249.63303119999961"/>
    <m/>
    <m/>
    <m/>
    <n v="842.39183273205583"/>
    <m/>
    <m/>
    <m/>
    <m/>
    <m/>
    <m/>
    <m/>
    <m/>
    <m/>
    <m/>
    <m/>
    <m/>
    <n v="5994.6620000000003"/>
    <n v="-2732.8202944000004"/>
    <m/>
    <m/>
    <m/>
    <m/>
    <n v="-2953.9530300000001"/>
    <n v="103.68266999999999"/>
    <n v="30"/>
    <n v="150.35224910415491"/>
    <n v="18.364737034790323"/>
    <n v="59.051736478261773"/>
    <n v="0"/>
    <n v="0"/>
    <n v="0"/>
    <n v="0"/>
    <n v="0"/>
    <n v="-25.76148699370242"/>
    <n v="0"/>
    <n v="0"/>
    <n v="101.0704666790532"/>
    <n v="3.018311690601422"/>
    <n v="0.1171939749863613"/>
    <n v="0"/>
    <n v="3.9243295451319469"/>
    <n v="0"/>
    <n v="-7.6076249917542498"/>
    <m/>
    <n v="0"/>
    <n v="0"/>
    <n v="-0.44028472726794377"/>
    <n v="0"/>
    <n v="-1.1977599108044004"/>
    <n v="-0.1873696751405598"/>
    <n v="0"/>
    <n v="0"/>
    <m/>
    <m/>
    <m/>
    <n v="5667.5249847402156"/>
    <n v="0"/>
    <n v="0"/>
    <n v="-2953.9530300000006"/>
    <n v="103.68267000000003"/>
    <n v="0"/>
    <n v="0"/>
    <n v="-3000.654012897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4"/>
    <s v="Regular"/>
    <s v="Verde"/>
    <s v="A4"/>
    <s v="Rural"/>
    <s v="Não se aplica"/>
    <s v="Não se aplica"/>
    <s v="Não se aplica"/>
    <s v="Fora ponta"/>
    <s v="CATIVO"/>
    <x v="9"/>
    <n v="0"/>
    <n v="0"/>
    <n v="428.10899999999998"/>
    <n v="410.98464000000001"/>
    <n v="428.10899999999998"/>
    <n v="410.98464000000001"/>
    <m/>
    <n v="70.33"/>
    <n v="173.82"/>
    <m/>
    <n v="104522.81234999999"/>
    <n v="104522.81234999999"/>
    <n v="113162.05196999999"/>
    <n v="0"/>
    <n v="22775.41014894727"/>
    <n v="0"/>
    <n v="0"/>
    <n v="0"/>
    <n v="0"/>
    <n v="0"/>
    <n v="68892.214524509895"/>
    <n v="3465.9128371322954"/>
    <n v="0"/>
    <n v="0"/>
    <n v="0"/>
    <n v="0"/>
    <n v="4046.270782596715"/>
    <m/>
    <n v="532.02418255306827"/>
    <n v="0"/>
    <n v="0"/>
    <n v="0"/>
    <n v="0"/>
    <n v="0"/>
    <n v="0"/>
    <n v="0"/>
    <n v="0"/>
    <n v="0"/>
    <n v="0"/>
    <n v="0"/>
    <n v="0"/>
    <m/>
    <n v="0"/>
    <n v="0"/>
    <n v="0"/>
    <n v="79.882410075127979"/>
    <n v="2057.3584284621893"/>
    <n v="2674.9233655625694"/>
    <n v="0"/>
    <n v="0"/>
    <n v="0"/>
    <n v="0"/>
    <n v="0"/>
    <m/>
    <m/>
    <m/>
    <m/>
    <m/>
    <n v="4526.4820787999906"/>
    <m/>
    <m/>
    <m/>
    <n v="73704.37872860978"/>
    <m/>
    <m/>
    <m/>
    <m/>
    <m/>
    <m/>
    <m/>
    <m/>
    <m/>
    <m/>
    <m/>
    <m/>
    <n v="108634.3434"/>
    <n v="8292.41354400001"/>
    <m/>
    <m/>
    <m/>
    <m/>
    <n v="-432.39009000000215"/>
    <n v="9071.6297099999992"/>
    <n v="30"/>
    <n v="8635.4355994111247"/>
    <n v="0"/>
    <n v="0"/>
    <n v="0"/>
    <n v="0"/>
    <n v="0"/>
    <n v="0"/>
    <n v="0"/>
    <n v="0"/>
    <n v="0"/>
    <n v="0"/>
    <n v="8843.0771345805842"/>
    <n v="264.0846923261156"/>
    <n v="10.253790197718402"/>
    <n v="0"/>
    <n v="343.3559773629454"/>
    <n v="0"/>
    <n v="-665.62287504494088"/>
    <m/>
    <n v="0"/>
    <n v="0"/>
    <n v="-38.522349132628733"/>
    <n v="0"/>
    <n v="-104.79701566616814"/>
    <n v="-16.393755212497467"/>
    <n v="0"/>
    <n v="0"/>
    <m/>
    <m/>
    <m/>
    <n v="0"/>
    <n v="0"/>
    <n v="0"/>
    <n v="-432.39009000000078"/>
    <n v="9071.629709999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5"/>
    <s v="Sistema de Compensação"/>
    <s v="Verde"/>
    <s v="A4"/>
    <s v="Rural"/>
    <s v="Não se aplica"/>
    <s v="Não se aplica"/>
    <s v="Não se aplica"/>
    <s v="Fora ponta"/>
    <s v="CATIVO"/>
    <x v="9"/>
    <n v="0"/>
    <n v="0"/>
    <n v="30.687000000000001"/>
    <n v="29.459520000000001"/>
    <n v="30.687000000000001"/>
    <n v="29.459520000000001"/>
    <m/>
    <n v="70.33"/>
    <n v="173.82"/>
    <m/>
    <n v="7492.2310500000003"/>
    <n v="7492.2310500000003"/>
    <n v="8111.494709999999"/>
    <n v="0"/>
    <n v="1632.5492134964343"/>
    <n v="0"/>
    <n v="0"/>
    <n v="0"/>
    <n v="0"/>
    <n v="0"/>
    <n v="4938.2175733601389"/>
    <n v="248.43782128635172"/>
    <n v="0"/>
    <n v="0"/>
    <n v="0"/>
    <n v="0"/>
    <n v="290.0380779323616"/>
    <m/>
    <n v="38.135675937684113"/>
    <n v="0"/>
    <n v="0"/>
    <n v="0"/>
    <n v="0"/>
    <n v="0"/>
    <n v="0"/>
    <n v="0"/>
    <n v="0"/>
    <n v="0"/>
    <n v="0"/>
    <n v="0"/>
    <n v="0"/>
    <m/>
    <n v="0"/>
    <n v="0"/>
    <n v="0"/>
    <n v="5.7259985610567696"/>
    <n v="147.47215801167275"/>
    <n v="191.73942458350228"/>
    <n v="0"/>
    <n v="0"/>
    <n v="0"/>
    <n v="0"/>
    <n v="0"/>
    <m/>
    <m/>
    <m/>
    <m/>
    <m/>
    <n v="324.45978839999998"/>
    <m/>
    <m/>
    <m/>
    <n v="5283.1551545163711"/>
    <m/>
    <m/>
    <m/>
    <m/>
    <m/>
    <m/>
    <m/>
    <m/>
    <m/>
    <m/>
    <m/>
    <m/>
    <n v="7787.1617999999999"/>
    <n v="594.58999199999926"/>
    <m/>
    <m/>
    <m/>
    <m/>
    <n v="-30.993870000000157"/>
    <n v="650.25752999999997"/>
    <n v="30"/>
    <n v="618.99098649906682"/>
    <n v="0"/>
    <n v="0"/>
    <n v="0"/>
    <n v="0"/>
    <n v="0"/>
    <n v="0"/>
    <n v="0"/>
    <n v="0"/>
    <n v="0"/>
    <n v="0"/>
    <n v="633.874802979788"/>
    <n v="18.929681350804373"/>
    <n v="0.73499519934732671"/>
    <n v="0"/>
    <n v="24.611874259444903"/>
    <n v="0"/>
    <n v="-47.712076051903068"/>
    <m/>
    <n v="0"/>
    <n v="0"/>
    <n v="-2.7612952024670676"/>
    <n v="0"/>
    <n v="-7.5118860377793908"/>
    <n v="-1.1751099981684803"/>
    <n v="0"/>
    <n v="0"/>
    <m/>
    <m/>
    <m/>
    <n v="0"/>
    <n v="0"/>
    <n v="0"/>
    <n v="-30.993870000000243"/>
    <n v="650.25752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6"/>
    <s v="Regular"/>
    <s v="Verde"/>
    <s v="A4"/>
    <s v="Rural"/>
    <s v="Não se aplica"/>
    <s v="Não se aplica"/>
    <s v="Não se aplica"/>
    <s v="Não se aplica"/>
    <s v="CATIVO"/>
    <x v="9"/>
    <n v="2008"/>
    <n v="1927.68"/>
    <n v="0"/>
    <n v="0"/>
    <n v="0"/>
    <n v="0"/>
    <n v="59.12"/>
    <m/>
    <m/>
    <n v="118712.95999999999"/>
    <m/>
    <n v="118712.95999999999"/>
    <n v="68332.240000000005"/>
    <n v="0"/>
    <n v="0"/>
    <n v="0"/>
    <n v="0"/>
    <n v="1148.6972095740336"/>
    <n v="10274.981482636584"/>
    <n v="96708.88988692101"/>
    <m/>
    <m/>
    <m/>
    <n v="0"/>
    <n v="0"/>
    <n v="0"/>
    <n v="0"/>
    <m/>
    <n v="0"/>
    <n v="2425.8088083056405"/>
    <n v="8154.4636309520392"/>
    <n v="0"/>
    <n v="0"/>
    <m/>
    <m/>
    <n v="0"/>
    <n v="0"/>
    <n v="0"/>
    <m/>
    <m/>
    <n v="0"/>
    <m/>
    <n v="0"/>
    <n v="0"/>
    <n v="0"/>
    <n v="0"/>
    <m/>
    <n v="0"/>
    <n v="0"/>
    <n v="502.16"/>
    <n v="2310.31"/>
    <n v="7613.95"/>
    <n v="14"/>
    <m/>
    <m/>
    <m/>
    <m/>
    <m/>
    <n v="2733.2895999999978"/>
    <m/>
    <m/>
    <m/>
    <n v="0"/>
    <m/>
    <m/>
    <m/>
    <m/>
    <m/>
    <m/>
    <m/>
    <m/>
    <m/>
    <m/>
    <m/>
    <m/>
    <n v="65598.950400000002"/>
    <n v="-48365.521199999988"/>
    <m/>
    <m/>
    <m/>
    <m/>
    <n v="-50380.719999999994"/>
    <n v="0"/>
    <n v="30"/>
    <n v="830.26297899084966"/>
    <n v="235.53070971073748"/>
    <n v="791.7469009645647"/>
    <n v="0"/>
    <n v="0"/>
    <m/>
    <m/>
    <m/>
    <n v="-197.014631684452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6708.88988692101"/>
    <m/>
    <n v="0"/>
    <n v="0"/>
    <n v="-50380.719999999987"/>
    <m/>
    <n v="0"/>
    <m/>
    <n v="-51202.23012749893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07"/>
    <s v="Sistema de Compensação"/>
    <s v="Verde"/>
    <s v="A4"/>
    <s v="Rural"/>
    <s v="Não se aplica"/>
    <s v="Não se aplica"/>
    <s v="Não se aplica"/>
    <s v="Não se aplica"/>
    <s v="CATIVO"/>
    <x v="9"/>
    <n v="193"/>
    <n v="185.28"/>
    <n v="0"/>
    <n v="0"/>
    <n v="0"/>
    <n v="0"/>
    <n v="59.12"/>
    <m/>
    <m/>
    <n v="11410.16"/>
    <m/>
    <n v="11410.16"/>
    <n v="6567.79"/>
    <n v="0"/>
    <n v="0"/>
    <n v="0"/>
    <n v="0"/>
    <n v="110.40765012340063"/>
    <n v="987.58537158807803"/>
    <n v="9295.2269662229864"/>
    <m/>
    <m/>
    <m/>
    <n v="0"/>
    <n v="0"/>
    <n v="0"/>
    <n v="0"/>
    <m/>
    <n v="0"/>
    <n v="233.15791832818158"/>
    <n v="783.77065775584845"/>
    <n v="0"/>
    <n v="0"/>
    <m/>
    <m/>
    <n v="0"/>
    <n v="0"/>
    <n v="0"/>
    <m/>
    <m/>
    <n v="0"/>
    <m/>
    <n v="0"/>
    <n v="0"/>
    <n v="0"/>
    <n v="0"/>
    <m/>
    <n v="0"/>
    <n v="0"/>
    <n v="53.25"/>
    <n v="244.97"/>
    <n v="7.54"/>
    <n v="1"/>
    <m/>
    <m/>
    <m/>
    <m/>
    <m/>
    <n v="262.71159999999998"/>
    <m/>
    <m/>
    <m/>
    <n v="0"/>
    <m/>
    <m/>
    <m/>
    <m/>
    <m/>
    <m/>
    <m/>
    <m/>
    <m/>
    <m/>
    <m/>
    <m/>
    <n v="6305.0784000000003"/>
    <n v="-4648.7052000000003"/>
    <m/>
    <m/>
    <m/>
    <m/>
    <n v="-4842.369999999999"/>
    <n v="0"/>
    <n v="30"/>
    <n v="79.801172781491005"/>
    <n v="22.638160843711319"/>
    <n v="76.099179226175693"/>
    <n v="0"/>
    <n v="0"/>
    <m/>
    <m/>
    <m/>
    <n v="-18.9361672883961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95.2269662229864"/>
    <m/>
    <n v="0"/>
    <n v="0"/>
    <n v="-4842.37"/>
    <m/>
    <n v="0"/>
    <m/>
    <n v="-4921.329887752637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08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32.524"/>
    <n v="232.524"/>
    <n v="232.524"/>
    <n v="232.524"/>
    <m/>
    <n v="516.83000000000004"/>
    <n v="173.82"/>
    <m/>
    <n v="160592.70060000001"/>
    <n v="160592.70060000001"/>
    <n v="121249.6398"/>
    <n v="0"/>
    <n v="14218.716050678702"/>
    <n v="0"/>
    <n v="0"/>
    <n v="632.10348972113866"/>
    <n v="8005.0134175568737"/>
    <n v="84549.399155341525"/>
    <n v="37418.258644637557"/>
    <n v="1882.483004424924"/>
    <n v="0"/>
    <n v="0"/>
    <n v="0"/>
    <n v="0"/>
    <n v="2197.6998088162559"/>
    <m/>
    <n v="360.77074615994928"/>
    <n v="1348.291292739689"/>
    <n v="4415.4716790795082"/>
    <n v="0"/>
    <n v="0"/>
    <n v="0"/>
    <n v="0"/>
    <n v="0"/>
    <n v="0"/>
    <n v="0"/>
    <n v="0"/>
    <n v="0"/>
    <n v="0"/>
    <m/>
    <n v="0"/>
    <n v="0"/>
    <n v="0"/>
    <n v="129.00724896742392"/>
    <n v="1117.437874979835"/>
    <n v="4319.9060251858227"/>
    <n v="0"/>
    <n v="276.68"/>
    <n v="1279.42"/>
    <n v="47482.44"/>
    <n v="260"/>
    <m/>
    <m/>
    <m/>
    <m/>
    <m/>
    <m/>
    <m/>
    <m/>
    <m/>
    <n v="42984.609793770636"/>
    <m/>
    <m/>
    <m/>
    <m/>
    <m/>
    <m/>
    <m/>
    <m/>
    <m/>
    <m/>
    <m/>
    <m/>
    <n v="121247.554"/>
    <n v="-39345.176600000006"/>
    <m/>
    <m/>
    <m/>
    <m/>
    <n v="-44270.244360000012"/>
    <n v="4927.1835599999995"/>
    <n v="30"/>
    <n v="5419.1762118532351"/>
    <n v="130.91056640098645"/>
    <n v="428.71440433411954"/>
    <n v="0"/>
    <n v="0"/>
    <n v="0"/>
    <n v="0"/>
    <n v="0"/>
    <n v="-153.48979195282391"/>
    <n v="0"/>
    <n v="0"/>
    <n v="4803.047045591702"/>
    <n v="143.43550123552109"/>
    <n v="16.559506199834033"/>
    <n v="0"/>
    <n v="554.50768216001052"/>
    <n v="0"/>
    <n v="-415.54916443679031"/>
    <m/>
    <n v="0"/>
    <n v="0"/>
    <n v="-20.923107689199014"/>
    <n v="0"/>
    <n v="-56.919665951334991"/>
    <n v="-11.116764038795452"/>
    <n v="0"/>
    <n v="0"/>
    <m/>
    <m/>
    <m/>
    <n v="84549.399155341525"/>
    <n v="0"/>
    <n v="0"/>
    <n v="-44270.244359999997"/>
    <n v="4927.1835599999977"/>
    <n v="0"/>
    <n v="0"/>
    <n v="-44764.424426290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09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11"/>
    <n v="0.54"/>
    <n v="102.15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0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0"/>
    <s v="Regular"/>
    <s v="Azul"/>
    <s v="A4"/>
    <s v="Poder público"/>
    <s v="Não se aplica"/>
    <s v="Não se aplica"/>
    <s v="Não se aplica"/>
    <s v="Ponta"/>
    <s v="CATIVO"/>
    <x v="9"/>
    <n v="451"/>
    <n v="451"/>
    <n v="22.238"/>
    <n v="22.238"/>
    <n v="22.238"/>
    <n v="22.238"/>
    <n v="67.099999999999994"/>
    <n v="70.33"/>
    <n v="173.82"/>
    <n v="30262.1"/>
    <n v="5429.4076999999997"/>
    <n v="35691.507700000002"/>
    <n v="24838.21054"/>
    <n v="0"/>
    <n v="1183.0621895178317"/>
    <n v="0"/>
    <n v="0"/>
    <n v="337.53655684645474"/>
    <n v="5149.1721464265656"/>
    <n v="21720.970786355269"/>
    <n v="3578.58645017052"/>
    <n v="180.03585458877993"/>
    <n v="0"/>
    <n v="0"/>
    <n v="0"/>
    <n v="0"/>
    <n v="210.18238267213664"/>
    <m/>
    <n v="27.635844543364264"/>
    <n v="724.89243715276666"/>
    <n v="2330.9020231190043"/>
    <n v="0"/>
    <n v="0"/>
    <n v="0"/>
    <n v="0"/>
    <n v="0"/>
    <n v="0"/>
    <n v="0"/>
    <n v="0"/>
    <n v="0"/>
    <n v="0"/>
    <m/>
    <n v="0"/>
    <n v="0"/>
    <n v="0"/>
    <n v="4.1494690259973419"/>
    <n v="106.86889724846282"/>
    <n v="138.94813190888399"/>
    <n v="0"/>
    <n v="0"/>
    <n v="0"/>
    <n v="0"/>
    <n v="0"/>
    <m/>
    <m/>
    <m/>
    <m/>
    <m/>
    <m/>
    <m/>
    <m/>
    <m/>
    <n v="3828.5529483538644"/>
    <m/>
    <m/>
    <m/>
    <m/>
    <m/>
    <m/>
    <m/>
    <m/>
    <m/>
    <m/>
    <m/>
    <m/>
    <n v="24838.739200000004"/>
    <n v="-10852.798499999997"/>
    <m/>
    <m/>
    <m/>
    <m/>
    <n v="-11324.520379999998"/>
    <n v="471.22321999999991"/>
    <n v="30"/>
    <n v="646.53228014666638"/>
    <n v="70.382475981604443"/>
    <n v="226.31586046341408"/>
    <n v="0"/>
    <n v="0"/>
    <n v="0"/>
    <n v="0"/>
    <n v="0"/>
    <n v="-98.731297532957797"/>
    <n v="0"/>
    <n v="0"/>
    <n v="459.35112160408471"/>
    <n v="13.717804082484037"/>
    <n v="0.53263020963554109"/>
    <n v="0"/>
    <n v="17.835528392528971"/>
    <n v="0"/>
    <n v="-34.575590551120058"/>
    <m/>
    <n v="0"/>
    <n v="0"/>
    <n v="-2.0010324473706476"/>
    <n v="0"/>
    <n v="-5.4436511131142993"/>
    <n v="-0.85156894252519422"/>
    <n v="0"/>
    <n v="0"/>
    <m/>
    <m/>
    <n v="21720.970786355269"/>
    <n v="0"/>
    <n v="0"/>
    <n v="0"/>
    <n v="-11324.520379999998"/>
    <n v="471.22322000000031"/>
    <n v="0"/>
    <n v="0"/>
    <n v="-11500.10248381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1"/>
    <s v="Regular"/>
    <s v="Azul"/>
    <s v="A4"/>
    <s v="Poder público"/>
    <s v="Não se aplica"/>
    <s v="Não se aplica"/>
    <s v="Não se aplica"/>
    <s v="Fora ponta"/>
    <s v="CATIVO"/>
    <x v="9"/>
    <n v="462"/>
    <n v="462"/>
    <n v="137.125"/>
    <n v="137.125"/>
    <n v="137.125"/>
    <n v="137.125"/>
    <n v="59.12"/>
    <n v="70.33"/>
    <n v="173.82"/>
    <n v="27313.439999999999"/>
    <n v="33479.068749999999"/>
    <n v="60792.508749999994"/>
    <n v="51968.111250000002"/>
    <n v="0"/>
    <n v="7295.0536351125411"/>
    <n v="0"/>
    <n v="0"/>
    <n v="264.29188786016113"/>
    <n v="2364.0644646305286"/>
    <n v="22250.750561632223"/>
    <n v="22066.44783611982"/>
    <n v="1110.1455418871503"/>
    <n v="0"/>
    <n v="0"/>
    <n v="0"/>
    <n v="0"/>
    <n v="1296.0364791760383"/>
    <m/>
    <n v="170.40944253119997"/>
    <n v="558.12931744880768"/>
    <n v="1876.1763931772123"/>
    <n v="0"/>
    <n v="0"/>
    <n v="0"/>
    <n v="0"/>
    <n v="0"/>
    <n v="0"/>
    <n v="0"/>
    <n v="0"/>
    <n v="0"/>
    <n v="0"/>
    <m/>
    <n v="0"/>
    <n v="0"/>
    <n v="0"/>
    <n v="25.586650786486445"/>
    <n v="658.98001327437112"/>
    <n v="856.78849662765174"/>
    <n v="0"/>
    <n v="0"/>
    <n v="0"/>
    <n v="0"/>
    <n v="0"/>
    <m/>
    <m/>
    <m/>
    <m/>
    <m/>
    <m/>
    <m/>
    <m/>
    <m/>
    <n v="23607.802996808325"/>
    <m/>
    <m/>
    <m/>
    <m/>
    <m/>
    <m/>
    <m/>
    <m/>
    <m/>
    <m/>
    <m/>
    <m/>
    <n v="51969.4329"/>
    <n v="-8823.1058499999999"/>
    <m/>
    <m/>
    <m/>
    <m/>
    <n v="-11730.076249999998"/>
    <n v="2905.6787499999996"/>
    <n v="30"/>
    <n v="2956.9906987932336"/>
    <n v="54.190830620697625"/>
    <n v="182.16487462431701"/>
    <n v="0"/>
    <n v="0"/>
    <n v="0"/>
    <n v="0"/>
    <n v="0"/>
    <n v="-45.329063664450587"/>
    <n v="0"/>
    <n v="0"/>
    <n v="2832.4724593021019"/>
    <n v="84.587367785350466"/>
    <n v="3.2843294134487593"/>
    <n v="0"/>
    <n v="109.97827281345144"/>
    <n v="0"/>
    <n v="-213.20163028700154"/>
    <m/>
    <n v="0"/>
    <n v="0"/>
    <n v="-12.338860254775682"/>
    <n v="0"/>
    <n v="-33.566897152882348"/>
    <n v="-5.2509844070405336"/>
    <n v="0"/>
    <n v="0"/>
    <m/>
    <m/>
    <n v="22250.750561632223"/>
    <n v="0"/>
    <n v="0"/>
    <n v="0"/>
    <n v="-11730.076249999998"/>
    <n v="2905.6787500000028"/>
    <n v="0"/>
    <n v="0"/>
    <n v="-11780.592788299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2"/>
    <s v="Regular"/>
    <s v="Azul"/>
    <s v="A4"/>
    <s v="Poder público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8.99"/>
    <n v="777.4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1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60.14699999999999"/>
    <n v="260.14699999999999"/>
    <n v="260.14699999999999"/>
    <n v="260.14699999999999"/>
    <m/>
    <n v="284.26"/>
    <n v="95.6"/>
    <m/>
    <n v="98819.439419999995"/>
    <n v="98819.439419999995"/>
    <n v="74607.55812999999"/>
    <n v="0"/>
    <n v="8749.3161068954414"/>
    <n v="0"/>
    <n v="0"/>
    <n v="388.95728869822841"/>
    <n v="4925.7888391969973"/>
    <n v="52026.457045877069"/>
    <n v="23024.875937084344"/>
    <n v="1158.3633017824907"/>
    <n v="0"/>
    <n v="0"/>
    <n v="0"/>
    <n v="0"/>
    <n v="1352.3281755443193"/>
    <m/>
    <n v="221.99594457217293"/>
    <n v="829.65484944691048"/>
    <n v="2717.0074529666763"/>
    <n v="0"/>
    <n v="0"/>
    <n v="0"/>
    <n v="0"/>
    <n v="0"/>
    <n v="0"/>
    <n v="0"/>
    <n v="0"/>
    <n v="0"/>
    <n v="0"/>
    <m/>
    <n v="0"/>
    <n v="0"/>
    <n v="0"/>
    <n v="79.383060838539734"/>
    <n v="687.60197215904054"/>
    <n v="2658.2022759100428"/>
    <n v="0"/>
    <n v="174.77"/>
    <n v="804.38"/>
    <n v="23514.12"/>
    <n v="14"/>
    <m/>
    <m/>
    <m/>
    <m/>
    <m/>
    <m/>
    <m/>
    <m/>
    <m/>
    <n v="26450.063245991969"/>
    <m/>
    <m/>
    <m/>
    <m/>
    <m/>
    <m/>
    <m/>
    <m/>
    <m/>
    <m/>
    <m/>
    <m/>
    <n v="74608.418499999985"/>
    <n v="-24211.050919999994"/>
    <m/>
    <m/>
    <m/>
    <m/>
    <n v="-27242.593839999998"/>
    <n v="3030.7125500000016"/>
    <n v="30"/>
    <n v="3334.6249793213283"/>
    <n v="80.554244356001163"/>
    <n v="263.80425839641657"/>
    <n v="0"/>
    <n v="0"/>
    <n v="0"/>
    <n v="0"/>
    <n v="0"/>
    <n v="-94.448099546417325"/>
    <n v="0"/>
    <n v="0"/>
    <n v="2955.4972986583052"/>
    <n v="88.261312539584765"/>
    <n v="10.189693204368282"/>
    <n v="0"/>
    <n v="341.20964070368791"/>
    <n v="0"/>
    <n v="-255.70318618469173"/>
    <m/>
    <n v="0"/>
    <n v="0"/>
    <n v="-12.874782959230743"/>
    <n v="0"/>
    <n v="-35.024832645373635"/>
    <n v="-6.8405672013228127"/>
    <n v="0"/>
    <n v="0"/>
    <m/>
    <m/>
    <m/>
    <n v="52026.457045877069"/>
    <n v="0"/>
    <n v="0"/>
    <n v="-27242.593840000001"/>
    <n v="3030.7125500000002"/>
    <n v="0"/>
    <n v="0"/>
    <n v="-27545.250798517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7.1449999999999996"/>
    <n v="6.7163000000000004"/>
    <n v="7.1449999999999996"/>
    <n v="6.7163000000000004"/>
    <m/>
    <n v="516.83000000000004"/>
    <n v="173.82"/>
    <m/>
    <n v="4934.6942500000005"/>
    <n v="4934.6942500000005"/>
    <n v="3725.7602499999994"/>
    <n v="0"/>
    <n v="436.91286139107928"/>
    <n v="0"/>
    <n v="0"/>
    <n v="19.423282904377764"/>
    <n v="245.97813932516152"/>
    <n v="2598.0348564660644"/>
    <n v="1149.7886584435814"/>
    <n v="57.844958226316777"/>
    <n v="0"/>
    <n v="0"/>
    <n v="0"/>
    <n v="0"/>
    <n v="67.530943618689463"/>
    <m/>
    <n v="11.085767410301035"/>
    <n v="41.430309501922714"/>
    <n v="135.67866175974558"/>
    <n v="0"/>
    <n v="0"/>
    <n v="0"/>
    <n v="0"/>
    <n v="0"/>
    <n v="0"/>
    <n v="0"/>
    <n v="0"/>
    <n v="0"/>
    <n v="0"/>
    <m/>
    <n v="0"/>
    <n v="0"/>
    <n v="0"/>
    <n v="3.9641361488372975"/>
    <n v="34.336643171160482"/>
    <n v="132.74211930791103"/>
    <n v="0"/>
    <n v="8.19"/>
    <n v="37.83"/>
    <n v="1474.9"/>
    <n v="7"/>
    <m/>
    <m/>
    <m/>
    <m/>
    <n v="223.5456149999996"/>
    <m/>
    <m/>
    <m/>
    <m/>
    <n v="1320.8315570714901"/>
    <m/>
    <m/>
    <m/>
    <m/>
    <m/>
    <m/>
    <m/>
    <m/>
    <m/>
    <m/>
    <m/>
    <m/>
    <n v="3504.1439999999993"/>
    <n v="-1134.4985950000018"/>
    <m/>
    <m/>
    <m/>
    <m/>
    <n v="-1360.3365500000002"/>
    <n v="151.40254999999996"/>
    <n v="30"/>
    <n v="166.52050555508777"/>
    <n v="4.0226213076286683"/>
    <n v="13.173540877360125"/>
    <n v="0"/>
    <n v="0"/>
    <n v="0"/>
    <n v="0"/>
    <n v="0"/>
    <n v="-4.7164359958667887"/>
    <n v="0"/>
    <n v="0"/>
    <n v="147.58808183564997"/>
    <n v="4.4074876413952921"/>
    <n v="0.50884068654338543"/>
    <n v="0"/>
    <n v="17.0389180860181"/>
    <n v="0"/>
    <n v="-12.768999242662517"/>
    <m/>
    <n v="0"/>
    <n v="0"/>
    <n v="-0.64292548054964982"/>
    <n v="0"/>
    <n v="-1.7490281141830053"/>
    <n v="-0.34159604624552209"/>
    <n v="0"/>
    <n v="0"/>
    <m/>
    <m/>
    <m/>
    <n v="2598.0348564660644"/>
    <n v="0"/>
    <n v="0"/>
    <n v="-1360.3365500000004"/>
    <n v="151.40254999999979"/>
    <n v="0"/>
    <n v="0"/>
    <n v="-1375.5217204497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5"/>
    <s v="Regular"/>
    <s v="Azul"/>
    <s v="A4"/>
    <s v="Serviço público"/>
    <s v="Água, esgoto e saneamento"/>
    <s v="Não se aplica"/>
    <s v="Não se aplica"/>
    <s v="Ponta"/>
    <s v="CATIVO"/>
    <x v="9"/>
    <n v="100"/>
    <n v="94"/>
    <n v="3.9089999999999998"/>
    <n v="3.6744599999999998"/>
    <n v="3.9089999999999998"/>
    <n v="3.6744599999999998"/>
    <n v="67.099999999999994"/>
    <n v="70.33"/>
    <n v="173.82"/>
    <n v="6709.9999999999991"/>
    <n v="954.38234999999986"/>
    <n v="7664.382349999999"/>
    <n v="5237.2659700000004"/>
    <n v="0"/>
    <n v="207.95890362556005"/>
    <n v="0"/>
    <n v="0"/>
    <n v="74.841808613404609"/>
    <n v="1141.7233140635399"/>
    <n v="4816.1797752450702"/>
    <n v="629.04462783148495"/>
    <n v="31.646737817588843"/>
    <n v="0"/>
    <n v="0"/>
    <n v="0"/>
    <n v="0"/>
    <n v="36.945900434633607"/>
    <m/>
    <n v="4.857834172138273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72939447893801646"/>
    <n v="18.785435711135946"/>
    <n v="24.42432986922509"/>
    <n v="0"/>
    <n v="0"/>
    <n v="0"/>
    <n v="0"/>
    <n v="0"/>
    <m/>
    <m/>
    <m/>
    <m/>
    <n v="314.23595820000003"/>
    <m/>
    <m/>
    <m/>
    <m/>
    <n v="672.98378789078401"/>
    <m/>
    <m/>
    <m/>
    <m/>
    <m/>
    <m/>
    <m/>
    <m/>
    <m/>
    <m/>
    <m/>
    <m/>
    <n v="4921.8510999999999"/>
    <n v="-2282.6983090000003"/>
    <m/>
    <m/>
    <m/>
    <m/>
    <n v="-2509.9480899999994"/>
    <n v="82.831709999999987"/>
    <n v="30"/>
    <n v="122.74401662944865"/>
    <n v="15.60587050589902"/>
    <n v="50.180900324482081"/>
    <n v="0"/>
    <n v="0"/>
    <n v="0"/>
    <n v="0"/>
    <n v="0"/>
    <n v="-21.891640251209992"/>
    <n v="0"/>
    <n v="0"/>
    <n v="80.744830216312948"/>
    <n v="2.4113182911426421"/>
    <n v="9.3625842677638627E-2"/>
    <n v="0"/>
    <n v="3.1351326776866486"/>
    <n v="0"/>
    <n v="-6.0777040859937301"/>
    <m/>
    <n v="0"/>
    <n v="0"/>
    <n v="-0.35174187592282635"/>
    <n v="0"/>
    <n v="-0.95688605994980946"/>
    <n v="-0.14968895567636409"/>
    <n v="0"/>
    <n v="0"/>
    <m/>
    <m/>
    <n v="4816.1797752450702"/>
    <n v="0"/>
    <n v="0"/>
    <n v="0"/>
    <n v="-2509.948089999999"/>
    <n v="82.831710000000044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6"/>
    <s v="Regular"/>
    <s v="Azul"/>
    <s v="A4"/>
    <s v="Serviço público"/>
    <s v="Água, esgoto e saneamento"/>
    <s v="Não se aplica"/>
    <s v="Não se aplica"/>
    <s v="Fora ponta"/>
    <s v="CATIVO"/>
    <x v="9"/>
    <n v="100"/>
    <n v="94"/>
    <n v="32.448999999999998"/>
    <n v="30.50206"/>
    <n v="32.448999999999998"/>
    <n v="30.50206"/>
    <n v="59.12"/>
    <n v="70.33"/>
    <n v="173.82"/>
    <n v="5912"/>
    <n v="7922.4233499999991"/>
    <n v="13834.423350000001"/>
    <n v="11980.244169999998"/>
    <n v="0"/>
    <n v="1726.2876602061392"/>
    <n v="0"/>
    <n v="0"/>
    <n v="57.206036333368203"/>
    <n v="511.70226507154302"/>
    <n v="4816.1797752450702"/>
    <n v="5221.7623761841533"/>
    <n v="262.70273610717328"/>
    <n v="0"/>
    <n v="0"/>
    <n v="0"/>
    <n v="0"/>
    <n v="306.6916150430867"/>
    <m/>
    <n v="40.325367370610081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0547765277717307"/>
    <n v="155.93978086227943"/>
    <n v="202.74880530224738"/>
    <n v="0"/>
    <n v="0"/>
    <n v="0"/>
    <n v="0"/>
    <n v="0"/>
    <m/>
    <m/>
    <m/>
    <m/>
    <n v="718.81465019999951"/>
    <m/>
    <m/>
    <m/>
    <m/>
    <n v="5586.5057388764517"/>
    <m/>
    <m/>
    <m/>
    <m/>
    <m/>
    <m/>
    <m/>
    <m/>
    <m/>
    <m/>
    <m/>
    <m/>
    <n v="11260.884999999998"/>
    <n v="-1743.5029490000015"/>
    <m/>
    <m/>
    <m/>
    <m/>
    <n v="-2541.7734899999996"/>
    <n v="687.59430999999984"/>
    <n v="30"/>
    <n v="695.88024792693977"/>
    <n v="11.729617017467007"/>
    <n v="39.429626542059964"/>
    <n v="0"/>
    <n v="0"/>
    <n v="0"/>
    <n v="0"/>
    <n v="0"/>
    <n v="-9.8114856416560201"/>
    <n v="0"/>
    <n v="0"/>
    <n v="670.27091217424822"/>
    <n v="20.016594328290523"/>
    <n v="0.77719748504648223"/>
    <n v="0"/>
    <n v="26.025049950947562"/>
    <n v="0"/>
    <n v="-50.45162954372222"/>
    <m/>
    <n v="0"/>
    <n v="0"/>
    <n v="-2.9198444952212412"/>
    <n v="0"/>
    <n v="-7.943206896728384"/>
    <n v="-1.2425829937944073"/>
    <n v="0"/>
    <n v="0"/>
    <m/>
    <m/>
    <n v="4816.1797752450702"/>
    <n v="0"/>
    <n v="0"/>
    <n v="0"/>
    <n v="-2541.7734900000005"/>
    <n v="687.5943099999995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7"/>
    <s v="Regular"/>
    <s v="Azul"/>
    <s v="A4"/>
    <s v="Serviço público"/>
    <s v="Água, esgoto e saneamento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7.19"/>
    <n v="171.1"/>
    <n v="6438.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1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1.103"/>
    <n v="1.103"/>
    <n v="1.103"/>
    <n v="1.103"/>
    <m/>
    <n v="516.83000000000004"/>
    <n v="173.82"/>
    <m/>
    <n v="761.78694999999993"/>
    <n v="761.78694999999993"/>
    <n v="575.1593499999999"/>
    <n v="0"/>
    <n v="67.447849701100139"/>
    <n v="0"/>
    <n v="0"/>
    <n v="2.9984438129501298"/>
    <n v="37.972552508838795"/>
    <n v="401.06822206886898"/>
    <n v="177.49711550220721"/>
    <n v="8.9297395274496019"/>
    <n v="0"/>
    <n v="0"/>
    <n v="0"/>
    <n v="0"/>
    <n v="10.425000813354021"/>
    <m/>
    <n v="1.711350798259208"/>
    <n v="6.3957496683863901"/>
    <n v="20.945215384324616"/>
    <n v="0"/>
    <n v="0"/>
    <n v="0"/>
    <n v="0"/>
    <n v="0"/>
    <n v="0"/>
    <n v="0"/>
    <n v="0"/>
    <n v="0"/>
    <n v="0"/>
    <m/>
    <n v="0"/>
    <n v="0"/>
    <n v="0"/>
    <n v="0.611958316608473"/>
    <n v="5.3006742362197361"/>
    <n v="20.491890496378709"/>
    <n v="0"/>
    <n v="1.29"/>
    <n v="6.11"/>
    <n v="238.01"/>
    <n v="7"/>
    <m/>
    <m/>
    <m/>
    <m/>
    <m/>
    <m/>
    <m/>
    <m/>
    <m/>
    <n v="203.90163855141415"/>
    <m/>
    <m/>
    <m/>
    <m/>
    <m/>
    <m/>
    <m/>
    <m/>
    <m/>
    <m/>
    <m/>
    <m/>
    <n v="573.59500000000003"/>
    <n v="-188.22194999999988"/>
    <m/>
    <m/>
    <m/>
    <m/>
    <n v="-210.00017000000005"/>
    <n v="23.372569999999996"/>
    <n v="30"/>
    <n v="25.706384552450913"/>
    <n v="0.62098688625814091"/>
    <n v="2.0336480878555925"/>
    <n v="0"/>
    <n v="0"/>
    <n v="0"/>
    <n v="0"/>
    <n v="0"/>
    <n v="-0.72809361839622966"/>
    <n v="0"/>
    <n v="0"/>
    <n v="22.783716482116432"/>
    <n v="0.68040012154779639"/>
    <n v="7.8551613332029979E-2"/>
    <n v="0"/>
    <n v="2.6303606226561165"/>
    <n v="0"/>
    <n v="-1.9711975038008092"/>
    <m/>
    <n v="0"/>
    <n v="0"/>
    <n v="-9.925077747323563E-2"/>
    <n v="0"/>
    <n v="-0.27000392021607489"/>
    <n v="-5.2733441428804761E-2"/>
    <n v="0"/>
    <n v="0"/>
    <m/>
    <m/>
    <m/>
    <n v="401.06822206886898"/>
    <n v="0"/>
    <n v="0"/>
    <n v="-210.00017000000003"/>
    <n v="23.372569999999996"/>
    <n v="0"/>
    <n v="0"/>
    <n v="-212.3443607636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1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67.1300000000001"/>
    <n v="5371"/>
    <n v="530.69000000000005"/>
    <n v="6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20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14"/>
    <n v="49.36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21"/>
    <s v="Regular"/>
    <s v="Convencional"/>
    <s v="B2"/>
    <s v="Rural"/>
    <s v="Agropecuária rural"/>
    <s v="IRRIG./AQUIC."/>
    <s v="Não se aplica"/>
    <s v="Não se aplica"/>
    <s v="CATIVO"/>
    <x v="9"/>
    <n v="0"/>
    <n v="0"/>
    <n v="5.8090000000000002"/>
    <n v="5.8090000000000002"/>
    <n v="5.8090000000000002"/>
    <n v="5.8090000000000002"/>
    <m/>
    <n v="516.83000000000004"/>
    <n v="173.82"/>
    <m/>
    <n v="4011.98585"/>
    <n v="4011.98585"/>
    <n v="3029.1030499999997"/>
    <n v="0"/>
    <n v="355.21718849835969"/>
    <n v="0"/>
    <n v="0"/>
    <n v="15.791441622327564"/>
    <n v="199.98418633168137"/>
    <n v="2112.2441541233547"/>
    <n v="934.79668536021916"/>
    <n v="47.028882062515628"/>
    <n v="0"/>
    <n v="0"/>
    <n v="0"/>
    <n v="0"/>
    <n v="54.903744084110166"/>
    <m/>
    <n v="9.0129073319018485"/>
    <n v="33.683508452997771"/>
    <n v="110.3089357819961"/>
    <n v="0"/>
    <n v="0"/>
    <n v="0"/>
    <n v="0"/>
    <n v="0"/>
    <n v="0"/>
    <n v="0"/>
    <n v="0"/>
    <n v="0"/>
    <n v="0"/>
    <m/>
    <n v="0"/>
    <n v="0"/>
    <n v="0"/>
    <n v="3.2229064924556843"/>
    <n v="27.916243552312284"/>
    <n v="107.92147950450038"/>
    <n v="0"/>
    <n v="0"/>
    <n v="0"/>
    <n v="0"/>
    <n v="0"/>
    <m/>
    <m/>
    <m/>
    <m/>
    <m/>
    <n v="363.46912999999995"/>
    <m/>
    <m/>
    <m/>
    <n v="1073.8573149094875"/>
    <m/>
    <m/>
    <m/>
    <m/>
    <m/>
    <m/>
    <m/>
    <m/>
    <m/>
    <m/>
    <m/>
    <m/>
    <n v="2666.0927999999999"/>
    <n v="-864.47313000000076"/>
    <m/>
    <m/>
    <m/>
    <m/>
    <n v="-1105.9755100000002"/>
    <n v="123.09271"/>
    <n v="30"/>
    <n v="135.38385119237319"/>
    <n v="3.2704558678817293"/>
    <n v="10.710300763692786"/>
    <n v="0"/>
    <n v="0"/>
    <n v="0"/>
    <n v="0"/>
    <n v="0"/>
    <n v="-3.834538376485682"/>
    <n v="0"/>
    <n v="0"/>
    <n v="119.99148598786439"/>
    <n v="3.583358391723614"/>
    <n v="0.41369566803786251"/>
    <n v="0"/>
    <n v="13.852914648240599"/>
    <n v="0"/>
    <n v="-10.381401903516689"/>
    <m/>
    <n v="0"/>
    <n v="0"/>
    <n v="-0.52270876368270081"/>
    <n v="0"/>
    <n v="-1.4219880077381504"/>
    <n v="-0.27772308364453835"/>
    <n v="0"/>
    <n v="0"/>
    <m/>
    <m/>
    <m/>
    <n v="2112.2441541233547"/>
    <n v="0"/>
    <n v="0"/>
    <n v="-1105.9755100000002"/>
    <n v="123.0927099999999"/>
    <n v="0"/>
    <n v="0"/>
    <n v="-1118.321297983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2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4"/>
    <n v="0.4"/>
    <n v="0.4"/>
    <n v="0.4"/>
    <m/>
    <n v="516.83000000000004"/>
    <n v="173.82"/>
    <m/>
    <n v="276.26000000000005"/>
    <n v="276.26000000000005"/>
    <n v="208.57999999999998"/>
    <n v="0"/>
    <n v="24.459782303209479"/>
    <n v="0"/>
    <n v="0"/>
    <n v="1.0873776293563482"/>
    <n v="13.7706446088264"/>
    <n v="145.44631806667959"/>
    <n v="64.368854216575599"/>
    <n v="3.238346156826692"/>
    <n v="0"/>
    <n v="0"/>
    <n v="0"/>
    <n v="0"/>
    <n v="3.7805986630476962"/>
    <m/>
    <n v="0.62061678993987601"/>
    <n v="2.319401511654176"/>
    <n v="7.5957263406435604"/>
    <n v="0"/>
    <n v="0"/>
    <n v="0"/>
    <n v="0"/>
    <n v="0"/>
    <n v="0"/>
    <n v="0"/>
    <n v="0"/>
    <n v="0"/>
    <n v="0"/>
    <m/>
    <n v="0"/>
    <n v="0"/>
    <n v="0"/>
    <n v="0.22192504682084244"/>
    <n v="1.9222753349844919"/>
    <n v="7.4313292824582806"/>
    <n v="0"/>
    <n v="0"/>
    <n v="0"/>
    <n v="0"/>
    <n v="0"/>
    <m/>
    <m/>
    <m/>
    <m/>
    <m/>
    <n v="25.027999999999999"/>
    <m/>
    <m/>
    <m/>
    <n v="73.944383880839212"/>
    <m/>
    <m/>
    <m/>
    <m/>
    <m/>
    <m/>
    <m/>
    <m/>
    <m/>
    <m/>
    <m/>
    <m/>
    <n v="183.55200000000002"/>
    <n v="-59.585999999999956"/>
    <m/>
    <m/>
    <m/>
    <m/>
    <n v="-76.15600000000002"/>
    <n v="8.4759999999999991"/>
    <n v="30"/>
    <n v="9.3223516056032452"/>
    <n v="0.22519923345716819"/>
    <n v="0.73749704002016081"/>
    <n v="0"/>
    <n v="0"/>
    <n v="0"/>
    <n v="0"/>
    <n v="0"/>
    <n v="-0.26404120340751902"/>
    <n v="0"/>
    <n v="0"/>
    <n v="8.2624538466424013"/>
    <n v="0.24674528433283638"/>
    <n v="2.8486532486683619E-2"/>
    <n v="0"/>
    <n v="0.95389324484355953"/>
    <n v="0"/>
    <n v="-0.71484950273827863"/>
    <m/>
    <n v="0"/>
    <n v="0"/>
    <n v="-3.5993029002080235E-2"/>
    <n v="0"/>
    <n v="-9.7916199534388237E-2"/>
    <n v="-1.9123641497299948E-2"/>
    <n v="0"/>
    <n v="0"/>
    <m/>
    <m/>
    <m/>
    <n v="145.44631806667959"/>
    <n v="0"/>
    <n v="0"/>
    <n v="-76.156000000000034"/>
    <n v="8.4759999999999991"/>
    <n v="0"/>
    <n v="0"/>
    <n v="-77.00611451083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3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0.45100000000000001"/>
    <n v="0.1804"/>
    <n v="0.45100000000000001"/>
    <n v="0.1804"/>
    <m/>
    <n v="516.83000000000004"/>
    <n v="173.82"/>
    <m/>
    <n v="311.48315000000002"/>
    <n v="311.48315000000002"/>
    <n v="235.17395000000002"/>
    <n v="0"/>
    <n v="27.57840454686869"/>
    <n v="0"/>
    <n v="0"/>
    <n v="1.2260182770992825"/>
    <n v="15.526401796451765"/>
    <n v="163.99072362018126"/>
    <n v="72.575883129188981"/>
    <n v="3.6512352918220952"/>
    <n v="0"/>
    <n v="0"/>
    <n v="0"/>
    <n v="0"/>
    <n v="4.2626249925862769"/>
    <m/>
    <n v="0.69974543065721018"/>
    <n v="2.6151252043900834"/>
    <n v="8.5641814490756136"/>
    <n v="0"/>
    <n v="0"/>
    <n v="0"/>
    <n v="0"/>
    <n v="0"/>
    <n v="0"/>
    <n v="0"/>
    <n v="0"/>
    <n v="0"/>
    <n v="0"/>
    <m/>
    <n v="0"/>
    <n v="0"/>
    <n v="0"/>
    <n v="0.25022049029049981"/>
    <n v="2.1673654401950144"/>
    <n v="8.3788237659717115"/>
    <n v="0"/>
    <n v="0"/>
    <n v="0"/>
    <n v="0"/>
    <n v="0"/>
    <m/>
    <m/>
    <m/>
    <m/>
    <m/>
    <m/>
    <n v="152.391998"/>
    <m/>
    <m/>
    <n v="83.372292825646213"/>
    <m/>
    <m/>
    <m/>
    <m/>
    <m/>
    <m/>
    <m/>
    <m/>
    <m/>
    <m/>
    <m/>
    <m/>
    <n v="82.598399999999998"/>
    <n v="-27.073308000000026"/>
    <m/>
    <m/>
    <m/>
    <m/>
    <n v="-85.865890000000022"/>
    <n v="9.5566899999999997"/>
    <n v="30"/>
    <n v="10.510951435317679"/>
    <n v="0.25391213572295701"/>
    <n v="0.8315279126227324"/>
    <n v="0"/>
    <n v="0"/>
    <n v="0"/>
    <n v="0"/>
    <n v="0"/>
    <n v="-0.29770645684197738"/>
    <n v="0"/>
    <n v="0"/>
    <n v="9.3159167120893187"/>
    <n v="0.27820530808527311"/>
    <n v="3.2118565378735808E-2"/>
    <n v="0"/>
    <n v="1.0755146335611148"/>
    <n v="0"/>
    <n v="-0.80599281433741155"/>
    <m/>
    <n v="0"/>
    <n v="0"/>
    <n v="-4.0582140199845185E-2"/>
    <n v="0"/>
    <n v="-0.11040051497502201"/>
    <n v="-2.1561905788205715E-2"/>
    <n v="0"/>
    <n v="0"/>
    <m/>
    <m/>
    <m/>
    <n v="163.99072362018126"/>
    <n v="0"/>
    <n v="0"/>
    <n v="-85.865890000000007"/>
    <n v="9.5566900000000032"/>
    <n v="0"/>
    <n v="0"/>
    <n v="-86.824394110961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4"/>
    <s v="Regular"/>
    <s v="Verde"/>
    <s v="A4"/>
    <s v="Rural"/>
    <s v="Agropecuária rural"/>
    <s v="Não se aplica"/>
    <s v="Não se aplica"/>
    <s v="Ponta"/>
    <s v="CATIVO"/>
    <x v="9"/>
    <n v="0"/>
    <n v="0"/>
    <n v="6.9000000000000006E-2"/>
    <n v="6.6239999999999993E-2"/>
    <n v="6.9000000000000006E-2"/>
    <n v="6.6239999999999993E-2"/>
    <m/>
    <n v="1684.16"/>
    <n v="173.82"/>
    <m/>
    <n v="128.20062000000001"/>
    <n v="128.20062000000001"/>
    <n v="88.006740000000008"/>
    <n v="0"/>
    <n v="3.6708018291541689"/>
    <n v="0"/>
    <n v="0"/>
    <n v="1.2419585903217427"/>
    <n v="18.946429113422138"/>
    <n v="79.922179429199858"/>
    <n v="11.103627352359291"/>
    <n v="0.55861471205260438"/>
    <n v="0"/>
    <n v="0"/>
    <n v="0"/>
    <n v="0"/>
    <n v="0.6521532693757276"/>
    <m/>
    <n v="8.5748415931834451E-2"/>
    <n v="2.6672739104061338"/>
    <n v="8.5766082996052688"/>
    <n v="0"/>
    <n v="0"/>
    <n v="0"/>
    <n v="0"/>
    <n v="0"/>
    <n v="0"/>
    <n v="0"/>
    <n v="0"/>
    <n v="0"/>
    <n v="0"/>
    <m/>
    <n v="0"/>
    <n v="0"/>
    <n v="0"/>
    <n v="1.2874960104047874E-2"/>
    <n v="0.33159249528482487"/>
    <n v="0.43112784880443372"/>
    <n v="0"/>
    <n v="0"/>
    <n v="0"/>
    <n v="0"/>
    <n v="0"/>
    <m/>
    <m/>
    <m/>
    <m/>
    <m/>
    <n v="3.5202696000000158"/>
    <m/>
    <m/>
    <m/>
    <n v="11.879222656552598"/>
    <m/>
    <m/>
    <m/>
    <m/>
    <m/>
    <m/>
    <m/>
    <m/>
    <m/>
    <m/>
    <m/>
    <m/>
    <n v="89.282200000000017"/>
    <n v="-33.820395199999979"/>
    <m/>
    <m/>
    <m/>
    <m/>
    <n v="-41.655990000000003"/>
    <n v="1.46211"/>
    <n v="30"/>
    <n v="2.1202340462265923"/>
    <n v="0.25897544561629537"/>
    <n v="0.83273448129982874"/>
    <n v="0"/>
    <n v="0"/>
    <n v="0"/>
    <n v="0"/>
    <n v="0"/>
    <n v="-0.36328277183026003"/>
    <n v="0"/>
    <n v="0"/>
    <n v="1.4252732885458155"/>
    <n v="4.2563561547414253E-2"/>
    <n v="1.6526434240872537E-3"/>
    <n v="0"/>
    <n v="5.5340024241590902E-2"/>
    <n v="0"/>
    <n v="-0.10728103912345022"/>
    <m/>
    <n v="0"/>
    <n v="0"/>
    <n v="-6.2087975028588538E-3"/>
    <n v="0"/>
    <n v="-1.6890544419681963E-2"/>
    <n v="-2.6422455721844817E-3"/>
    <n v="0"/>
    <n v="0"/>
    <m/>
    <m/>
    <m/>
    <n v="79.922179429199858"/>
    <n v="0"/>
    <n v="0"/>
    <n v="-41.655990000000017"/>
    <n v="1.4621100000000009"/>
    <n v="0"/>
    <n v="0"/>
    <n v="-42.31455689554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5"/>
    <s v="Regular"/>
    <s v="Verde"/>
    <s v="A4"/>
    <s v="Rural"/>
    <s v="Agropecuária rural"/>
    <s v="Não se aplica"/>
    <s v="Não se aplica"/>
    <s v="Fora ponta"/>
    <s v="CATIVO"/>
    <x v="9"/>
    <n v="0"/>
    <n v="0"/>
    <n v="0.36899999999999999"/>
    <n v="0.35424"/>
    <n v="0.36899999999999999"/>
    <n v="0.35424"/>
    <m/>
    <n v="70.33"/>
    <n v="173.82"/>
    <m/>
    <n v="90.091349999999991"/>
    <n v="90.091349999999991"/>
    <n v="97.537769999999995"/>
    <n v="0"/>
    <n v="19.630809781998376"/>
    <n v="0"/>
    <n v="0"/>
    <n v="0"/>
    <n v="0"/>
    <n v="0"/>
    <n v="59.380268014790985"/>
    <n v="2.987374329672623"/>
    <n v="0"/>
    <n v="0"/>
    <n v="0"/>
    <n v="0"/>
    <n v="3.4876022666614994"/>
    <m/>
    <n v="0.45856761563546244"/>
    <n v="0"/>
    <n v="0"/>
    <n v="0"/>
    <n v="0"/>
    <n v="0"/>
    <n v="0"/>
    <n v="0"/>
    <n v="0"/>
    <n v="0"/>
    <n v="0"/>
    <n v="0"/>
    <n v="0"/>
    <m/>
    <n v="0"/>
    <n v="0"/>
    <n v="0"/>
    <n v="6.8853047512951668E-2"/>
    <n v="1.7732989965231938"/>
    <n v="2.3055967566497975"/>
    <n v="0"/>
    <n v="0"/>
    <n v="0"/>
    <n v="0"/>
    <n v="0"/>
    <m/>
    <m/>
    <m/>
    <m/>
    <m/>
    <n v="3.9015107999999983"/>
    <m/>
    <m/>
    <m/>
    <n v="63.528016815476931"/>
    <m/>
    <m/>
    <m/>
    <m/>
    <m/>
    <m/>
    <m/>
    <m/>
    <m/>
    <m/>
    <m/>
    <m/>
    <n v="92.515499999999989"/>
    <n v="5.9978039999999879"/>
    <m/>
    <m/>
    <m/>
    <m/>
    <n v="-0.37269000000000191"/>
    <n v="7.8191099999999993"/>
    <n v="30"/>
    <n v="7.4431412004482809"/>
    <n v="0"/>
    <n v="0"/>
    <n v="0"/>
    <n v="0"/>
    <n v="0"/>
    <n v="0"/>
    <n v="0"/>
    <n v="0"/>
    <n v="0"/>
    <n v="0"/>
    <n v="7.6221136735276218"/>
    <n v="0.22762252479704159"/>
    <n v="8.8380496157709626E-3"/>
    <n v="0"/>
    <n v="0.29594882529198596"/>
    <n v="0"/>
    <n v="-0.57372033966018776"/>
    <m/>
    <n v="0"/>
    <n v="0"/>
    <n v="-3.3203569254418586E-2"/>
    <n v="0"/>
    <n v="-9.0327694070472919E-2"/>
    <n v="-1.4130269799073503E-2"/>
    <n v="0"/>
    <n v="0"/>
    <m/>
    <m/>
    <m/>
    <n v="0"/>
    <n v="0"/>
    <n v="0"/>
    <n v="-0.37269000000000219"/>
    <n v="7.81910999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6"/>
    <s v="Regular"/>
    <s v="Verde"/>
    <s v="A4"/>
    <s v="Rural"/>
    <s v="Agropecuária rural"/>
    <s v="Não se aplica"/>
    <s v="Não se aplica"/>
    <s v="Não se aplica"/>
    <s v="CATIVO"/>
    <x v="9"/>
    <n v="177"/>
    <n v="169.92"/>
    <n v="0"/>
    <n v="0"/>
    <n v="0"/>
    <n v="0"/>
    <n v="59.12"/>
    <m/>
    <m/>
    <n v="10464.24"/>
    <m/>
    <n v="10464.24"/>
    <n v="6023.31"/>
    <n v="0"/>
    <n v="0"/>
    <n v="0"/>
    <n v="0"/>
    <n v="101.25468431006172"/>
    <n v="905.7130091766312"/>
    <n v="8524.6382021837744"/>
    <m/>
    <m/>
    <m/>
    <n v="0"/>
    <n v="0"/>
    <n v="0"/>
    <n v="0"/>
    <m/>
    <n v="0"/>
    <n v="213.82876447714062"/>
    <n v="718.79485193152937"/>
    <n v="0"/>
    <n v="0"/>
    <m/>
    <m/>
    <n v="0"/>
    <n v="0"/>
    <n v="0"/>
    <m/>
    <m/>
    <n v="0"/>
    <m/>
    <n v="0"/>
    <n v="0"/>
    <n v="0"/>
    <n v="0"/>
    <m/>
    <n v="0"/>
    <n v="0"/>
    <n v="12.49"/>
    <n v="57.56"/>
    <n v="15.32"/>
    <n v="9"/>
    <m/>
    <m/>
    <m/>
    <m/>
    <m/>
    <n v="240.93240000000043"/>
    <m/>
    <m/>
    <m/>
    <n v="0"/>
    <m/>
    <m/>
    <m/>
    <m/>
    <m/>
    <m/>
    <m/>
    <m/>
    <m/>
    <m/>
    <m/>
    <m/>
    <n v="5782.3775999999998"/>
    <n v="-4263.3227999999999"/>
    <m/>
    <m/>
    <m/>
    <m/>
    <n v="-4440.9299999999994"/>
    <n v="0"/>
    <n v="30"/>
    <n v="73.185531514631521"/>
    <n v="20.761422120916592"/>
    <n v="69.790438979446208"/>
    <n v="0"/>
    <n v="0"/>
    <m/>
    <m/>
    <m/>
    <n v="-17.3663295857312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24.6382021837744"/>
    <m/>
    <n v="0"/>
    <n v="0"/>
    <n v="-4440.9299999999994"/>
    <m/>
    <n v="0"/>
    <m/>
    <n v="-4513.343990322366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27"/>
    <s v="Regular"/>
    <s v="Verde"/>
    <s v="A4"/>
    <s v="Rural"/>
    <s v="Agropecuária rural"/>
    <s v="IRRIG./AQUIC. PR"/>
    <s v="Não se aplica"/>
    <s v="Fora ponta"/>
    <s v="CATIVO"/>
    <x v="9"/>
    <n v="0"/>
    <n v="0"/>
    <n v="0.24299999999999999"/>
    <n v="7.2900000000000006E-2"/>
    <n v="0.24299999999999999"/>
    <n v="7.2900000000000006E-2"/>
    <m/>
    <n v="70.33"/>
    <n v="173.82"/>
    <m/>
    <n v="59.328449999999997"/>
    <n v="59.328449999999997"/>
    <n v="64.232189999999989"/>
    <n v="0"/>
    <n v="12.92760644180381"/>
    <n v="0"/>
    <n v="0"/>
    <n v="0"/>
    <n v="0"/>
    <n v="0"/>
    <n v="39.104078936569671"/>
    <n v="1.9672952902722152"/>
    <n v="0"/>
    <n v="0"/>
    <n v="0"/>
    <n v="0"/>
    <n v="2.2967136878014753"/>
    <m/>
    <n v="0.30198355175993868"/>
    <n v="0"/>
    <n v="0"/>
    <n v="0"/>
    <n v="0"/>
    <n v="0"/>
    <n v="0"/>
    <n v="0"/>
    <n v="0"/>
    <n v="0"/>
    <n v="0"/>
    <n v="0"/>
    <n v="0"/>
    <m/>
    <n v="0"/>
    <n v="0"/>
    <n v="0"/>
    <n v="4.5342250801212076E-2"/>
    <n v="1.1677822660030788"/>
    <n v="1.5183198153547448"/>
    <n v="0"/>
    <n v="0"/>
    <n v="0"/>
    <n v="0"/>
    <n v="0"/>
    <m/>
    <m/>
    <m/>
    <m/>
    <m/>
    <m/>
    <n v="44.962532999999993"/>
    <m/>
    <m/>
    <n v="41.835523268728707"/>
    <m/>
    <m/>
    <m/>
    <m/>
    <m/>
    <m/>
    <m/>
    <m/>
    <m/>
    <m/>
    <m/>
    <m/>
    <n v="18.5031"/>
    <n v="0.67456499999999764"/>
    <m/>
    <m/>
    <m/>
    <m/>
    <n v="-0.24543000000000123"/>
    <n v="5.1491699999999989"/>
    <n v="30"/>
    <n v="4.9015807905391142"/>
    <n v="0"/>
    <n v="0"/>
    <n v="0"/>
    <n v="0"/>
    <n v="0"/>
    <n v="0"/>
    <n v="0"/>
    <n v="0"/>
    <n v="0"/>
    <n v="0"/>
    <n v="5.0194407118352657"/>
    <n v="0.14989776023219803"/>
    <n v="5.8201790152637989E-3"/>
    <n v="0"/>
    <n v="0.19489312885082"/>
    <n v="0"/>
    <n v="-0.37781583343475944"/>
    <m/>
    <n v="0"/>
    <n v="0"/>
    <n v="-2.1865765118763481E-2"/>
    <n v="0"/>
    <n v="-5.9484091217140822E-2"/>
    <n v="-9.3052996237801278E-3"/>
    <n v="0"/>
    <n v="0"/>
    <m/>
    <m/>
    <m/>
    <n v="0"/>
    <n v="0"/>
    <n v="0"/>
    <n v="-0.24543000000000248"/>
    <n v="5.1491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28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5"/>
    <n v="0.28000000000000003"/>
    <n v="4.34999999999999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29"/>
    <s v="Regular"/>
    <s v="Convencional"/>
    <s v="B2"/>
    <s v="Rural"/>
    <s v="Aquicultura"/>
    <s v="IRRIG./AQUIC."/>
    <s v="Não se aplica"/>
    <s v="Não se aplica"/>
    <s v="CATIVO"/>
    <x v="9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0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1"/>
    <s v="Regular"/>
    <s v="Convencional"/>
    <s v="B1"/>
    <s v="Residencial"/>
    <s v="Residencial"/>
    <s v="Não se aplica"/>
    <s v="Não se aplica"/>
    <s v="Não se aplica"/>
    <s v="CATIVO"/>
    <x v="10"/>
    <n v="0"/>
    <n v="0"/>
    <n v="1754.64"/>
    <n v="1754.64"/>
    <n v="1754.64"/>
    <n v="1754.64"/>
    <m/>
    <n v="516.83000000000004"/>
    <n v="173.82"/>
    <m/>
    <n v="1211842.1160000002"/>
    <n v="1211842.1160000002"/>
    <n v="914957.02799999993"/>
    <n v="0"/>
    <n v="107295.2810512587"/>
    <n v="0"/>
    <n v="0"/>
    <n v="4769.8907089345566"/>
    <n v="60406.309641077882"/>
    <n v="638014.81883129675"/>
    <n v="282360.41590643051"/>
    <n v="14205.329251535966"/>
    <n v="0"/>
    <n v="0"/>
    <n v="0"/>
    <n v="0"/>
    <n v="16583.974095325022"/>
    <m/>
    <n v="2722.3976107502599"/>
    <n v="10174.28667102221"/>
    <n v="33319.413165867045"/>
    <n v="0"/>
    <n v="0"/>
    <n v="0"/>
    <n v="0"/>
    <n v="0"/>
    <n v="0"/>
    <n v="0"/>
    <n v="0"/>
    <n v="0"/>
    <n v="0"/>
    <m/>
    <n v="0"/>
    <n v="0"/>
    <n v="0"/>
    <n v="973.49641038430741"/>
    <n v="8432.2529844429719"/>
    <n v="32598.269030431493"/>
    <n v="0"/>
    <n v="6973.11"/>
    <n v="32453.200000000001"/>
    <n v="313172.13"/>
    <n v="12337"/>
    <m/>
    <m/>
    <m/>
    <m/>
    <m/>
    <m/>
    <m/>
    <m/>
    <m/>
    <n v="324364.43433168932"/>
    <m/>
    <m/>
    <m/>
    <m/>
    <m/>
    <m/>
    <m/>
    <m/>
    <m/>
    <m/>
    <m/>
    <m/>
    <n v="914957.02799999993"/>
    <n v="-296885.11800000025"/>
    <m/>
    <m/>
    <m/>
    <m/>
    <n v="-334065.90960000007"/>
    <n v="37180.821599999996"/>
    <n v="31"/>
    <n v="40893.427553139045"/>
    <n v="987.85895748321309"/>
    <n v="3235.104515752435"/>
    <n v="0"/>
    <n v="0"/>
    <n v="0"/>
    <n v="0"/>
    <n v="0"/>
    <n v="-1158.2431428674172"/>
    <n v="0"/>
    <n v="0"/>
    <n v="36244.080043681606"/>
    <n v="1082.3728642544211"/>
    <n v="124.95902340608632"/>
    <n v="0"/>
    <n v="4184.3481078307632"/>
    <n v="0"/>
    <n v="-3135.7588287117396"/>
    <m/>
    <n v="0"/>
    <n v="0"/>
    <n v="-157.88702102052412"/>
    <n v="0"/>
    <n v="-429.51920087754479"/>
    <n v="-83.887765792056143"/>
    <n v="0"/>
    <n v="0"/>
    <m/>
    <m/>
    <m/>
    <n v="638014.81883129675"/>
    <n v="0"/>
    <n v="0"/>
    <n v="-334065.90960000013"/>
    <n v="37180.821599999967"/>
    <n v="0"/>
    <n v="0"/>
    <n v="-337795.02191320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2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2.0619999999999998"/>
    <n v="-2.0619999999999998"/>
    <n v="-2.0619999999999998"/>
    <n v="-2.0619999999999998"/>
    <m/>
    <n v="516.83000000000004"/>
    <n v="173.82"/>
    <m/>
    <n v="-1424.1203"/>
    <n v="-1424.1203"/>
    <n v="-1075.2298999999998"/>
    <n v="0"/>
    <n v="-126.09017777304486"/>
    <n v="0"/>
    <n v="0"/>
    <n v="-5.6054316793319741"/>
    <n v="-70.987672958500085"/>
    <n v="-749.77576963373326"/>
    <n v="-331.82144348644715"/>
    <n v="-16.693674438441594"/>
    <n v="0"/>
    <n v="0"/>
    <n v="0"/>
    <n v="0"/>
    <n v="-19.48898610801087"/>
    <m/>
    <n v="-3.1992795521400605"/>
    <n v="-11.956514792577275"/>
    <n v="-39.155969286017552"/>
    <n v="0"/>
    <n v="0"/>
    <n v="0"/>
    <n v="0"/>
    <n v="0"/>
    <n v="0"/>
    <n v="0"/>
    <n v="0"/>
    <n v="0"/>
    <n v="0"/>
    <m/>
    <n v="0"/>
    <n v="0"/>
    <n v="0"/>
    <n v="-1.1440236163614426"/>
    <n v="-9.909329351845054"/>
    <n v="-38.308502451072428"/>
    <n v="0"/>
    <n v="-2.0299999999999998"/>
    <n v="-9.2200000000000006"/>
    <n v="-415.9"/>
    <n v="0"/>
    <m/>
    <m/>
    <m/>
    <m/>
    <m/>
    <m/>
    <m/>
    <m/>
    <m/>
    <n v="-381.18329890572602"/>
    <m/>
    <m/>
    <m/>
    <m/>
    <m/>
    <m/>
    <m/>
    <m/>
    <m/>
    <m/>
    <m/>
    <m/>
    <n v="-1074.1869999999999"/>
    <n v="349.90330000000017"/>
    <m/>
    <m/>
    <m/>
    <m/>
    <n v="392.58418000000006"/>
    <n v="-43.69377999999999"/>
    <n v="31"/>
    <n v="-48.056722526884869"/>
    <n v="-1.1609020484717032"/>
    <n v="-3.8017972413039232"/>
    <n v="0"/>
    <n v="0"/>
    <n v="0"/>
    <n v="0"/>
    <n v="0"/>
    <n v="1.3611324035657617"/>
    <n v="0"/>
    <n v="0"/>
    <n v="-42.592949579441608"/>
    <n v="-1.2719719407357726"/>
    <n v="-0.14684807496885388"/>
    <n v="0"/>
    <n v="-4.9173196771685568"/>
    <n v="0"/>
    <n v="3.6850491866158421"/>
    <m/>
    <n v="0"/>
    <n v="0"/>
    <n v="0.18554406450572003"/>
    <n v="0"/>
    <n v="0.50475800859976871"/>
    <n v="9.8582371918581657E-2"/>
    <n v="0"/>
    <n v="0"/>
    <m/>
    <m/>
    <m/>
    <n v="-749.77576963373326"/>
    <n v="0"/>
    <n v="0"/>
    <n v="392.58418000000006"/>
    <n v="-43.693779999999947"/>
    <n v="0"/>
    <n v="0"/>
    <n v="396.96652030333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3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4.988999999999997"/>
    <n v="34.988999999999997"/>
    <n v="34.988999999999997"/>
    <n v="34.988999999999997"/>
    <m/>
    <n v="516.83000000000004"/>
    <n v="173.82"/>
    <m/>
    <n v="24165.152849999999"/>
    <n v="24165.152849999999"/>
    <n v="18245.014049999998"/>
    <n v="0"/>
    <n v="2139.5583075174909"/>
    <n v="0"/>
    <n v="0"/>
    <n v="95.115639683873141"/>
    <n v="1204.5527105455672"/>
    <n v="12722.553057087631"/>
    <n v="5630.5046004594087"/>
    <n v="283.26623420302275"/>
    <n v="0"/>
    <n v="0"/>
    <n v="0"/>
    <n v="0"/>
    <n v="330.69841655343953"/>
    <m/>
    <n v="54.286902158015799"/>
    <n v="202.88384872816988"/>
    <n v="664.41717233194379"/>
    <n v="0"/>
    <n v="0"/>
    <n v="0"/>
    <n v="0"/>
    <n v="0"/>
    <n v="0"/>
    <n v="0"/>
    <n v="0"/>
    <n v="0"/>
    <n v="0"/>
    <m/>
    <n v="0"/>
    <n v="0"/>
    <n v="0"/>
    <n v="19.412338658036138"/>
    <n v="168.14622923943094"/>
    <n v="650.03695065983186"/>
    <n v="0"/>
    <n v="138.19999999999999"/>
    <n v="646.5"/>
    <n v="15877.24"/>
    <n v="360"/>
    <m/>
    <m/>
    <m/>
    <m/>
    <m/>
    <m/>
    <m/>
    <m/>
    <m/>
    <n v="6468.1001190167071"/>
    <m/>
    <m/>
    <m/>
    <m/>
    <m/>
    <m/>
    <m/>
    <m/>
    <m/>
    <m/>
    <m/>
    <m/>
    <n v="18245.535500000002"/>
    <n v="-5919.647349999992"/>
    <m/>
    <m/>
    <m/>
    <m/>
    <n v="-6661.5557100000005"/>
    <n v="741.41690999999992"/>
    <n v="31"/>
    <n v="815.44940082112771"/>
    <n v="19.698739948582158"/>
    <n v="64.510709833163446"/>
    <n v="0"/>
    <n v="0"/>
    <n v="0"/>
    <n v="0"/>
    <n v="0"/>
    <n v="-23.096344165064238"/>
    <n v="0"/>
    <n v="0"/>
    <n v="722.73749410042728"/>
    <n v="21.583426883804037"/>
    <n v="2.4917882129414295"/>
    <n v="0"/>
    <n v="83.439426859578361"/>
    <n v="0"/>
    <n v="-62.529673128274226"/>
    <m/>
    <n v="0"/>
    <n v="0"/>
    <n v="-3.1484002293844355"/>
    <n v="0"/>
    <n v="-8.5649747637717155"/>
    <n v="-1.6727927308725796"/>
    <n v="0"/>
    <n v="0"/>
    <m/>
    <m/>
    <m/>
    <n v="12722.553057087631"/>
    <n v="0"/>
    <n v="0"/>
    <n v="-6661.5557100000024"/>
    <n v="741.41690999999992"/>
    <n v="0"/>
    <n v="0"/>
    <n v="-6735.9173515486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4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44.22"/>
    <n v="44.22"/>
    <n v="44.22"/>
    <n v="44.22"/>
    <m/>
    <n v="446.23"/>
    <n v="173.82"/>
    <m/>
    <n v="27418.611000000001"/>
    <n v="27418.611000000001"/>
    <n v="20026.353599999999"/>
    <n v="0"/>
    <n v="0"/>
    <n v="0"/>
    <n v="0"/>
    <n v="120.20959692534427"/>
    <n v="1522.3447615057582"/>
    <n v="16079.09046227143"/>
    <n v="7115.9768336424322"/>
    <n v="357.99916763719074"/>
    <n v="0"/>
    <n v="0"/>
    <n v="0"/>
    <n v="0"/>
    <n v="0"/>
    <m/>
    <n v="68.609186127853292"/>
    <n v="256.40983711336912"/>
    <n v="839.7075469581456"/>
    <n v="0"/>
    <n v="0"/>
    <n v="0"/>
    <n v="0"/>
    <n v="0"/>
    <n v="0"/>
    <n v="0"/>
    <n v="0"/>
    <n v="0"/>
    <n v="0"/>
    <m/>
    <n v="0"/>
    <n v="0"/>
    <n v="0"/>
    <n v="24.533813926044129"/>
    <n v="212.50753828253556"/>
    <n v="821.53345217576282"/>
    <n v="0"/>
    <n v="169.84"/>
    <n v="788.34"/>
    <n v="2464.06"/>
    <n v="112"/>
    <m/>
    <m/>
    <m/>
    <m/>
    <m/>
    <m/>
    <m/>
    <n v="13017.0414"/>
    <m/>
    <n v="8174.5516380267745"/>
    <m/>
    <m/>
    <m/>
    <m/>
    <m/>
    <m/>
    <m/>
    <m/>
    <m/>
    <m/>
    <m/>
    <m/>
    <n v="7009.3122000000003"/>
    <n v="-2587.342200000001"/>
    <m/>
    <m/>
    <m/>
    <m/>
    <n v="-8329.2792000000009"/>
    <n v="937.02179999999987"/>
    <n v="31"/>
    <n v="1120.4372183856849"/>
    <n v="24.89577525868998"/>
    <n v="81.530297774228643"/>
    <n v="0"/>
    <n v="0"/>
    <n v="0"/>
    <n v="0"/>
    <n v="0"/>
    <n v="-29.189755036700944"/>
    <n v="0"/>
    <n v="0"/>
    <n v="913.41427274631769"/>
    <n v="27.277691182995056"/>
    <n v="3.149186166402874"/>
    <n v="0"/>
    <n v="105.45289821745564"/>
    <n v="0"/>
    <n v="0"/>
    <m/>
    <n v="0"/>
    <n v="0"/>
    <n v="-3.9790293561799217"/>
    <n v="0"/>
    <n v="0"/>
    <n v="-2.1141185675265177"/>
    <n v="0"/>
    <n v="0"/>
    <m/>
    <m/>
    <m/>
    <n v="16079.09046227143"/>
    <n v="0"/>
    <n v="0"/>
    <n v="-8329.2792000000009"/>
    <n v="937.02179999999953"/>
    <n v="0"/>
    <n v="0"/>
    <n v="-8513.025959172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5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8.5999999999999993E-2"/>
    <n v="-0.30530000000000002"/>
    <n v="8.5999999999999993E-2"/>
    <n v="-0.30530000000000002"/>
    <m/>
    <n v="446.23"/>
    <n v="173.82"/>
    <m/>
    <n v="53.324299999999994"/>
    <n v="53.324299999999994"/>
    <n v="38.947679999999998"/>
    <n v="0"/>
    <n v="0"/>
    <n v="0"/>
    <n v="0"/>
    <n v="0.23378619031161482"/>
    <n v="2.9606885908976754"/>
    <n v="31.270958384336112"/>
    <n v="13.839303656563752"/>
    <n v="0.69624442371773865"/>
    <n v="0"/>
    <n v="0"/>
    <n v="0"/>
    <n v="0"/>
    <n v="0"/>
    <m/>
    <n v="0.13343260983707333"/>
    <n v="0.49867132500564781"/>
    <n v="1.6330811632383653"/>
    <n v="0"/>
    <n v="0"/>
    <n v="0"/>
    <n v="0"/>
    <n v="0"/>
    <n v="0"/>
    <n v="0"/>
    <n v="0"/>
    <n v="0"/>
    <n v="0"/>
    <m/>
    <n v="0"/>
    <n v="0"/>
    <n v="0"/>
    <n v="4.7713885066481117E-2"/>
    <n v="0.41328919702166572"/>
    <n v="1.5977357957285301"/>
    <n v="0"/>
    <n v="0.32"/>
    <n v="1.54"/>
    <n v="8.8699999999999992"/>
    <n v="0"/>
    <m/>
    <m/>
    <m/>
    <m/>
    <m/>
    <m/>
    <m/>
    <n v="87.340783000000002"/>
    <m/>
    <n v="15.898042534380428"/>
    <m/>
    <m/>
    <m/>
    <m/>
    <m/>
    <m/>
    <m/>
    <m/>
    <m/>
    <m/>
    <m/>
    <m/>
    <n v="-49.138100000000001"/>
    <n v="17.088106000000003"/>
    <m/>
    <m/>
    <m/>
    <m/>
    <n v="-16.19896"/>
    <n v="1.8223399999999996"/>
    <n v="31"/>
    <n v="2.1790502211933216"/>
    <n v="4.8417835193291126E-2"/>
    <n v="0.15856186360433444"/>
    <n v="0"/>
    <n v="0"/>
    <n v="0"/>
    <n v="0"/>
    <n v="0"/>
    <n v="-5.6768858732616501E-2"/>
    <n v="0"/>
    <n v="0"/>
    <n v="1.7764275770281177"/>
    <n v="5.3050236131559791E-2"/>
    <n v="6.1246044846369752E-3"/>
    <n v="0"/>
    <n v="0.20508704764136554"/>
    <n v="0"/>
    <n v="0"/>
    <m/>
    <n v="0"/>
    <n v="0"/>
    <n v="-7.7385012354471705E-3"/>
    <n v="0"/>
    <n v="0"/>
    <n v="-4.1115829219195155E-3"/>
    <n v="0"/>
    <n v="0"/>
    <m/>
    <m/>
    <m/>
    <n v="31.270958384336112"/>
    <n v="0"/>
    <n v="0"/>
    <n v="-16.19896"/>
    <n v="1.8223400000000005"/>
    <n v="0"/>
    <n v="0"/>
    <n v="-16.556314619828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85.429000000000002"/>
    <n v="85.429000000000002"/>
    <n v="85.429000000000002"/>
    <n v="85.429000000000002"/>
    <m/>
    <n v="446.23"/>
    <n v="173.82"/>
    <m/>
    <n v="52970.251450000003"/>
    <n v="52970.251450000003"/>
    <n v="38689.085520000001"/>
    <n v="0"/>
    <n v="0"/>
    <n v="0"/>
    <n v="0"/>
    <n v="232.23395874570866"/>
    <n v="2941.0309957185759"/>
    <n v="31063.333765295931"/>
    <n v="13747.417117169593"/>
    <n v="691.62168457886867"/>
    <n v="0"/>
    <n v="0"/>
    <n v="0"/>
    <n v="0"/>
    <n v="0"/>
    <m/>
    <n v="132.54667936943417"/>
    <n v="495.36037934776152"/>
    <n v="1622.2382638870968"/>
    <n v="0"/>
    <n v="0"/>
    <n v="0"/>
    <n v="0"/>
    <n v="0"/>
    <n v="0"/>
    <n v="0"/>
    <n v="0"/>
    <n v="0"/>
    <n v="0"/>
    <m/>
    <n v="0"/>
    <n v="0"/>
    <n v="0"/>
    <n v="47.397087062144372"/>
    <n v="410.5451489809754"/>
    <n v="1587.1275731778212"/>
    <n v="0"/>
    <n v="330.39"/>
    <n v="1550.46"/>
    <n v="8313.58"/>
    <n v="342"/>
    <m/>
    <m/>
    <m/>
    <m/>
    <m/>
    <m/>
    <m/>
    <n v="15476.317640000001"/>
    <m/>
    <n v="15792.486926390533"/>
    <m/>
    <m/>
    <m/>
    <m/>
    <m/>
    <m/>
    <m/>
    <m/>
    <m/>
    <m/>
    <m/>
    <m/>
    <n v="23213.039600000004"/>
    <n v="-8569.1412699999928"/>
    <m/>
    <m/>
    <m/>
    <m/>
    <n v="-16091.406440000001"/>
    <n v="1810.2405099999999"/>
    <n v="31"/>
    <n v="2164.5823412363243"/>
    <n v="48.096363287531062"/>
    <n v="157.50908657970581"/>
    <n v="0"/>
    <n v="0"/>
    <n v="0"/>
    <n v="0"/>
    <n v="0"/>
    <n v="-56.391939914752129"/>
    <n v="0"/>
    <n v="0"/>
    <n v="1764.6329241620351"/>
    <n v="52.698007238174682"/>
    <n v="6.0839399595122288"/>
    <n v="0"/>
    <n v="203.72536503435117"/>
    <n v="0"/>
    <n v="0"/>
    <m/>
    <n v="0"/>
    <n v="0"/>
    <n v="-7.687121186546733"/>
    <n v="0"/>
    <n v="0"/>
    <n v="-4.0842839236821078"/>
    <n v="0"/>
    <n v="0"/>
    <m/>
    <m/>
    <m/>
    <n v="31063.333765295931"/>
    <n v="0"/>
    <n v="0"/>
    <n v="-16091.406440000002"/>
    <n v="1810.2405099999978"/>
    <n v="0"/>
    <n v="0"/>
    <n v="-16446.388391364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7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6.3E-2"/>
    <n v="-0.1134"/>
    <n v="6.3E-2"/>
    <n v="-0.1134"/>
    <m/>
    <n v="446.23"/>
    <n v="173.82"/>
    <m/>
    <n v="39.06315"/>
    <n v="39.06315"/>
    <n v="28.531439999999996"/>
    <n v="0"/>
    <n v="0"/>
    <n v="0"/>
    <n v="0"/>
    <n v="0.17126197662362483"/>
    <n v="2.1688765258901577"/>
    <n v="22.907795095502038"/>
    <n v="10.138094539110657"/>
    <n v="0.51003951970020389"/>
    <n v="0"/>
    <n v="0"/>
    <n v="0"/>
    <n v="0"/>
    <n v="0"/>
    <m/>
    <n v="9.7747144415530465E-2"/>
    <n v="0.36530573808553274"/>
    <n v="1.1963268986513607"/>
    <n v="0"/>
    <n v="0"/>
    <n v="0"/>
    <n v="0"/>
    <n v="0"/>
    <n v="0"/>
    <n v="0"/>
    <n v="0"/>
    <n v="0"/>
    <n v="0"/>
    <m/>
    <n v="0"/>
    <n v="0"/>
    <n v="0"/>
    <n v="3.4953194874282681E-2"/>
    <n v="0.30275836526005745"/>
    <n v="1.1704343619871791"/>
    <n v="0"/>
    <n v="0.25"/>
    <n v="1.1399999999999999"/>
    <n v="27.53"/>
    <n v="0"/>
    <m/>
    <m/>
    <m/>
    <m/>
    <m/>
    <m/>
    <m/>
    <n v="59.344488000000005"/>
    <m/>
    <n v="11.646240461232175"/>
    <m/>
    <m/>
    <m/>
    <m/>
    <m/>
    <m/>
    <m/>
    <m/>
    <m/>
    <m/>
    <m/>
    <m/>
    <n v="-29.889200000000002"/>
    <n v="12.269002"/>
    <m/>
    <m/>
    <m/>
    <m/>
    <n v="-11.866680000000001"/>
    <n v="1.3349699999999998"/>
    <n v="31"/>
    <n v="1.5962809759904566"/>
    <n v="3.5468879269503983E-2"/>
    <n v="0.11615578380317526"/>
    <n v="0"/>
    <n v="0"/>
    <n v="0"/>
    <n v="0"/>
    <n v="0"/>
    <n v="-4.1586489536684201E-2"/>
    <n v="0"/>
    <n v="0"/>
    <n v="1.301336480846178"/>
    <n v="3.8862382282421726E-2"/>
    <n v="4.4866288666526657E-3"/>
    <n v="0"/>
    <n v="0.15023818606286077"/>
    <n v="0"/>
    <n v="0"/>
    <m/>
    <n v="0"/>
    <n v="0"/>
    <n v="-5.6689020678275526E-3"/>
    <n v="0"/>
    <n v="0"/>
    <n v="-3.0119735358247468E-3"/>
    <n v="0"/>
    <n v="0"/>
    <m/>
    <m/>
    <m/>
    <n v="22.907795095502038"/>
    <n v="0"/>
    <n v="0"/>
    <n v="-11.866680000000002"/>
    <n v="1.3349700000000002"/>
    <n v="0"/>
    <n v="0"/>
    <n v="-12.128463035455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8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74.927000000000007"/>
    <n v="74.927000000000007"/>
    <n v="74.927000000000007"/>
    <n v="74.927000000000007"/>
    <m/>
    <n v="446.23"/>
    <n v="173.82"/>
    <m/>
    <n v="46458.486349999999"/>
    <n v="46458.486349999999"/>
    <n v="33932.939760000001"/>
    <n v="0"/>
    <n v="0"/>
    <n v="0"/>
    <n v="0"/>
    <n v="203.68485908695774"/>
    <n v="2579.4827215138394"/>
    <n v="27244.640684455258"/>
    <n v="12057.412849713401"/>
    <n v="606.59890623138392"/>
    <n v="0"/>
    <n v="0"/>
    <n v="0"/>
    <n v="0"/>
    <n v="0"/>
    <m/>
    <n v="116.25238554956273"/>
    <n v="434.46449265928112"/>
    <n v="1422.8124688135001"/>
    <n v="0"/>
    <n v="0"/>
    <n v="0"/>
    <n v="0"/>
    <n v="0"/>
    <n v="0"/>
    <n v="0"/>
    <n v="0"/>
    <n v="0"/>
    <n v="0"/>
    <m/>
    <n v="0"/>
    <n v="0"/>
    <n v="0"/>
    <n v="41.570444957863153"/>
    <n v="360.07581006095756"/>
    <n v="1392.0180228668789"/>
    <n v="0"/>
    <n v="294.69"/>
    <n v="1356.59"/>
    <n v="10725.5"/>
    <n v="728"/>
    <m/>
    <m/>
    <m/>
    <m/>
    <m/>
    <m/>
    <m/>
    <n v="3392.6945600000004"/>
    <m/>
    <n v="13851.077127599101"/>
    <m/>
    <m/>
    <m/>
    <m/>
    <m/>
    <m/>
    <m/>
    <m/>
    <m/>
    <m/>
    <m/>
    <m/>
    <n v="30541.468000000001"/>
    <n v="-11271.574350000003"/>
    <m/>
    <m/>
    <m/>
    <m/>
    <n v="-14113.249720000002"/>
    <n v="1587.7031299999999"/>
    <n v="31"/>
    <n v="1898.4848363180427"/>
    <n v="42.183757413113142"/>
    <n v="138.14610179397641"/>
    <n v="0"/>
    <n v="0"/>
    <n v="0"/>
    <n v="0"/>
    <n v="0"/>
    <n v="-49.459538119288027"/>
    <n v="0"/>
    <n v="0"/>
    <n v="1547.7021984184375"/>
    <n v="46.219709798016083"/>
    <n v="5.3360260490743556"/>
    <n v="0"/>
    <n v="178.68089789098372"/>
    <n v="0"/>
    <n v="0"/>
    <m/>
    <n v="0"/>
    <n v="0"/>
    <n v="-6.7421242100971313"/>
    <n v="0"/>
    <n v="0"/>
    <n v="-3.5821927161704963"/>
    <n v="0"/>
    <n v="0"/>
    <m/>
    <m/>
    <m/>
    <n v="27244.640684455258"/>
    <n v="0"/>
    <n v="0"/>
    <n v="-14113.24972"/>
    <n v="1587.7031300000017"/>
    <n v="0"/>
    <n v="0"/>
    <n v="-14424.592854882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39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6.07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40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22.484999999999999"/>
    <n v="22.484999999999999"/>
    <n v="22.484999999999999"/>
    <n v="22.484999999999999"/>
    <m/>
    <n v="446.23"/>
    <n v="173.82"/>
    <m/>
    <n v="13941.82425"/>
    <n v="13941.82425"/>
    <n v="10183.006799999999"/>
    <n v="0"/>
    <n v="0"/>
    <n v="0"/>
    <n v="0"/>
    <n v="61.124214990193714"/>
    <n v="774.08236007365394"/>
    <n v="8175.9011543232273"/>
    <n v="3618.3342176492556"/>
    <n v="182.03553334062039"/>
    <n v="0"/>
    <n v="0"/>
    <n v="0"/>
    <n v="0"/>
    <n v="0"/>
    <m/>
    <n v="34.886421304495279"/>
    <n v="130.37935747386035"/>
    <n v="426.9747669234261"/>
    <n v="0"/>
    <n v="0"/>
    <n v="0"/>
    <n v="0"/>
    <n v="0"/>
    <n v="0"/>
    <n v="0"/>
    <n v="0"/>
    <n v="0"/>
    <n v="0"/>
    <m/>
    <n v="0"/>
    <n v="0"/>
    <n v="0"/>
    <n v="12.474961694416605"/>
    <n v="108.05590226781574"/>
    <n v="417.73359729018608"/>
    <n v="0"/>
    <n v="87.77"/>
    <n v="408.08"/>
    <n v="3559.29"/>
    <n v="284"/>
    <m/>
    <m/>
    <m/>
    <m/>
    <m/>
    <m/>
    <m/>
    <m/>
    <m/>
    <n v="4156.5986789016742"/>
    <m/>
    <m/>
    <m/>
    <m/>
    <m/>
    <m/>
    <m/>
    <m/>
    <m/>
    <m/>
    <m/>
    <m/>
    <n v="10185.271199999999"/>
    <n v="-3756.5830500000011"/>
    <m/>
    <m/>
    <m/>
    <m/>
    <n v="-4235.2746000000006"/>
    <n v="476.45714999999996"/>
    <n v="31"/>
    <n v="569.72028166897508"/>
    <n v="12.659011910711087"/>
    <n v="41.456552362133266"/>
    <n v="0"/>
    <n v="0"/>
    <n v="0"/>
    <n v="0"/>
    <n v="0"/>
    <n v="-14.842416146545133"/>
    <n v="0"/>
    <n v="0"/>
    <n v="464.45318685438633"/>
    <n v="13.870169295559563"/>
    <n v="1.6012992074077008"/>
    <n v="0"/>
    <n v="53.620724025768595"/>
    <n v="0"/>
    <n v="0"/>
    <m/>
    <n v="0"/>
    <n v="0"/>
    <n v="-2.0232581427794116"/>
    <n v="0"/>
    <n v="0"/>
    <n v="-1.0749876976669768"/>
    <n v="0"/>
    <n v="0"/>
    <m/>
    <m/>
    <m/>
    <n v="8175.9011543232273"/>
    <n v="0"/>
    <n v="0"/>
    <n v="-4235.2746000000006"/>
    <n v="476.45714999999973"/>
    <n v="0"/>
    <n v="0"/>
    <n v="-4328.7062119400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1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2.5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42"/>
    <s v="Regular"/>
    <s v="Convencional"/>
    <s v="B3"/>
    <s v="Industrial"/>
    <s v="Não se aplica"/>
    <s v="Não se aplica"/>
    <s v="Não se aplica"/>
    <s v="Não se aplica"/>
    <s v="CATIVO"/>
    <x v="10"/>
    <n v="0"/>
    <n v="0"/>
    <n v="53.314999999999998"/>
    <n v="53.314999999999998"/>
    <n v="53.314999999999998"/>
    <n v="53.314999999999998"/>
    <m/>
    <n v="516.83000000000004"/>
    <n v="173.82"/>
    <m/>
    <n v="36822.00475"/>
    <n v="36822.00475"/>
    <n v="27801.106749999999"/>
    <n v="0"/>
    <n v="3260.1832337390333"/>
    <n v="0"/>
    <n v="0"/>
    <n v="144.93384577283425"/>
    <n v="1835.4547932989485"/>
    <n v="19386.176119312557"/>
    <n v="8579.5636563918197"/>
    <n v="431.63106337803765"/>
    <n v="0"/>
    <n v="0"/>
    <n v="0"/>
    <n v="0"/>
    <n v="503.90654430096976"/>
    <m/>
    <n v="82.72046038911121"/>
    <n v="309.14722898460599"/>
    <n v="1012.4153746285285"/>
    <n v="0"/>
    <n v="0"/>
    <n v="0"/>
    <n v="0"/>
    <n v="0"/>
    <n v="0"/>
    <n v="0"/>
    <n v="0"/>
    <n v="0"/>
    <n v="0"/>
    <m/>
    <n v="0"/>
    <n v="0"/>
    <n v="0"/>
    <n v="29.579834678133032"/>
    <n v="256.21527371174545"/>
    <n v="990.50330173565794"/>
    <n v="0"/>
    <n v="209.64"/>
    <n v="967.27"/>
    <n v="5955.97"/>
    <n v="35"/>
    <m/>
    <m/>
    <m/>
    <m/>
    <m/>
    <m/>
    <m/>
    <m/>
    <m/>
    <n v="9855.8620665173567"/>
    <m/>
    <m/>
    <m/>
    <m/>
    <m/>
    <m/>
    <m/>
    <m/>
    <m/>
    <m/>
    <m/>
    <m/>
    <n v="27803.714"/>
    <n v="-9018.320749999999"/>
    <m/>
    <m/>
    <m/>
    <m/>
    <n v="-10150.642850000002"/>
    <n v="1129.7448499999998"/>
    <n v="31"/>
    <n v="1242.5529396318379"/>
    <n v="30.016242829422254"/>
    <n v="98.299136721687091"/>
    <n v="0"/>
    <n v="0"/>
    <n v="0"/>
    <n v="0"/>
    <n v="0"/>
    <n v="-35.19339189917946"/>
    <n v="0"/>
    <n v="0"/>
    <n v="1101.2818170843493"/>
    <n v="32.8880620855129"/>
    <n v="3.7968986988188433"/>
    <n v="0"/>
    <n v="127.1420458720861"/>
    <n v="0"/>
    <n v="-95.280503096228585"/>
    <m/>
    <n v="0"/>
    <n v="0"/>
    <n v="-4.7974208531147156"/>
    <n v="0"/>
    <n v="-13.051005445439728"/>
    <n v="-2.5489423660713726"/>
    <n v="0"/>
    <n v="0"/>
    <m/>
    <m/>
    <m/>
    <n v="19386.176119312557"/>
    <n v="0"/>
    <n v="0"/>
    <n v="-10150.64285"/>
    <n v="1129.7448499999991"/>
    <n v="0"/>
    <n v="0"/>
    <n v="-10263.952487862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3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2.5499999999999998"/>
    <n v="2.5499999999999998"/>
    <n v="2.5499999999999998"/>
    <n v="2.5499999999999998"/>
    <m/>
    <n v="516.83000000000004"/>
    <n v="173.82"/>
    <m/>
    <n v="1761.1575"/>
    <n v="1761.1575"/>
    <n v="1329.6974999999998"/>
    <n v="0"/>
    <n v="155.93111218296042"/>
    <n v="0"/>
    <n v="0"/>
    <n v="6.9320323871467187"/>
    <n v="87.787859381268291"/>
    <n v="927.22027767508234"/>
    <n v="410.35144563066939"/>
    <n v="20.644456749770157"/>
    <n v="0"/>
    <n v="0"/>
    <n v="0"/>
    <n v="0"/>
    <n v="24.10131647692906"/>
    <m/>
    <n v="3.9564320358667091"/>
    <n v="14.786184636795371"/>
    <n v="48.422755421602695"/>
    <n v="0"/>
    <n v="0"/>
    <n v="0"/>
    <n v="0"/>
    <n v="0"/>
    <n v="0"/>
    <n v="0"/>
    <n v="0"/>
    <n v="0"/>
    <n v="0"/>
    <m/>
    <n v="0"/>
    <n v="0"/>
    <n v="0"/>
    <n v="1.4147721734828704"/>
    <n v="12.254505260526134"/>
    <n v="47.374724175671531"/>
    <n v="0"/>
    <n v="10.07"/>
    <n v="46.59"/>
    <n v="665.51"/>
    <n v="8"/>
    <m/>
    <m/>
    <m/>
    <m/>
    <m/>
    <m/>
    <m/>
    <m/>
    <m/>
    <n v="471.39544724034988"/>
    <m/>
    <m/>
    <m/>
    <m/>
    <m/>
    <m/>
    <m/>
    <m/>
    <m/>
    <m/>
    <m/>
    <m/>
    <n v="1329.6974999999998"/>
    <n v="-431.49000000000024"/>
    <m/>
    <m/>
    <m/>
    <m/>
    <n v="-485.49450000000007"/>
    <n v="54.034499999999987"/>
    <n v="31"/>
    <n v="59.42999148572062"/>
    <n v="1.4356451132894481"/>
    <n v="4.7015436301285192"/>
    <n v="0"/>
    <n v="0"/>
    <n v="0"/>
    <n v="0"/>
    <n v="0"/>
    <n v="-1.6832626717229289"/>
    <n v="0"/>
    <n v="0"/>
    <n v="52.673143272345328"/>
    <n v="1.5730011876218324"/>
    <n v="0.18160164460260786"/>
    <n v="0"/>
    <n v="6.0810694358777013"/>
    <n v="0"/>
    <n v="-4.5571655799565463"/>
    <m/>
    <n v="0"/>
    <n v="0"/>
    <n v="-0.22945555988825816"/>
    <n v="0"/>
    <n v="-0.62421577203172518"/>
    <n v="-0.12191321454528747"/>
    <n v="0"/>
    <n v="0"/>
    <m/>
    <m/>
    <m/>
    <n v="927.22027767508234"/>
    <n v="0"/>
    <n v="0"/>
    <n v="-485.49450000000013"/>
    <n v="54.034500000000037"/>
    <n v="0"/>
    <n v="0"/>
    <n v="-490.9139800065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4"/>
    <s v="Regular"/>
    <s v="Azul"/>
    <s v="A4"/>
    <s v="Industrial"/>
    <s v="Não se aplica"/>
    <s v="Não se aplica"/>
    <s v="Não se aplica"/>
    <s v="Ponta"/>
    <s v="CATIVO"/>
    <x v="10"/>
    <n v="1200"/>
    <n v="1200"/>
    <n v="40.884999999999998"/>
    <n v="40.884999999999998"/>
    <n v="40.884999999999998"/>
    <n v="40.884999999999998"/>
    <n v="67.099999999999994"/>
    <n v="70.33"/>
    <n v="173.82"/>
    <n v="80520"/>
    <n v="9982.0727499999994"/>
    <n v="90502.072749999992"/>
    <n v="61255.132049999993"/>
    <n v="0"/>
    <n v="2175.0830838401184"/>
    <n v="0"/>
    <n v="0"/>
    <n v="898.10170336085525"/>
    <n v="13700.67976876248"/>
    <n v="57794.157302940846"/>
    <n v="6579.3015116117331"/>
    <n v="330.99945655464819"/>
    <n v="0"/>
    <n v="0"/>
    <n v="0"/>
    <n v="0"/>
    <n v="386.42444084676259"/>
    <m/>
    <n v="50.809043266276099"/>
    <n v="1928.760364929756"/>
    <n v="6201.9566025339363"/>
    <n v="0"/>
    <n v="0"/>
    <n v="0"/>
    <n v="0"/>
    <n v="0"/>
    <n v="0"/>
    <n v="0"/>
    <n v="0"/>
    <n v="0"/>
    <n v="0"/>
    <m/>
    <n v="0"/>
    <n v="0"/>
    <n v="0"/>
    <n v="7.6288803457101055"/>
    <n v="196.48056767710236"/>
    <n v="255.458870990859"/>
    <n v="0"/>
    <n v="0"/>
    <n v="0"/>
    <n v="0"/>
    <n v="0"/>
    <m/>
    <m/>
    <m/>
    <m/>
    <m/>
    <m/>
    <m/>
    <m/>
    <m/>
    <n v="7038.8698306254046"/>
    <m/>
    <m/>
    <m/>
    <m/>
    <m/>
    <m/>
    <m/>
    <m/>
    <m/>
    <m/>
    <m/>
    <m/>
    <n v="61256.453699999998"/>
    <n v="-29245.649049999978"/>
    <m/>
    <m/>
    <m/>
    <m/>
    <n v="-30113.293849999995"/>
    <n v="866.35314999999991"/>
    <n v="31"/>
    <n v="1351.4375777368405"/>
    <n v="187.27044607078801"/>
    <n v="602.17080389378407"/>
    <n v="0"/>
    <n v="0"/>
    <n v="0"/>
    <n v="0"/>
    <n v="0"/>
    <n v="-262.69968301452172"/>
    <n v="0"/>
    <n v="0"/>
    <n v="844.52606379993631"/>
    <n v="25.220452374870035"/>
    <n v="0.97925110715662722"/>
    <n v="0"/>
    <n v="32.790969436484659"/>
    <n v="0"/>
    <n v="-63.567902674815286"/>
    <m/>
    <n v="0"/>
    <n v="0"/>
    <n v="-3.6789374768750918"/>
    <n v="0"/>
    <n v="-10.00825954490864"/>
    <n v="-1.5656262350545234"/>
    <n v="0"/>
    <n v="0"/>
    <m/>
    <m/>
    <n v="57794.157302940846"/>
    <n v="0"/>
    <n v="0"/>
    <n v="0"/>
    <n v="-30113.293850000002"/>
    <n v="866.35314999999991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5"/>
    <s v="Regular"/>
    <s v="Azul"/>
    <s v="A4"/>
    <s v="Industrial"/>
    <s v="Não se aplica"/>
    <s v="Não se aplica"/>
    <s v="Não se aplica"/>
    <s v="Fora ponta"/>
    <s v="CATIVO"/>
    <x v="10"/>
    <n v="1200"/>
    <n v="1200"/>
    <n v="410.74700000000001"/>
    <n v="410.74700000000001"/>
    <n v="410.74700000000001"/>
    <n v="410.74700000000001"/>
    <n v="59.12"/>
    <n v="70.33"/>
    <n v="173.82"/>
    <n v="70944"/>
    <n v="100283.88005000001"/>
    <n v="171227.88004999998"/>
    <n v="149408.75451"/>
    <n v="0"/>
    <n v="21851.751288689669"/>
    <n v="0"/>
    <n v="0"/>
    <n v="686.4724360004185"/>
    <n v="6140.4271808585163"/>
    <n v="57794.157302940846"/>
    <n v="66098.284407239436"/>
    <n v="3325.352422195233"/>
    <n v="0"/>
    <n v="0"/>
    <n v="0"/>
    <n v="0"/>
    <n v="3882.1738976271299"/>
    <m/>
    <n v="510.44789273555364"/>
    <n v="1449.6865388280721"/>
    <n v="4873.1854368239283"/>
    <n v="0"/>
    <n v="0"/>
    <n v="0"/>
    <n v="0"/>
    <n v="0"/>
    <n v="0"/>
    <n v="0"/>
    <n v="0"/>
    <n v="0"/>
    <n v="0"/>
    <m/>
    <n v="0"/>
    <n v="0"/>
    <n v="0"/>
    <n v="76.642771563150035"/>
    <n v="1973.9220675471877"/>
    <n v="2566.4416016358659"/>
    <n v="0"/>
    <n v="0"/>
    <n v="0"/>
    <n v="0"/>
    <n v="0"/>
    <m/>
    <m/>
    <m/>
    <m/>
    <m/>
    <m/>
    <m/>
    <m/>
    <m/>
    <n v="70715.290847985627"/>
    <m/>
    <m/>
    <m/>
    <m/>
    <m/>
    <m/>
    <m/>
    <m/>
    <m/>
    <m/>
    <m/>
    <m/>
    <n v="149409.54749999999"/>
    <n v="-21818.36255000002"/>
    <m/>
    <m/>
    <m/>
    <m/>
    <n v="-30522.854469999998"/>
    <n v="8703.7289299999993"/>
    <n v="31"/>
    <n v="8781.3978068315773"/>
    <n v="140.75540420960397"/>
    <n v="473.15551850471911"/>
    <n v="0"/>
    <n v="0"/>
    <n v="0"/>
    <n v="0"/>
    <n v="0"/>
    <n v="-117.73782769987247"/>
    <n v="0"/>
    <n v="0"/>
    <n v="8484.4453253670799"/>
    <n v="253.37471325964884"/>
    <n v="9.8379467900516886"/>
    <n v="0"/>
    <n v="329.43114401682169"/>
    <n v="0"/>
    <n v="-638.62847792521279"/>
    <m/>
    <n v="0"/>
    <n v="0"/>
    <n v="-36.960071708793294"/>
    <n v="0"/>
    <n v="-100.54696302537832"/>
    <n v="-15.728904957073269"/>
    <n v="0"/>
    <n v="0"/>
    <m/>
    <m/>
    <n v="57794.157302940846"/>
    <n v="0"/>
    <n v="0"/>
    <n v="0"/>
    <n v="-30522.854469999991"/>
    <n v="8703.7289299999975"/>
    <n v="0"/>
    <n v="0"/>
    <n v="-30598.9423072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6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584.28"/>
    <n v="7304.52"/>
    <n v="39745.4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47"/>
    <s v="Regular"/>
    <s v="Verde"/>
    <s v="A4"/>
    <s v="Industrial"/>
    <s v="Não se aplica"/>
    <s v="Não se aplica"/>
    <s v="Não se aplica"/>
    <s v="Ponta"/>
    <s v="CATIVO"/>
    <x v="10"/>
    <n v="0"/>
    <n v="0"/>
    <n v="39.780999999999999"/>
    <n v="39.780999999999999"/>
    <n v="39.780999999999999"/>
    <n v="39.780999999999999"/>
    <m/>
    <n v="1684.16"/>
    <n v="173.82"/>
    <m/>
    <n v="73912.302380000008"/>
    <n v="73912.302380000008"/>
    <n v="50739.074260000001"/>
    <n v="0"/>
    <n v="2116.3502545736519"/>
    <n v="0"/>
    <n v="0"/>
    <n v="716.03412582013402"/>
    <n v="10923.302848710811"/>
    <n v="46078.032172072453"/>
    <n v="6401.6434739739843"/>
    <n v="322.06162116180656"/>
    <n v="0"/>
    <n v="0"/>
    <n v="0"/>
    <n v="0"/>
    <n v="375.98998853675096"/>
    <m/>
    <n v="49.437068611366747"/>
    <n v="1537.7800497082087"/>
    <n v="4944.7254313999592"/>
    <n v="0"/>
    <n v="0"/>
    <n v="0"/>
    <n v="0"/>
    <n v="0"/>
    <n v="0"/>
    <n v="0"/>
    <n v="0"/>
    <n v="0"/>
    <n v="0"/>
    <m/>
    <n v="0"/>
    <n v="0"/>
    <n v="0"/>
    <n v="7.4228809840453396"/>
    <n v="191.17508775254518"/>
    <n v="248.56082540998807"/>
    <n v="0"/>
    <n v="0"/>
    <n v="0"/>
    <n v="0"/>
    <n v="0"/>
    <m/>
    <m/>
    <m/>
    <m/>
    <m/>
    <m/>
    <m/>
    <m/>
    <m/>
    <n v="6848.802268120563"/>
    <m/>
    <m/>
    <m/>
    <m/>
    <m/>
    <m/>
    <m/>
    <m/>
    <m/>
    <m/>
    <m/>
    <m/>
    <n v="50737.798799999997"/>
    <n v="-23174.533579999996"/>
    <m/>
    <m/>
    <m/>
    <m/>
    <n v="-24016.18751"/>
    <n v="842.95938999999987"/>
    <n v="31"/>
    <n v="1222.3917477237701"/>
    <n v="149.3087275661137"/>
    <n v="480.10160000852829"/>
    <n v="0"/>
    <n v="0"/>
    <n v="0"/>
    <n v="0"/>
    <n v="0"/>
    <n v="-209.44568037941463"/>
    <n v="0"/>
    <n v="0"/>
    <n v="821.7216911832038"/>
    <n v="24.539435390111379"/>
    <n v="0.95280881237123172"/>
    <n v="0"/>
    <n v="31.905529048619201"/>
    <n v="0"/>
    <n v="-61.851406048840545"/>
    <m/>
    <n v="0"/>
    <n v="0"/>
    <n v="-3.5795967168293714"/>
    <n v="0"/>
    <n v="-9.7380108341936875"/>
    <n v="-1.5233503058995694"/>
    <n v="0"/>
    <n v="0"/>
    <m/>
    <m/>
    <m/>
    <n v="46078.032172072453"/>
    <n v="0"/>
    <n v="0"/>
    <n v="-24016.187510000003"/>
    <n v="842.95938999999998"/>
    <n v="0"/>
    <n v="0"/>
    <n v="-24395.87518640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8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2.9340000000000002"/>
    <n v="2.9340000000000002"/>
    <n v="2.9340000000000002"/>
    <n v="2.9340000000000002"/>
    <m/>
    <n v="1684.16"/>
    <n v="173.82"/>
    <m/>
    <n v="5451.3133200000002"/>
    <n v="5451.3133200000002"/>
    <n v="3742.1996400000003"/>
    <n v="0"/>
    <n v="156.0888777788164"/>
    <n v="0"/>
    <n v="0"/>
    <n v="52.810239188463669"/>
    <n v="805.63511621421094"/>
    <n v="3398.4300644242376"/>
    <n v="472.14554567858204"/>
    <n v="23.753269060323785"/>
    <n v="0"/>
    <n v="0"/>
    <n v="0"/>
    <n v="0"/>
    <n v="27.730691193454852"/>
    <m/>
    <n v="3.6461717731014822"/>
    <n v="113.41712540770429"/>
    <n v="364.69230073973711"/>
    <n v="0"/>
    <n v="0"/>
    <n v="0"/>
    <n v="0"/>
    <n v="0"/>
    <n v="0"/>
    <n v="0"/>
    <n v="0"/>
    <n v="0"/>
    <n v="0"/>
    <m/>
    <n v="0"/>
    <n v="0"/>
    <n v="0"/>
    <n v="0.54746569485907914"/>
    <n v="14.099889582111249"/>
    <n v="18.332305918727659"/>
    <n v="0"/>
    <n v="0"/>
    <n v="0"/>
    <n v="0"/>
    <n v="0"/>
    <m/>
    <m/>
    <m/>
    <m/>
    <m/>
    <m/>
    <m/>
    <m/>
    <m/>
    <n v="505.12520687428002"/>
    <m/>
    <m/>
    <m/>
    <m/>
    <m/>
    <m/>
    <m/>
    <m/>
    <m/>
    <m/>
    <m/>
    <m/>
    <n v="3737.0978000000005"/>
    <n v="-1714.2455200000004"/>
    <m/>
    <m/>
    <m/>
    <m/>
    <n v="-1771.2851400000002"/>
    <n v="62.171459999999996"/>
    <n v="31"/>
    <n v="90.156039009113101"/>
    <n v="11.012086339684217"/>
    <n v="35.409318378749163"/>
    <n v="0"/>
    <n v="0"/>
    <n v="0"/>
    <n v="0"/>
    <n v="0"/>
    <n v="-15.447415254347675"/>
    <n v="0"/>
    <n v="0"/>
    <n v="60.605098965122011"/>
    <n v="1.8098766605813541"/>
    <n v="7.0273272554666644E-2"/>
    <n v="0"/>
    <n v="2.3531540742728652"/>
    <n v="0"/>
    <n v="-4.5617763592493361"/>
    <m/>
    <n v="0"/>
    <n v="0"/>
    <n v="-0.26400886773025434"/>
    <n v="0"/>
    <n v="-0.71821532358473661"/>
    <n v="-0.11235287693897478"/>
    <n v="0"/>
    <n v="0"/>
    <m/>
    <m/>
    <m/>
    <n v="3398.4300644242376"/>
    <n v="0"/>
    <n v="0"/>
    <n v="-1771.2851400000004"/>
    <n v="62.171460000000025"/>
    <n v="0"/>
    <n v="0"/>
    <n v="-1799.2885497323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49"/>
    <s v="Regular"/>
    <s v="Verde"/>
    <s v="A4"/>
    <s v="Industrial"/>
    <s v="Não se aplica"/>
    <s v="Não se aplica"/>
    <s v="Não se aplica"/>
    <s v="Fora ponta"/>
    <s v="CATIVO"/>
    <x v="10"/>
    <n v="0"/>
    <n v="0"/>
    <n v="1075.5219999999999"/>
    <n v="1075.5219999999999"/>
    <n v="1075.5219999999999"/>
    <n v="1075.5219999999999"/>
    <m/>
    <n v="70.33"/>
    <n v="173.82"/>
    <m/>
    <n v="262588.69629999995"/>
    <n v="262588.69629999995"/>
    <n v="284292.73025999998"/>
    <n v="0"/>
    <n v="57217.798911529695"/>
    <n v="0"/>
    <n v="0"/>
    <n v="0"/>
    <n v="0"/>
    <n v="0"/>
    <n v="173075.29706179953"/>
    <n v="8707.2813382063923"/>
    <n v="0"/>
    <n v="0"/>
    <n v="0"/>
    <n v="0"/>
    <n v="10165.29258819596"/>
    <m/>
    <n v="1336.5841710121513"/>
    <n v="0"/>
    <n v="0"/>
    <n v="0"/>
    <n v="0"/>
    <n v="0"/>
    <n v="0"/>
    <n v="0"/>
    <n v="0"/>
    <n v="0"/>
    <n v="0"/>
    <n v="0"/>
    <n v="0"/>
    <m/>
    <n v="0"/>
    <n v="0"/>
    <n v="0"/>
    <n v="200.68554842066342"/>
    <n v="5168.6235320829765"/>
    <n v="6720.1084956788709"/>
    <n v="0"/>
    <n v="0"/>
    <n v="0"/>
    <n v="0"/>
    <n v="0"/>
    <m/>
    <m/>
    <m/>
    <m/>
    <m/>
    <m/>
    <m/>
    <m/>
    <m/>
    <n v="185164.71463798205"/>
    <m/>
    <m/>
    <m/>
    <m/>
    <m/>
    <m/>
    <m/>
    <m/>
    <m/>
    <m/>
    <m/>
    <m/>
    <n v="284292.20159999997"/>
    <n v="21703.475299999991"/>
    <m/>
    <m/>
    <m/>
    <m/>
    <n v="-1086.2772200000054"/>
    <n v="22790.311179999997"/>
    <n v="31"/>
    <n v="21694.477263383509"/>
    <n v="0"/>
    <n v="0"/>
    <n v="0"/>
    <n v="0"/>
    <n v="0"/>
    <n v="0"/>
    <n v="0"/>
    <n v="0"/>
    <n v="0"/>
    <n v="0"/>
    <n v="22216.12721512132"/>
    <n v="663.44995424055196"/>
    <n v="25.760208126973481"/>
    <n v="0"/>
    <n v="862.60019641107647"/>
    <n v="0"/>
    <n v="-1672.219097972913"/>
    <m/>
    <n v="0"/>
    <n v="0"/>
    <n v="-96.77823634593733"/>
    <n v="0"/>
    <n v="-263.27756688906084"/>
    <n v="-41.185409308507133"/>
    <n v="0"/>
    <n v="0"/>
    <m/>
    <m/>
    <m/>
    <n v="0"/>
    <n v="0"/>
    <n v="0"/>
    <n v="-1086.2772200000181"/>
    <n v="22790.3111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0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64.662000000000006"/>
    <n v="64.662000000000006"/>
    <n v="64.662000000000006"/>
    <n v="64.662000000000006"/>
    <m/>
    <n v="70.33"/>
    <n v="173.82"/>
    <m/>
    <n v="15787.227300000002"/>
    <n v="15787.227300000002"/>
    <n v="17092.106460000003"/>
    <n v="0"/>
    <n v="3440.0201141560415"/>
    <n v="0"/>
    <n v="0"/>
    <n v="0"/>
    <n v="0"/>
    <n v="0"/>
    <n v="10405.547128380529"/>
    <n v="523.49484798181891"/>
    <n v="0"/>
    <n v="0"/>
    <n v="0"/>
    <n v="0"/>
    <n v="611.15267687497533"/>
    <m/>
    <n v="80.357450304119993"/>
    <n v="0"/>
    <n v="0"/>
    <n v="0"/>
    <n v="0"/>
    <n v="0"/>
    <n v="0"/>
    <n v="0"/>
    <n v="0"/>
    <n v="0"/>
    <n v="0"/>
    <n v="0"/>
    <n v="0"/>
    <m/>
    <n v="0"/>
    <n v="0"/>
    <n v="0"/>
    <n v="12.065516960115126"/>
    <n v="310.74541927691808"/>
    <n v="404.02302839698979"/>
    <n v="0"/>
    <n v="0"/>
    <n v="0"/>
    <n v="0"/>
    <n v="0"/>
    <m/>
    <m/>
    <m/>
    <m/>
    <m/>
    <m/>
    <m/>
    <m/>
    <m/>
    <n v="11132.381093014554"/>
    <m/>
    <m/>
    <m/>
    <m/>
    <m/>
    <m/>
    <m/>
    <m/>
    <m/>
    <m/>
    <m/>
    <m/>
    <n v="17091.577799999999"/>
    <n v="1304.3204999999962"/>
    <m/>
    <m/>
    <m/>
    <m/>
    <n v="-65.308620000000332"/>
    <n v="1370.18778"/>
    <n v="31"/>
    <n v="1304.3045970281455"/>
    <n v="0"/>
    <n v="0"/>
    <n v="0"/>
    <n v="0"/>
    <n v="0"/>
    <n v="0"/>
    <n v="0"/>
    <n v="0"/>
    <n v="0"/>
    <n v="0"/>
    <n v="1335.6669765789775"/>
    <n v="39.887608938824656"/>
    <n v="1.5487424505555065"/>
    <n v="0"/>
    <n v="51.86082097840216"/>
    <n v="0"/>
    <n v="-100.5363268376891"/>
    <m/>
    <n v="0"/>
    <n v="0"/>
    <n v="-5.8184531033311941"/>
    <n v="0"/>
    <n v="-15.828643235731533"/>
    <n v="-2.4761287418636613"/>
    <n v="0"/>
    <n v="0"/>
    <m/>
    <m/>
    <m/>
    <n v="0"/>
    <n v="0"/>
    <n v="0"/>
    <n v="-65.308619999999792"/>
    <n v="1370.1877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1"/>
    <s v="Regular"/>
    <s v="Verde"/>
    <s v="A4"/>
    <s v="Industrial"/>
    <s v="Não se aplica"/>
    <s v="Não se aplica"/>
    <s v="Não se aplica"/>
    <s v="Não se aplica"/>
    <s v="CATIVO"/>
    <x v="10"/>
    <n v="5019"/>
    <n v="5019"/>
    <n v="0"/>
    <n v="0"/>
    <n v="0"/>
    <n v="0"/>
    <n v="59.12"/>
    <m/>
    <m/>
    <n v="296723.27999999997"/>
    <m/>
    <n v="296723.27999999997"/>
    <n v="170796.57"/>
    <n v="0"/>
    <n v="0"/>
    <n v="0"/>
    <n v="0"/>
    <n v="2871.1709635717502"/>
    <n v="25682.336683940746"/>
    <n v="241724.06291955008"/>
    <m/>
    <m/>
    <m/>
    <n v="0"/>
    <n v="0"/>
    <n v="0"/>
    <n v="0"/>
    <m/>
    <n v="0"/>
    <n v="6063.3139486484115"/>
    <n v="20382.098089516079"/>
    <n v="0"/>
    <n v="0"/>
    <m/>
    <m/>
    <n v="0"/>
    <n v="0"/>
    <n v="0"/>
    <m/>
    <m/>
    <n v="0"/>
    <m/>
    <n v="0"/>
    <n v="0"/>
    <n v="0"/>
    <n v="0"/>
    <m/>
    <n v="0"/>
    <n v="0"/>
    <n v="3968.78"/>
    <n v="18298.810000000001"/>
    <n v="110931.1"/>
    <n v="24"/>
    <m/>
    <m/>
    <m/>
    <m/>
    <m/>
    <m/>
    <m/>
    <m/>
    <m/>
    <n v="0"/>
    <m/>
    <m/>
    <m/>
    <m/>
    <m/>
    <m/>
    <m/>
    <m/>
    <m/>
    <m/>
    <m/>
    <m/>
    <n v="170796.57"/>
    <n v="-125926.73999999999"/>
    <m/>
    <m/>
    <m/>
    <m/>
    <n v="-125926.70999999998"/>
    <n v="0"/>
    <n v="31"/>
    <n v="2075.2439698979433"/>
    <n v="588.70947810666803"/>
    <n v="1978.9729561459899"/>
    <n v="0"/>
    <n v="0"/>
    <m/>
    <m/>
    <m/>
    <n v="-492.438464354720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1724.06291955008"/>
    <m/>
    <n v="0"/>
    <n v="0"/>
    <n v="-125926.70999999996"/>
    <m/>
    <n v="0"/>
    <m/>
    <n v="-127980.0762001579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52"/>
    <s v="Sistema de Compensação"/>
    <s v="Verde"/>
    <s v="A4"/>
    <s v="Industrial"/>
    <s v="Não se aplica"/>
    <s v="Não se aplica"/>
    <s v="Não se aplica"/>
    <s v="Não se aplica"/>
    <s v="CATIVO"/>
    <x v="10"/>
    <n v="435"/>
    <n v="435"/>
    <n v="0"/>
    <n v="0"/>
    <n v="0"/>
    <n v="0"/>
    <n v="59.12"/>
    <m/>
    <m/>
    <n v="25717.199999999997"/>
    <m/>
    <n v="25717.199999999997"/>
    <n v="14803.050000000001"/>
    <n v="0"/>
    <n v="0"/>
    <n v="0"/>
    <n v="0"/>
    <n v="248.84625805015168"/>
    <n v="2225.9048530612122"/>
    <n v="20950.382022316055"/>
    <m/>
    <m/>
    <m/>
    <n v="0"/>
    <n v="0"/>
    <n v="0"/>
    <n v="0"/>
    <m/>
    <n v="0"/>
    <n v="525.51137032517613"/>
    <n v="1766.5297208486738"/>
    <n v="0"/>
    <n v="0"/>
    <m/>
    <m/>
    <n v="0"/>
    <n v="0"/>
    <n v="0"/>
    <m/>
    <m/>
    <n v="0"/>
    <m/>
    <n v="0"/>
    <n v="0"/>
    <n v="0"/>
    <n v="0"/>
    <m/>
    <n v="0"/>
    <n v="0"/>
    <n v="278.39"/>
    <n v="1283.57"/>
    <n v="7079.61"/>
    <n v="2"/>
    <m/>
    <m/>
    <m/>
    <m/>
    <m/>
    <m/>
    <m/>
    <m/>
    <m/>
    <n v="0"/>
    <m/>
    <m/>
    <m/>
    <m/>
    <m/>
    <m/>
    <m/>
    <m/>
    <m/>
    <m/>
    <m/>
    <m/>
    <n v="14803.050000000001"/>
    <n v="-10914.179999999991"/>
    <m/>
    <m/>
    <m/>
    <m/>
    <n v="-10914.149999999998"/>
    <n v="0"/>
    <n v="31"/>
    <n v="179.86274694273925"/>
    <n v="51.023834025981387"/>
    <n v="171.51887545796103"/>
    <n v="0"/>
    <n v="0"/>
    <m/>
    <m/>
    <m/>
    <n v="-42.6799625412036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950.382022316055"/>
    <m/>
    <n v="0"/>
    <n v="0"/>
    <n v="-10914.149999999996"/>
    <m/>
    <n v="0"/>
    <m/>
    <n v="-11092.11658638547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53"/>
    <s v="Regular"/>
    <s v="Convencional"/>
    <s v="B3"/>
    <s v="Comercial"/>
    <s v="Não se aplica"/>
    <s v="Não se aplica"/>
    <s v="Não se aplica"/>
    <s v="Não se aplica"/>
    <s v="CATIVO"/>
    <x v="10"/>
    <n v="0"/>
    <n v="0"/>
    <n v="369.22399999999999"/>
    <n v="369.22399999999999"/>
    <n v="369.22399999999999"/>
    <n v="369.22399999999999"/>
    <m/>
    <n v="516.83000000000004"/>
    <n v="173.82"/>
    <m/>
    <n v="255004.55560000002"/>
    <n v="255004.55560000002"/>
    <n v="192531.85479999997"/>
    <n v="0"/>
    <n v="22577.846652800541"/>
    <n v="0"/>
    <n v="0"/>
    <n v="1003.7147945536706"/>
    <n v="12711.131212623295"/>
    <n v="134255.67835462926"/>
    <n v="59416.314573152267"/>
    <n v="2989.1878035204459"/>
    <n v="0"/>
    <n v="0"/>
    <n v="0"/>
    <n v="0"/>
    <n v="3489.719401912806"/>
    <m/>
    <n v="572.86653412190185"/>
    <n v="2140.9467593475038"/>
    <n v="7011.3111559944446"/>
    <n v="0"/>
    <n v="0"/>
    <n v="0"/>
    <n v="0"/>
    <n v="0"/>
    <n v="0"/>
    <n v="0"/>
    <n v="0"/>
    <n v="0"/>
    <n v="0"/>
    <m/>
    <n v="0"/>
    <n v="0"/>
    <n v="0"/>
    <n v="204.85013371844678"/>
    <n v="1774.3754707107851"/>
    <n v="6859.5628074659398"/>
    <n v="0"/>
    <n v="1467.76"/>
    <n v="6780.72"/>
    <n v="68102.42"/>
    <n v="540"/>
    <m/>
    <m/>
    <m/>
    <m/>
    <m/>
    <m/>
    <m/>
    <m/>
    <m/>
    <n v="68255.102985047444"/>
    <m/>
    <m/>
    <m/>
    <m/>
    <m/>
    <m/>
    <m/>
    <m/>
    <m/>
    <m/>
    <m/>
    <m/>
    <n v="192529.769"/>
    <n v="-62474.816600000049"/>
    <m/>
    <m/>
    <m/>
    <m/>
    <n v="-70296.557360000021"/>
    <n v="7823.8565599999993"/>
    <n v="31"/>
    <n v="8605.0898730681656"/>
    <n v="207.8724044349733"/>
    <n v="680.75401776100898"/>
    <n v="0"/>
    <n v="0"/>
    <n v="0"/>
    <n v="0"/>
    <n v="0"/>
    <n v="-243.72587321734318"/>
    <n v="0"/>
    <n v="0"/>
    <n v="7626.7406476817414"/>
    <n v="227.76070215626783"/>
    <n v="26.294778677158178"/>
    <n v="0"/>
    <n v="880.50069858529696"/>
    <n v="0"/>
    <n v="-659.84898199759846"/>
    <m/>
    <n v="0"/>
    <n v="0"/>
    <n v="-33.223725350659606"/>
    <n v="0"/>
    <n v="-90.382527142211984"/>
    <n v="-17.652268520497728"/>
    <n v="0"/>
    <n v="0"/>
    <m/>
    <m/>
    <m/>
    <n v="134255.67835462926"/>
    <n v="0"/>
    <n v="0"/>
    <n v="-70296.557360000021"/>
    <n v="7823.8565600000002"/>
    <n v="0"/>
    <n v="0"/>
    <n v="-71081.264060367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4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41.85"/>
    <n v="41.85"/>
    <n v="41.85"/>
    <n v="41.85"/>
    <m/>
    <n v="516.83000000000004"/>
    <n v="173.82"/>
    <m/>
    <n v="28903.702499999999"/>
    <n v="28903.702499999999"/>
    <n v="21822.682500000003"/>
    <n v="0"/>
    <n v="2559.1047234732919"/>
    <n v="0"/>
    <n v="0"/>
    <n v="113.76688447140792"/>
    <n v="1440.753692198462"/>
    <n v="15217.321027726353"/>
    <n v="6734.5913724092215"/>
    <n v="338.81196665799263"/>
    <n v="0"/>
    <n v="0"/>
    <n v="0"/>
    <n v="0"/>
    <n v="395.54513512136521"/>
    <m/>
    <n v="64.932031647459524"/>
    <n v="242.66738315681818"/>
    <n v="794.70286838983247"/>
    <n v="0"/>
    <n v="0"/>
    <n v="0"/>
    <n v="0"/>
    <n v="0"/>
    <n v="0"/>
    <n v="0"/>
    <n v="0"/>
    <n v="0"/>
    <n v="0"/>
    <m/>
    <n v="0"/>
    <n v="0"/>
    <n v="0"/>
    <n v="23.21890802363064"/>
    <n v="201.11805692275246"/>
    <n v="777.50282617719756"/>
    <n v="0"/>
    <n v="166.54"/>
    <n v="768.88"/>
    <n v="12540.53"/>
    <n v="53"/>
    <m/>
    <m/>
    <m/>
    <m/>
    <m/>
    <m/>
    <m/>
    <m/>
    <m/>
    <n v="7736.4311635328022"/>
    <m/>
    <m/>
    <m/>
    <m/>
    <m/>
    <m/>
    <m/>
    <m/>
    <m/>
    <m/>
    <m/>
    <m/>
    <n v="21822.682500000003"/>
    <n v="-7081.049999999992"/>
    <m/>
    <m/>
    <m/>
    <m/>
    <n v="-7967.8215000000018"/>
    <n v="886.80149999999992"/>
    <n v="31"/>
    <n v="975.35103673623598"/>
    <n v="23.561469800456223"/>
    <n v="77.160627812109283"/>
    <n v="0"/>
    <n v="0"/>
    <n v="0"/>
    <n v="0"/>
    <n v="0"/>
    <n v="-27.625310906511459"/>
    <n v="0"/>
    <n v="0"/>
    <n v="864.45923370496166"/>
    <n v="25.815725373323005"/>
    <n v="2.9804034614192716"/>
    <n v="0"/>
    <n v="99.801080741757573"/>
    <n v="0"/>
    <n v="-74.791129223992812"/>
    <m/>
    <n v="0"/>
    <n v="0"/>
    <n v="-3.7657706593425928"/>
    <n v="0"/>
    <n v="-10.244482376285362"/>
    <n v="-2.0008109916550083"/>
    <n v="0"/>
    <n v="0"/>
    <m/>
    <m/>
    <m/>
    <n v="15217.321027726353"/>
    <n v="0"/>
    <n v="0"/>
    <n v="-7967.8215"/>
    <n v="886.80149999999958"/>
    <n v="0"/>
    <n v="0"/>
    <n v="-8056.7647306956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5"/>
    <s v="Regular"/>
    <s v="Verde"/>
    <s v="A4"/>
    <s v="Comercial"/>
    <s v="Não se aplica"/>
    <s v="Não se aplica"/>
    <s v="Não se aplica"/>
    <s v="Ponta"/>
    <s v="CATIVO"/>
    <x v="10"/>
    <n v="0"/>
    <n v="0"/>
    <n v="10.164"/>
    <n v="10.164"/>
    <n v="10.164"/>
    <n v="10.164"/>
    <m/>
    <n v="1684.16"/>
    <n v="173.82"/>
    <m/>
    <n v="18884.508720000002"/>
    <n v="18884.508720000002"/>
    <n v="12963.775440000001"/>
    <n v="0"/>
    <n v="540.72506944236181"/>
    <n v="0"/>
    <n v="0"/>
    <n v="182.94590017435061"/>
    <n v="2790.8913841858348"/>
    <n v="11772.884517657787"/>
    <n v="1635.6125856431859"/>
    <n v="82.28637584496623"/>
    <n v="0"/>
    <n v="0"/>
    <n v="0"/>
    <n v="0"/>
    <n v="96.065012028041949"/>
    <m/>
    <n v="12.631114485958916"/>
    <n v="392.90104384591217"/>
    <n v="1263.3716921331586"/>
    <n v="0"/>
    <n v="0"/>
    <n v="0"/>
    <n v="0"/>
    <n v="0"/>
    <n v="0"/>
    <n v="0"/>
    <n v="0"/>
    <n v="0"/>
    <n v="0"/>
    <m/>
    <n v="0"/>
    <n v="0"/>
    <n v="0"/>
    <n v="1.8965376014136606"/>
    <n v="48.845016261955934"/>
    <n v="63.507006597800931"/>
    <n v="0"/>
    <n v="0"/>
    <n v="0"/>
    <n v="0"/>
    <n v="0"/>
    <m/>
    <m/>
    <m/>
    <m/>
    <m/>
    <m/>
    <m/>
    <m/>
    <m/>
    <n v="1749.8611461043563"/>
    <m/>
    <m/>
    <m/>
    <m/>
    <m/>
    <m/>
    <m/>
    <m/>
    <m/>
    <m/>
    <m/>
    <m/>
    <n v="12958.673600000002"/>
    <n v="-5925.8651199999949"/>
    <m/>
    <m/>
    <m/>
    <m/>
    <n v="-6136.10844"/>
    <n v="215.37515999999997"/>
    <n v="31"/>
    <n v="312.31969341807326"/>
    <n v="38.148209119478679"/>
    <n v="122.66540968016602"/>
    <n v="0"/>
    <n v="0"/>
    <n v="0"/>
    <n v="0"/>
    <n v="0"/>
    <n v="-53.513131780910044"/>
    <n v="0"/>
    <n v="0"/>
    <n v="209.94895224318338"/>
    <n v="6.2697976748973758"/>
    <n v="0.24344156177424381"/>
    <n v="0"/>
    <n v="8.1518261795873812"/>
    <n v="0"/>
    <n v="-15.802963502184753"/>
    <m/>
    <n v="0"/>
    <n v="0"/>
    <n v="-0.91458286694285107"/>
    <n v="0"/>
    <n v="-2.4880506301688001"/>
    <n v="-0.38921426080699995"/>
    <n v="0"/>
    <n v="0"/>
    <m/>
    <m/>
    <m/>
    <n v="11772.884517657787"/>
    <n v="0"/>
    <n v="0"/>
    <n v="-6136.10844"/>
    <n v="215.37516000000005"/>
    <n v="0"/>
    <n v="0"/>
    <n v="-6233.1182070481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6"/>
    <s v="Sistema de Compensação"/>
    <s v="Verde"/>
    <s v="A4"/>
    <s v="Comercial"/>
    <s v="Não se aplica"/>
    <s v="Não se aplica"/>
    <s v="Não se aplica"/>
    <s v="Ponta"/>
    <s v="CATIVO"/>
    <x v="10"/>
    <n v="0"/>
    <n v="0"/>
    <n v="9.1950000000000003"/>
    <n v="9.1950000000000003"/>
    <n v="9.1950000000000003"/>
    <n v="9.1950000000000003"/>
    <m/>
    <n v="1684.16"/>
    <n v="173.82"/>
    <m/>
    <n v="17084.126100000001"/>
    <n v="17084.126100000001"/>
    <n v="11727.8547"/>
    <n v="0"/>
    <n v="489.17424375467505"/>
    <n v="0"/>
    <n v="0"/>
    <n v="165.50448171026702"/>
    <n v="2524.8176188103848"/>
    <n v="10650.499128282503"/>
    <n v="1479.6790363035316"/>
    <n v="74.441482280053577"/>
    <n v="0"/>
    <n v="0"/>
    <n v="0"/>
    <n v="0"/>
    <n v="86.906511766808904"/>
    <m/>
    <n v="11.426908470916199"/>
    <n v="355.4432406693391"/>
    <n v="1142.9262799256587"/>
    <n v="0"/>
    <n v="0"/>
    <n v="0"/>
    <n v="0"/>
    <n v="0"/>
    <n v="0"/>
    <n v="0"/>
    <n v="0"/>
    <n v="0"/>
    <n v="0"/>
    <m/>
    <n v="0"/>
    <n v="0"/>
    <n v="0"/>
    <n v="1.7157283790829014"/>
    <n v="44.188304262956009"/>
    <n v="57.452472025460409"/>
    <n v="0"/>
    <n v="0"/>
    <n v="0"/>
    <n v="0"/>
    <n v="0"/>
    <m/>
    <m/>
    <m/>
    <m/>
    <m/>
    <m/>
    <m/>
    <m/>
    <m/>
    <n v="1583.035540971031"/>
    <m/>
    <m/>
    <m/>
    <m/>
    <m/>
    <m/>
    <m/>
    <m/>
    <m/>
    <m/>
    <m/>
    <m/>
    <n v="11734.232"/>
    <n v="-5349.9241000000002"/>
    <m/>
    <m/>
    <m/>
    <m/>
    <n v="-5551.1134500000007"/>
    <n v="194.84204999999997"/>
    <n v="31"/>
    <n v="282.54423268193386"/>
    <n v="34.511293078867197"/>
    <n v="110.9709210949552"/>
    <n v="0"/>
    <n v="0"/>
    <n v="0"/>
    <n v="0"/>
    <n v="0"/>
    <n v="-48.411378072163188"/>
    <n v="0"/>
    <n v="0"/>
    <n v="189.93315779969225"/>
    <n v="5.6720572236010725"/>
    <n v="0.22023269977510562"/>
    <n v="0"/>
    <n v="7.3746597521946029"/>
    <n v="0"/>
    <n v="-14.296364561451071"/>
    <m/>
    <n v="0"/>
    <n v="0"/>
    <n v="-0.82738975418530458"/>
    <n v="0"/>
    <n v="-2.2508486367967322"/>
    <n v="-0.35210794255414868"/>
    <n v="0"/>
    <n v="0"/>
    <m/>
    <m/>
    <m/>
    <n v="10650.499128282503"/>
    <n v="0"/>
    <n v="0"/>
    <n v="-5551.1134500000007"/>
    <n v="194.84204999999997"/>
    <n v="0"/>
    <n v="0"/>
    <n v="-5638.874647167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7"/>
    <s v="Regular"/>
    <s v="Verde"/>
    <s v="A4"/>
    <s v="Comercial"/>
    <s v="Não se aplica"/>
    <s v="Não se aplica"/>
    <s v="Não se aplica"/>
    <s v="Fora ponta"/>
    <s v="CATIVO"/>
    <x v="10"/>
    <n v="0"/>
    <n v="0"/>
    <n v="237.08699999999999"/>
    <n v="237.08699999999999"/>
    <n v="237.08699999999999"/>
    <n v="237.08699999999999"/>
    <m/>
    <n v="70.33"/>
    <n v="173.82"/>
    <m/>
    <n v="57884.79105"/>
    <n v="57884.79105"/>
    <n v="62669.206709999991"/>
    <n v="0"/>
    <n v="12613.03468505325"/>
    <n v="0"/>
    <n v="0"/>
    <n v="0"/>
    <n v="0"/>
    <n v="0"/>
    <n v="38152.546349113145"/>
    <n v="1919.4244382089246"/>
    <n v="0"/>
    <n v="0"/>
    <n v="0"/>
    <n v="0"/>
    <n v="2240.8269880649727"/>
    <m/>
    <n v="294.63528533378013"/>
    <n v="0"/>
    <n v="0"/>
    <n v="0"/>
    <n v="0"/>
    <n v="0"/>
    <n v="0"/>
    <n v="0"/>
    <n v="0"/>
    <n v="0"/>
    <n v="0"/>
    <n v="0"/>
    <n v="0"/>
    <m/>
    <n v="0"/>
    <n v="0"/>
    <n v="0"/>
    <n v="44.238922698382581"/>
    <n v="1139.3662308636706"/>
    <n v="1481.3740331811125"/>
    <n v="0"/>
    <n v="0"/>
    <n v="0"/>
    <n v="0"/>
    <n v="0"/>
    <m/>
    <m/>
    <m/>
    <m/>
    <m/>
    <m/>
    <m/>
    <m/>
    <m/>
    <n v="40817.525535856308"/>
    <m/>
    <m/>
    <m/>
    <m/>
    <m/>
    <m/>
    <m/>
    <m/>
    <m/>
    <m/>
    <m/>
    <m/>
    <n v="62669.9997"/>
    <n v="4785.1786500000089"/>
    <m/>
    <m/>
    <m/>
    <m/>
    <n v="-239.45787000000121"/>
    <n v="5023.8735299999989"/>
    <n v="31"/>
    <n v="4782.3089913026415"/>
    <n v="0"/>
    <n v="0"/>
    <n v="0"/>
    <n v="0"/>
    <n v="0"/>
    <n v="0"/>
    <n v="0"/>
    <n v="0"/>
    <n v="0"/>
    <n v="0"/>
    <n v="4897.3009878472658"/>
    <n v="146.25024806654778"/>
    <n v="5.6785546592257177"/>
    <n v="0"/>
    <n v="190.15072938211665"/>
    <n v="0"/>
    <n v="-368.62231482117932"/>
    <m/>
    <n v="0"/>
    <n v="0"/>
    <n v="-21.333698167540433"/>
    <n v="0"/>
    <n v="-58.036644997523581"/>
    <n v="-9.0788706662680738"/>
    <n v="0"/>
    <n v="0"/>
    <m/>
    <m/>
    <m/>
    <n v="0"/>
    <n v="0"/>
    <n v="0"/>
    <n v="-239.457870000002"/>
    <n v="5023.87352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8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52.8"/>
    <n v="52.8"/>
    <n v="52.8"/>
    <n v="52.8"/>
    <m/>
    <n v="70.33"/>
    <n v="173.82"/>
    <m/>
    <n v="12891.119999999999"/>
    <n v="12891.119999999999"/>
    <n v="13956.623999999998"/>
    <n v="0"/>
    <n v="2808.9613997005808"/>
    <n v="0"/>
    <n v="0"/>
    <n v="0"/>
    <n v="0"/>
    <n v="0"/>
    <n v="8496.6887565879788"/>
    <n v="427.4616927011233"/>
    <n v="0"/>
    <n v="0"/>
    <n v="0"/>
    <n v="0"/>
    <n v="499.03902352229585"/>
    <m/>
    <n v="65.616179147838523"/>
    <n v="0"/>
    <n v="0"/>
    <n v="0"/>
    <n v="0"/>
    <n v="0"/>
    <n v="0"/>
    <n v="0"/>
    <n v="0"/>
    <n v="0"/>
    <n v="0"/>
    <n v="0"/>
    <n v="0"/>
    <m/>
    <n v="0"/>
    <n v="0"/>
    <n v="0"/>
    <n v="9.8521433839670678"/>
    <n v="253.7403442179529"/>
    <n v="329.90652778078402"/>
    <n v="0"/>
    <n v="0"/>
    <n v="0"/>
    <n v="0"/>
    <n v="0"/>
    <m/>
    <m/>
    <m/>
    <m/>
    <m/>
    <m/>
    <m/>
    <m/>
    <m/>
    <n v="9090.1877719706827"/>
    <m/>
    <m/>
    <m/>
    <m/>
    <m/>
    <m/>
    <m/>
    <m/>
    <m/>
    <m/>
    <m/>
    <m/>
    <n v="13956.623999999998"/>
    <n v="1065.4739999999983"/>
    <m/>
    <m/>
    <m/>
    <m/>
    <n v="-53.328000000000266"/>
    <n v="1118.8319999999999"/>
    <n v="31"/>
    <n v="1065.0348384381232"/>
    <n v="0"/>
    <n v="0"/>
    <n v="0"/>
    <n v="0"/>
    <n v="0"/>
    <n v="0"/>
    <n v="0"/>
    <n v="0"/>
    <n v="0"/>
    <n v="0"/>
    <n v="1090.6439077567975"/>
    <n v="32.570377531934412"/>
    <n v="1.2646314897363329"/>
    <n v="0"/>
    <n v="42.347148984869534"/>
    <n v="0"/>
    <n v="-82.09331689446617"/>
    <m/>
    <n v="0"/>
    <n v="0"/>
    <n v="-4.7510798282745554"/>
    <n v="0"/>
    <n v="-12.924938338539221"/>
    <n v="-2.0218922639324646"/>
    <n v="0"/>
    <n v="0"/>
    <m/>
    <m/>
    <m/>
    <n v="0"/>
    <n v="0"/>
    <n v="0"/>
    <n v="-53.327999999999975"/>
    <n v="1118.8319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59"/>
    <s v="Regular"/>
    <s v="Verde"/>
    <s v="A4"/>
    <s v="Comercial"/>
    <s v="Não se aplica"/>
    <s v="Não se aplica"/>
    <s v="Não se aplica"/>
    <s v="Não se aplica"/>
    <s v="CATIVO"/>
    <x v="10"/>
    <n v="2369"/>
    <n v="2369"/>
    <n v="0"/>
    <n v="0"/>
    <n v="0"/>
    <n v="0"/>
    <n v="59.12"/>
    <m/>
    <m/>
    <n v="140055.28"/>
    <m/>
    <n v="140055.28"/>
    <n v="80617.070000000007"/>
    <n v="0"/>
    <n v="0"/>
    <n v="0"/>
    <n v="0"/>
    <n v="1355.2110007374927"/>
    <n v="12122.226659544855"/>
    <n v="114095.29887555572"/>
    <m/>
    <m/>
    <m/>
    <n v="0"/>
    <n v="0"/>
    <n v="0"/>
    <n v="0"/>
    <m/>
    <n v="0"/>
    <n v="2861.9228420697523"/>
    <n v="9620.480249863238"/>
    <n v="0"/>
    <n v="0"/>
    <m/>
    <m/>
    <n v="0"/>
    <n v="0"/>
    <n v="0"/>
    <m/>
    <m/>
    <n v="0"/>
    <m/>
    <n v="0"/>
    <n v="0"/>
    <n v="0"/>
    <n v="0"/>
    <m/>
    <n v="0"/>
    <n v="0"/>
    <n v="1174.99"/>
    <n v="5417.81"/>
    <n v="49800.31"/>
    <n v="13"/>
    <m/>
    <m/>
    <m/>
    <m/>
    <m/>
    <m/>
    <m/>
    <m/>
    <m/>
    <n v="0"/>
    <m/>
    <m/>
    <m/>
    <m/>
    <m/>
    <m/>
    <m/>
    <m/>
    <m/>
    <m/>
    <m/>
    <m/>
    <n v="80617.070000000007"/>
    <n v="-59438.24000000002"/>
    <m/>
    <m/>
    <m/>
    <m/>
    <n v="-59438.209999999992"/>
    <n v="0"/>
    <n v="31"/>
    <n v="979.52838507436536"/>
    <n v="277.87462714379308"/>
    <n v="934.08785278140022"/>
    <n v="0"/>
    <n v="0"/>
    <m/>
    <m/>
    <m/>
    <n v="-232.434094850832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095.29887555572"/>
    <m/>
    <n v="0"/>
    <n v="0"/>
    <n v="-59438.209999999992"/>
    <m/>
    <n v="0"/>
    <m/>
    <n v="-60407.41193826941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60"/>
    <s v="Sistema de Compensação"/>
    <s v="Verde"/>
    <s v="A4"/>
    <s v="Comercial"/>
    <s v="Não se aplica"/>
    <s v="Não se aplica"/>
    <s v="Não se aplica"/>
    <s v="Não se aplica"/>
    <s v="CATIVO"/>
    <x v="10"/>
    <n v="285"/>
    <n v="285"/>
    <n v="0"/>
    <n v="0"/>
    <n v="0"/>
    <n v="0"/>
    <n v="59.12"/>
    <m/>
    <m/>
    <n v="16849.2"/>
    <m/>
    <n v="16849.2"/>
    <n v="9698.5500000000011"/>
    <n v="0"/>
    <n v="0"/>
    <n v="0"/>
    <n v="0"/>
    <n v="163.03720355009938"/>
    <n v="1458.3514554538976"/>
    <n v="13726.112359448451"/>
    <m/>
    <m/>
    <m/>
    <n v="0"/>
    <n v="0"/>
    <n v="0"/>
    <n v="0"/>
    <m/>
    <n v="0"/>
    <n v="344.30055297166712"/>
    <n v="1157.3815412456829"/>
    <n v="0"/>
    <n v="0"/>
    <m/>
    <m/>
    <n v="0"/>
    <n v="0"/>
    <n v="0"/>
    <m/>
    <m/>
    <n v="0"/>
    <m/>
    <n v="0"/>
    <n v="0"/>
    <n v="0"/>
    <n v="0"/>
    <m/>
    <n v="0"/>
    <n v="0"/>
    <n v="270.63"/>
    <n v="1247.76"/>
    <n v="12042.51"/>
    <n v="3"/>
    <m/>
    <m/>
    <m/>
    <m/>
    <m/>
    <m/>
    <m/>
    <m/>
    <m/>
    <n v="0"/>
    <m/>
    <m/>
    <m/>
    <m/>
    <m/>
    <m/>
    <m/>
    <m/>
    <m/>
    <m/>
    <m/>
    <m/>
    <n v="9698.5500000000011"/>
    <n v="-7150.6799999999948"/>
    <m/>
    <m/>
    <m/>
    <m/>
    <n v="-7150.6499999999987"/>
    <n v="0"/>
    <n v="31"/>
    <n v="117.8411100659323"/>
    <n v="33.429408499780948"/>
    <n v="112.37443564487103"/>
    <n v="0"/>
    <n v="0"/>
    <m/>
    <m/>
    <m/>
    <n v="-27.9627340787196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726.112359448451"/>
    <m/>
    <n v="0"/>
    <n v="0"/>
    <n v="-7150.65"/>
    <m/>
    <n v="0"/>
    <m/>
    <n v="-7267.24879797669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61"/>
    <s v="Regular"/>
    <s v="Convencional"/>
    <s v="B2"/>
    <s v="Rural"/>
    <s v="Não se aplica"/>
    <s v="Não se aplica"/>
    <s v="Não se aplica"/>
    <s v="Não se aplica"/>
    <s v="CATIVO"/>
    <x v="10"/>
    <n v="0"/>
    <n v="0"/>
    <n v="2301.9630000000002"/>
    <n v="2301.9630000000002"/>
    <n v="2301.9630000000002"/>
    <n v="2301.9630000000002"/>
    <m/>
    <n v="516.83000000000004"/>
    <n v="173.82"/>
    <m/>
    <n v="1589850.7459500001"/>
    <n v="1589850.7459500001"/>
    <n v="1200358.60635"/>
    <n v="0"/>
    <n v="140763.78462510751"/>
    <n v="0"/>
    <n v="0"/>
    <n v="6257.7576745150682"/>
    <n v="79248.785939169611"/>
    <n v="837030.10668931995"/>
    <n v="370436.80189737753"/>
    <n v="18636.382585518106"/>
    <n v="0"/>
    <n v="0"/>
    <n v="0"/>
    <n v="0"/>
    <n v="21756.99560046316"/>
    <m/>
    <n v="3571.5922190509173"/>
    <n v="13347.941154929957"/>
    <n v="43712.702485717185"/>
    <n v="0"/>
    <n v="0"/>
    <n v="0"/>
    <n v="0"/>
    <n v="0"/>
    <n v="0"/>
    <n v="0"/>
    <n v="0"/>
    <n v="0"/>
    <n v="0"/>
    <m/>
    <n v="0"/>
    <n v="0"/>
    <n v="0"/>
    <n v="1277.1581163871174"/>
    <n v="11062.516742367265"/>
    <n v="42766.612622588778"/>
    <n v="0"/>
    <n v="9238.16"/>
    <n v="42833.98"/>
    <n v="77617.119999999995"/>
    <n v="10194"/>
    <m/>
    <m/>
    <m/>
    <m/>
    <m/>
    <n v="144033.82491"/>
    <m/>
    <m/>
    <m/>
    <n v="425543.08937872067"/>
    <m/>
    <m/>
    <m/>
    <m/>
    <m/>
    <m/>
    <m/>
    <m/>
    <m/>
    <m/>
    <m/>
    <m/>
    <n v="1056323.4048000001"/>
    <n v="-342740.67771000019"/>
    <m/>
    <m/>
    <m/>
    <m/>
    <n v="-438270.73557000014"/>
    <n v="48778.595970000002"/>
    <n v="31"/>
    <n v="53649.271172723384"/>
    <n v="1296.0007576169082"/>
    <n v="4244.2272468398223"/>
    <n v="0"/>
    <n v="0"/>
    <n v="0"/>
    <n v="0"/>
    <n v="0"/>
    <n v="-1519.5327017989475"/>
    <n v="0"/>
    <n v="0"/>
    <n v="47549.657610446273"/>
    <n v="1419.9962873966724"/>
    <n v="163.9373594566091"/>
    <n v="0"/>
    <n v="5489.5673889495447"/>
    <n v="0"/>
    <n v="-4113.8927646797965"/>
    <m/>
    <n v="0"/>
    <n v="0"/>
    <n v="-207.13655255178674"/>
    <n v="0"/>
    <n v="-563.49867107194586"/>
    <n v="-110.05478788012306"/>
    <n v="0"/>
    <n v="0"/>
    <m/>
    <m/>
    <m/>
    <n v="837030.10668931995"/>
    <n v="0"/>
    <n v="0"/>
    <n v="-438270.73557000002"/>
    <n v="48778.595970000024"/>
    <n v="0"/>
    <n v="0"/>
    <n v="-443163.0659442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2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8.77"/>
    <n v="-8.77"/>
    <n v="-8.77"/>
    <n v="-8.77"/>
    <m/>
    <n v="516.83000000000004"/>
    <n v="173.82"/>
    <m/>
    <n v="-6057.0005000000001"/>
    <n v="-6057.0005000000001"/>
    <n v="-4573.1165000000001"/>
    <n v="0"/>
    <n v="-536.28072699786776"/>
    <n v="0"/>
    <n v="0"/>
    <n v="-23.84075452363793"/>
    <n v="-301.92138304851881"/>
    <n v="-3188.9105236119499"/>
    <n v="-1411.2871286984198"/>
    <n v="-71.000739488425211"/>
    <n v="0"/>
    <n v="0"/>
    <n v="0"/>
    <n v="0"/>
    <n v="-82.889625687320731"/>
    <m/>
    <n v="-13.60702311943178"/>
    <n v="-50.852878143017804"/>
    <n v="-166.53630001861004"/>
    <n v="0"/>
    <n v="0"/>
    <n v="0"/>
    <n v="0"/>
    <n v="0"/>
    <n v="0"/>
    <n v="0"/>
    <n v="0"/>
    <n v="0"/>
    <n v="0"/>
    <m/>
    <n v="0"/>
    <n v="0"/>
    <n v="0"/>
    <n v="-4.8657066515469696"/>
    <n v="-42.145886719534978"/>
    <n v="-162.93189451789777"/>
    <n v="0"/>
    <n v="-6.12"/>
    <n v="-28.02"/>
    <n v="-51.02"/>
    <n v="0"/>
    <m/>
    <m/>
    <m/>
    <m/>
    <m/>
    <n v="-548.73889999999983"/>
    <m/>
    <m/>
    <m/>
    <n v="-1621.2306165873995"/>
    <m/>
    <m/>
    <m/>
    <m/>
    <m/>
    <m/>
    <m/>
    <m/>
    <m/>
    <m/>
    <m/>
    <m/>
    <n v="-4024.3775999999998"/>
    <n v="1305.7352999999994"/>
    <m/>
    <m/>
    <m/>
    <m/>
    <n v="1669.7203000000004"/>
    <n v="-185.83629999999997"/>
    <n v="31"/>
    <n v="-204.3925589528526"/>
    <n v="-4.9374931935484128"/>
    <n v="-16.169622602442018"/>
    <n v="0"/>
    <n v="0"/>
    <n v="0"/>
    <n v="0"/>
    <n v="0"/>
    <n v="5.789103384709847"/>
    <n v="0"/>
    <n v="0"/>
    <n v="-181.15430058763468"/>
    <n v="-5.409890358997437"/>
    <n v="-0.62456722477053805"/>
    <n v="0"/>
    <n v="-20.914109393195076"/>
    <n v="0"/>
    <n v="15.673075347536724"/>
    <m/>
    <n v="0"/>
    <n v="0"/>
    <n v="0.78914716087059844"/>
    <n v="0"/>
    <n v="2.1468126747914624"/>
    <n v="0.41928583982830148"/>
    <n v="0"/>
    <n v="0"/>
    <m/>
    <m/>
    <m/>
    <n v="-3188.9105236119499"/>
    <n v="0"/>
    <n v="0"/>
    <n v="1669.7203000000004"/>
    <n v="-185.83629999999994"/>
    <n v="0"/>
    <n v="0"/>
    <n v="1688.3590606499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3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46.863"/>
    <n v="46.863"/>
    <n v="46.863"/>
    <n v="46.863"/>
    <m/>
    <n v="516.83000000000004"/>
    <n v="173.82"/>
    <m/>
    <n v="32365.930950000002"/>
    <n v="32365.930950000002"/>
    <n v="24436.711349999998"/>
    <n v="0"/>
    <n v="2865.6469451882645"/>
    <n v="0"/>
    <n v="0"/>
    <n v="127.39444461131635"/>
    <n v="1613.3342957585787"/>
    <n v="17040.127008897016"/>
    <n v="7541.2940378784551"/>
    <n v="379.39653986842313"/>
    <n v="0"/>
    <n v="0"/>
    <n v="0"/>
    <n v="0"/>
    <n v="442.92548786601043"/>
    <m/>
    <n v="72.709911567381013"/>
    <n v="271.73528260162414"/>
    <n v="889.89630875394789"/>
    <n v="0"/>
    <n v="0"/>
    <n v="0"/>
    <n v="0"/>
    <n v="0"/>
    <n v="0"/>
    <n v="0"/>
    <n v="0"/>
    <n v="0"/>
    <n v="0"/>
    <m/>
    <n v="0"/>
    <n v="0"/>
    <n v="0"/>
    <n v="26.000183672912847"/>
    <n v="225.20897255844559"/>
    <n v="870.63596040960601"/>
    <n v="0"/>
    <n v="204.49"/>
    <n v="951.05"/>
    <n v="2160.41"/>
    <n v="314"/>
    <m/>
    <m/>
    <m/>
    <m/>
    <m/>
    <n v="2932.2179099999994"/>
    <m/>
    <m/>
    <m/>
    <n v="8663.1391545194201"/>
    <m/>
    <m/>
    <m/>
    <m/>
    <m/>
    <m/>
    <m/>
    <m/>
    <m/>
    <m/>
    <m/>
    <m/>
    <n v="21503.1168"/>
    <n v="-6978.8387099999964"/>
    <m/>
    <m/>
    <m/>
    <m/>
    <n v="-8922.2465700000012"/>
    <n v="993.02696999999989"/>
    <n v="31"/>
    <n v="1092.183408233459"/>
    <n v="26.383779193758187"/>
    <n v="86.403309466161886"/>
    <n v="0"/>
    <n v="0"/>
    <n v="0"/>
    <n v="0"/>
    <n v="0"/>
    <n v="-30.934407288216335"/>
    <n v="0"/>
    <n v="0"/>
    <n v="968.00843653800803"/>
    <n v="28.908060649224268"/>
    <n v="3.3374109298086339"/>
    <n v="0"/>
    <n v="111.75574783275931"/>
    <n v="0"/>
    <n v="-83.749980617059919"/>
    <m/>
    <n v="0"/>
    <n v="0"/>
    <n v="-4.2168532953111821"/>
    <n v="0"/>
    <n v="-11.471617146950052"/>
    <n v="-2.2404780287199202"/>
    <n v="0"/>
    <n v="0"/>
    <m/>
    <m/>
    <m/>
    <n v="17040.127008897016"/>
    <n v="0"/>
    <n v="0"/>
    <n v="-8922.2465700000012"/>
    <n v="993.02696999999989"/>
    <n v="0"/>
    <n v="0"/>
    <n v="-9021.8438608026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4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0.17199999999999999"/>
    <n v="0.17199999999999999"/>
    <n v="0.17199999999999999"/>
    <n v="0.17199999999999999"/>
    <m/>
    <n v="516.83000000000004"/>
    <n v="173.82"/>
    <m/>
    <n v="118.79179999999999"/>
    <n v="118.79179999999999"/>
    <n v="89.689399999999992"/>
    <n v="0"/>
    <n v="10.517706390380075"/>
    <n v="0"/>
    <n v="0"/>
    <n v="0.46757238062322964"/>
    <n v="5.9213771817953509"/>
    <n v="62.541916768672223"/>
    <n v="27.678607313127504"/>
    <n v="1.3924888474354773"/>
    <n v="0"/>
    <n v="0"/>
    <n v="0"/>
    <n v="0"/>
    <n v="1.6256574251105091"/>
    <m/>
    <n v="0.26686521967414667"/>
    <n v="0.99734265001129563"/>
    <n v="3.2661623264767305"/>
    <n v="0"/>
    <n v="0"/>
    <n v="0"/>
    <n v="0"/>
    <n v="0"/>
    <n v="0"/>
    <n v="0"/>
    <n v="0"/>
    <n v="0"/>
    <n v="0"/>
    <m/>
    <n v="0"/>
    <n v="0"/>
    <n v="0"/>
    <n v="9.5427770132962234E-2"/>
    <n v="0.82657839404333144"/>
    <n v="3.1954715914570602"/>
    <n v="0"/>
    <n v="0.21"/>
    <n v="0.99"/>
    <n v="9.1300000000000008"/>
    <n v="1"/>
    <m/>
    <m/>
    <m/>
    <m/>
    <m/>
    <n v="10.762039999999999"/>
    <m/>
    <m/>
    <m/>
    <n v="31.796085068760856"/>
    <m/>
    <m/>
    <m/>
    <m/>
    <m/>
    <m/>
    <m/>
    <m/>
    <m/>
    <m/>
    <m/>
    <m/>
    <n v="78.009600000000006"/>
    <n v="-26.556840000000008"/>
    <m/>
    <m/>
    <m/>
    <m/>
    <n v="-32.747080000000004"/>
    <n v="3.6446799999999993"/>
    <n v="31"/>
    <n v="4.0086111904093968"/>
    <n v="9.6835670386582251E-2"/>
    <n v="0.31712372720866888"/>
    <n v="0"/>
    <n v="0"/>
    <n v="0"/>
    <n v="0"/>
    <n v="0"/>
    <n v="-0.113537717465233"/>
    <n v="0"/>
    <n v="0"/>
    <n v="3.5528551540562354"/>
    <n v="0.10610047226311958"/>
    <n v="1.224920896927395E-2"/>
    <n v="0"/>
    <n v="0.41017409528273108"/>
    <n v="0"/>
    <n v="-0.30738528617746042"/>
    <m/>
    <n v="0"/>
    <n v="0"/>
    <n v="-1.5477002470894341E-2"/>
    <n v="0"/>
    <n v="-4.2103965799786813E-2"/>
    <n v="-8.2231658438390309E-3"/>
    <n v="0"/>
    <n v="0"/>
    <m/>
    <m/>
    <m/>
    <n v="62.541916768672223"/>
    <n v="0"/>
    <n v="0"/>
    <n v="-32.747080000000011"/>
    <n v="3.644680000000001"/>
    <n v="0"/>
    <n v="0"/>
    <n v="-33.112629239657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5"/>
    <s v="Regular"/>
    <s v="Verde"/>
    <s v="A4"/>
    <s v="Rural"/>
    <s v="Não se aplica"/>
    <s v="Não se aplica"/>
    <s v="Não se aplica"/>
    <s v="Ponta"/>
    <s v="CATIVO"/>
    <x v="10"/>
    <n v="0"/>
    <n v="0"/>
    <n v="38.116999999999997"/>
    <n v="36.592320000000001"/>
    <n v="38.116999999999997"/>
    <n v="36.592320000000001"/>
    <m/>
    <n v="1684.16"/>
    <n v="173.82"/>
    <m/>
    <n v="70820.623659999997"/>
    <n v="70820.623659999997"/>
    <n v="48616.70882"/>
    <n v="0"/>
    <n v="2027.8254104618757"/>
    <n v="0"/>
    <n v="0"/>
    <n v="686.0831244535342"/>
    <n v="10466.39186255524"/>
    <n v="44150.633526127691"/>
    <n v="6133.86904043303"/>
    <n v="308.59010114940747"/>
    <n v="0"/>
    <n v="0"/>
    <n v="0"/>
    <n v="0"/>
    <n v="360.26269809847253"/>
    <m/>
    <n v="47.369164783677292"/>
    <n v="1473.4562267094288"/>
    <n v="4737.892442841362"/>
    <n v="0"/>
    <n v="0"/>
    <n v="0"/>
    <n v="0"/>
    <n v="0"/>
    <n v="0"/>
    <n v="0"/>
    <n v="0"/>
    <n v="0"/>
    <n v="0"/>
    <m/>
    <n v="0"/>
    <n v="0"/>
    <n v="0"/>
    <n v="7.1123891925506202"/>
    <n v="183.17842235900969"/>
    <n v="238.1637712011391"/>
    <n v="0"/>
    <n v="0"/>
    <n v="0"/>
    <n v="0"/>
    <n v="0"/>
    <m/>
    <m/>
    <m/>
    <m/>
    <m/>
    <n v="1944.6683527999958"/>
    <m/>
    <m/>
    <m/>
    <n v="6562.323623185729"/>
    <m/>
    <m/>
    <m/>
    <m/>
    <m/>
    <m/>
    <m/>
    <m/>
    <m/>
    <m/>
    <m/>
    <m/>
    <n v="46669.081400000003"/>
    <n v="-21318.747313599997"/>
    <m/>
    <m/>
    <m/>
    <m/>
    <n v="-23011.61407"/>
    <n v="807.69922999999983"/>
    <n v="31"/>
    <n v="1171.2603063770839"/>
    <n v="143.06329073270035"/>
    <n v="460.01942353196409"/>
    <n v="0"/>
    <n v="0"/>
    <n v="0"/>
    <n v="0"/>
    <n v="0"/>
    <n v="-200.68477411382628"/>
    <n v="0"/>
    <n v="0"/>
    <n v="787.34988318117121"/>
    <n v="23.512975007286798"/>
    <n v="0.91295375936135859"/>
    <n v="0"/>
    <n v="30.570952232126359"/>
    <n v="0"/>
    <n v="-59.264222728529603"/>
    <m/>
    <n v="0"/>
    <n v="0"/>
    <n v="-3.4298657161807"/>
    <n v="0"/>
    <n v="-9.3306794441306806"/>
    <n v="-1.45963006485443"/>
    <n v="0"/>
    <n v="0"/>
    <m/>
    <m/>
    <m/>
    <n v="44150.633526127691"/>
    <n v="0"/>
    <n v="0"/>
    <n v="-23011.614070000003"/>
    <n v="807.69923000000017"/>
    <n v="0"/>
    <n v="0"/>
    <n v="-23375.41978532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6"/>
    <s v="Sistema de Compensação"/>
    <s v="Verde"/>
    <s v="A4"/>
    <s v="Rural"/>
    <s v="Não se aplica"/>
    <s v="Não se aplica"/>
    <s v="Não se aplica"/>
    <s v="Ponta"/>
    <s v="CATIVO"/>
    <x v="10"/>
    <n v="0"/>
    <n v="0"/>
    <n v="4.5049999999999999"/>
    <n v="4.3247999999999998"/>
    <n v="4.5049999999999999"/>
    <n v="4.3247999999999998"/>
    <m/>
    <n v="1684.16"/>
    <n v="173.82"/>
    <m/>
    <n v="8370.1998999999996"/>
    <n v="8370.1998999999996"/>
    <n v="5745.9472999999998"/>
    <n v="0"/>
    <n v="239.66611942521055"/>
    <n v="0"/>
    <n v="0"/>
    <n v="81.087296368107985"/>
    <n v="1237.0096109560395"/>
    <n v="5218.1075120079031"/>
    <n v="724.95422061418265"/>
    <n v="36.471873591260611"/>
    <n v="0"/>
    <n v="0"/>
    <n v="0"/>
    <n v="0"/>
    <n v="42.578992442574673"/>
    <m/>
    <n v="5.5985016488828139"/>
    <n v="174.14592704898016"/>
    <n v="559.96551289451781"/>
    <n v="0"/>
    <n v="0"/>
    <n v="0"/>
    <n v="0"/>
    <n v="0"/>
    <n v="0"/>
    <n v="0"/>
    <n v="0"/>
    <n v="0"/>
    <n v="0"/>
    <m/>
    <n v="0"/>
    <n v="0"/>
    <n v="0"/>
    <n v="0.84060427925703873"/>
    <n v="21.649625960262838"/>
    <n v="28.148274766144549"/>
    <n v="0"/>
    <n v="0"/>
    <n v="0"/>
    <n v="0"/>
    <n v="0"/>
    <m/>
    <m/>
    <m/>
    <m/>
    <m/>
    <n v="229.83789200000018"/>
    <m/>
    <m/>
    <m/>
    <n v="775.5927256198471"/>
    <m/>
    <m/>
    <m/>
    <m/>
    <m/>
    <m/>
    <m/>
    <m/>
    <m/>
    <m/>
    <m/>
    <m/>
    <n v="5509.9872000000005"/>
    <n v="-2525.4347040000002"/>
    <m/>
    <m/>
    <m/>
    <m/>
    <n v="-2719.7135499999999"/>
    <n v="95.460949999999983"/>
    <n v="31"/>
    <n v="138.42977359783663"/>
    <n v="16.908469311614681"/>
    <n v="54.369113597909063"/>
    <n v="0"/>
    <n v="0"/>
    <n v="0"/>
    <n v="0"/>
    <n v="0"/>
    <n v="-23.718679523120727"/>
    <n v="0"/>
    <n v="0"/>
    <n v="93.055886447810053"/>
    <n v="2.7789687647985701"/>
    <n v="0.10790084964511693"/>
    <n v="0"/>
    <n v="3.613142162440095"/>
    <n v="0"/>
    <n v="-7.0043634963933812"/>
    <m/>
    <n v="0"/>
    <n v="0"/>
    <n v="-0.40537148913592347"/>
    <n v="0"/>
    <n v="-1.1027811972560428"/>
    <n v="-0.17251183047378316"/>
    <n v="0"/>
    <n v="0"/>
    <m/>
    <m/>
    <m/>
    <n v="5218.1075120079031"/>
    <n v="0"/>
    <n v="0"/>
    <n v="-2719.7135500000004"/>
    <n v="95.460950000000025"/>
    <n v="0"/>
    <n v="0"/>
    <n v="-2762.7112871656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7"/>
    <s v="Regular"/>
    <s v="Verde"/>
    <s v="A4"/>
    <s v="Rural"/>
    <s v="Não se aplica"/>
    <s v="Não se aplica"/>
    <s v="Não se aplica"/>
    <s v="Fora ponta"/>
    <s v="CATIVO"/>
    <x v="10"/>
    <n v="0"/>
    <n v="0"/>
    <n v="432.37900000000002"/>
    <n v="415.08384000000001"/>
    <n v="432.37900000000002"/>
    <n v="415.08384000000001"/>
    <m/>
    <n v="70.33"/>
    <n v="173.82"/>
    <m/>
    <n v="105565.33285000001"/>
    <n v="105565.33285000001"/>
    <n v="114290.74106999999"/>
    <n v="0"/>
    <n v="23002.574262142756"/>
    <n v="0"/>
    <n v="0"/>
    <n v="0"/>
    <n v="0"/>
    <n v="0"/>
    <n v="69579.352043271851"/>
    <n v="3500.4821823564203"/>
    <n v="0"/>
    <n v="0"/>
    <n v="0"/>
    <n v="0"/>
    <n v="4086.6286733247493"/>
    <m/>
    <n v="537.3306424955166"/>
    <n v="0"/>
    <n v="0"/>
    <n v="0"/>
    <n v="0"/>
    <n v="0"/>
    <n v="0"/>
    <n v="0"/>
    <n v="0"/>
    <n v="0"/>
    <n v="0"/>
    <n v="0"/>
    <n v="0"/>
    <m/>
    <n v="0"/>
    <n v="0"/>
    <n v="0"/>
    <n v="80.679164852581394"/>
    <n v="2077.878717663149"/>
    <n v="2701.6033063509021"/>
    <n v="0"/>
    <n v="0"/>
    <n v="0"/>
    <n v="0"/>
    <n v="0"/>
    <m/>
    <m/>
    <m/>
    <m/>
    <m/>
    <n v="4571.6296428000023"/>
    <m/>
    <m/>
    <m/>
    <n v="74439.513232138474"/>
    <m/>
    <m/>
    <m/>
    <m/>
    <m/>
    <m/>
    <m/>
    <m/>
    <m/>
    <m/>
    <m/>
    <m/>
    <n v="109718.09639999999"/>
    <n v="8375.3468640000065"/>
    <m/>
    <m/>
    <m/>
    <m/>
    <n v="-436.70279000000221"/>
    <n v="9162.1110099999987"/>
    <n v="31"/>
    <n v="8721.5662577469193"/>
    <n v="0"/>
    <n v="0"/>
    <n v="0"/>
    <n v="0"/>
    <n v="0"/>
    <n v="0"/>
    <n v="0"/>
    <n v="0"/>
    <n v="0"/>
    <n v="0"/>
    <n v="8931.2788293934864"/>
    <n v="266.71869823636871"/>
    <n v="10.356062479180025"/>
    <n v="0"/>
    <n v="346.78064263122906"/>
    <n v="0"/>
    <n v="-672.26186108924958"/>
    <m/>
    <n v="0"/>
    <n v="0"/>
    <n v="-38.90657471722534"/>
    <n v="0"/>
    <n v="-105.84227109619769"/>
    <n v="-16.557268090660159"/>
    <n v="0"/>
    <n v="0"/>
    <m/>
    <m/>
    <m/>
    <n v="0"/>
    <n v="0"/>
    <n v="0"/>
    <n v="-436.70279000000301"/>
    <n v="9162.111009999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8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28.507999999999999"/>
    <n v="27.36768"/>
    <n v="28.507999999999999"/>
    <n v="27.36768"/>
    <m/>
    <n v="70.33"/>
    <n v="173.82"/>
    <m/>
    <n v="6960.2281999999996"/>
    <n v="6960.2281999999996"/>
    <n v="7535.5196399999986"/>
    <n v="0"/>
    <n v="1516.6263557322757"/>
    <n v="0"/>
    <n v="0"/>
    <n v="0"/>
    <n v="0"/>
    <n v="0"/>
    <n v="4587.5682400153428"/>
    <n v="230.79693059703831"/>
    <n v="0"/>
    <n v="0"/>
    <n v="0"/>
    <n v="0"/>
    <n v="269.44326671540927"/>
    <m/>
    <n v="35.427765817170091"/>
    <n v="0"/>
    <n v="0"/>
    <n v="0"/>
    <n v="0"/>
    <n v="0"/>
    <n v="0"/>
    <n v="0"/>
    <n v="0"/>
    <n v="0"/>
    <n v="0"/>
    <n v="0"/>
    <n v="0"/>
    <m/>
    <n v="0"/>
    <n v="0"/>
    <n v="0"/>
    <n v="5.3194110528434315"/>
    <n v="137.00056312434472"/>
    <n v="178.12453208285211"/>
    <n v="0"/>
    <n v="0"/>
    <n v="0"/>
    <n v="0"/>
    <n v="0"/>
    <m/>
    <m/>
    <m/>
    <m/>
    <m/>
    <n v="301.42078559999976"/>
    <m/>
    <m/>
    <m/>
    <n v="4908.0127462753835"/>
    <m/>
    <m/>
    <m/>
    <m/>
    <m/>
    <m/>
    <m/>
    <m/>
    <m/>
    <m/>
    <m/>
    <m/>
    <n v="7234.7121000000006"/>
    <n v="552.86302799999976"/>
    <m/>
    <m/>
    <m/>
    <m/>
    <n v="-28.793080000000145"/>
    <n v="604.08451999999988"/>
    <n v="31"/>
    <n v="575.03812829912931"/>
    <n v="0"/>
    <n v="0"/>
    <n v="0"/>
    <n v="0"/>
    <n v="0"/>
    <n v="0"/>
    <n v="0"/>
    <n v="0"/>
    <n v="0"/>
    <n v="0"/>
    <n v="588.86508565020358"/>
    <n v="17.585536414401247"/>
    <n v="0.68280519904172987"/>
    <n v="0"/>
    <n v="22.864252334482188"/>
    <n v="0"/>
    <n v="-44.324171932337777"/>
    <m/>
    <n v="0"/>
    <n v="0"/>
    <n v="-2.5652231769782361"/>
    <n v="0"/>
    <n v="-6.97848754081582"/>
    <n v="-1.0916686488671772"/>
    <n v="0"/>
    <n v="0"/>
    <m/>
    <m/>
    <m/>
    <n v="0"/>
    <n v="0"/>
    <n v="0"/>
    <n v="-28.793080000000145"/>
    <n v="604.084519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69"/>
    <s v="Regular"/>
    <s v="Verde"/>
    <s v="A4"/>
    <s v="Rural"/>
    <s v="Não se aplica"/>
    <s v="Não se aplica"/>
    <s v="Não se aplica"/>
    <s v="Não se aplica"/>
    <s v="CATIVO"/>
    <x v="10"/>
    <n v="1642"/>
    <n v="1576.32"/>
    <n v="0"/>
    <n v="0"/>
    <n v="0"/>
    <n v="0"/>
    <n v="59.12"/>
    <m/>
    <m/>
    <n v="97075.04"/>
    <m/>
    <n v="97075.04"/>
    <n v="55877.26"/>
    <n v="0"/>
    <n v="0"/>
    <n v="0"/>
    <n v="0"/>
    <n v="939.32311659390587"/>
    <n v="8402.1511924747374"/>
    <n v="79081.671909524055"/>
    <m/>
    <m/>
    <m/>
    <n v="0"/>
    <n v="0"/>
    <n v="0"/>
    <n v="0"/>
    <m/>
    <n v="0"/>
    <n v="1983.6544139630785"/>
    <n v="6668.1420727207415"/>
    <n v="0"/>
    <n v="0"/>
    <m/>
    <m/>
    <n v="0"/>
    <n v="0"/>
    <n v="0"/>
    <m/>
    <m/>
    <n v="0"/>
    <m/>
    <n v="0"/>
    <n v="0"/>
    <n v="0"/>
    <n v="0"/>
    <m/>
    <n v="0"/>
    <n v="0"/>
    <n v="1662.16"/>
    <n v="7663.97"/>
    <n v="6683.29"/>
    <n v="14"/>
    <m/>
    <m/>
    <m/>
    <m/>
    <m/>
    <n v="2235.0904000000023"/>
    <m/>
    <m/>
    <m/>
    <n v="0"/>
    <m/>
    <m/>
    <m/>
    <m/>
    <m/>
    <m/>
    <m/>
    <m/>
    <m/>
    <m/>
    <m/>
    <m/>
    <n v="53642.169600000001"/>
    <n v="-39549.898799999974"/>
    <m/>
    <m/>
    <m/>
    <m/>
    <n v="-41197.779999999992"/>
    <n v="0"/>
    <n v="31"/>
    <n v="678.93018501144252"/>
    <n v="192.60031142680805"/>
    <n v="647.43446782062529"/>
    <n v="0"/>
    <n v="0"/>
    <m/>
    <m/>
    <m/>
    <n v="-161.104594235992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9081.671909524055"/>
    <m/>
    <n v="0"/>
    <n v="0"/>
    <n v="-41197.779999999992"/>
    <m/>
    <n v="0"/>
    <m/>
    <n v="-41869.55272378150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70"/>
    <s v="Sistema de Compensação"/>
    <s v="Verde"/>
    <s v="A4"/>
    <s v="Rural"/>
    <s v="Não se aplica"/>
    <s v="Não se aplica"/>
    <s v="Não se aplica"/>
    <s v="Não se aplica"/>
    <s v="CATIVO"/>
    <x v="10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151.59"/>
    <n v="698.96"/>
    <n v="5.76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n v="31"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71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87.864"/>
    <n v="187.864"/>
    <n v="187.864"/>
    <n v="187.864"/>
    <m/>
    <n v="516.83000000000004"/>
    <n v="173.82"/>
    <m/>
    <n v="129748.27160000001"/>
    <n v="129748.27160000001"/>
    <n v="97961.68280000001"/>
    <n v="0"/>
    <n v="11487.781356525364"/>
    <n v="0"/>
    <n v="0"/>
    <n v="510.69777740350241"/>
    <n v="6467.5209469814063"/>
    <n v="68310.317743196749"/>
    <n v="30231.476071356894"/>
    <n v="1520.921656015224"/>
    <n v="0"/>
    <n v="0"/>
    <n v="0"/>
    <n v="0"/>
    <n v="1775.595968086981"/>
    <m/>
    <n v="291.47888156316213"/>
    <n v="1089.3301139635003"/>
    <n v="3567.4088331466546"/>
    <n v="0"/>
    <n v="0"/>
    <n v="0"/>
    <n v="0"/>
    <n v="0"/>
    <n v="0"/>
    <n v="0"/>
    <n v="0"/>
    <n v="0"/>
    <n v="0"/>
    <m/>
    <n v="0"/>
    <n v="0"/>
    <n v="0"/>
    <n v="104.22931748987685"/>
    <n v="902.81583382881649"/>
    <n v="3490.1981107993561"/>
    <n v="0"/>
    <n v="749.12"/>
    <n v="3460.51"/>
    <n v="33071.17"/>
    <n v="260"/>
    <m/>
    <m/>
    <m/>
    <m/>
    <m/>
    <m/>
    <m/>
    <m/>
    <m/>
    <n v="34728.719333474946"/>
    <m/>
    <m/>
    <m/>
    <m/>
    <m/>
    <m/>
    <m/>
    <m/>
    <m/>
    <m/>
    <m/>
    <m/>
    <n v="97959.597000000009"/>
    <n v="-31788.704599999983"/>
    <m/>
    <m/>
    <m/>
    <m/>
    <n v="-35767.426960000012"/>
    <n v="3980.8381599999998"/>
    <n v="31"/>
    <n v="4378.3356550876197"/>
    <n v="105.76707198549366"/>
    <n v="346.37285981586865"/>
    <n v="0"/>
    <n v="0"/>
    <n v="0"/>
    <n v="0"/>
    <n v="0"/>
    <n v="-124.00959159237482"/>
    <n v="0"/>
    <n v="0"/>
    <n v="3880.5440736140699"/>
    <n v="115.88639023975986"/>
    <n v="13.378984847695833"/>
    <n v="0"/>
    <n v="448.00550137322625"/>
    <n v="0"/>
    <n v="-335.73621745606033"/>
    <m/>
    <n v="0"/>
    <n v="0"/>
    <n v="-16.904486001116766"/>
    <n v="0"/>
    <n v="-45.987322273320842"/>
    <n v="-8.9816094656218866"/>
    <n v="0"/>
    <n v="0"/>
    <m/>
    <m/>
    <m/>
    <n v="68310.317743196749"/>
    <n v="0"/>
    <n v="0"/>
    <n v="-35767.426960000012"/>
    <n v="3980.8381599999993"/>
    <n v="0"/>
    <n v="0"/>
    <n v="-36166.69174115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2"/>
    <s v="Refaturamento - Regular"/>
    <s v="Convencional"/>
    <s v="B3"/>
    <s v="Poder público"/>
    <s v="Não se aplica"/>
    <s v="Não se aplica"/>
    <s v="Não se aplica"/>
    <s v="Não se aplica"/>
    <s v="CATIVO"/>
    <x v="10"/>
    <n v="0"/>
    <n v="0"/>
    <n v="-85.400999999999996"/>
    <n v="-85.400999999999996"/>
    <n v="-85.400999999999996"/>
    <n v="-85.400999999999996"/>
    <m/>
    <n v="516.83000000000004"/>
    <n v="173.82"/>
    <m/>
    <n v="-58982.200649999999"/>
    <n v="-58982.200649999999"/>
    <n v="-44532.351450000002"/>
    <n v="0"/>
    <n v="-5222.224671190982"/>
    <n v="0"/>
    <n v="0"/>
    <n v="-232.1578423116537"/>
    <n v="-2940.0670505959579"/>
    <n v="-31053.152523031262"/>
    <n v="-13742.91129737443"/>
    <n v="-691.39500034789069"/>
    <n v="0"/>
    <n v="0"/>
    <n v="0"/>
    <n v="0"/>
    <n v="-807.16726605734061"/>
    <m/>
    <n v="-132.50323619413837"/>
    <n v="-495.1980212419457"/>
    <n v="-1621.7065630432517"/>
    <n v="0"/>
    <n v="0"/>
    <n v="0"/>
    <n v="0"/>
    <n v="0"/>
    <n v="0"/>
    <n v="0"/>
    <n v="0"/>
    <n v="0"/>
    <n v="0"/>
    <m/>
    <n v="0"/>
    <n v="0"/>
    <n v="0"/>
    <n v="-47.381552308866908"/>
    <n v="-410.41058970752647"/>
    <n v="-1586.6073801280488"/>
    <n v="0"/>
    <n v="-94.34"/>
    <n v="-431.21"/>
    <n v="-18380.27"/>
    <n v="0"/>
    <m/>
    <m/>
    <m/>
    <m/>
    <m/>
    <m/>
    <m/>
    <m/>
    <m/>
    <n v="-15787.310819518872"/>
    <m/>
    <m/>
    <m/>
    <m/>
    <m/>
    <m/>
    <m/>
    <m/>
    <m/>
    <m/>
    <m/>
    <m/>
    <n v="-44531.83"/>
    <n v="14450.340649999991"/>
    <m/>
    <m/>
    <m/>
    <m/>
    <n v="16259.496390000002"/>
    <n v="-1809.6471899999997"/>
    <n v="31"/>
    <n v="-1990.3453736753108"/>
    <n v="-48.080599341189043"/>
    <n v="-157.45746178690433"/>
    <n v="0"/>
    <n v="0"/>
    <n v="0"/>
    <n v="0"/>
    <n v="0"/>
    <n v="56.373457030513691"/>
    <n v="0"/>
    <n v="0"/>
    <n v="-1764.0545523927703"/>
    <n v="-52.68073506827136"/>
    <n v="-6.0819459022381608"/>
    <n v="0"/>
    <n v="-203.65859250721223"/>
    <n v="0"/>
    <n v="152.62215595838006"/>
    <m/>
    <n v="0"/>
    <n v="0"/>
    <n v="7.6846016745165571"/>
    <n v="0"/>
    <n v="20.905353391090671"/>
    <n v="4.0829452687773085"/>
    <n v="0"/>
    <n v="0"/>
    <m/>
    <m/>
    <m/>
    <n v="-31053.152523031262"/>
    <n v="0"/>
    <n v="0"/>
    <n v="16259.49639"/>
    <n v="-1809.6471899999997"/>
    <n v="0"/>
    <n v="0"/>
    <n v="16440.997963348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3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39"/>
    <n v="1.81"/>
    <n v="156.41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1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4"/>
    <s v="Regular"/>
    <s v="Azul"/>
    <s v="A4"/>
    <s v="Poder público"/>
    <s v="Não se aplica"/>
    <s v="Não se aplica"/>
    <s v="Não se aplica"/>
    <s v="Ponta"/>
    <s v="CATIVO"/>
    <x v="10"/>
    <n v="518"/>
    <n v="518"/>
    <n v="25.32"/>
    <n v="25.32"/>
    <n v="25.32"/>
    <n v="25.32"/>
    <n v="67.099999999999994"/>
    <n v="70.33"/>
    <n v="173.82"/>
    <n v="34757.799999999996"/>
    <n v="6181.8780000000006"/>
    <n v="40939.677999999993"/>
    <n v="28469.555600000003"/>
    <n v="0"/>
    <n v="1347.0246712200515"/>
    <n v="0"/>
    <n v="0"/>
    <n v="387.68056861743582"/>
    <n v="5914.1267668491373"/>
    <n v="24947.811235769463"/>
    <n v="4074.5484719092351"/>
    <n v="204.98731172712959"/>
    <n v="0"/>
    <n v="0"/>
    <n v="0"/>
    <n v="0"/>
    <n v="239.31189537091916"/>
    <m/>
    <n v="31.465940454986203"/>
    <n v="832.58155752801133"/>
    <n v="2677.1779334271491"/>
    <n v="0"/>
    <n v="0"/>
    <n v="0"/>
    <n v="0"/>
    <n v="0"/>
    <n v="0"/>
    <n v="0"/>
    <n v="0"/>
    <n v="0"/>
    <n v="0"/>
    <m/>
    <n v="0"/>
    <n v="0"/>
    <n v="0"/>
    <n v="4.7245505773114802"/>
    <n v="121.68002870451834"/>
    <n v="158.2051758221487"/>
    <n v="0"/>
    <n v="0"/>
    <n v="0"/>
    <n v="0"/>
    <n v="0"/>
    <m/>
    <m/>
    <m/>
    <m/>
    <m/>
    <m/>
    <m/>
    <m/>
    <m/>
    <n v="4359.1582270132139"/>
    <m/>
    <m/>
    <m/>
    <m/>
    <m/>
    <m/>
    <m/>
    <m/>
    <m/>
    <m/>
    <m/>
    <m/>
    <n v="28469.555600000003"/>
    <n v="-12470.152399999995"/>
    <m/>
    <m/>
    <m/>
    <m/>
    <n v="-13006.653199999999"/>
    <n v="536.5308"/>
    <n v="31"/>
    <n v="738.10939210566175"/>
    <n v="80.838409220556855"/>
    <n v="259.93706368081666"/>
    <n v="0"/>
    <n v="0"/>
    <n v="0"/>
    <n v="0"/>
    <n v="0"/>
    <n v="-113.3986965012682"/>
    <n v="0"/>
    <n v="0"/>
    <n v="523.01332849246455"/>
    <n v="15.618976498268538"/>
    <n v="0.60644828257810524"/>
    <n v="0"/>
    <n v="20.307382808653358"/>
    <n v="0"/>
    <n v="-39.367476965300966"/>
    <m/>
    <n v="0"/>
    <n v="0"/>
    <n v="-2.2783587358316595"/>
    <n v="0"/>
    <n v="-6.198095430526763"/>
    <n v="-0.96958924474943231"/>
    <n v="0"/>
    <n v="0"/>
    <m/>
    <m/>
    <n v="24947.811235769463"/>
    <n v="0"/>
    <n v="0"/>
    <n v="0"/>
    <n v="-13006.65319999999"/>
    <n v="536.53079999999954"/>
    <n v="0"/>
    <n v="0"/>
    <n v="-13208.54342930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5"/>
    <s v="Regular"/>
    <s v="Azul"/>
    <s v="A4"/>
    <s v="Poder público"/>
    <s v="Não se aplica"/>
    <s v="Não se aplica"/>
    <s v="Não se aplica"/>
    <s v="Fora ponta"/>
    <s v="CATIVO"/>
    <x v="10"/>
    <n v="514"/>
    <n v="514"/>
    <n v="145.71"/>
    <n v="145.71"/>
    <n v="145.71"/>
    <n v="145.71"/>
    <n v="59.12"/>
    <n v="70.33"/>
    <n v="173.82"/>
    <n v="30387.68"/>
    <n v="35575.0965"/>
    <n v="65962.776500000007"/>
    <n v="56006.944300000003"/>
    <n v="0"/>
    <n v="7751.7758626964333"/>
    <n v="0"/>
    <n v="0"/>
    <n v="294.03902675351259"/>
    <n v="2630.1496424677312"/>
    <n v="24755.164044759662"/>
    <n v="23447.964369743077"/>
    <n v="1179.6485462780431"/>
    <n v="0"/>
    <n v="0"/>
    <n v="0"/>
    <n v="0"/>
    <n v="1377.1775779816994"/>
    <m/>
    <n v="181.07828529605214"/>
    <n v="620.94906746469087"/>
    <n v="2087.3477621062493"/>
    <n v="0"/>
    <n v="0"/>
    <n v="0"/>
    <n v="0"/>
    <n v="0"/>
    <n v="0"/>
    <n v="0"/>
    <n v="0"/>
    <n v="0"/>
    <n v="0"/>
    <m/>
    <n v="0"/>
    <n v="0"/>
    <n v="0"/>
    <n v="27.188557054504578"/>
    <n v="700.23684765147584"/>
    <n v="910.42954854049333"/>
    <n v="0"/>
    <n v="0"/>
    <n v="0"/>
    <n v="0"/>
    <n v="0"/>
    <m/>
    <m/>
    <m/>
    <m/>
    <m/>
    <m/>
    <m/>
    <m/>
    <m/>
    <n v="25085.819322989551"/>
    <m/>
    <m/>
    <m/>
    <m/>
    <m/>
    <m/>
    <m/>
    <m/>
    <m/>
    <m/>
    <m/>
    <m/>
    <n v="56006.944300000003"/>
    <n v="-9955.8621999999887"/>
    <m/>
    <m/>
    <m/>
    <m/>
    <n v="-13043.427099999999"/>
    <n v="3087.5949000000001"/>
    <n v="31"/>
    <n v="3151.6605497285345"/>
    <n v="60.290231469780338"/>
    <n v="202.66828042618818"/>
    <n v="0"/>
    <n v="0"/>
    <n v="0"/>
    <n v="0"/>
    <n v="0"/>
    <n v="-50.431036198111997"/>
    <n v="0"/>
    <n v="0"/>
    <n v="3009.8053749856626"/>
    <n v="89.883138450343949"/>
    <n v="3.4899517873007753"/>
    <n v="0"/>
    <n v="116.86369467017687"/>
    <n v="0"/>
    <n v="-226.54956827069418"/>
    <m/>
    <n v="0"/>
    <n v="0"/>
    <n v="-13.111360639732538"/>
    <n v="0"/>
    <n v="-35.668423585389064"/>
    <n v="-5.5797333670000171"/>
    <n v="0"/>
    <n v="0"/>
    <m/>
    <m/>
    <n v="24755.164044759662"/>
    <n v="0"/>
    <n v="0"/>
    <n v="0"/>
    <n v="-13043.427100000001"/>
    <n v="3087.5949000000001"/>
    <n v="0"/>
    <n v="0"/>
    <n v="-13106.546954947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6"/>
    <s v="Regular"/>
    <s v="Azul"/>
    <s v="A4"/>
    <s v="Poder público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5.05"/>
    <n v="3342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77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98.56299999999999"/>
    <n v="298.56299999999999"/>
    <n v="298.56299999999999"/>
    <n v="298.56299999999999"/>
    <m/>
    <n v="284.26"/>
    <n v="95.6"/>
    <m/>
    <n v="113412.14117999999"/>
    <n v="113412.14117999999"/>
    <n v="85624.882769999997"/>
    <n v="0"/>
    <n v="10041.330727715576"/>
    <n v="0"/>
    <n v="0"/>
    <n v="446.39474983608949"/>
    <n v="5653.181828724425"/>
    <n v="59709.222458795201"/>
    <n v="26424.967554512303"/>
    <n v="1329.4192224783901"/>
    <n v="0"/>
    <n v="0"/>
    <n v="0"/>
    <n v="0"/>
    <n v="1552.0269581238247"/>
    <m/>
    <n v="254.77816465037714"/>
    <n v="952.17027609550723"/>
    <n v="3118.2289097321504"/>
    <n v="0"/>
    <n v="0"/>
    <n v="0"/>
    <n v="0"/>
    <n v="0"/>
    <n v="0"/>
    <n v="0"/>
    <n v="0"/>
    <n v="0"/>
    <n v="0"/>
    <m/>
    <n v="0"/>
    <n v="0"/>
    <n v="0"/>
    <n v="91.105585661710265"/>
    <n v="789.14039990359151"/>
    <n v="3050.7399512680527"/>
    <n v="0"/>
    <n v="643.84"/>
    <n v="2968.97"/>
    <n v="22309.360000000001"/>
    <n v="15"/>
    <m/>
    <m/>
    <m/>
    <m/>
    <m/>
    <m/>
    <m/>
    <m/>
    <m/>
    <n v="30355.953491345655"/>
    <m/>
    <m/>
    <m/>
    <m/>
    <m/>
    <m/>
    <m/>
    <m/>
    <m/>
    <m/>
    <m/>
    <m/>
    <n v="85624.022400000002"/>
    <n v="-27788.148779999974"/>
    <m/>
    <m/>
    <m/>
    <m/>
    <n v="-31265.517359999998"/>
    <n v="3478.2589500000017"/>
    <n v="31"/>
    <n v="3827.0502358324957"/>
    <n v="92.449718265675983"/>
    <n v="302.76032704436057"/>
    <n v="0"/>
    <n v="0"/>
    <n v="0"/>
    <n v="0"/>
    <n v="0"/>
    <n v="-108.39528399280789"/>
    <n v="0"/>
    <n v="0"/>
    <n v="3391.9366357456347"/>
    <n v="101.29489194861378"/>
    <n v="11.694408823379874"/>
    <n v="0"/>
    <n v="391.59618968281484"/>
    <n v="0"/>
    <n v="-293.4629666183373"/>
    <m/>
    <n v="0"/>
    <n v="0"/>
    <n v="-14.776006737178704"/>
    <n v="0"/>
    <n v="-40.196962137179071"/>
    <n v="-7.8507161924932234"/>
    <n v="0"/>
    <n v="0"/>
    <m/>
    <m/>
    <m/>
    <n v="59709.222458795201"/>
    <n v="0"/>
    <n v="0"/>
    <n v="-31265.517359999998"/>
    <n v="3478.2589500000031"/>
    <n v="0"/>
    <n v="0"/>
    <n v="-31612.86777920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8"/>
    <s v="Refaturamento - 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85.400999999999996"/>
    <n v="85.400999999999996"/>
    <n v="85.400999999999996"/>
    <n v="85.400999999999996"/>
    <m/>
    <n v="284.26"/>
    <n v="95.6"/>
    <m/>
    <n v="32440.423859999995"/>
    <n v="32440.423859999995"/>
    <n v="24492.15279"/>
    <n v="0"/>
    <n v="2872.2235691550454"/>
    <n v="0"/>
    <n v="0"/>
    <n v="127.68681327140965"/>
    <n v="1617.0368778277771"/>
    <n v="17079.233887667153"/>
    <n v="7558.6012135559504"/>
    <n v="380.26725019133983"/>
    <n v="0"/>
    <n v="0"/>
    <n v="0"/>
    <n v="0"/>
    <n v="443.94199633153721"/>
    <m/>
    <n v="72.876779906776321"/>
    <n v="272.35891168306995"/>
    <n v="891.93860967378873"/>
    <n v="0"/>
    <n v="0"/>
    <n v="0"/>
    <n v="0"/>
    <n v="0"/>
    <n v="0"/>
    <n v="0"/>
    <n v="0"/>
    <n v="0"/>
    <n v="0"/>
    <m/>
    <n v="0"/>
    <n v="0"/>
    <n v="0"/>
    <n v="26.059853769876771"/>
    <n v="225.72582433913988"/>
    <n v="872.63405907042386"/>
    <n v="0"/>
    <n v="59.61"/>
    <n v="272.44"/>
    <n v="8726.7800000000007"/>
    <n v="0"/>
    <m/>
    <m/>
    <m/>
    <m/>
    <m/>
    <m/>
    <m/>
    <m/>
    <m/>
    <n v="8683.0209507353902"/>
    <m/>
    <m/>
    <m/>
    <m/>
    <m/>
    <m/>
    <m/>
    <m/>
    <m/>
    <m/>
    <m/>
    <m/>
    <n v="24491.866000000002"/>
    <n v="-7948.5878599999887"/>
    <m/>
    <m/>
    <m/>
    <m/>
    <n v="-8943.1927199999991"/>
    <n v="994.92165000000045"/>
    <n v="31"/>
    <n v="1094.6899555213768"/>
    <n v="26.444329637654334"/>
    <n v="86.601603982795723"/>
    <n v="0"/>
    <n v="0"/>
    <n v="0"/>
    <n v="0"/>
    <n v="0"/>
    <n v="-31.005401366779324"/>
    <n v="0"/>
    <n v="0"/>
    <n v="970.23000381598831"/>
    <n v="28.974404287549248"/>
    <n v="3.3450702462309962"/>
    <n v="0"/>
    <n v="112.01222587896712"/>
    <n v="0"/>
    <n v="-83.942185777113991"/>
    <m/>
    <n v="0"/>
    <n v="0"/>
    <n v="-4.2265309209841462"/>
    <n v="0"/>
    <n v="-11.497944365099556"/>
    <n v="-2.2456198978276518"/>
    <n v="0"/>
    <n v="0"/>
    <m/>
    <m/>
    <m/>
    <n v="17079.233887667153"/>
    <n v="0"/>
    <n v="0"/>
    <n v="-8943.1927199999973"/>
    <n v="994.92164999999932"/>
    <n v="0"/>
    <n v="0"/>
    <n v="-9042.5488798416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79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7.8760000000000003"/>
    <n v="7.4034399999999998"/>
    <n v="7.8760000000000003"/>
    <n v="7.4034399999999998"/>
    <m/>
    <n v="516.83000000000004"/>
    <n v="173.82"/>
    <m/>
    <n v="5439.5594000000001"/>
    <n v="5439.5594000000001"/>
    <n v="4106.9402"/>
    <n v="0"/>
    <n v="481.61311355019467"/>
    <n v="0"/>
    <n v="0"/>
    <n v="21.410465522026495"/>
    <n v="271.14399234779182"/>
    <n v="2863.8380027329213"/>
    <n v="1267.4227395243736"/>
    <n v="63.763035827917562"/>
    <n v="0"/>
    <n v="0"/>
    <n v="0"/>
    <n v="0"/>
    <n v="74.439987675409128"/>
    <m/>
    <n v="12.219944593916159"/>
    <n v="45.669015764470728"/>
    <n v="149.5598516472717"/>
    <n v="0"/>
    <n v="0"/>
    <n v="0"/>
    <n v="0"/>
    <n v="0"/>
    <n v="0"/>
    <n v="0"/>
    <n v="0"/>
    <n v="0"/>
    <n v="0"/>
    <m/>
    <n v="0"/>
    <n v="0"/>
    <n v="0"/>
    <n v="4.369704171902387"/>
    <n v="37.849601345844647"/>
    <n v="146.32287357160354"/>
    <n v="0"/>
    <n v="30.84"/>
    <n v="142.41999999999999"/>
    <n v="1426.85"/>
    <n v="7"/>
    <m/>
    <m/>
    <m/>
    <m/>
    <n v="246.41641200000026"/>
    <m/>
    <m/>
    <m/>
    <m/>
    <n v="1455.9649186137242"/>
    <m/>
    <m/>
    <m/>
    <m/>
    <m/>
    <m/>
    <m/>
    <m/>
    <m/>
    <m/>
    <m/>
    <m/>
    <n v="3858.73"/>
    <n v="-1254.4858360000012"/>
    <m/>
    <m/>
    <m/>
    <m/>
    <n v="-1499.5116400000004"/>
    <n v="166.89243999999999"/>
    <n v="31"/>
    <n v="183.55710311432767"/>
    <n v="4.4341729067716429"/>
    <n v="14.521316717996967"/>
    <n v="0"/>
    <n v="0"/>
    <n v="0"/>
    <n v="0"/>
    <n v="0"/>
    <n v="-5.1989712950940543"/>
    <n v="0"/>
    <n v="0"/>
    <n v="162.68771624038891"/>
    <n v="4.8584146485135449"/>
    <n v="0.56089982466280031"/>
    <n v="0"/>
    <n v="18.782157990969722"/>
    <n v="0"/>
    <n v="-14.075386708916767"/>
    <m/>
    <n v="0"/>
    <n v="0"/>
    <n v="-0.70870274105095632"/>
    <n v="0"/>
    <n v="-1.9279699688320875"/>
    <n v="-0.37654450108183823"/>
    <n v="0"/>
    <n v="0"/>
    <m/>
    <m/>
    <m/>
    <n v="2863.8380027329213"/>
    <n v="0"/>
    <n v="0"/>
    <n v="-1499.5116400000006"/>
    <n v="166.89244000000008"/>
    <n v="0"/>
    <n v="0"/>
    <n v="-1516.2503947182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0"/>
    <s v="Regular"/>
    <s v="Azul"/>
    <s v="A4"/>
    <s v="Serviço público"/>
    <s v="Água, esgoto e saneamento"/>
    <s v="Não se aplica"/>
    <s v="Não se aplica"/>
    <s v="Ponta"/>
    <s v="CATIVO"/>
    <x v="10"/>
    <n v="100"/>
    <n v="94"/>
    <n v="4.0090000000000003"/>
    <n v="3.7684600000000001"/>
    <n v="4.0090000000000003"/>
    <n v="3.7684600000000001"/>
    <n v="67.099999999999994"/>
    <n v="70.33"/>
    <n v="173.82"/>
    <n v="6709.9999999999991"/>
    <n v="978.79735000000005"/>
    <n v="7688.7973499999989"/>
    <n v="5263.6989699999995"/>
    <n v="0"/>
    <n v="213.27890627650814"/>
    <n v="0"/>
    <n v="0"/>
    <n v="74.841808613404609"/>
    <n v="1141.7233140635399"/>
    <n v="4816.1797752450702"/>
    <n v="645.13684138562894"/>
    <n v="32.45632435679552"/>
    <n v="0"/>
    <n v="0"/>
    <n v="0"/>
    <n v="0"/>
    <n v="37.891050100395532"/>
    <m/>
    <n v="4.9821072387061491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74805384140765119"/>
    <n v="19.266004544882072"/>
    <n v="25.049152838506881"/>
    <n v="0"/>
    <n v="0"/>
    <n v="0"/>
    <n v="0"/>
    <n v="0"/>
    <m/>
    <m/>
    <m/>
    <m/>
    <n v="315.82193820000009"/>
    <m/>
    <m/>
    <m/>
    <m/>
    <n v="690.20005261042559"/>
    <m/>
    <m/>
    <m/>
    <m/>
    <m/>
    <m/>
    <m/>
    <m/>
    <m/>
    <m/>
    <m/>
    <m/>
    <n v="4948.2840999999989"/>
    <n v="-2279.2154090000013"/>
    <m/>
    <m/>
    <m/>
    <m/>
    <n v="-2510.0490899999995"/>
    <n v="84.950710000000001"/>
    <n v="31"/>
    <n v="124.76112806588435"/>
    <n v="15.60587050589902"/>
    <n v="50.180900324482081"/>
    <n v="0"/>
    <n v="0"/>
    <n v="0"/>
    <n v="0"/>
    <n v="0"/>
    <n v="-21.891640251209992"/>
    <n v="0"/>
    <n v="0"/>
    <n v="82.810443677973581"/>
    <n v="2.47300461222585"/>
    <n v="9.6020978074866536E-2"/>
    <n v="0"/>
    <n v="3.215335611370115"/>
    <n v="0"/>
    <n v="-6.2331838528392893"/>
    <m/>
    <n v="0"/>
    <n v="0"/>
    <n v="-0.36074013317334419"/>
    <n v="0"/>
    <n v="-0.98136510983339775"/>
    <n v="-0.15351829708532705"/>
    <n v="0"/>
    <n v="0"/>
    <m/>
    <m/>
    <n v="4816.1797752450702"/>
    <n v="0"/>
    <n v="0"/>
    <n v="0"/>
    <n v="-2510.0490899999995"/>
    <n v="84.950710000000072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1"/>
    <s v="Regular"/>
    <s v="Azul"/>
    <s v="A4"/>
    <s v="Serviço público"/>
    <s v="Água, esgoto e saneamento"/>
    <s v="Não se aplica"/>
    <s v="Não se aplica"/>
    <s v="Fora ponta"/>
    <s v="CATIVO"/>
    <x v="10"/>
    <n v="100"/>
    <n v="94"/>
    <n v="32.648000000000003"/>
    <n v="30.689119999999999"/>
    <n v="32.648000000000003"/>
    <n v="30.689119999999999"/>
    <n v="59.12"/>
    <n v="70.33"/>
    <n v="173.82"/>
    <n v="5912"/>
    <n v="7971.0092000000004"/>
    <n v="13883.0092"/>
    <n v="12032.84584"/>
    <n v="0"/>
    <n v="1736.8744654815262"/>
    <n v="0"/>
    <n v="0"/>
    <n v="57.206036333368203"/>
    <n v="511.70226507154302"/>
    <n v="4816.1797752450702"/>
    <n v="5253.7858811569004"/>
    <n v="264.31381332019458"/>
    <n v="0"/>
    <n v="0"/>
    <n v="0"/>
    <n v="0"/>
    <n v="308.57246287795294"/>
    <m/>
    <n v="40.572670773080162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0919086590863047"/>
    <n v="156.89611284143425"/>
    <n v="203.99220301111816"/>
    <n v="0"/>
    <n v="0"/>
    <n v="0"/>
    <n v="0"/>
    <n v="0"/>
    <m/>
    <m/>
    <m/>
    <m/>
    <n v="721.97075040000118"/>
    <m/>
    <m/>
    <m/>
    <m/>
    <n v="5620.7661056685392"/>
    <m/>
    <m/>
    <m/>
    <m/>
    <m/>
    <m/>
    <m/>
    <m/>
    <m/>
    <m/>
    <m/>
    <m/>
    <n v="11311.1077"/>
    <n v="-1738.9509479999997"/>
    <m/>
    <m/>
    <m/>
    <m/>
    <n v="-2541.9744799999999"/>
    <n v="691.81111999999996"/>
    <n v="31"/>
    <n v="699.89429968544209"/>
    <n v="11.729617017467007"/>
    <n v="39.429626542059964"/>
    <n v="0"/>
    <n v="0"/>
    <n v="0"/>
    <n v="0"/>
    <n v="0"/>
    <n v="-9.8114856416560201"/>
    <n v="0"/>
    <n v="0"/>
    <n v="674.38148296295367"/>
    <n v="20.139350107246088"/>
    <n v="0.78196380448696523"/>
    <n v="0"/>
    <n v="26.184653788977641"/>
    <n v="0"/>
    <n v="-50.76103427974499"/>
    <m/>
    <n v="0"/>
    <n v="0"/>
    <n v="-2.9377510271497158"/>
    <n v="0"/>
    <n v="-7.9919202059967347"/>
    <n v="-1.2502033831982402"/>
    <n v="0"/>
    <n v="0"/>
    <m/>
    <m/>
    <n v="4816.1797752450702"/>
    <n v="0"/>
    <n v="0"/>
    <n v="0"/>
    <n v="-2541.9744800000008"/>
    <n v="691.8111200000003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2"/>
    <s v="Regular"/>
    <s v="Azul"/>
    <s v="A4"/>
    <s v="Serviço público"/>
    <s v="Água, esgoto e saneamento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0.07"/>
    <n v="599.74"/>
    <n v="5809.1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83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1.1719999999999999"/>
    <n v="1.1719999999999999"/>
    <n v="1.1719999999999999"/>
    <n v="1.1719999999999999"/>
    <m/>
    <n v="516.83000000000004"/>
    <n v="173.82"/>
    <m/>
    <n v="809.44180000000006"/>
    <n v="809.44180000000006"/>
    <n v="611.13940000000002"/>
    <n v="0"/>
    <n v="71.667162148403776"/>
    <n v="0"/>
    <n v="0"/>
    <n v="3.1860164540140996"/>
    <n v="40.347988703861347"/>
    <n v="426.1577119353712"/>
    <n v="188.60074285456648"/>
    <n v="9.4883542395022058"/>
    <n v="0"/>
    <n v="0"/>
    <n v="0"/>
    <n v="0"/>
    <n v="11.077154082729749"/>
    <m/>
    <n v="1.8184071945238365"/>
    <n v="6.7958464291467351"/>
    <n v="22.255478178085628"/>
    <n v="0"/>
    <n v="0"/>
    <n v="0"/>
    <n v="0"/>
    <n v="0"/>
    <n v="0"/>
    <n v="0"/>
    <n v="0"/>
    <n v="0"/>
    <n v="0"/>
    <m/>
    <n v="0"/>
    <n v="0"/>
    <n v="0"/>
    <n v="0.65024038718506827"/>
    <n v="5.6322667315045605"/>
    <n v="21.773794797602761"/>
    <n v="0"/>
    <n v="4.76"/>
    <n v="22.14"/>
    <n v="221.68"/>
    <n v="7"/>
    <m/>
    <m/>
    <m/>
    <m/>
    <m/>
    <m/>
    <m/>
    <m/>
    <m/>
    <n v="216.65704477085887"/>
    <m/>
    <m/>
    <m/>
    <m/>
    <m/>
    <m/>
    <m/>
    <m/>
    <m/>
    <m/>
    <m/>
    <m/>
    <n v="610.09649999999999"/>
    <n v="-199.37530000000004"/>
    <m/>
    <m/>
    <m/>
    <m/>
    <n v="-223.13708000000003"/>
    <n v="24.834679999999995"/>
    <n v="31"/>
    <n v="27.314490204417496"/>
    <n v="0.65983375402950273"/>
    <n v="2.1608663272590718"/>
    <n v="0"/>
    <n v="0"/>
    <n v="0"/>
    <n v="0"/>
    <n v="0"/>
    <n v="-0.77364072598403055"/>
    <n v="0"/>
    <n v="0"/>
    <n v="24.208989770662242"/>
    <n v="0.72296368309521064"/>
    <n v="8.3465540185982956E-2"/>
    <n v="0"/>
    <n v="2.7949072073916312"/>
    <n v="0"/>
    <n v="-2.0945090430231659"/>
    <m/>
    <n v="0"/>
    <n v="0"/>
    <n v="-0.10545957497609315"/>
    <n v="0"/>
    <n v="-0.28689446463575763"/>
    <n v="-5.6032269587088956E-2"/>
    <n v="0"/>
    <n v="0"/>
    <m/>
    <m/>
    <m/>
    <n v="426.1577119353712"/>
    <n v="0"/>
    <n v="0"/>
    <n v="-223.13708000000008"/>
    <n v="24.83468000000002"/>
    <n v="0"/>
    <n v="0"/>
    <n v="-225.6279155167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4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5.89"/>
    <n v="166.65"/>
    <n v="434.05"/>
    <n v="6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85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160.22"/>
    <n v="-5337.39"/>
    <n v="-4.8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86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5"/>
    <n v="9.01"/>
    <n v="43.01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87"/>
    <s v="Regular"/>
    <s v="Convencional"/>
    <s v="B2"/>
    <s v="Rural"/>
    <s v="Agropecuária rural"/>
    <s v="IRRIG./AQUIC."/>
    <s v="Não se aplica"/>
    <s v="Não se aplica"/>
    <s v="CATIVO"/>
    <x v="10"/>
    <n v="0"/>
    <n v="0"/>
    <n v="7.7969999999999997"/>
    <n v="7.7969999999999997"/>
    <n v="7.7969999999999997"/>
    <n v="7.7969999999999997"/>
    <m/>
    <n v="516.83000000000004"/>
    <n v="173.82"/>
    <m/>
    <n v="5384.9980500000001"/>
    <n v="5384.9980500000001"/>
    <n v="4065.7456499999998"/>
    <n v="0"/>
    <n v="476.78230654531075"/>
    <n v="0"/>
    <n v="0"/>
    <n v="21.195708440228614"/>
    <n v="268.42429003754859"/>
    <n v="2835.1123549147519"/>
    <n v="1254.7098908165997"/>
    <n v="63.123462461944285"/>
    <n v="0"/>
    <n v="0"/>
    <n v="0"/>
    <n v="0"/>
    <n v="73.693319439457213"/>
    <m/>
    <n v="12.097372777903033"/>
    <n v="45.210933965919025"/>
    <n v="148.05969569499459"/>
    <n v="0"/>
    <n v="0"/>
    <n v="0"/>
    <n v="0"/>
    <n v="0"/>
    <n v="0"/>
    <n v="0"/>
    <n v="0"/>
    <n v="0"/>
    <n v="0"/>
    <m/>
    <n v="0"/>
    <n v="0"/>
    <n v="0"/>
    <n v="4.3258739751552708"/>
    <n v="37.469951967185203"/>
    <n v="144.85518603831801"/>
    <n v="0"/>
    <n v="0"/>
    <n v="0"/>
    <n v="0"/>
    <n v="0"/>
    <m/>
    <m/>
    <m/>
    <m/>
    <m/>
    <n v="487.8582899999999"/>
    <m/>
    <m/>
    <m/>
    <n v="1441.3609027972579"/>
    <m/>
    <m/>
    <m/>
    <m/>
    <m/>
    <m/>
    <m/>
    <m/>
    <m/>
    <m/>
    <m/>
    <m/>
    <n v="3579.2639999999997"/>
    <n v="-1159.548690000001"/>
    <m/>
    <m/>
    <m/>
    <m/>
    <n v="-1484.4708300000002"/>
    <n v="165.21842999999998"/>
    <n v="31"/>
    <n v="181.71593867222236"/>
    <n v="4.3896960581638496"/>
    <n v="14.375661052592989"/>
    <n v="0"/>
    <n v="0"/>
    <n v="0"/>
    <n v="0"/>
    <n v="0"/>
    <n v="-5.1468231574210677"/>
    <n v="0"/>
    <n v="0"/>
    <n v="161.05588160567709"/>
    <n v="4.8096824548578141"/>
    <n v="0.55527373449668005"/>
    <n v="0"/>
    <n v="18.593764075113114"/>
    <n v="0"/>
    <n v="-13.934203932125911"/>
    <m/>
    <n v="0"/>
    <n v="0"/>
    <n v="-0.70159411782304204"/>
    <n v="0"/>
    <n v="-1.9086315194240626"/>
    <n v="-0.37276758188612114"/>
    <n v="0"/>
    <n v="0"/>
    <m/>
    <m/>
    <m/>
    <n v="2835.1123549147519"/>
    <n v="0"/>
    <n v="0"/>
    <n v="-1484.4708300000002"/>
    <n v="165.2184299999999"/>
    <n v="0"/>
    <n v="0"/>
    <n v="-1501.0416871023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8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1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89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34699999999999998"/>
    <n v="0.34699999999999998"/>
    <n v="0.34699999999999998"/>
    <n v="0.34699999999999998"/>
    <m/>
    <n v="516.83000000000004"/>
    <n v="173.82"/>
    <m/>
    <n v="239.65555000000001"/>
    <n v="239.65555000000001"/>
    <n v="180.94314999999997"/>
    <n v="0"/>
    <n v="21.218861148034222"/>
    <n v="0"/>
    <n v="0"/>
    <n v="0.94330009346663191"/>
    <n v="11.9460341981569"/>
    <n v="126.17468092284454"/>
    <n v="55.839981032879322"/>
    <n v="2.8092652910471547"/>
    <n v="0"/>
    <n v="0"/>
    <n v="0"/>
    <n v="0"/>
    <n v="3.2796693401938759"/>
    <m/>
    <n v="0.53838506527284236"/>
    <n v="2.0120808113599975"/>
    <n v="6.5892926005082879"/>
    <n v="0"/>
    <n v="0"/>
    <n v="0"/>
    <n v="0"/>
    <n v="0"/>
    <n v="0"/>
    <n v="0"/>
    <n v="0"/>
    <n v="0"/>
    <n v="0"/>
    <m/>
    <n v="0"/>
    <n v="0"/>
    <n v="0"/>
    <n v="0.1925199781170808"/>
    <n v="1.6675738530990465"/>
    <n v="6.4466781525325576"/>
    <n v="0"/>
    <n v="0"/>
    <n v="0"/>
    <n v="0"/>
    <n v="0"/>
    <m/>
    <m/>
    <m/>
    <m/>
    <m/>
    <n v="21.711789999999993"/>
    <m/>
    <m/>
    <m/>
    <n v="64.146753016628011"/>
    <m/>
    <m/>
    <m/>
    <m/>
    <m/>
    <m/>
    <m/>
    <m/>
    <m/>
    <m/>
    <m/>
    <m/>
    <n v="160.60799999999998"/>
    <n v="-50.318189999999987"/>
    <m/>
    <m/>
    <m/>
    <m/>
    <n v="-66.065330000000017"/>
    <n v="7.3529299999999989"/>
    <n v="31"/>
    <n v="8.0871400178608326"/>
    <n v="0.19536033502409333"/>
    <n v="0.63977868221748935"/>
    <n v="0"/>
    <n v="0"/>
    <n v="0"/>
    <n v="0"/>
    <n v="0"/>
    <n v="-0.22905574395602102"/>
    <n v="0"/>
    <n v="0"/>
    <n v="7.1676787119622887"/>
    <n v="0.21405153415873546"/>
    <n v="2.4712066932198018E-2"/>
    <n v="0"/>
    <n v="0.82750238990178815"/>
    <n v="0"/>
    <n v="-0.62013194362545931"/>
    <m/>
    <n v="0"/>
    <n v="0"/>
    <n v="-3.1223952659304111E-2"/>
    <n v="0"/>
    <n v="-8.4942303096081417E-2"/>
    <n v="-1.6589758998907689E-2"/>
    <n v="0"/>
    <n v="0"/>
    <m/>
    <m/>
    <m/>
    <n v="126.17468092284454"/>
    <n v="0"/>
    <n v="0"/>
    <n v="-66.065330000000017"/>
    <n v="7.3529299999999935"/>
    <n v="0"/>
    <n v="0"/>
    <n v="-66.802804338145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0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.4039999999999999"/>
    <n v="0.56159999999999999"/>
    <n v="1.4039999999999999"/>
    <n v="0.56159999999999999"/>
    <m/>
    <n v="516.83000000000004"/>
    <n v="173.82"/>
    <m/>
    <n v="969.67259999999999"/>
    <n v="969.67259999999999"/>
    <n v="732.11580000000004"/>
    <n v="0"/>
    <n v="85.853835884265266"/>
    <n v="0"/>
    <n v="0"/>
    <n v="3.8166954790407814"/>
    <n v="48.334962576980658"/>
    <n v="510.51657641404535"/>
    <n v="225.93467830018034"/>
    <n v="11.366595010461687"/>
    <n v="0"/>
    <n v="0"/>
    <n v="0"/>
    <n v="0"/>
    <n v="13.269901307297411"/>
    <m/>
    <n v="2.1783649326889645"/>
    <n v="8.1410993059061578"/>
    <n v="26.660999455658896"/>
    <n v="0"/>
    <n v="0"/>
    <n v="0"/>
    <n v="0"/>
    <n v="0"/>
    <n v="0"/>
    <n v="0"/>
    <n v="0"/>
    <n v="0"/>
    <n v="0"/>
    <m/>
    <n v="0"/>
    <n v="0"/>
    <n v="0"/>
    <n v="0.77895691434115688"/>
    <n v="6.747186425795566"/>
    <n v="26.083965781428564"/>
    <n v="0"/>
    <n v="0"/>
    <n v="0"/>
    <n v="0"/>
    <n v="0"/>
    <m/>
    <m/>
    <m/>
    <m/>
    <m/>
    <m/>
    <n v="474.40879199999995"/>
    <m/>
    <m/>
    <n v="259.54478742174564"/>
    <m/>
    <m/>
    <m/>
    <m/>
    <m/>
    <m/>
    <m/>
    <m/>
    <m/>
    <m/>
    <m/>
    <m/>
    <n v="256.97280000000001"/>
    <n v="-84.380831999999941"/>
    <m/>
    <m/>
    <m/>
    <m/>
    <n v="-267.30756000000002"/>
    <n v="29.750759999999996"/>
    <n v="31"/>
    <n v="32.721454135667386"/>
    <n v="0.79044930943465985"/>
    <n v="2.5886146104707599"/>
    <n v="0"/>
    <n v="0"/>
    <n v="0"/>
    <n v="0"/>
    <n v="0"/>
    <n v="-0.92678462396038697"/>
    <n v="0"/>
    <n v="0"/>
    <n v="29.001213001714831"/>
    <n v="0.86607594800825538"/>
    <n v="9.9987729028259364E-2"/>
    <n v="0"/>
    <n v="3.348165289400896"/>
    <n v="0"/>
    <n v="-2.5091217546113569"/>
    <m/>
    <n v="0"/>
    <n v="0"/>
    <n v="-0.1263355317973005"/>
    <n v="0"/>
    <n v="-0.34368586036570115"/>
    <n v="-6.7123981655523135E-2"/>
    <n v="0"/>
    <n v="0"/>
    <m/>
    <m/>
    <m/>
    <n v="510.51657641404535"/>
    <n v="0"/>
    <n v="0"/>
    <n v="-267.30756000000002"/>
    <n v="29.750760000000014"/>
    <n v="0"/>
    <n v="0"/>
    <n v="-270.29146193301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2"/>
    <s v="Regular"/>
    <s v="Verde"/>
    <s v="A4"/>
    <s v="Rural"/>
    <s v="Agropecuária rural"/>
    <s v="Não se aplica"/>
    <s v="Não se aplica"/>
    <s v="Ponta"/>
    <s v="CATIVO"/>
    <x v="10"/>
    <n v="0"/>
    <n v="0"/>
    <n v="6.4000000000000001E-2"/>
    <n v="6.1440000000000002E-2"/>
    <n v="6.4000000000000001E-2"/>
    <n v="6.1440000000000002E-2"/>
    <m/>
    <n v="1684.16"/>
    <n v="173.82"/>
    <m/>
    <n v="118.91072000000001"/>
    <n v="118.91072000000001"/>
    <n v="81.629440000000002"/>
    <n v="0"/>
    <n v="3.4048016966067651"/>
    <n v="0"/>
    <n v="0"/>
    <n v="1.1519615910230656"/>
    <n v="17.573499467521984"/>
    <n v="74.130717151721612"/>
    <n v="10.299016674652096"/>
    <n v="0.51813538509227064"/>
    <n v="0"/>
    <n v="0"/>
    <n v="0"/>
    <n v="0"/>
    <n v="0.60489578608763139"/>
    <m/>
    <n v="7.953476260344064E-2"/>
    <n v="2.4739931922607616"/>
    <n v="7.9551149445614087"/>
    <n v="0"/>
    <n v="0"/>
    <n v="0"/>
    <n v="0"/>
    <n v="0"/>
    <n v="0"/>
    <n v="0"/>
    <n v="0"/>
    <n v="0"/>
    <n v="0"/>
    <m/>
    <n v="0"/>
    <n v="0"/>
    <n v="0"/>
    <n v="1.1941991980566145E-2"/>
    <n v="0.30756405359751871"/>
    <n v="0.39988670034034429"/>
    <n v="0"/>
    <n v="0"/>
    <n v="0"/>
    <n v="0"/>
    <n v="0"/>
    <m/>
    <m/>
    <m/>
    <m/>
    <m/>
    <n v="3.2651775999999999"/>
    <m/>
    <m/>
    <m/>
    <n v="11.018409420570524"/>
    <m/>
    <m/>
    <m/>
    <m/>
    <m/>
    <m/>
    <m/>
    <m/>
    <m/>
    <m/>
    <m/>
    <m/>
    <n v="76.527599999999993"/>
    <n v="-37.656691200000026"/>
    <m/>
    <m/>
    <m/>
    <m/>
    <n v="-38.637440000000005"/>
    <n v="1.3561599999999998"/>
    <n v="31"/>
    <n v="1.966593897949295"/>
    <n v="0.24020910897743342"/>
    <n v="0.77239140294476805"/>
    <n v="0"/>
    <n v="0"/>
    <n v="0"/>
    <n v="0"/>
    <n v="0"/>
    <n v="-0.33695793329183843"/>
    <n v="0"/>
    <n v="0"/>
    <n v="1.3219926154627846"/>
    <n v="3.9479245493253823E-2"/>
    <n v="1.5328866542258564E-3"/>
    <n v="0"/>
    <n v="5.1329877557417636E-2"/>
    <n v="0"/>
    <n v="-9.950705078117128E-2"/>
    <m/>
    <n v="0"/>
    <n v="0"/>
    <n v="-5.7588846403326954E-3"/>
    <n v="0"/>
    <n v="-1.5666591925502127E-2"/>
    <n v="-2.4507785017363198E-3"/>
    <n v="0"/>
    <n v="0"/>
    <m/>
    <m/>
    <m/>
    <n v="74.130717151721612"/>
    <n v="0"/>
    <n v="0"/>
    <n v="-38.637439999999998"/>
    <n v="1.3561599999999991"/>
    <n v="0"/>
    <n v="0"/>
    <n v="-39.248284656737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3"/>
    <s v="Regular"/>
    <s v="Verde"/>
    <s v="A4"/>
    <s v="Rural"/>
    <s v="Agropecuária rural"/>
    <s v="Não se aplica"/>
    <s v="Não se aplica"/>
    <s v="Fora ponta"/>
    <s v="CATIVO"/>
    <x v="10"/>
    <n v="0"/>
    <n v="0"/>
    <n v="0.37"/>
    <n v="0.35520000000000002"/>
    <n v="0.37"/>
    <n v="0.35520000000000002"/>
    <m/>
    <n v="70.33"/>
    <n v="173.82"/>
    <m/>
    <n v="90.335499999999996"/>
    <n v="90.335499999999996"/>
    <n v="97.802099999999996"/>
    <n v="0"/>
    <n v="19.684009808507859"/>
    <n v="0"/>
    <n v="0"/>
    <n v="0"/>
    <n v="0"/>
    <n v="0"/>
    <n v="59.541190150332426"/>
    <n v="2.9954701950646898"/>
    <n v="0"/>
    <n v="0"/>
    <n v="0"/>
    <n v="0"/>
    <n v="3.4970537633191188"/>
    <m/>
    <n v="0.4598103463011412"/>
    <n v="0"/>
    <n v="0"/>
    <n v="0"/>
    <n v="0"/>
    <n v="0"/>
    <n v="0"/>
    <n v="0"/>
    <n v="0"/>
    <n v="0"/>
    <n v="0"/>
    <n v="0"/>
    <n v="0"/>
    <m/>
    <n v="0"/>
    <n v="0"/>
    <n v="0"/>
    <n v="6.9039641137648017E-2"/>
    <n v="1.778104684860655"/>
    <n v="2.3118449863426154"/>
    <n v="0"/>
    <n v="0"/>
    <n v="0"/>
    <n v="0"/>
    <n v="0"/>
    <m/>
    <m/>
    <m/>
    <m/>
    <m/>
    <n v="3.9120839999999943"/>
    <m/>
    <m/>
    <m/>
    <n v="63.700179462673347"/>
    <m/>
    <m/>
    <m/>
    <m/>
    <m/>
    <m/>
    <m/>
    <m/>
    <m/>
    <m/>
    <m/>
    <m/>
    <n v="95.158799999999985"/>
    <n v="8.4067199999999787"/>
    <m/>
    <m/>
    <m/>
    <m/>
    <n v="-0.37370000000000186"/>
    <n v="7.8402999999999992"/>
    <n v="31"/>
    <n v="7.4633123148126401"/>
    <n v="0"/>
    <n v="0"/>
    <n v="0"/>
    <n v="0"/>
    <n v="0"/>
    <n v="0"/>
    <n v="0"/>
    <n v="0"/>
    <n v="0"/>
    <n v="0"/>
    <n v="7.642769808144223"/>
    <n v="0.22823938800787347"/>
    <n v="8.8620009697432389E-3"/>
    <n v="0"/>
    <n v="0.29675085462882045"/>
    <n v="0"/>
    <n v="-0.57527513732864577"/>
    <m/>
    <n v="0"/>
    <n v="0"/>
    <n v="-3.3293551826923728E-2"/>
    <n v="0"/>
    <n v="-9.0572484569308997E-2"/>
    <n v="-1.4168563213163121E-2"/>
    <n v="0"/>
    <n v="0"/>
    <m/>
    <m/>
    <m/>
    <n v="0"/>
    <n v="0"/>
    <n v="0"/>
    <n v="-0.37369999999999948"/>
    <n v="7.8402999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4"/>
    <s v="Regular"/>
    <s v="Verde"/>
    <s v="A4"/>
    <s v="Rural"/>
    <s v="Agropecuária rural"/>
    <s v="Não se aplica"/>
    <s v="Não se aplica"/>
    <s v="Não se aplica"/>
    <s v="CATIVO"/>
    <x v="10"/>
    <n v="158"/>
    <n v="151.68"/>
    <n v="0"/>
    <n v="0"/>
    <n v="0"/>
    <n v="0"/>
    <n v="59.12"/>
    <m/>
    <m/>
    <n v="9340.9599999999991"/>
    <m/>
    <n v="9340.9599999999991"/>
    <n v="5376.74"/>
    <n v="0"/>
    <n v="0"/>
    <n v="0"/>
    <n v="0"/>
    <n v="90.385537406721767"/>
    <n v="808.48957881303795"/>
    <n v="7609.5640448872109"/>
    <m/>
    <m/>
    <m/>
    <n v="0"/>
    <n v="0"/>
    <n v="0"/>
    <n v="0"/>
    <m/>
    <n v="0"/>
    <n v="190.87539427902948"/>
    <n v="641.63608251515052"/>
    <n v="0"/>
    <n v="0"/>
    <m/>
    <m/>
    <n v="0"/>
    <n v="0"/>
    <n v="0"/>
    <m/>
    <m/>
    <n v="0"/>
    <m/>
    <n v="0"/>
    <n v="0"/>
    <n v="0"/>
    <n v="0"/>
    <m/>
    <n v="0"/>
    <n v="0"/>
    <n v="42.26"/>
    <n v="194.99"/>
    <n v="12.03"/>
    <n v="9"/>
    <m/>
    <m/>
    <m/>
    <m/>
    <m/>
    <n v="215.06959999999978"/>
    <m/>
    <m/>
    <m/>
    <n v="0"/>
    <m/>
    <m/>
    <m/>
    <m/>
    <m/>
    <m/>
    <m/>
    <m/>
    <m/>
    <m/>
    <m/>
    <m/>
    <n v="5161.6704"/>
    <n v="-3805.6812"/>
    <m/>
    <m/>
    <m/>
    <m/>
    <n v="-3964.2199999999993"/>
    <n v="0"/>
    <n v="31"/>
    <n v="65.329457510236125"/>
    <n v="18.532794887597873"/>
    <n v="62.298809936454745"/>
    <n v="0"/>
    <n v="0"/>
    <m/>
    <m/>
    <m/>
    <n v="-15.5021473138165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09.5640448872109"/>
    <m/>
    <n v="0"/>
    <n v="0"/>
    <n v="-3964.2199999999993"/>
    <m/>
    <n v="0"/>
    <m/>
    <n v="-4028.860737123920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695"/>
    <s v="Regular"/>
    <s v="Verde"/>
    <s v="A4"/>
    <s v="Rural"/>
    <s v="Agropecuária rural"/>
    <s v="IRRIG./AQUIC. PR"/>
    <s v="Não se aplica"/>
    <s v="Fora ponta"/>
    <s v="CATIVO"/>
    <x v="10"/>
    <n v="0"/>
    <n v="0"/>
    <n v="0.25700000000000001"/>
    <n v="7.7100000000000002E-2"/>
    <n v="0.25700000000000001"/>
    <n v="7.7100000000000002E-2"/>
    <m/>
    <n v="70.33"/>
    <n v="173.82"/>
    <m/>
    <n v="62.746549999999999"/>
    <n v="62.746549999999999"/>
    <n v="67.932810000000003"/>
    <n v="0"/>
    <n v="13.67240681293654"/>
    <n v="0"/>
    <n v="0"/>
    <n v="0"/>
    <n v="0"/>
    <n v="0"/>
    <n v="41.356988834149824"/>
    <n v="2.0806374057611494"/>
    <n v="0"/>
    <n v="0"/>
    <n v="0"/>
    <n v="0"/>
    <n v="2.4290346410081445"/>
    <m/>
    <n v="0.31938178107944132"/>
    <n v="0"/>
    <n v="0"/>
    <n v="0"/>
    <n v="0"/>
    <n v="0"/>
    <n v="0"/>
    <n v="0"/>
    <n v="0"/>
    <n v="0"/>
    <n v="0"/>
    <n v="0"/>
    <n v="0"/>
    <m/>
    <n v="0"/>
    <n v="0"/>
    <n v="0"/>
    <n v="4.7954561546960921E-2"/>
    <n v="1.235061902727536"/>
    <n v="1.6057950310541951"/>
    <n v="0"/>
    <n v="0"/>
    <n v="0"/>
    <n v="0"/>
    <n v="0"/>
    <m/>
    <m/>
    <m/>
    <m/>
    <m/>
    <m/>
    <n v="47.552966999999995"/>
    <m/>
    <m/>
    <n v="44.245800329478513"/>
    <m/>
    <m/>
    <m/>
    <m/>
    <m/>
    <m/>
    <m/>
    <m/>
    <m/>
    <m/>
    <m/>
    <m/>
    <n v="21.1464"/>
    <n v="2.2924349999999976"/>
    <m/>
    <m/>
    <m/>
    <m/>
    <n v="-0.2595700000000013"/>
    <n v="5.4458299999999999"/>
    <n v="31"/>
    <n v="5.1839763916401225"/>
    <n v="0"/>
    <n v="0"/>
    <n v="0"/>
    <n v="0"/>
    <n v="0"/>
    <n v="0"/>
    <n v="0"/>
    <n v="0"/>
    <n v="0"/>
    <n v="0"/>
    <n v="5.3086265964677395"/>
    <n v="0.15853384518384739"/>
    <n v="6.155497970875709E-3"/>
    <n v="0"/>
    <n v="0.20612153956650503"/>
    <n v="0"/>
    <n v="-0.39958300079313958"/>
    <m/>
    <n v="0"/>
    <n v="0"/>
    <n v="-2.3125521133836369E-2"/>
    <n v="0"/>
    <n v="-6.2911158200844142E-2"/>
    <n v="-9.8414074210348979E-3"/>
    <n v="0"/>
    <n v="0"/>
    <m/>
    <m/>
    <m/>
    <n v="0"/>
    <n v="0"/>
    <n v="0"/>
    <n v="-0.25957000000000008"/>
    <n v="5.44583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6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9"/>
    <n v="0.9"/>
    <n v="3.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697"/>
    <s v="Regular"/>
    <s v="Convencional"/>
    <s v="B2"/>
    <s v="Rural"/>
    <s v="Aquicultura"/>
    <s v="IRRIG./AQUIC."/>
    <s v="Não se aplica"/>
    <s v="Não se aplica"/>
    <s v="CATIVO"/>
    <x v="10"/>
    <n v="0"/>
    <n v="0"/>
    <n v="4.5999999999999999E-2"/>
    <n v="4.5999999999999999E-2"/>
    <n v="4.5999999999999999E-2"/>
    <n v="4.5999999999999999E-2"/>
    <m/>
    <n v="516.83000000000004"/>
    <n v="173.82"/>
    <m/>
    <n v="31.7699"/>
    <n v="31.7699"/>
    <n v="23.986699999999999"/>
    <n v="0"/>
    <n v="2.8128749648690903"/>
    <n v="0"/>
    <n v="0"/>
    <n v="0.12504842737598001"/>
    <n v="1.5836241300150358"/>
    <n v="16.726326577668154"/>
    <n v="7.4024182349061931"/>
    <n v="0.37240980803506951"/>
    <n v="0"/>
    <n v="0"/>
    <n v="0"/>
    <n v="0"/>
    <n v="0.43476884625048501"/>
    <m/>
    <n v="7.1370930843085739E-2"/>
    <n v="0.26673117384023021"/>
    <n v="0.87350852917400934"/>
    <n v="0"/>
    <n v="0"/>
    <n v="0"/>
    <n v="0"/>
    <n v="0"/>
    <n v="0"/>
    <n v="0"/>
    <n v="0"/>
    <n v="0"/>
    <n v="0"/>
    <m/>
    <n v="0"/>
    <n v="0"/>
    <n v="0"/>
    <n v="2.5521380384396879E-2"/>
    <n v="0.22106166352321655"/>
    <n v="0.8546028674827022"/>
    <n v="0"/>
    <n v="0"/>
    <n v="0"/>
    <n v="0"/>
    <n v="0"/>
    <m/>
    <m/>
    <m/>
    <m/>
    <m/>
    <n v="2.8782199999999998"/>
    <m/>
    <m/>
    <m/>
    <n v="8.5036041462965084"/>
    <m/>
    <m/>
    <m/>
    <m/>
    <m/>
    <m/>
    <m/>
    <m/>
    <m/>
    <m/>
    <m/>
    <m/>
    <n v="22.944000000000003"/>
    <n v="-5.0434200000000011"/>
    <m/>
    <m/>
    <m/>
    <m/>
    <n v="-8.7579400000000014"/>
    <n v="0.97473999999999983"/>
    <n v="31"/>
    <n v="1.0720704346443739"/>
    <n v="2.589791184757434E-2"/>
    <n v="8.4812159602318471E-2"/>
    <n v="0"/>
    <n v="0"/>
    <n v="0"/>
    <n v="0"/>
    <n v="0"/>
    <n v="-3.0364738391864599E-2"/>
    <n v="0"/>
    <n v="0"/>
    <n v="0.95018219236387758"/>
    <n v="2.8375707698276187E-2"/>
    <n v="3.2759512359686119E-3"/>
    <n v="0"/>
    <n v="0.10969772315700943"/>
    <n v="0"/>
    <n v="-8.2207692814902256E-2"/>
    <m/>
    <n v="0"/>
    <n v="0"/>
    <n v="-4.1391983352391803E-3"/>
    <n v="0"/>
    <n v="-1.1260362946454605E-2"/>
    <n v="-2.1992187721895096E-3"/>
    <n v="0"/>
    <n v="0"/>
    <m/>
    <m/>
    <m/>
    <n v="16.726326577668154"/>
    <n v="0"/>
    <n v="0"/>
    <n v="-8.7579400000000014"/>
    <n v="0.97473999999999972"/>
    <n v="0"/>
    <n v="0"/>
    <n v="-8.8557031687454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8"/>
    <s v="Regular"/>
    <s v="Convencional"/>
    <s v="B2"/>
    <s v="Rural"/>
    <s v="Aquicultura"/>
    <s v="IRRIG./AQUIC. PR"/>
    <s v="Não se aplica"/>
    <s v="Não se aplica"/>
    <s v="CATIVO"/>
    <x v="10"/>
    <n v="0"/>
    <n v="0"/>
    <n v="4.0000000000000001E-3"/>
    <n v="1.6000000000000001E-3"/>
    <n v="4.0000000000000001E-3"/>
    <n v="1.6000000000000001E-3"/>
    <m/>
    <n v="516.83000000000004"/>
    <n v="173.82"/>
    <m/>
    <n v="2.7625999999999999"/>
    <n v="2.7625999999999999"/>
    <n v="2.0857999999999999"/>
    <n v="0"/>
    <n v="0.24459782303209479"/>
    <n v="0"/>
    <n v="0"/>
    <n v="1.0873776293563481E-2"/>
    <n v="0.13770644608826399"/>
    <n v="1.454463180666796"/>
    <n v="0.64368854216575599"/>
    <n v="3.2383461568266915E-2"/>
    <n v="0"/>
    <n v="0"/>
    <n v="0"/>
    <n v="0"/>
    <n v="3.7805986630476962E-2"/>
    <m/>
    <n v="6.2061678993987597E-3"/>
    <n v="2.3194015116541761E-2"/>
    <n v="7.5957263406435604E-2"/>
    <n v="0"/>
    <n v="0"/>
    <n v="0"/>
    <n v="0"/>
    <n v="0"/>
    <n v="0"/>
    <n v="0"/>
    <n v="0"/>
    <n v="0"/>
    <n v="0"/>
    <m/>
    <n v="0"/>
    <n v="0"/>
    <n v="0"/>
    <n v="2.2192504682084242E-3"/>
    <n v="1.9222753349844919E-2"/>
    <n v="7.4313292824582808E-2"/>
    <n v="0"/>
    <n v="0"/>
    <n v="0"/>
    <n v="0"/>
    <n v="0"/>
    <m/>
    <m/>
    <m/>
    <m/>
    <m/>
    <m/>
    <n v="1.3515920000000001"/>
    <m/>
    <m/>
    <n v="0.73944383880839215"/>
    <m/>
    <m/>
    <m/>
    <m/>
    <m/>
    <m/>
    <m/>
    <m/>
    <m/>
    <m/>
    <m/>
    <m/>
    <n v="0"/>
    <n v="-1.002432"/>
    <m/>
    <m/>
    <m/>
    <m/>
    <n v="-0.76156000000000024"/>
    <n v="8.4759999999999988E-2"/>
    <n v="31"/>
    <n v="9.3223516056032185E-2"/>
    <n v="2.2519923345716807E-3"/>
    <n v="7.3749704002016025E-3"/>
    <n v="0"/>
    <n v="0"/>
    <n v="0"/>
    <n v="0"/>
    <n v="0"/>
    <n v="-2.6404120340751958E-3"/>
    <n v="0"/>
    <n v="0"/>
    <n v="8.2624538466424036E-2"/>
    <n v="2.4674528433283639E-3"/>
    <n v="2.8486532486683615E-4"/>
    <n v="0"/>
    <n v="9.5389324484355942E-3"/>
    <n v="0"/>
    <n v="-7.1484950273827952E-3"/>
    <m/>
    <n v="0"/>
    <n v="0"/>
    <n v="-3.5993029002079346E-4"/>
    <n v="0"/>
    <n v="-9.7916199534388293E-4"/>
    <n v="-1.9123641497299955E-4"/>
    <n v="0"/>
    <n v="0"/>
    <m/>
    <m/>
    <m/>
    <n v="1.454463180666796"/>
    <n v="0"/>
    <n v="0"/>
    <n v="-0.76156000000000001"/>
    <n v="8.4759999999999946E-2"/>
    <n v="0"/>
    <n v="0"/>
    <n v="-0.77006114510830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699"/>
    <s v="Regular"/>
    <s v="Convencional"/>
    <s v="B1"/>
    <s v="Residencial"/>
    <s v="Residencial"/>
    <s v="Não se aplica"/>
    <s v="Não se aplica"/>
    <s v="Não se aplica"/>
    <s v="CATIVO"/>
    <x v="11"/>
    <n v="0"/>
    <n v="0"/>
    <n v="1824.1"/>
    <n v="1824.1"/>
    <n v="1824.1"/>
    <n v="1824.1"/>
    <m/>
    <n v="516.83000000000004"/>
    <n v="173.82"/>
    <m/>
    <n v="1259814.665"/>
    <n v="1259814.665"/>
    <n v="951176.94499999983"/>
    <n v="0"/>
    <n v="111542.72224821102"/>
    <n v="0"/>
    <n v="0"/>
    <n v="4958.7138342722856"/>
    <n v="62797.582077400584"/>
    <n v="663271.57196357567"/>
    <n v="293538.06744113885"/>
    <n v="14767.668061668919"/>
    <n v="0"/>
    <n v="0"/>
    <n v="0"/>
    <n v="0"/>
    <n v="17240.475053163253"/>
    <m/>
    <n v="2830.1677163233194"/>
    <n v="10577.050743520955"/>
    <n v="34638.411044919791"/>
    <n v="0"/>
    <n v="0"/>
    <n v="0"/>
    <n v="0"/>
    <n v="0"/>
    <n v="0"/>
    <n v="0"/>
    <n v="0"/>
    <n v="0"/>
    <n v="0"/>
    <m/>
    <n v="0"/>
    <n v="0"/>
    <n v="0"/>
    <n v="1012.0336947647465"/>
    <n v="8766.0560963630287"/>
    <n v="33888.719360330368"/>
    <n v="0"/>
    <n v="5187.18"/>
    <n v="24117.87"/>
    <n v="314491.18"/>
    <n v="12517"/>
    <m/>
    <m/>
    <m/>
    <m/>
    <m/>
    <m/>
    <m/>
    <m/>
    <m/>
    <n v="337204.87659259705"/>
    <m/>
    <m/>
    <m/>
    <m/>
    <m/>
    <m/>
    <m/>
    <m/>
    <m/>
    <m/>
    <m/>
    <m/>
    <n v="951176.94499999983"/>
    <n v="-308637.75000000023"/>
    <m/>
    <m/>
    <m/>
    <m/>
    <n v="-347290.39900000003"/>
    <n v="38652.678999999996"/>
    <n v="30"/>
    <n v="42512.253909452353"/>
    <n v="1026.9648043730522"/>
    <n v="3363.1708767519376"/>
    <n v="0"/>
    <n v="0"/>
    <n v="0"/>
    <n v="0"/>
    <n v="0"/>
    <n v="-1204.093897839135"/>
    <n v="0"/>
    <n v="0"/>
    <n v="37678.855154151039"/>
    <n v="1125.2201828788166"/>
    <n v="129.90570977239895"/>
    <n v="0"/>
    <n v="4349.9916697978479"/>
    <n v="0"/>
    <n v="-3259.892444862242"/>
    <m/>
    <n v="0"/>
    <n v="0"/>
    <n v="-164.13721050673303"/>
    <n v="0"/>
    <n v="-446.52234892669003"/>
    <n v="-87.208586138062401"/>
    <n v="0"/>
    <n v="0"/>
    <m/>
    <m/>
    <m/>
    <n v="663271.57196357567"/>
    <n v="0"/>
    <n v="0"/>
    <n v="-347290.39900000009"/>
    <n v="38652.679000000004"/>
    <n v="0"/>
    <n v="0"/>
    <n v="-351167.13369801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0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21.568999999999999"/>
    <n v="21.568999999999999"/>
    <n v="21.568999999999999"/>
    <n v="21.568999999999999"/>
    <m/>
    <n v="516.83000000000004"/>
    <n v="173.82"/>
    <m/>
    <n v="14896.629849999999"/>
    <n v="14896.629849999999"/>
    <n v="11247.155049999999"/>
    <n v="0"/>
    <n v="1318.9326112448132"/>
    <n v="0"/>
    <n v="0"/>
    <n v="58.634120218967674"/>
    <n v="742.54758391944142"/>
    <n v="7842.8290859505305"/>
    <n v="3470.9295414932976"/>
    <n v="174.61972064148728"/>
    <n v="0"/>
    <n v="0"/>
    <n v="0"/>
    <n v="0"/>
    <n v="203.85933140818938"/>
    <m/>
    <n v="33.465208855532957"/>
    <n v="125.0679280121723"/>
    <n v="409.58055360335237"/>
    <n v="0"/>
    <n v="0"/>
    <n v="0"/>
    <n v="0"/>
    <n v="0"/>
    <n v="0"/>
    <n v="0"/>
    <n v="0"/>
    <n v="0"/>
    <n v="0"/>
    <m/>
    <n v="0"/>
    <n v="0"/>
    <n v="0"/>
    <n v="11.966753337196876"/>
    <n v="103.65389175070126"/>
    <n v="400.7158532333566"/>
    <n v="0"/>
    <n v="86.85"/>
    <n v="412.52"/>
    <n v="4757.97"/>
    <n v="0"/>
    <m/>
    <m/>
    <m/>
    <m/>
    <m/>
    <m/>
    <m/>
    <m/>
    <m/>
    <n v="3987.2660398145522"/>
    <m/>
    <m/>
    <m/>
    <m/>
    <m/>
    <m/>
    <m/>
    <m/>
    <m/>
    <m/>
    <m/>
    <m/>
    <n v="11247.676500000001"/>
    <n v="-3648.9833499999986"/>
    <m/>
    <m/>
    <m/>
    <m/>
    <n v="-4106.5219100000004"/>
    <n v="457.04710999999992"/>
    <n v="30"/>
    <n v="502.68450445314193"/>
    <n v="12.143305666094136"/>
    <n v="39.767684140487063"/>
    <n v="0"/>
    <n v="0"/>
    <n v="0"/>
    <n v="0"/>
    <n v="0"/>
    <n v="-14.237761790741843"/>
    <n v="0"/>
    <n v="0"/>
    <n v="445.53216754557479"/>
    <n v="13.305122594437364"/>
    <n v="1.5360650480131959"/>
    <n v="0"/>
    <n v="51.436308495076901"/>
    <n v="0"/>
    <n v="-38.546472311405068"/>
    <m/>
    <n v="0"/>
    <n v="0"/>
    <n v="-1.9408341063646617"/>
    <n v="0"/>
    <n v="-5.2798862693930459"/>
    <n v="-1.0311945586381555"/>
    <n v="0"/>
    <n v="0"/>
    <m/>
    <m/>
    <m/>
    <n v="7842.8290859505305"/>
    <n v="0"/>
    <n v="0"/>
    <n v="-4106.5219100000004"/>
    <n v="457.04711000000043"/>
    <n v="0"/>
    <n v="0"/>
    <n v="-4152.3622097102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51.11"/>
    <n v="51.11"/>
    <n v="51.11"/>
    <n v="51.11"/>
    <m/>
    <n v="516.83000000000004"/>
    <n v="173.82"/>
    <m/>
    <n v="35299.121500000001"/>
    <n v="35299.121500000001"/>
    <n v="26651.309499999996"/>
    <n v="0"/>
    <n v="3125.3486837925911"/>
    <n v="0"/>
    <n v="0"/>
    <n v="138.93967659100738"/>
    <n v="1759.544114892793"/>
    <n v="18584.403290969985"/>
    <n v="8224.7303475229473"/>
    <n v="413.77968018853051"/>
    <n v="0"/>
    <n v="0"/>
    <n v="0"/>
    <n v="0"/>
    <n v="483.06599417091934"/>
    <m/>
    <n v="79.29931033456765"/>
    <n v="296.36152815161233"/>
    <n v="970.5439331757309"/>
    <n v="0"/>
    <n v="0"/>
    <n v="0"/>
    <n v="0"/>
    <n v="0"/>
    <n v="0"/>
    <n v="0"/>
    <n v="0"/>
    <n v="0"/>
    <n v="0"/>
    <m/>
    <n v="0"/>
    <n v="0"/>
    <n v="0"/>
    <n v="28.356472857533142"/>
    <n v="245.61873092764344"/>
    <n v="949.53809906610672"/>
    <n v="0"/>
    <n v="144.82"/>
    <n v="675.02"/>
    <n v="19016.96"/>
    <n v="370"/>
    <m/>
    <m/>
    <m/>
    <m/>
    <m/>
    <m/>
    <m/>
    <m/>
    <m/>
    <n v="9448.2436503742301"/>
    <m/>
    <m/>
    <m/>
    <m/>
    <m/>
    <m/>
    <m/>
    <m/>
    <m/>
    <m/>
    <m/>
    <m/>
    <n v="26651.309499999996"/>
    <n v="-8647.8420000000042"/>
    <m/>
    <m/>
    <m/>
    <m/>
    <n v="-9730.8329000000012"/>
    <n v="1083.0209"/>
    <n v="30"/>
    <n v="1191.1634764059563"/>
    <n v="28.774832054989645"/>
    <n v="94.233684288575887"/>
    <n v="0"/>
    <n v="0"/>
    <n v="0"/>
    <n v="0"/>
    <n v="0"/>
    <n v="-33.73786476539567"/>
    <n v="0"/>
    <n v="0"/>
    <n v="1055.7350402547327"/>
    <n v="31.527878705628183"/>
    <n v="3.6398666884859949"/>
    <n v="0"/>
    <n v="121.88370935988587"/>
    <n v="0"/>
    <n v="-91.339895212383908"/>
    <m/>
    <n v="0"/>
    <n v="0"/>
    <n v="-4.599009280740745"/>
    <n v="0"/>
    <n v="-12.511242395506429"/>
    <n v="-2.4435232923175079"/>
    <n v="0"/>
    <n v="0"/>
    <m/>
    <m/>
    <m/>
    <n v="18584.403290969985"/>
    <n v="0"/>
    <n v="0"/>
    <n v="-9730.8329000000012"/>
    <n v="1083.0208999999995"/>
    <n v="0"/>
    <n v="0"/>
    <n v="-9839.4562816213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39.844999999999999"/>
    <n v="39.844999999999999"/>
    <n v="39.844999999999999"/>
    <n v="39.844999999999999"/>
    <m/>
    <n v="446.23"/>
    <n v="173.82"/>
    <m/>
    <n v="24705.892250000001"/>
    <n v="24705.892250000001"/>
    <n v="18045.0036"/>
    <n v="0"/>
    <n v="0"/>
    <n v="0"/>
    <n v="0"/>
    <n v="108.31640410425922"/>
    <n v="1371.7283360967197"/>
    <n v="14488.271358417122"/>
    <n v="6411.9424906486365"/>
    <n v="322.57975654689881"/>
    <n v="0"/>
    <n v="0"/>
    <n v="0"/>
    <n v="0"/>
    <n v="0"/>
    <m/>
    <n v="61.821189987885894"/>
    <n v="231.04138307965161"/>
    <n v="756.62929010735661"/>
    <n v="0"/>
    <n v="0"/>
    <n v="0"/>
    <n v="0"/>
    <n v="0"/>
    <n v="0"/>
    <n v="0"/>
    <n v="0"/>
    <n v="0"/>
    <n v="0"/>
    <m/>
    <n v="0"/>
    <n v="0"/>
    <n v="0"/>
    <n v="22.106508726441167"/>
    <n v="191.48265180614268"/>
    <n v="740.25328814887541"/>
    <n v="0"/>
    <n v="113.34"/>
    <n v="524.84"/>
    <n v="2112.83"/>
    <n v="112"/>
    <m/>
    <m/>
    <m/>
    <m/>
    <m/>
    <m/>
    <m/>
    <n v="11729.17265"/>
    <m/>
    <n v="7365.7849393300958"/>
    <m/>
    <m/>
    <m/>
    <m/>
    <m/>
    <m/>
    <m/>
    <m/>
    <m/>
    <m/>
    <m/>
    <m/>
    <n v="6316.6235000000006"/>
    <n v="-2330.568400000001"/>
    <m/>
    <m/>
    <m/>
    <m/>
    <n v="-7505.2042000000001"/>
    <n v="844.31554999999992"/>
    <n v="30"/>
    <n v="1009.5843728307882"/>
    <n v="22.432658642752159"/>
    <n v="73.46392389900825"/>
    <n v="0"/>
    <n v="0"/>
    <n v="0"/>
    <n v="0"/>
    <n v="0"/>
    <n v="-26.301804374431413"/>
    <n v="0"/>
    <n v="0"/>
    <n v="823.04368379866628"/>
    <n v="24.578914635604661"/>
    <n v="2.8376147173297674"/>
    <n v="0"/>
    <n v="95.019690851979135"/>
    <n v="0"/>
    <n v="0"/>
    <m/>
    <n v="0"/>
    <n v="0"/>
    <n v="-3.5853556014697006"/>
    <n v="0"/>
    <n v="0"/>
    <n v="-1.9049537386497946"/>
    <n v="0"/>
    <n v="0"/>
    <m/>
    <m/>
    <m/>
    <n v="14488.271358417122"/>
    <n v="0"/>
    <n v="0"/>
    <n v="-7505.2042000000019"/>
    <n v="844.31554999999935"/>
    <n v="0"/>
    <n v="0"/>
    <n v="-7670.771581710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3"/>
    <s v="Refaturamento - 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-4.7699999999999996"/>
    <n v="-4.7699999999999996"/>
    <n v="-4.7699999999999996"/>
    <n v="-4.7699999999999996"/>
    <m/>
    <n v="446.23"/>
    <n v="173.82"/>
    <m/>
    <n v="-2957.6385"/>
    <n v="-2957.6385"/>
    <n v="-2160.2375999999999"/>
    <n v="0"/>
    <n v="0"/>
    <n v="0"/>
    <n v="0"/>
    <n v="-12.966978230074449"/>
    <n v="-164.21493696025479"/>
    <n v="-1734.4473429451541"/>
    <n v="-767.59858653266394"/>
    <n v="-38.617277920158294"/>
    <n v="0"/>
    <n v="0"/>
    <n v="0"/>
    <n v="0"/>
    <n v="0"/>
    <m/>
    <n v="-7.4008552200330202"/>
    <n v="-27.658863026476045"/>
    <n v="-90.579036612174448"/>
    <n v="0"/>
    <n v="0"/>
    <n v="0"/>
    <n v="0"/>
    <n v="0"/>
    <n v="0"/>
    <n v="0"/>
    <n v="0"/>
    <n v="0"/>
    <n v="0"/>
    <m/>
    <n v="0"/>
    <n v="0"/>
    <n v="0"/>
    <n v="-2.6464561833385458"/>
    <n v="-22.923133369690063"/>
    <n v="-88.618601693314986"/>
    <n v="0"/>
    <n v="-15.06"/>
    <n v="-71.75"/>
    <n v="-327.52"/>
    <n v="0"/>
    <m/>
    <m/>
    <m/>
    <m/>
    <m/>
    <m/>
    <m/>
    <n v="-1404.1448999999998"/>
    <m/>
    <n v="-881.78677777900748"/>
    <m/>
    <m/>
    <m/>
    <m/>
    <m/>
    <m/>
    <m/>
    <m/>
    <m/>
    <m/>
    <m/>
    <m/>
    <n v="-756.09269999999992"/>
    <n v="279.06269999999995"/>
    <m/>
    <m/>
    <m/>
    <m/>
    <n v="898.47720000000004"/>
    <n v="-101.07629999999997"/>
    <n v="30"/>
    <n v="-120.86127389642047"/>
    <n v="-2.6855008589767309"/>
    <n v="-8.7946522022404139"/>
    <n v="0"/>
    <n v="0"/>
    <n v="0"/>
    <n v="0"/>
    <n v="0"/>
    <n v="3.1486913506346639"/>
    <n v="0"/>
    <n v="0"/>
    <n v="-98.529762121210638"/>
    <n v="-2.9424375156690736"/>
    <n v="-0.33970189990370159"/>
    <n v="0"/>
    <n v="-11.37517694475946"/>
    <n v="0"/>
    <n v="0"/>
    <m/>
    <n v="0"/>
    <n v="0"/>
    <n v="0.42921687084979965"/>
    <n v="0"/>
    <n v="0"/>
    <n v="0.22804942485530244"/>
    <n v="0"/>
    <n v="0"/>
    <m/>
    <m/>
    <m/>
    <n v="-1734.4473429451541"/>
    <n v="0"/>
    <n v="0"/>
    <n v="898.47720000000004"/>
    <n v="-101.07629999999995"/>
    <n v="0"/>
    <n v="0"/>
    <n v="918.29791554165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4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13200000000000001"/>
    <n v="-0.38279999999999997"/>
    <n v="0.13200000000000001"/>
    <n v="-0.38279999999999997"/>
    <m/>
    <n v="446.23"/>
    <n v="173.82"/>
    <m/>
    <n v="81.846600000000009"/>
    <n v="81.846600000000009"/>
    <n v="59.780160000000002"/>
    <n v="0"/>
    <n v="0"/>
    <n v="0"/>
    <n v="0"/>
    <n v="0.35883461768759489"/>
    <n v="4.5443127209127114"/>
    <n v="47.997284962004272"/>
    <n v="21.241721891469947"/>
    <n v="1.0686542317528083"/>
    <n v="0"/>
    <n v="0"/>
    <n v="0"/>
    <n v="0"/>
    <n v="0"/>
    <m/>
    <n v="0.20480354068015907"/>
    <n v="0.76540249884587808"/>
    <n v="2.5065896924123749"/>
    <n v="0"/>
    <n v="0"/>
    <n v="0"/>
    <n v="0"/>
    <n v="0"/>
    <n v="0"/>
    <n v="0"/>
    <n v="0"/>
    <n v="0"/>
    <n v="0"/>
    <m/>
    <n v="0"/>
    <n v="0"/>
    <n v="0"/>
    <n v="7.3235265450877995E-2"/>
    <n v="0.63435086054488232"/>
    <n v="2.4523386632112327"/>
    <n v="0"/>
    <n v="0.36"/>
    <n v="1.75"/>
    <n v="9.09"/>
    <n v="0"/>
    <m/>
    <m/>
    <m/>
    <m/>
    <m/>
    <m/>
    <m/>
    <n v="120.45778799999999"/>
    <m/>
    <n v="24.40164668067694"/>
    <m/>
    <m/>
    <m/>
    <m/>
    <m/>
    <m/>
    <m/>
    <m/>
    <m/>
    <m/>
    <m/>
    <m/>
    <n v="-60.233800000000002"/>
    <n v="22.811455999999993"/>
    <m/>
    <m/>
    <m/>
    <m/>
    <n v="-24.863520000000005"/>
    <n v="2.7970799999999998"/>
    <n v="30"/>
    <n v="3.3445887115990445"/>
    <n v="7.4315747040865521E-2"/>
    <n v="0.2433740232066528"/>
    <n v="0"/>
    <n v="0"/>
    <n v="0"/>
    <n v="0"/>
    <n v="0"/>
    <n v="-8.7133597124481099E-2"/>
    <n v="0"/>
    <n v="0"/>
    <n v="2.7266097693919953"/>
    <n v="8.1425943829836034E-2"/>
    <n v="9.400555720605594E-3"/>
    <n v="0"/>
    <n v="0.31478477079837486"/>
    <n v="0"/>
    <n v="0"/>
    <m/>
    <n v="0"/>
    <n v="0"/>
    <n v="-1.1877699570686406E-2"/>
    <n v="0"/>
    <n v="0"/>
    <n v="-6.3108016941089973E-3"/>
    <n v="0"/>
    <n v="0"/>
    <m/>
    <m/>
    <m/>
    <n v="47.997284962004272"/>
    <n v="0"/>
    <n v="0"/>
    <n v="-24.863520000000008"/>
    <n v="2.7970800000000011"/>
    <n v="0"/>
    <n v="0"/>
    <n v="-25.41201778857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5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75.016000000000005"/>
    <n v="75.016000000000005"/>
    <n v="75.016000000000005"/>
    <n v="75.016000000000005"/>
    <m/>
    <n v="446.23"/>
    <n v="173.82"/>
    <m/>
    <n v="46513.6708"/>
    <n v="46513.6708"/>
    <n v="33973.246080000004"/>
    <n v="0"/>
    <n v="0"/>
    <n v="0"/>
    <n v="0"/>
    <n v="203.92680060948953"/>
    <n v="2582.5466899393032"/>
    <n v="27277.002490225095"/>
    <n v="12071.734919776589"/>
    <n v="607.3194382512778"/>
    <n v="0"/>
    <n v="0"/>
    <n v="0"/>
    <n v="0"/>
    <n v="0"/>
    <m/>
    <n v="116.39047278532435"/>
    <n v="434.98055949562416"/>
    <n v="1424.5025179242934"/>
    <n v="0"/>
    <n v="0"/>
    <n v="0"/>
    <n v="0"/>
    <n v="0"/>
    <n v="0"/>
    <n v="0"/>
    <n v="0"/>
    <n v="0"/>
    <n v="0"/>
    <m/>
    <n v="0"/>
    <n v="0"/>
    <n v="0"/>
    <n v="41.619823280780793"/>
    <n v="360.50351632299163"/>
    <n v="1393.671493632226"/>
    <n v="0"/>
    <n v="214.09"/>
    <n v="986.6"/>
    <n v="7133.75"/>
    <n v="328"/>
    <m/>
    <m/>
    <m/>
    <m/>
    <m/>
    <m/>
    <m/>
    <n v="13589.898560000001"/>
    <m/>
    <n v="13867.529753012586"/>
    <m/>
    <m/>
    <m/>
    <m/>
    <m/>
    <m/>
    <m/>
    <m/>
    <m/>
    <m/>
    <m/>
    <m/>
    <n v="20384.434399999998"/>
    <n v="-7523.7980800000005"/>
    <m/>
    <m/>
    <m/>
    <m/>
    <n v="-14130.013760000002"/>
    <n v="1589.5890399999998"/>
    <n v="30"/>
    <n v="1900.7398999190482"/>
    <n v="42.233864242557331"/>
    <n v="138.31019488538072"/>
    <n v="0"/>
    <n v="0"/>
    <n v="0"/>
    <n v="0"/>
    <n v="0"/>
    <n v="-49.518287287045951"/>
    <n v="0"/>
    <n v="0"/>
    <n v="1549.5405943993155"/>
    <n v="46.27461062378012"/>
    <n v="5.3423643025526388"/>
    <n v="0"/>
    <n v="178.89313913796127"/>
    <n v="0"/>
    <n v="0"/>
    <m/>
    <n v="0"/>
    <n v="0"/>
    <n v="-6.7501326590501094"/>
    <n v="0"/>
    <n v="0"/>
    <n v="-3.5864477264036481"/>
    <n v="0"/>
    <n v="0"/>
    <m/>
    <m/>
    <m/>
    <n v="27277.002490225095"/>
    <n v="0"/>
    <n v="0"/>
    <n v="-14130.013759999998"/>
    <n v="1589.5890400000008"/>
    <n v="0"/>
    <n v="0"/>
    <n v="-14441.726715361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6"/>
    <s v="Refaturamento - 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-9.1340000000000003"/>
    <n v="-9.1340000000000003"/>
    <n v="-9.1340000000000003"/>
    <n v="-9.1340000000000003"/>
    <m/>
    <n v="446.23"/>
    <n v="173.82"/>
    <m/>
    <n v="-5663.5367000000006"/>
    <n v="-5663.5367000000006"/>
    <n v="-4136.60592"/>
    <n v="0"/>
    <n v="0"/>
    <n v="0"/>
    <n v="0"/>
    <n v="-24.830268166352209"/>
    <n v="-314.4526696425508"/>
    <n v="-3321.2666730526289"/>
    <n v="-1469.8627860355039"/>
    <n v="-73.947634491137507"/>
    <n v="0"/>
    <n v="0"/>
    <n v="0"/>
    <n v="0"/>
    <n v="0"/>
    <m/>
    <n v="-14.171784398277069"/>
    <n v="-52.963533518623109"/>
    <n v="-173.4484109885957"/>
    <n v="0"/>
    <n v="0"/>
    <n v="0"/>
    <n v="0"/>
    <n v="0"/>
    <n v="0"/>
    <n v="0"/>
    <n v="0"/>
    <n v="0"/>
    <n v="0"/>
    <m/>
    <n v="0"/>
    <n v="0"/>
    <n v="0"/>
    <n v="-5.0676584441539365"/>
    <n v="-43.895157274370874"/>
    <n v="-169.69440416493484"/>
    <n v="0"/>
    <n v="-29.63"/>
    <n v="-140.86000000000001"/>
    <n v="-1177.22"/>
    <n v="0"/>
    <m/>
    <m/>
    <m/>
    <m/>
    <m/>
    <m/>
    <m/>
    <n v="-1654.7154399999999"/>
    <m/>
    <n v="-1688.5200059189635"/>
    <m/>
    <m/>
    <m/>
    <m/>
    <m/>
    <m/>
    <m/>
    <m/>
    <m/>
    <m/>
    <m/>
    <m/>
    <n v="-2480.8036000000002"/>
    <n v="917.28841999999941"/>
    <m/>
    <m/>
    <m/>
    <m/>
    <n v="1720.4802400000001"/>
    <n v="-193.54945999999998"/>
    <n v="30"/>
    <n v="-231.43540372534608"/>
    <n v="-5.1424244959944403"/>
    <n v="-16.840744908860358"/>
    <n v="0"/>
    <n v="0"/>
    <n v="0"/>
    <n v="0"/>
    <n v="0"/>
    <n v="6.0293808798106738"/>
    <n v="0"/>
    <n v="0"/>
    <n v="-188.67313358807928"/>
    <n v="-5.634428567740315"/>
    <n v="-0.65048996933342007"/>
    <n v="0"/>
    <n v="-21.78215224600271"/>
    <n v="0"/>
    <n v="0"/>
    <m/>
    <n v="0"/>
    <n v="0"/>
    <n v="0.8219008172624882"/>
    <n v="0"/>
    <n v="0"/>
    <n v="0.43668835359084568"/>
    <n v="0"/>
    <n v="0"/>
    <m/>
    <m/>
    <m/>
    <n v="-3321.2666730526289"/>
    <n v="0"/>
    <n v="0"/>
    <n v="1720.4802400000003"/>
    <n v="-193.54945999999995"/>
    <n v="0"/>
    <n v="0"/>
    <n v="1758.434624854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7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8.7999999999999995E-2"/>
    <n v="-0.1232"/>
    <n v="8.7999999999999995E-2"/>
    <n v="-0.1232"/>
    <m/>
    <n v="446.23"/>
    <n v="173.82"/>
    <m/>
    <n v="54.564399999999999"/>
    <n v="54.564399999999999"/>
    <n v="39.853439999999999"/>
    <n v="0"/>
    <n v="0"/>
    <n v="0"/>
    <n v="0"/>
    <n v="0.23922307845839655"/>
    <n v="3.0295418139418078"/>
    <n v="31.998189974669511"/>
    <n v="14.161147927646631"/>
    <n v="0.71243615450187214"/>
    <n v="0"/>
    <n v="0"/>
    <n v="0"/>
    <n v="0"/>
    <n v="0"/>
    <m/>
    <n v="0.13653569378677272"/>
    <n v="0.51026833256391868"/>
    <n v="1.6710597949415831"/>
    <n v="0"/>
    <n v="0"/>
    <n v="0"/>
    <n v="0"/>
    <n v="0"/>
    <n v="0"/>
    <n v="0"/>
    <n v="0"/>
    <n v="0"/>
    <n v="0"/>
    <m/>
    <n v="0"/>
    <n v="0"/>
    <n v="0"/>
    <n v="4.8823510300585328E-2"/>
    <n v="0.42290057369658818"/>
    <n v="1.6348924421408215"/>
    <n v="0"/>
    <n v="0.25"/>
    <n v="1.1599999999999999"/>
    <n v="24.25"/>
    <n v="0"/>
    <m/>
    <m/>
    <m/>
    <m/>
    <m/>
    <m/>
    <m/>
    <n v="73.329344000000006"/>
    <m/>
    <n v="16.267764453784626"/>
    <m/>
    <m/>
    <m/>
    <m/>
    <m/>
    <m/>
    <m/>
    <m/>
    <m/>
    <m/>
    <m/>
    <m/>
    <n v="-32.606399999999994"/>
    <n v="13.197696000000015"/>
    <m/>
    <m/>
    <m/>
    <m/>
    <n v="-16.575680000000002"/>
    <n v="1.8647199999999997"/>
    <n v="30"/>
    <n v="2.2297258077326987"/>
    <n v="4.9543831360577051E-2"/>
    <n v="0.16224934880443542"/>
    <n v="0"/>
    <n v="0"/>
    <n v="0"/>
    <n v="0"/>
    <n v="0"/>
    <n v="-5.8089064749654362E-2"/>
    <n v="0"/>
    <n v="0"/>
    <n v="1.8177398462613272"/>
    <n v="5.4283962553223986E-2"/>
    <n v="6.2670371470703937E-3"/>
    <n v="0"/>
    <n v="0.20985651386558324"/>
    <n v="0"/>
    <n v="0"/>
    <m/>
    <n v="0"/>
    <n v="0"/>
    <n v="-7.9184663804575672E-3"/>
    <n v="0"/>
    <n v="0"/>
    <n v="-4.2072011294060074E-3"/>
    <n v="0"/>
    <n v="0"/>
    <m/>
    <m/>
    <m/>
    <n v="31.998189974669511"/>
    <n v="0"/>
    <n v="0"/>
    <n v="-16.575679999999998"/>
    <n v="1.8647200000000002"/>
    <n v="0"/>
    <n v="0"/>
    <n v="-16.941345192382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8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66.236000000000004"/>
    <n v="66.236000000000004"/>
    <n v="66.236000000000004"/>
    <n v="66.236000000000004"/>
    <m/>
    <n v="446.23"/>
    <n v="173.82"/>
    <m/>
    <n v="41069.631800000003"/>
    <n v="41069.631800000003"/>
    <n v="29996.95968"/>
    <n v="0"/>
    <n v="0"/>
    <n v="0"/>
    <n v="0"/>
    <n v="180.05886164511767"/>
    <n v="2280.2810407755637"/>
    <n v="24084.455808661478"/>
    <n v="10658.838569722753"/>
    <n v="536.23774010893192"/>
    <n v="0"/>
    <n v="0"/>
    <n v="0"/>
    <n v="0"/>
    <n v="0"/>
    <m/>
    <n v="102.76793424614407"/>
    <n v="384.06969631481502"/>
    <n v="1257.7763247471671"/>
    <n v="0"/>
    <n v="0"/>
    <n v="0"/>
    <n v="0"/>
    <n v="0"/>
    <n v="0"/>
    <n v="0"/>
    <n v="0"/>
    <n v="0"/>
    <n v="0"/>
    <m/>
    <n v="0"/>
    <n v="0"/>
    <n v="0"/>
    <n v="36.748568503063296"/>
    <n v="318.30957272008203"/>
    <n v="1230.5538158822667"/>
    <n v="0"/>
    <n v="187.65"/>
    <n v="878.02"/>
    <n v="9354.09"/>
    <n v="596"/>
    <m/>
    <m/>
    <m/>
    <m/>
    <m/>
    <m/>
    <m/>
    <n v="2999.16608"/>
    <m/>
    <n v="12244.450526828165"/>
    <m/>
    <m/>
    <m/>
    <m/>
    <m/>
    <m/>
    <m/>
    <m/>
    <m/>
    <m/>
    <m/>
    <m/>
    <n v="26999.423999999999"/>
    <n v="-9963.6058000000048"/>
    <m/>
    <m/>
    <m/>
    <m/>
    <n v="-12476.212960000003"/>
    <n v="1403.5408399999999"/>
    <n v="30"/>
    <n v="1678.2740750111734"/>
    <n v="37.290741068172508"/>
    <n v="122.12213485693837"/>
    <n v="0"/>
    <n v="0"/>
    <n v="0"/>
    <n v="0"/>
    <n v="0"/>
    <n v="-43.722582872251223"/>
    <n v="0"/>
    <n v="0"/>
    <n v="1368.1797324655163"/>
    <n v="40.858551632674391"/>
    <n v="4.7170849144699432"/>
    <n v="0"/>
    <n v="157.95518241364516"/>
    <n v="0"/>
    <n v="0"/>
    <m/>
    <n v="0"/>
    <n v="0"/>
    <n v="-5.9600856724543974"/>
    <n v="0"/>
    <n v="0"/>
    <n v="-3.1666837955379066"/>
    <n v="0"/>
    <n v="0"/>
    <m/>
    <m/>
    <m/>
    <n v="24084.455808661478"/>
    <n v="0"/>
    <n v="0"/>
    <n v="-12476.212960000001"/>
    <n v="1403.5408399999997"/>
    <n v="0"/>
    <n v="0"/>
    <n v="-12751.442501848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09"/>
    <s v="Refaturamento - 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-7.859"/>
    <n v="-7.859"/>
    <n v="-7.859"/>
    <n v="-7.859"/>
    <m/>
    <n v="446.23"/>
    <n v="173.82"/>
    <m/>
    <n v="-4872.9729499999994"/>
    <n v="-4872.9729499999994"/>
    <n v="-3559.1839199999999"/>
    <n v="0"/>
    <n v="0"/>
    <n v="0"/>
    <n v="0"/>
    <n v="-21.364251972778849"/>
    <n v="-270.55873995191666"/>
    <n v="-2857.6565342150875"/>
    <n v="-1264.687063220169"/>
    <n v="-63.625406116252421"/>
    <n v="0"/>
    <n v="0"/>
    <n v="0"/>
    <n v="0"/>
    <n v="0"/>
    <m/>
    <n v="-12.193568380343713"/>
    <n v="-45.570441200225424"/>
    <n v="-149.23703327779435"/>
    <n v="0"/>
    <n v="0"/>
    <n v="0"/>
    <n v="0"/>
    <n v="0"/>
    <n v="0"/>
    <n v="0"/>
    <n v="0"/>
    <n v="0"/>
    <n v="0"/>
    <m/>
    <n v="0"/>
    <n v="0"/>
    <n v="0"/>
    <n v="-4.3602723574125015"/>
    <n v="-37.767904644107801"/>
    <n v="-146.00704207709907"/>
    <n v="0"/>
    <n v="-29.53"/>
    <n v="-138.22999999999999"/>
    <n v="-1750.78"/>
    <n v="0"/>
    <m/>
    <m/>
    <m/>
    <m/>
    <m/>
    <m/>
    <m/>
    <n v="-355.85551999999996"/>
    <m/>
    <n v="-1452.8222822987882"/>
    <m/>
    <m/>
    <m/>
    <m/>
    <m/>
    <m/>
    <m/>
    <m/>
    <m/>
    <m/>
    <m/>
    <m/>
    <n v="-3203.7359999999999"/>
    <n v="1181.9489499999991"/>
    <m/>
    <m/>
    <m/>
    <m/>
    <n v="1480.3212400000002"/>
    <n v="-166.53220999999999"/>
    <n v="30"/>
    <n v="-199.12971730649247"/>
    <n v="-4.4246019393497065"/>
    <n v="-14.489973093796095"/>
    <n v="0"/>
    <n v="0"/>
    <n v="0"/>
    <n v="0"/>
    <n v="0"/>
    <n v="5.1877495439492236"/>
    <n v="0"/>
    <n v="0"/>
    <n v="-162.33656195190679"/>
    <n v="-4.8479279739294014"/>
    <n v="-0.55968914703211592"/>
    <n v="0"/>
    <n v="-18.741617528063841"/>
    <n v="0"/>
    <n v="0"/>
    <m/>
    <n v="0"/>
    <n v="0"/>
    <n v="0.70717303731836267"/>
    <n v="0"/>
    <n v="0"/>
    <n v="0.37573174631820194"/>
    <n v="0"/>
    <n v="0"/>
    <m/>
    <m/>
    <m/>
    <n v="-2857.6565342150875"/>
    <n v="0"/>
    <n v="0"/>
    <n v="1480.32124"/>
    <n v="-166.53221000000008"/>
    <n v="0"/>
    <n v="0"/>
    <n v="1512.977634851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0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12"/>
    <n v="4.8000000000000001E-2"/>
    <n v="0.12"/>
    <n v="4.8000000000000001E-2"/>
    <m/>
    <n v="446.23"/>
    <n v="173.82"/>
    <m/>
    <n v="74.406000000000006"/>
    <n v="74.406000000000006"/>
    <n v="54.345599999999997"/>
    <n v="0"/>
    <n v="0"/>
    <n v="0"/>
    <n v="0"/>
    <n v="0.32621328880690442"/>
    <n v="4.1311933826479192"/>
    <n v="43.633895420003881"/>
    <n v="19.310656264972678"/>
    <n v="0.97150384704800752"/>
    <n v="0"/>
    <n v="0"/>
    <n v="0"/>
    <n v="0"/>
    <n v="0"/>
    <m/>
    <n v="0.18618503698196279"/>
    <n v="0.69582045349625277"/>
    <n v="2.2787179021930681"/>
    <n v="0"/>
    <n v="0"/>
    <n v="0"/>
    <n v="0"/>
    <n v="0"/>
    <n v="0"/>
    <n v="0"/>
    <n v="0"/>
    <n v="0"/>
    <n v="0"/>
    <m/>
    <n v="0"/>
    <n v="0"/>
    <n v="0"/>
    <n v="6.6577514046252728E-2"/>
    <n v="0.57668260049534747"/>
    <n v="2.2293987847374841"/>
    <n v="0"/>
    <n v="0.34"/>
    <n v="1.59"/>
    <n v="55.77"/>
    <n v="1"/>
    <m/>
    <m/>
    <m/>
    <m/>
    <m/>
    <m/>
    <m/>
    <n v="34.780799999999999"/>
    <m/>
    <n v="22.183315164251759"/>
    <m/>
    <m/>
    <m/>
    <m/>
    <m/>
    <m/>
    <m/>
    <m/>
    <m/>
    <m/>
    <m/>
    <m/>
    <n v="20.380000000000003"/>
    <n v="-6.4364000000000026"/>
    <m/>
    <m/>
    <m/>
    <m/>
    <n v="-22.603200000000001"/>
    <n v="2.5427999999999997"/>
    <n v="30"/>
    <n v="3.0405351923627748"/>
    <n v="6.7559770037150413E-2"/>
    <n v="0.2212491120060478"/>
    <n v="0"/>
    <n v="0"/>
    <n v="0"/>
    <n v="0"/>
    <n v="0"/>
    <n v="-7.9212361022254818E-2"/>
    <n v="0"/>
    <n v="0"/>
    <n v="2.4787361539927204"/>
    <n v="7.402358529985098E-2"/>
    <n v="8.545959746005069E-3"/>
    <n v="0"/>
    <n v="0.28616797345306777"/>
    <n v="0"/>
    <n v="0"/>
    <m/>
    <n v="0"/>
    <n v="0"/>
    <n v="-1.0797908700624026E-2"/>
    <n v="0"/>
    <n v="0"/>
    <n v="-5.73709244918999E-3"/>
    <n v="0"/>
    <n v="0"/>
    <m/>
    <m/>
    <m/>
    <n v="43.633895420003881"/>
    <n v="0"/>
    <n v="0"/>
    <n v="-22.603200000000005"/>
    <n v="2.5427999999999997"/>
    <n v="0"/>
    <n v="0"/>
    <n v="-23.10183435324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1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25.716000000000001"/>
    <n v="25.716000000000001"/>
    <n v="25.716000000000001"/>
    <n v="25.716000000000001"/>
    <m/>
    <n v="446.23"/>
    <n v="173.82"/>
    <m/>
    <n v="15945.2058"/>
    <n v="15945.2058"/>
    <n v="11646.26208"/>
    <n v="0"/>
    <n v="0"/>
    <n v="0"/>
    <n v="0"/>
    <n v="69.907507791319617"/>
    <n v="885.31474190144922"/>
    <n v="9350.7437885068321"/>
    <n v="4138.2736375836448"/>
    <n v="208.19327442238801"/>
    <n v="0"/>
    <n v="0"/>
    <n v="0"/>
    <n v="0"/>
    <n v="0"/>
    <m/>
    <n v="39.899453425234626"/>
    <n v="149.11432318424698"/>
    <n v="488.3292464399745"/>
    <n v="0"/>
    <n v="0"/>
    <n v="0"/>
    <n v="0"/>
    <n v="0"/>
    <n v="0"/>
    <n v="0"/>
    <n v="0"/>
    <n v="0"/>
    <n v="0"/>
    <m/>
    <n v="0"/>
    <n v="0"/>
    <n v="0"/>
    <n v="14.267561260111959"/>
    <n v="123.58308128615299"/>
    <n v="477.76015956924283"/>
    <n v="0"/>
    <n v="72.89"/>
    <n v="340.09"/>
    <n v="4018.4"/>
    <n v="284"/>
    <m/>
    <m/>
    <m/>
    <m/>
    <m/>
    <m/>
    <m/>
    <m/>
    <m/>
    <n v="4753.8844396991526"/>
    <m/>
    <m/>
    <m/>
    <m/>
    <m/>
    <m/>
    <m/>
    <m/>
    <m/>
    <m/>
    <m/>
    <m/>
    <n v="11648.0736"/>
    <n v="-4297.1622000000007"/>
    <m/>
    <m/>
    <m/>
    <m/>
    <n v="-4843.8657600000006"/>
    <n v="544.92203999999992"/>
    <n v="30"/>
    <n v="651.5866917233443"/>
    <n v="14.478058718961336"/>
    <n v="47.413684702896091"/>
    <n v="0"/>
    <n v="0"/>
    <n v="0"/>
    <n v="0"/>
    <n v="0"/>
    <n v="-16.975208967069307"/>
    <n v="0"/>
    <n v="0"/>
    <n v="531.19315780064062"/>
    <n v="15.86325432975805"/>
    <n v="1.8313991735688884"/>
    <n v="0"/>
    <n v="61.325796710992506"/>
    <n v="0"/>
    <n v="0"/>
    <m/>
    <n v="0"/>
    <n v="0"/>
    <n v="-2.3139918345437138"/>
    <n v="0"/>
    <n v="0"/>
    <n v="-1.2294589118614141"/>
    <n v="0"/>
    <n v="0"/>
    <m/>
    <m/>
    <m/>
    <n v="9350.7437885068321"/>
    <n v="0"/>
    <n v="0"/>
    <n v="-4843.8657600000006"/>
    <n v="544.92204000000038"/>
    <n v="0"/>
    <n v="0"/>
    <n v="-4950.72310190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2"/>
    <s v="Refaturamento - 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-1.806"/>
    <n v="-1.806"/>
    <n v="-1.806"/>
    <n v="-1.806"/>
    <m/>
    <n v="446.23"/>
    <n v="173.82"/>
    <m/>
    <n v="-1119.8103000000001"/>
    <n v="-1119.8103000000001"/>
    <n v="-817.90128000000004"/>
    <n v="0"/>
    <n v="0"/>
    <n v="0"/>
    <n v="0"/>
    <n v="-4.9095099965439113"/>
    <n v="-62.174460408851189"/>
    <n v="-656.69012607105844"/>
    <n v="-290.62537678783883"/>
    <n v="-14.621132898072513"/>
    <n v="0"/>
    <n v="0"/>
    <n v="0"/>
    <n v="0"/>
    <n v="0"/>
    <m/>
    <n v="-2.8020848065785402"/>
    <n v="-10.472097825118604"/>
    <n v="-34.294704428005673"/>
    <n v="0"/>
    <n v="0"/>
    <n v="0"/>
    <n v="0"/>
    <n v="0"/>
    <n v="0"/>
    <n v="0"/>
    <n v="0"/>
    <n v="0"/>
    <n v="0"/>
    <m/>
    <n v="0"/>
    <n v="0"/>
    <n v="0"/>
    <n v="-1.0019915863961035"/>
    <n v="-8.6790731374549814"/>
    <n v="-33.552451710299138"/>
    <n v="0"/>
    <n v="-9.4"/>
    <n v="-43.5"/>
    <n v="-655.12"/>
    <n v="0"/>
    <m/>
    <m/>
    <m/>
    <m/>
    <m/>
    <m/>
    <m/>
    <m/>
    <m/>
    <n v="-333.85889322198904"/>
    <m/>
    <m/>
    <m/>
    <m/>
    <m/>
    <m/>
    <m/>
    <m/>
    <m/>
    <m/>
    <m/>
    <m/>
    <n v="-819.71280000000002"/>
    <n v="300.06750000000011"/>
    <m/>
    <m/>
    <m/>
    <m/>
    <n v="340.17816000000005"/>
    <n v="-38.26914"/>
    <n v="30"/>
    <n v="-45.760054645059711"/>
    <n v="-1.0167745390591154"/>
    <n v="-3.3297991356910259"/>
    <n v="0"/>
    <n v="0"/>
    <n v="0"/>
    <n v="0"/>
    <n v="0"/>
    <n v="1.1921460333849438"/>
    <n v="0"/>
    <n v="0"/>
    <n v="-37.304979117590449"/>
    <n v="-1.1140549587627557"/>
    <n v="-0.12861669417737653"/>
    <n v="0"/>
    <n v="-4.3068280004686699"/>
    <n v="0"/>
    <n v="0"/>
    <m/>
    <n v="0"/>
    <n v="0"/>
    <n v="0.16250852594439102"/>
    <n v="0"/>
    <n v="0"/>
    <n v="8.6343241360309797E-2"/>
    <n v="0"/>
    <n v="0"/>
    <m/>
    <m/>
    <m/>
    <n v="-656.69012607105844"/>
    <n v="0"/>
    <n v="0"/>
    <n v="340.17815999999999"/>
    <n v="-38.269139999999993"/>
    <n v="0"/>
    <n v="0"/>
    <n v="347.6826070163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3"/>
    <s v="Sistema de Compensaçã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9.8000000000000004E-2"/>
    <n v="9.8000000000000004E-2"/>
    <n v="9.8000000000000004E-2"/>
    <n v="9.8000000000000004E-2"/>
    <m/>
    <n v="446.23"/>
    <n v="173.82"/>
    <m/>
    <n v="60.764900000000004"/>
    <n v="60.764900000000004"/>
    <n v="44.382240000000003"/>
    <n v="0"/>
    <n v="0"/>
    <n v="0"/>
    <n v="0"/>
    <n v="0.26640751919230526"/>
    <n v="3.3738079291624676"/>
    <n v="35.634347926336503"/>
    <n v="15.770369283061022"/>
    <n v="0.79339480842253951"/>
    <n v="0"/>
    <n v="0"/>
    <n v="0"/>
    <n v="0"/>
    <n v="0"/>
    <m/>
    <n v="0.15205111353526962"/>
    <n v="0.56825337035527312"/>
    <n v="1.8609529534576723"/>
    <n v="0"/>
    <n v="0"/>
    <n v="0"/>
    <n v="0"/>
    <n v="0"/>
    <n v="0"/>
    <n v="0"/>
    <n v="0"/>
    <n v="0"/>
    <n v="0"/>
    <m/>
    <n v="0"/>
    <n v="0"/>
    <n v="0"/>
    <n v="5.4371636471106398E-2"/>
    <n v="0.47095745707120051"/>
    <n v="1.8206756742022787"/>
    <n v="0"/>
    <n v="0.28000000000000003"/>
    <n v="1.29"/>
    <n v="70.66"/>
    <n v="5"/>
    <m/>
    <m/>
    <m/>
    <m/>
    <m/>
    <m/>
    <m/>
    <m/>
    <m/>
    <n v="18.116374050805607"/>
    <m/>
    <m/>
    <m/>
    <m/>
    <m/>
    <m/>
    <m/>
    <m/>
    <m/>
    <m/>
    <m/>
    <m/>
    <n v="45.288000000000004"/>
    <n v="-15.506899999999995"/>
    <m/>
    <m/>
    <m/>
    <m/>
    <n v="-18.459280000000003"/>
    <n v="2.0766199999999997"/>
    <n v="30"/>
    <n v="2.4831037404296055"/>
    <n v="5.5173812197006233E-2"/>
    <n v="0.18068677480493922"/>
    <n v="0"/>
    <n v="0"/>
    <n v="0"/>
    <n v="0"/>
    <n v="0"/>
    <n v="-6.4690094834841894E-2"/>
    <n v="0"/>
    <n v="0"/>
    <n v="2.0243011924273873"/>
    <n v="6.0452594661544956E-2"/>
    <n v="6.9792004592374793E-3"/>
    <n v="0"/>
    <n v="0.23370384498667218"/>
    <n v="0"/>
    <n v="0"/>
    <m/>
    <n v="0"/>
    <n v="0"/>
    <n v="-8.8182921055095509E-3"/>
    <n v="0"/>
    <n v="0"/>
    <n v="-4.685292166838495E-3"/>
    <n v="0"/>
    <n v="0"/>
    <m/>
    <m/>
    <m/>
    <n v="35.634347926336503"/>
    <n v="0"/>
    <n v="0"/>
    <n v="-18.459280000000003"/>
    <n v="2.0766200000000019"/>
    <n v="0"/>
    <n v="0"/>
    <n v="-18.866498055153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4"/>
    <s v="Regular"/>
    <s v="Convencional"/>
    <s v="B3"/>
    <s v="Industrial"/>
    <s v="Não se aplica"/>
    <s v="Não se aplica"/>
    <s v="Não se aplica"/>
    <s v="Não se aplica"/>
    <s v="CATIVO"/>
    <x v="11"/>
    <n v="0"/>
    <n v="0"/>
    <n v="64.040999999999997"/>
    <n v="64.040999999999997"/>
    <n v="64.040999999999997"/>
    <n v="64.040999999999997"/>
    <m/>
    <n v="516.83000000000004"/>
    <n v="173.82"/>
    <m/>
    <n v="44229.916649999999"/>
    <n v="44229.916649999999"/>
    <n v="33394.179449999996"/>
    <n v="0"/>
    <n v="3916.0722961995957"/>
    <n v="0"/>
    <n v="0"/>
    <n v="174.0918769040247"/>
    <n v="2204.7146284846285"/>
    <n v="23286.31913827057"/>
    <n v="10305.614482209294"/>
    <n v="518.46731557334533"/>
    <n v="0"/>
    <n v="0"/>
    <n v="0"/>
    <n v="0"/>
    <n v="605.28329745059375"/>
    <m/>
    <n v="99.362299611348988"/>
    <n v="371.34198051961266"/>
    <n v="1216.0947764528855"/>
    <n v="0"/>
    <n v="0"/>
    <n v="0"/>
    <n v="0"/>
    <n v="0"/>
    <n v="0"/>
    <n v="0"/>
    <n v="0"/>
    <n v="0"/>
    <n v="0"/>
    <m/>
    <n v="0"/>
    <n v="0"/>
    <n v="0"/>
    <n v="35.530754808633922"/>
    <n v="307.7610868193546"/>
    <n v="1189.7743964447768"/>
    <n v="0"/>
    <n v="183.97"/>
    <n v="844.93"/>
    <n v="7050.3"/>
    <n v="35"/>
    <m/>
    <m/>
    <m/>
    <m/>
    <m/>
    <m/>
    <m/>
    <m/>
    <m/>
    <n v="11838.68072028206"/>
    <m/>
    <m/>
    <m/>
    <m/>
    <m/>
    <m/>
    <m/>
    <m/>
    <m/>
    <m/>
    <m/>
    <m/>
    <n v="33393.658000000003"/>
    <n v="-10836.288650000002"/>
    <m/>
    <m/>
    <m/>
    <m/>
    <n v="-12192.765990000002"/>
    <n v="1357.0287899999998"/>
    <n v="30"/>
    <n v="1492.5317979360843"/>
    <n v="36.054960274576274"/>
    <n v="118.07511984982762"/>
    <n v="0"/>
    <n v="0"/>
    <n v="0"/>
    <n v="0"/>
    <n v="0"/>
    <n v="-42.273656768552428"/>
    <n v="0"/>
    <n v="0"/>
    <n v="1322.8395169820651"/>
    <n v="39.504536884897902"/>
    <n v="4.5607650674492604"/>
    <n v="0"/>
    <n v="152.72069323256596"/>
    <n v="0"/>
    <n v="-114.44919251215561"/>
    <m/>
    <n v="0"/>
    <n v="0"/>
    <n v="-5.7625739258054409"/>
    <n v="0"/>
    <n v="-15.676628335954433"/>
    <n v="-3.0617428128214783"/>
    <n v="0"/>
    <n v="0"/>
    <m/>
    <m/>
    <m/>
    <n v="23286.31913827057"/>
    <n v="0"/>
    <n v="0"/>
    <n v="-12192.765990000004"/>
    <n v="1357.0287900000003"/>
    <n v="0"/>
    <n v="0"/>
    <n v="-12328.87144847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5"/>
    <s v="Refaturamento - Regular"/>
    <s v="Convencional"/>
    <s v="B3"/>
    <s v="Industrial"/>
    <s v="Não se aplica"/>
    <s v="Não se aplica"/>
    <s v="Não se aplica"/>
    <s v="Não se aplica"/>
    <s v="CATIVO"/>
    <x v="11"/>
    <n v="0"/>
    <n v="0"/>
    <n v="-2E-3"/>
    <n v="-2E-3"/>
    <n v="-2E-3"/>
    <n v="-2E-3"/>
    <m/>
    <n v="516.83000000000004"/>
    <n v="173.82"/>
    <m/>
    <n v="-1.3813"/>
    <n v="-1.3813"/>
    <n v="-1.0428999999999999"/>
    <n v="0"/>
    <n v="-0.1222989115160474"/>
    <n v="0"/>
    <n v="0"/>
    <n v="-5.4368881467817404E-3"/>
    <n v="-6.8853223044131995E-2"/>
    <n v="-0.72723159033339801"/>
    <n v="-0.321844271082878"/>
    <n v="-1.6191730784133457E-2"/>
    <n v="0"/>
    <n v="0"/>
    <n v="0"/>
    <n v="0"/>
    <n v="-1.8902993315238481E-2"/>
    <m/>
    <n v="-3.1030839496993799E-3"/>
    <n v="-1.159700755827088E-2"/>
    <n v="-3.7978631703217802E-2"/>
    <n v="0"/>
    <n v="0"/>
    <n v="0"/>
    <n v="0"/>
    <n v="0"/>
    <n v="0"/>
    <n v="0"/>
    <n v="0"/>
    <n v="0"/>
    <n v="0"/>
    <m/>
    <n v="0"/>
    <n v="0"/>
    <n v="0"/>
    <n v="-1.1096252341042121E-3"/>
    <n v="-9.6113766749224595E-3"/>
    <n v="-3.7156646412291404E-2"/>
    <n v="0"/>
    <n v="0"/>
    <n v="-0.01"/>
    <n v="-0.28000000000000003"/>
    <n v="0"/>
    <m/>
    <m/>
    <m/>
    <m/>
    <m/>
    <m/>
    <m/>
    <m/>
    <m/>
    <n v="-0.36972191940419608"/>
    <m/>
    <m/>
    <m/>
    <m/>
    <m/>
    <m/>
    <m/>
    <m/>
    <m/>
    <m/>
    <m/>
    <m/>
    <n v="0"/>
    <n v="1.3512999999999999"/>
    <m/>
    <m/>
    <m/>
    <m/>
    <n v="0.38078000000000012"/>
    <n v="-4.2379999999999994E-2"/>
    <n v="30"/>
    <n v="-4.6611758028016093E-2"/>
    <n v="-1.1259961672858403E-3"/>
    <n v="-3.6874852001008013E-3"/>
    <n v="0"/>
    <n v="0"/>
    <n v="0"/>
    <n v="0"/>
    <n v="0"/>
    <n v="1.3202060170375979E-3"/>
    <n v="0"/>
    <n v="0"/>
    <n v="-4.1312269233212018E-2"/>
    <n v="-1.233726421664182E-3"/>
    <n v="-1.4243266243341808E-4"/>
    <n v="0"/>
    <n v="-4.7694662242177971E-3"/>
    <n v="0"/>
    <n v="3.5742475136913976E-3"/>
    <m/>
    <n v="0"/>
    <n v="0"/>
    <n v="1.7996514501039673E-4"/>
    <n v="0"/>
    <n v="4.8958099767194146E-4"/>
    <n v="9.5618207486499775E-5"/>
    <n v="0"/>
    <n v="0"/>
    <m/>
    <m/>
    <m/>
    <n v="-0.72723159033339801"/>
    <n v="0"/>
    <n v="0"/>
    <n v="0.38078000000000001"/>
    <n v="-4.2379999999999973E-2"/>
    <n v="0"/>
    <n v="0"/>
    <n v="0.38503057255415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6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5.3209999999999997"/>
    <n v="5.3209999999999997"/>
    <n v="5.3209999999999997"/>
    <n v="5.3209999999999997"/>
    <m/>
    <n v="516.83000000000004"/>
    <n v="173.82"/>
    <m/>
    <n v="3674.9486500000003"/>
    <n v="3674.9486500000003"/>
    <n v="2774.6354499999998"/>
    <n v="0"/>
    <n v="325.37625408844406"/>
    <n v="0"/>
    <n v="0"/>
    <n v="14.46484091451282"/>
    <n v="183.18399990891317"/>
    <n v="1934.7996460820052"/>
    <n v="856.26668321599686"/>
    <n v="43.078099751187061"/>
    <n v="0"/>
    <n v="0"/>
    <n v="0"/>
    <n v="0"/>
    <n v="50.291413715191972"/>
    <m/>
    <n v="8.255754848175199"/>
    <n v="30.853838608779675"/>
    <n v="101.04214964641095"/>
    <n v="0"/>
    <n v="0"/>
    <n v="0"/>
    <n v="0"/>
    <n v="0"/>
    <n v="0"/>
    <n v="0"/>
    <n v="0"/>
    <n v="0"/>
    <n v="0"/>
    <m/>
    <n v="0"/>
    <n v="0"/>
    <n v="0"/>
    <n v="2.952157935334256"/>
    <n v="25.571067643631203"/>
    <n v="98.855257779901265"/>
    <n v="0"/>
    <n v="15.25"/>
    <n v="70.19"/>
    <n v="787.52"/>
    <n v="7"/>
    <m/>
    <m/>
    <m/>
    <m/>
    <m/>
    <m/>
    <m/>
    <m/>
    <m/>
    <n v="983.64516657486365"/>
    <m/>
    <m/>
    <m/>
    <m/>
    <m/>
    <m/>
    <m/>
    <m/>
    <m/>
    <m/>
    <m/>
    <m/>
    <n v="2774.114"/>
    <n v="-900.86465000000089"/>
    <m/>
    <m/>
    <m/>
    <m/>
    <n v="-1013.0651900000001"/>
    <n v="112.75198999999998"/>
    <n v="30"/>
    <n v="124.01058223353721"/>
    <n v="2.9957128030639808"/>
    <n v="9.8105543748681896"/>
    <n v="0"/>
    <n v="0"/>
    <n v="0"/>
    <n v="0"/>
    <n v="0"/>
    <n v="-3.5124081083285148"/>
    <n v="0"/>
    <n v="0"/>
    <n v="109.9112922949605"/>
    <n v="3.2823291448375542"/>
    <n v="0.37894209840410875"/>
    <n v="0"/>
    <n v="12.689164889531469"/>
    <n v="0"/>
    <n v="-9.509285510175971"/>
    <m/>
    <n v="0"/>
    <n v="0"/>
    <n v="-0.47879726830016267"/>
    <n v="0"/>
    <n v="-1.3025302443061975"/>
    <n v="-0.25439224101783253"/>
    <n v="0"/>
    <n v="0"/>
    <m/>
    <m/>
    <m/>
    <n v="1934.7996460820052"/>
    <n v="0"/>
    <n v="0"/>
    <n v="-1013.0651900000003"/>
    <n v="112.75198999999986"/>
    <n v="0"/>
    <n v="0"/>
    <n v="-1024.3738382803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7"/>
    <s v="Regular"/>
    <s v="Azul"/>
    <s v="A4"/>
    <s v="Industrial"/>
    <s v="Não se aplica"/>
    <s v="Não se aplica"/>
    <s v="Não se aplica"/>
    <s v="Ponta"/>
    <s v="CATIVO"/>
    <x v="11"/>
    <n v="2200"/>
    <n v="2200"/>
    <n v="46.991999999999997"/>
    <n v="46.991999999999997"/>
    <n v="46.991999999999997"/>
    <n v="46.991999999999997"/>
    <n v="67.099999999999994"/>
    <n v="70.33"/>
    <n v="173.82"/>
    <n v="147620"/>
    <n v="11473.096799999999"/>
    <n v="159093.0968"/>
    <n v="104909.39535999999"/>
    <n v="0"/>
    <n v="2499.975645733517"/>
    <n v="0"/>
    <n v="0"/>
    <n v="1646.5197894949013"/>
    <n v="25117.912909397881"/>
    <n v="105955.95505539155"/>
    <n v="7562.0529933633006"/>
    <n v="380.44090650399971"/>
    <n v="0"/>
    <n v="0"/>
    <n v="0"/>
    <n v="0"/>
    <n v="444.14473093484327"/>
    <m/>
    <n v="58.398399441576288"/>
    <n v="3536.0606690378859"/>
    <n v="11370.253771312216"/>
    <n v="0"/>
    <n v="0"/>
    <n v="0"/>
    <n v="0"/>
    <n v="0"/>
    <n v="0"/>
    <n v="0"/>
    <n v="0"/>
    <n v="0"/>
    <n v="0"/>
    <m/>
    <n v="0"/>
    <n v="0"/>
    <n v="0"/>
    <n v="8.7684076117306908"/>
    <n v="225.82890635397808"/>
    <n v="293.61680972489779"/>
    <n v="0"/>
    <n v="0"/>
    <n v="0"/>
    <n v="0"/>
    <n v="0"/>
    <m/>
    <m/>
    <m/>
    <m/>
    <m/>
    <m/>
    <m/>
    <m/>
    <m/>
    <n v="8090.2671170539061"/>
    <m/>
    <m/>
    <m/>
    <m/>
    <m/>
    <m/>
    <m/>
    <m/>
    <m/>
    <m/>
    <m/>
    <m/>
    <n v="104908.8667"/>
    <n v="-54184.260100000029"/>
    <m/>
    <m/>
    <m/>
    <m/>
    <n v="-55179.461919999994"/>
    <n v="995.7604799999998"/>
    <n v="30"/>
    <n v="1913.5738789516909"/>
    <n v="343.32915112977844"/>
    <n v="1103.9798071386049"/>
    <n v="0"/>
    <n v="0"/>
    <n v="0"/>
    <n v="0"/>
    <n v="0"/>
    <n v="-481.61608552662074"/>
    <n v="0"/>
    <n v="0"/>
    <n v="970.67307790354971"/>
    <n v="28.987636003421613"/>
    <n v="1.1255220258653349"/>
    <n v="0"/>
    <n v="37.688962596533884"/>
    <n v="0"/>
    <n v="-73.063052036075078"/>
    <m/>
    <n v="0"/>
    <n v="0"/>
    <n v="-4.2284610471643305"/>
    <n v="0"/>
    <n v="-11.503195121299882"/>
    <n v="-1.7994841148998972"/>
    <n v="0"/>
    <n v="0"/>
    <m/>
    <m/>
    <n v="105955.95505539155"/>
    <n v="0"/>
    <n v="0"/>
    <n v="0"/>
    <n v="-55179.461919999987"/>
    <n v="995.76047999999901"/>
    <n v="0"/>
    <n v="0"/>
    <n v="-56098.06089666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18"/>
    <s v="Refaturamento - Regular"/>
    <s v="Azul"/>
    <s v="A4"/>
    <s v="Industrial"/>
    <s v="Não se aplica"/>
    <s v="Não se aplica"/>
    <s v="Não se aplica"/>
    <s v="Ponta"/>
    <s v="CATIVO"/>
    <x v="11"/>
    <n v="1000"/>
    <n v="1000"/>
    <n v="0"/>
    <n v="0"/>
    <n v="0"/>
    <n v="0"/>
    <n v="67.099999999999994"/>
    <m/>
    <m/>
    <n v="67100"/>
    <m/>
    <n v="67100"/>
    <n v="42040"/>
    <n v="0"/>
    <n v="0"/>
    <n v="0"/>
    <n v="0"/>
    <n v="748.41808613404601"/>
    <n v="11417.233140635401"/>
    <n v="48161.797752450701"/>
    <m/>
    <m/>
    <m/>
    <n v="0"/>
    <n v="0"/>
    <n v="0"/>
    <n v="0"/>
    <m/>
    <n v="0"/>
    <n v="1607.3003041081299"/>
    <n v="5168.297168778280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42040"/>
    <n v="-25060.029999999984"/>
    <m/>
    <m/>
    <m/>
    <m/>
    <n v="-25059.999999999996"/>
    <n v="0"/>
    <n v="30"/>
    <n v="438.95130579170655"/>
    <n v="156.0587050589902"/>
    <n v="501.80900324481991"/>
    <n v="0"/>
    <n v="0"/>
    <m/>
    <m/>
    <m/>
    <n v="-218.916402512100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1.797752450701"/>
    <m/>
    <n v="0"/>
    <n v="0"/>
    <n v="-25060"/>
    <m/>
    <n v="0"/>
    <m/>
    <n v="-25499.11858939189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19"/>
    <s v="Regular"/>
    <s v="Azul"/>
    <s v="A4"/>
    <s v="Industrial"/>
    <s v="Não se aplica"/>
    <s v="Não se aplica"/>
    <s v="Não se aplica"/>
    <s v="Fora ponta"/>
    <s v="CATIVO"/>
    <x v="11"/>
    <n v="2200"/>
    <n v="2200"/>
    <n v="447.26400000000001"/>
    <n v="447.26400000000001"/>
    <n v="447.26400000000001"/>
    <n v="447.26400000000001"/>
    <n v="59.12"/>
    <n v="70.33"/>
    <n v="173.82"/>
    <n v="130064"/>
    <n v="109199.5056"/>
    <n v="239263.5056"/>
    <n v="193091.29311999999"/>
    <n v="0"/>
    <n v="23794.456656736376"/>
    <n v="0"/>
    <n v="0"/>
    <n v="1258.5327993341004"/>
    <n v="11257.449831573947"/>
    <n v="105955.95505539155"/>
    <n v="71974.678030806172"/>
    <n v="3620.9891387173338"/>
    <n v="0"/>
    <n v="0"/>
    <n v="0"/>
    <n v="0"/>
    <n v="4227.3142010734118"/>
    <m/>
    <n v="555.82868845414498"/>
    <n v="2657.7586545181321"/>
    <n v="8934.1733008438678"/>
    <n v="0"/>
    <n v="0"/>
    <n v="0"/>
    <n v="0"/>
    <n v="0"/>
    <n v="0"/>
    <n v="0"/>
    <n v="0"/>
    <n v="0"/>
    <n v="0"/>
    <m/>
    <n v="0"/>
    <n v="0"/>
    <n v="0"/>
    <n v="83.456610956186495"/>
    <n v="2149.4113885662596"/>
    <n v="2794.6082053284963"/>
    <n v="0"/>
    <n v="0"/>
    <n v="0"/>
    <n v="0"/>
    <n v="0"/>
    <m/>
    <m/>
    <m/>
    <m/>
    <m/>
    <m/>
    <m/>
    <m/>
    <m/>
    <n v="77002.154235657115"/>
    <m/>
    <m/>
    <m/>
    <m/>
    <m/>
    <m/>
    <m/>
    <m/>
    <m/>
    <m/>
    <m/>
    <m/>
    <n v="193090.23579999999"/>
    <n v="-46173.299800000008"/>
    <m/>
    <m/>
    <m/>
    <m/>
    <n v="-55649.736639999996"/>
    <n v="9477.524159999999"/>
    <n v="30"/>
    <n v="9931.4639692535566"/>
    <n v="258.05157438427386"/>
    <n v="867.45178392532034"/>
    <n v="0"/>
    <n v="0"/>
    <n v="0"/>
    <n v="0"/>
    <n v="0"/>
    <n v="-215.85268411643301"/>
    <n v="0"/>
    <n v="0"/>
    <n v="9238.7453931616765"/>
    <n v="275.90070712960414"/>
    <n v="10.712578383057405"/>
    <n v="0"/>
    <n v="358.71884931001296"/>
    <n v="0"/>
    <n v="-695.4050243842139"/>
    <m/>
    <n v="0"/>
    <n v="0"/>
    <n v="-40.245965308965879"/>
    <n v="0"/>
    <n v="-109.48597767137107"/>
    <n v="-17.127265559384341"/>
    <n v="0"/>
    <n v="0"/>
    <m/>
    <m/>
    <n v="105955.95505539155"/>
    <n v="0"/>
    <n v="0"/>
    <n v="0"/>
    <n v="-55649.736640000003"/>
    <n v="9477.5241600000008"/>
    <n v="0"/>
    <n v="0"/>
    <n v="-56098.06089666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20"/>
    <s v="Refaturamento - Regular"/>
    <s v="Azul"/>
    <s v="A4"/>
    <s v="Industrial"/>
    <s v="Não se aplica"/>
    <s v="Não se aplica"/>
    <s v="Não se aplica"/>
    <s v="Fora ponta"/>
    <s v="CATIVO"/>
    <x v="11"/>
    <n v="1000"/>
    <n v="1000"/>
    <n v="0"/>
    <n v="0"/>
    <n v="0"/>
    <n v="0"/>
    <n v="59.12"/>
    <m/>
    <m/>
    <n v="59120"/>
    <m/>
    <n v="59120"/>
    <n v="34030"/>
    <n v="0"/>
    <n v="0"/>
    <n v="0"/>
    <n v="0"/>
    <n v="572.06036333368206"/>
    <n v="5117.0226507154302"/>
    <n v="48161.797752450701"/>
    <m/>
    <m/>
    <m/>
    <n v="0"/>
    <n v="0"/>
    <n v="0"/>
    <n v="0"/>
    <m/>
    <n v="0"/>
    <n v="1208.0721156900599"/>
    <n v="4060.987864019939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34030"/>
    <n v="-25090.030000000006"/>
    <m/>
    <m/>
    <m/>
    <m/>
    <n v="-25089.999999999996"/>
    <n v="0"/>
    <n v="30"/>
    <n v="413.47757917870877"/>
    <n v="117.29617017467012"/>
    <n v="394.29626542059987"/>
    <n v="0"/>
    <n v="0"/>
    <m/>
    <m/>
    <m/>
    <n v="-98.1148564165605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61.797752450701"/>
    <m/>
    <n v="0"/>
    <n v="0"/>
    <n v="-25090"/>
    <m/>
    <n v="0"/>
    <m/>
    <n v="-25499.11858939189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21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43.12"/>
    <n v="7539.19"/>
    <n v="42686.4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22"/>
    <s v="Refaturamento - 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72.09"/>
    <n v="2637.63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23"/>
    <s v="Regular"/>
    <s v="Verde"/>
    <s v="A4"/>
    <s v="Industrial"/>
    <s v="Não se aplica"/>
    <s v="Não se aplica"/>
    <s v="Não se aplica"/>
    <s v="Ponta"/>
    <s v="CATIVO"/>
    <x v="11"/>
    <n v="0"/>
    <n v="0"/>
    <n v="38.363999999999997"/>
    <n v="38.363999999999997"/>
    <n v="38.363999999999997"/>
    <n v="38.363999999999997"/>
    <m/>
    <n v="1684.16"/>
    <n v="173.82"/>
    <m/>
    <n v="71279.544719999991"/>
    <n v="71279.544719999991"/>
    <n v="48931.747439999992"/>
    <n v="0"/>
    <n v="2040.9658170097175"/>
    <n v="0"/>
    <n v="0"/>
    <n v="690.52897621888894"/>
    <n v="10534.214587062708"/>
    <n v="44436.731762635114"/>
    <n v="6173.6168079117651"/>
    <n v="310.58977990124799"/>
    <n v="0"/>
    <n v="0"/>
    <n v="0"/>
    <n v="0"/>
    <n v="362.59721777290446"/>
    <m/>
    <n v="47.676119258099945"/>
    <n v="1483.0042941858101"/>
    <n v="4768.5942145805284"/>
    <n v="0"/>
    <n v="0"/>
    <n v="0"/>
    <n v="0"/>
    <n v="0"/>
    <n v="0"/>
    <n v="0"/>
    <n v="0"/>
    <n v="0"/>
    <n v="0"/>
    <m/>
    <n v="0"/>
    <n v="0"/>
    <n v="0"/>
    <n v="7.158477817850617"/>
    <n v="184.3654273783626"/>
    <n v="239.70708393526513"/>
    <n v="0"/>
    <n v="0"/>
    <n v="0"/>
    <n v="0"/>
    <n v="0"/>
    <m/>
    <m/>
    <m/>
    <m/>
    <m/>
    <m/>
    <m/>
    <m/>
    <m/>
    <n v="6604.8477970432432"/>
    <m/>
    <m/>
    <m/>
    <m/>
    <m/>
    <m/>
    <m/>
    <m/>
    <m/>
    <m/>
    <m/>
    <m/>
    <n v="48926.645599999996"/>
    <n v="-22352.929119999993"/>
    <m/>
    <m/>
    <m/>
    <m/>
    <n v="-23160.730439999999"/>
    <n v="812.93315999999982"/>
    <n v="30"/>
    <n v="1178.850129701983"/>
    <n v="143.99034776266035"/>
    <n v="463.00037160270494"/>
    <n v="0"/>
    <n v="0"/>
    <n v="0"/>
    <n v="0"/>
    <n v="0"/>
    <n v="-201.98522113762556"/>
    <n v="0"/>
    <n v="0"/>
    <n v="792.45194843147237"/>
    <n v="23.665340220362339"/>
    <n v="0.91886974379251285"/>
    <n v="0"/>
    <n v="30.769053478324508"/>
    <n v="0"/>
    <n v="-59.648257752638301"/>
    <m/>
    <n v="0"/>
    <n v="0"/>
    <n v="-3.4520914115894925"/>
    <n v="0"/>
    <n v="-9.3911426973431276"/>
    <n v="-1.4690885381345637"/>
    <n v="0"/>
    <n v="0"/>
    <m/>
    <m/>
    <m/>
    <n v="44436.731762635114"/>
    <n v="0"/>
    <n v="0"/>
    <n v="-23160.730439999999"/>
    <n v="812.93315999999959"/>
    <n v="0"/>
    <n v="0"/>
    <n v="-23526.893633923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24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2.2810000000000001"/>
    <n v="2.2810000000000001"/>
    <n v="2.2810000000000001"/>
    <n v="2.2810000000000001"/>
    <m/>
    <n v="1684.16"/>
    <n v="173.82"/>
    <m/>
    <n v="4238.052380000001"/>
    <n v="4238.052380000001"/>
    <n v="2909.3242600000003"/>
    <n v="0"/>
    <n v="121.34926046812548"/>
    <n v="0"/>
    <n v="0"/>
    <n v="41.056631080056455"/>
    <n v="626.33050445965068"/>
    <n v="2642.0650909855781"/>
    <n v="367.06339117002238"/>
    <n v="18.466668959304211"/>
    <n v="0"/>
    <n v="0"/>
    <n v="0"/>
    <n v="0"/>
    <n v="21.558863876029488"/>
    <m/>
    <n v="2.8346686484132517"/>
    <n v="88.174663617918711"/>
    <n v="283.52526857100895"/>
    <n v="0"/>
    <n v="0"/>
    <n v="0"/>
    <n v="0"/>
    <n v="0"/>
    <n v="0"/>
    <n v="0"/>
    <n v="0"/>
    <n v="0"/>
    <n v="0"/>
    <m/>
    <n v="0"/>
    <n v="0"/>
    <n v="0"/>
    <n v="0.42562005793236524"/>
    <n v="10.961775097749065"/>
    <n v="14.252211929317584"/>
    <n v="0"/>
    <n v="0"/>
    <n v="0"/>
    <n v="0"/>
    <n v="0"/>
    <m/>
    <m/>
    <m/>
    <m/>
    <m/>
    <m/>
    <m/>
    <m/>
    <m/>
    <n v="392.70299825502138"/>
    <m/>
    <m/>
    <m/>
    <m/>
    <m/>
    <m/>
    <m/>
    <m/>
    <m/>
    <m/>
    <m/>
    <m/>
    <n v="2908.0488"/>
    <n v="-1330.0335800000016"/>
    <m/>
    <m/>
    <m/>
    <m/>
    <n v="-1377.0625100000002"/>
    <n v="48.334389999999999"/>
    <n v="30"/>
    <n v="70.090635644099166"/>
    <n v="8.5612027746488479"/>
    <n v="27.528512345578349"/>
    <n v="0"/>
    <n v="0"/>
    <n v="0"/>
    <n v="0"/>
    <n v="0"/>
    <n v="-12.009391341229389"/>
    <n v="0"/>
    <n v="0"/>
    <n v="47.116643060478282"/>
    <n v="1.4070649839079987"/>
    <n v="5.4633038410768442E-2"/>
    <n v="0"/>
    <n v="1.8294289173198361"/>
    <n v="0"/>
    <n v="-3.5464934817476745"/>
    <m/>
    <n v="0"/>
    <n v="0"/>
    <n v="-0.20525024788436141"/>
    <n v="0"/>
    <n v="-0.55836712784484988"/>
    <n v="-8.7347277538446289E-2"/>
    <n v="0"/>
    <n v="0"/>
    <m/>
    <m/>
    <m/>
    <n v="2642.0650909855781"/>
    <n v="0"/>
    <n v="0"/>
    <n v="-1377.0625100000002"/>
    <n v="48.334389999999985"/>
    <n v="0"/>
    <n v="0"/>
    <n v="-1398.833395344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25"/>
    <s v="Regular"/>
    <s v="Verde"/>
    <s v="A4"/>
    <s v="Industrial"/>
    <s v="Não se aplica"/>
    <s v="Não se aplica"/>
    <s v="Não se aplica"/>
    <s v="Fora ponta"/>
    <s v="CATIVO"/>
    <x v="11"/>
    <n v="0"/>
    <n v="0"/>
    <n v="1004.55"/>
    <n v="1004.55"/>
    <n v="1004.55"/>
    <n v="1004.55"/>
    <m/>
    <n v="70.33"/>
    <n v="173.82"/>
    <m/>
    <n v="245260.88250000001"/>
    <n v="245260.88250000001"/>
    <n v="265532.70149999997"/>
    <n v="0"/>
    <n v="53442.086630098835"/>
    <n v="0"/>
    <n v="0"/>
    <n v="0"/>
    <n v="0"/>
    <n v="0"/>
    <n v="161654.33125815252"/>
    <n v="8132.7015796006326"/>
    <n v="0"/>
    <n v="0"/>
    <n v="0"/>
    <n v="0"/>
    <n v="9494.5009674114062"/>
    <m/>
    <n v="1248.3850902075983"/>
    <n v="0"/>
    <n v="0"/>
    <n v="0"/>
    <n v="0"/>
    <n v="0"/>
    <n v="0"/>
    <n v="0"/>
    <n v="0"/>
    <n v="0"/>
    <n v="0"/>
    <n v="0"/>
    <n v="0"/>
    <m/>
    <n v="0"/>
    <n v="0"/>
    <n v="0"/>
    <n v="187.44262568871437"/>
    <n v="4827.5542193966776"/>
    <n v="6276.6591379202009"/>
    <n v="0"/>
    <n v="0"/>
    <n v="0"/>
    <n v="0"/>
    <n v="0"/>
    <m/>
    <m/>
    <m/>
    <m/>
    <m/>
    <m/>
    <m/>
    <m/>
    <m/>
    <n v="172945.98724115812"/>
    <m/>
    <m/>
    <m/>
    <m/>
    <m/>
    <m/>
    <m/>
    <m/>
    <m/>
    <m/>
    <m/>
    <m/>
    <n v="265532.70149999997"/>
    <n v="20271.78899999999"/>
    <m/>
    <m/>
    <m/>
    <m/>
    <n v="-1014.5955000000051"/>
    <n v="21286.414499999995"/>
    <n v="30"/>
    <n v="20262.892934716248"/>
    <n v="0"/>
    <n v="0"/>
    <n v="0"/>
    <n v="0"/>
    <n v="0"/>
    <n v="0"/>
    <n v="0"/>
    <n v="0"/>
    <n v="0"/>
    <n v="0"/>
    <n v="20750.120029111567"/>
    <n v="619.66993844137687"/>
    <n v="24.060332632852862"/>
    <n v="0"/>
    <n v="805.67857031724725"/>
    <n v="0"/>
    <n v="-1561.8719978472727"/>
    <m/>
    <n v="0"/>
    <n v="0"/>
    <n v="-90.391993210098917"/>
    <n v="0"/>
    <n v="-245.90429560567281"/>
    <n v="-38.467649123737829"/>
    <n v="0"/>
    <n v="0"/>
    <m/>
    <m/>
    <m/>
    <n v="0"/>
    <n v="0"/>
    <n v="0"/>
    <n v="-1014.5955000000104"/>
    <n v="21286.4144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26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51.368000000000002"/>
    <n v="51.368000000000002"/>
    <n v="51.368000000000002"/>
    <n v="51.368000000000002"/>
    <m/>
    <n v="70.33"/>
    <n v="173.82"/>
    <m/>
    <n v="12541.497200000002"/>
    <n v="12541.497200000002"/>
    <n v="13578.103439999999"/>
    <n v="0"/>
    <n v="2732.7789617390049"/>
    <n v="0"/>
    <n v="0"/>
    <n v="0"/>
    <n v="0"/>
    <n v="0"/>
    <n v="8266.2482584926383"/>
    <n v="415.86841345968378"/>
    <n v="0"/>
    <n v="0"/>
    <n v="0"/>
    <n v="0"/>
    <n v="485.50448030858513"/>
    <m/>
    <n v="63.83658883458655"/>
    <n v="0"/>
    <n v="0"/>
    <n v="0"/>
    <n v="0"/>
    <n v="0"/>
    <n v="0"/>
    <n v="0"/>
    <n v="0"/>
    <n v="0"/>
    <n v="0"/>
    <n v="0"/>
    <n v="0"/>
    <m/>
    <n v="0"/>
    <n v="0"/>
    <n v="0"/>
    <n v="9.5849413134019006"/>
    <n v="246.85859851870845"/>
    <n v="320.95906286066884"/>
    <n v="0"/>
    <n v="0"/>
    <n v="0"/>
    <n v="0"/>
    <n v="0"/>
    <m/>
    <m/>
    <m/>
    <m/>
    <m/>
    <m/>
    <m/>
    <m/>
    <m/>
    <n v="8843.6508611854188"/>
    <m/>
    <m/>
    <m/>
    <m/>
    <m/>
    <m/>
    <m/>
    <m/>
    <m/>
    <m/>
    <m/>
    <m/>
    <n v="13578.632099999999"/>
    <n v="1037.1048999999966"/>
    <m/>
    <m/>
    <m/>
    <m/>
    <n v="-51.881680000000266"/>
    <n v="1088.48792"/>
    <n v="30"/>
    <n v="1036.1498026683639"/>
    <n v="0"/>
    <n v="0"/>
    <n v="0"/>
    <n v="0"/>
    <n v="0"/>
    <n v="0"/>
    <n v="0"/>
    <n v="0"/>
    <n v="0"/>
    <n v="0"/>
    <n v="1061.0643229858179"/>
    <n v="31.687029414022845"/>
    <n v="1.2303331508480291"/>
    <n v="0"/>
    <n v="41.198642974522329"/>
    <n v="0"/>
    <n v="-79.866846633237401"/>
    <m/>
    <n v="0"/>
    <n v="0"/>
    <n v="-4.6222247844470985"/>
    <n v="0"/>
    <n v="-12.574398344206088"/>
    <n v="-1.9670560949561207"/>
    <n v="0"/>
    <n v="0"/>
    <m/>
    <m/>
    <m/>
    <n v="0"/>
    <n v="0"/>
    <n v="0"/>
    <n v="-51.881680000000415"/>
    <n v="1088.48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27"/>
    <s v="Regular"/>
    <s v="Verde"/>
    <s v="A4"/>
    <s v="Industrial"/>
    <s v="Não se aplica"/>
    <s v="Não se aplica"/>
    <s v="Não se aplica"/>
    <s v="Não se aplica"/>
    <s v="CATIVO"/>
    <x v="11"/>
    <n v="4736"/>
    <n v="4736"/>
    <n v="0"/>
    <n v="0"/>
    <n v="0"/>
    <n v="0"/>
    <n v="59.12"/>
    <m/>
    <m/>
    <n v="279992.32000000001"/>
    <m/>
    <n v="279992.32000000001"/>
    <n v="161166.08000000002"/>
    <n v="0"/>
    <n v="0"/>
    <n v="0"/>
    <n v="0"/>
    <n v="2709.2778807483182"/>
    <n v="24234.21927378828"/>
    <n v="228094.27415560652"/>
    <m/>
    <m/>
    <m/>
    <n v="0"/>
    <n v="0"/>
    <n v="0"/>
    <n v="0"/>
    <m/>
    <n v="0"/>
    <n v="5721.4295399081238"/>
    <n v="19232.838523998435"/>
    <n v="0"/>
    <n v="0"/>
    <m/>
    <m/>
    <n v="0"/>
    <n v="0"/>
    <n v="0"/>
    <m/>
    <m/>
    <n v="0"/>
    <m/>
    <n v="0"/>
    <n v="0"/>
    <n v="0"/>
    <n v="0"/>
    <m/>
    <n v="0"/>
    <n v="0"/>
    <n v="2669.93"/>
    <n v="12247.86"/>
    <n v="100369.78"/>
    <n v="23"/>
    <m/>
    <m/>
    <m/>
    <m/>
    <m/>
    <m/>
    <m/>
    <m/>
    <m/>
    <n v="0"/>
    <m/>
    <m/>
    <m/>
    <m/>
    <m/>
    <m/>
    <m/>
    <m/>
    <m/>
    <m/>
    <m/>
    <m/>
    <n v="161166.08000000002"/>
    <n v="-118826.27000000002"/>
    <m/>
    <m/>
    <m/>
    <m/>
    <n v="-118826.23999999998"/>
    <n v="0"/>
    <n v="30"/>
    <n v="1958.2298149903727"/>
    <n v="555.51466194723707"/>
    <n v="1867.387113031964"/>
    <n v="0"/>
    <n v="0"/>
    <m/>
    <m/>
    <m/>
    <n v="-464.671959988831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8094.27415560652"/>
    <m/>
    <n v="0"/>
    <n v="0"/>
    <n v="-118826.23999999999"/>
    <m/>
    <n v="0"/>
    <m/>
    <n v="-120763.8256393600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28"/>
    <s v="Sistema de Compensação"/>
    <s v="Verde"/>
    <s v="A4"/>
    <s v="Industrial"/>
    <s v="Não se aplica"/>
    <s v="Não se aplica"/>
    <s v="Não se aplica"/>
    <s v="Não se aplica"/>
    <s v="CATIVO"/>
    <x v="11"/>
    <n v="600"/>
    <n v="600"/>
    <n v="0"/>
    <n v="0"/>
    <n v="0"/>
    <n v="0"/>
    <n v="59.12"/>
    <m/>
    <m/>
    <n v="35472"/>
    <m/>
    <n v="35472"/>
    <n v="20418"/>
    <n v="0"/>
    <n v="0"/>
    <n v="0"/>
    <n v="0"/>
    <n v="343.23621800020925"/>
    <n v="3070.2135904292581"/>
    <n v="28897.078651470423"/>
    <m/>
    <m/>
    <m/>
    <n v="0"/>
    <n v="0"/>
    <n v="0"/>
    <n v="0"/>
    <m/>
    <n v="0"/>
    <n v="724.84326941403606"/>
    <n v="2436.5927184119641"/>
    <n v="0"/>
    <n v="0"/>
    <m/>
    <m/>
    <n v="0"/>
    <n v="0"/>
    <n v="0"/>
    <m/>
    <m/>
    <n v="0"/>
    <m/>
    <n v="0"/>
    <n v="0"/>
    <n v="0"/>
    <n v="0"/>
    <m/>
    <n v="0"/>
    <n v="0"/>
    <n v="214.43"/>
    <n v="983.9"/>
    <n v="7984.1"/>
    <n v="3"/>
    <m/>
    <m/>
    <m/>
    <m/>
    <m/>
    <m/>
    <m/>
    <m/>
    <m/>
    <n v="0"/>
    <m/>
    <m/>
    <m/>
    <m/>
    <m/>
    <m/>
    <m/>
    <m/>
    <m/>
    <m/>
    <m/>
    <m/>
    <n v="20418"/>
    <n v="-15054.030000000006"/>
    <m/>
    <m/>
    <m/>
    <m/>
    <n v="-15053.999999999998"/>
    <n v="0"/>
    <n v="30"/>
    <n v="248.08654750722417"/>
    <n v="70.377702104801983"/>
    <n v="236.57775925235956"/>
    <n v="0"/>
    <n v="0"/>
    <m/>
    <m/>
    <m/>
    <n v="-58.8689138499362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897.078651470423"/>
    <m/>
    <n v="0"/>
    <n v="0"/>
    <n v="-15054"/>
    <m/>
    <n v="0"/>
    <m/>
    <n v="-15299.47115363514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29"/>
    <s v="Regular"/>
    <s v="Convencional"/>
    <s v="B3"/>
    <s v="Comercial"/>
    <s v="Não se aplica"/>
    <s v="Não se aplica"/>
    <s v="Não se aplica"/>
    <s v="Não se aplica"/>
    <s v="CATIVO"/>
    <x v="11"/>
    <n v="0"/>
    <n v="0"/>
    <n v="356.327"/>
    <n v="356.327"/>
    <n v="356.327"/>
    <n v="356.327"/>
    <m/>
    <n v="516.83000000000004"/>
    <n v="173.82"/>
    <m/>
    <n v="246097.24255000002"/>
    <n v="246097.24255000002"/>
    <n v="185806.71415000001"/>
    <n v="0"/>
    <n v="21789.20212188931"/>
    <n v="0"/>
    <n v="0"/>
    <n v="968.65502133914856"/>
    <n v="12267.13120382321"/>
    <n v="129566.12544436436"/>
    <n v="57340.901791074328"/>
    <n v="2884.7754275589614"/>
    <n v="0"/>
    <n v="0"/>
    <n v="0"/>
    <n v="0"/>
    <n v="3367.8234495194906"/>
    <m/>
    <n v="552.85629727226546"/>
    <n v="2066.1634561079941"/>
    <n v="6766.4059494562443"/>
    <n v="0"/>
    <n v="0"/>
    <n v="0"/>
    <n v="0"/>
    <n v="0"/>
    <n v="0"/>
    <n v="0"/>
    <n v="0"/>
    <n v="0"/>
    <n v="0"/>
    <m/>
    <n v="0"/>
    <n v="0"/>
    <n v="0"/>
    <n v="197.69471539632579"/>
    <n v="1712.3965082225475"/>
    <n v="6619.9581730762793"/>
    <n v="0"/>
    <n v="1022.5"/>
    <n v="4705.8100000000004"/>
    <n v="63842.36"/>
    <n v="542"/>
    <m/>
    <m/>
    <m/>
    <m/>
    <m/>
    <m/>
    <m/>
    <m/>
    <m/>
    <n v="65870.951187769475"/>
    <m/>
    <m/>
    <m/>
    <m/>
    <m/>
    <m/>
    <m/>
    <m/>
    <m/>
    <m/>
    <m/>
    <m/>
    <n v="185808.27850000001"/>
    <n v="-60288.994050000038"/>
    <m/>
    <m/>
    <m/>
    <m/>
    <n v="-67841.097530000014"/>
    <n v="7550.5691299999989"/>
    <n v="30"/>
    <n v="8304.5139514244511"/>
    <n v="200.61141815023075"/>
    <n v="656.97526944815945"/>
    <n v="0"/>
    <n v="0"/>
    <n v="0"/>
    <n v="0"/>
    <n v="0"/>
    <n v="-235.21252471647676"/>
    <n v="0"/>
    <n v="0"/>
    <n v="7360.3384795313759"/>
    <n v="219.80501732616653"/>
    <n v="25.376301653456267"/>
    <n v="0"/>
    <n v="849.7447956384276"/>
    <n v="0"/>
    <n v="-636.80044690555951"/>
    <m/>
    <n v="0"/>
    <n v="0"/>
    <n v="-32.063220113060197"/>
    <n v="0"/>
    <n v="-87.225464078724599"/>
    <n v="-17.035674509521073"/>
    <n v="0"/>
    <n v="0"/>
    <m/>
    <m/>
    <m/>
    <n v="129566.12544436436"/>
    <n v="0"/>
    <n v="0"/>
    <n v="-67841.097530000014"/>
    <n v="7550.5691300000035"/>
    <n v="0"/>
    <n v="0"/>
    <n v="-68598.39441325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0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0.08"/>
    <n v="-0.08"/>
    <n v="-0.08"/>
    <n v="-0.08"/>
    <m/>
    <n v="516.83000000000004"/>
    <n v="173.82"/>
    <m/>
    <n v="-55.252000000000002"/>
    <n v="-55.252000000000002"/>
    <n v="-41.716000000000001"/>
    <n v="0"/>
    <n v="-4.8919564606418957"/>
    <n v="0"/>
    <n v="0"/>
    <n v="-0.21747552587126961"/>
    <n v="-2.7541289217652798"/>
    <n v="-29.08926361333592"/>
    <n v="-12.873770843315119"/>
    <n v="-0.64766923136533838"/>
    <n v="0"/>
    <n v="0"/>
    <n v="0"/>
    <n v="0"/>
    <n v="-0.75611973260953924"/>
    <m/>
    <n v="-0.12412335798797519"/>
    <n v="-0.46388030233083521"/>
    <n v="-1.5191452681287121"/>
    <n v="0"/>
    <n v="0"/>
    <n v="0"/>
    <n v="0"/>
    <n v="0"/>
    <n v="0"/>
    <n v="0"/>
    <n v="0"/>
    <n v="0"/>
    <n v="0"/>
    <m/>
    <n v="0"/>
    <n v="0"/>
    <n v="0"/>
    <n v="-4.4385009364168483E-2"/>
    <n v="-0.38445506699689835"/>
    <n v="-1.486265856491656"/>
    <n v="0"/>
    <n v="-0.31"/>
    <n v="-1.44"/>
    <n v="-14.48"/>
    <n v="0"/>
    <m/>
    <m/>
    <m/>
    <m/>
    <m/>
    <m/>
    <m/>
    <m/>
    <m/>
    <n v="-14.788876776167841"/>
    <m/>
    <m/>
    <m/>
    <m/>
    <m/>
    <m/>
    <m/>
    <m/>
    <m/>
    <m/>
    <m/>
    <m/>
    <n v="-41.716000000000001"/>
    <n v="13.506000000000007"/>
    <m/>
    <m/>
    <m/>
    <m/>
    <n v="15.231200000000003"/>
    <n v="-1.6951999999999998"/>
    <n v="30"/>
    <n v="-1.8644703211206526"/>
    <n v="-4.5039846691433572E-2"/>
    <n v="-0.14749940800403216"/>
    <n v="0"/>
    <n v="0"/>
    <n v="0"/>
    <n v="0"/>
    <n v="0"/>
    <n v="5.2808240681503804E-2"/>
    <n v="0"/>
    <n v="0"/>
    <n v="-1.6524907693284803"/>
    <n v="-4.9349056866567265E-2"/>
    <n v="-5.6973064973367196E-3"/>
    <n v="0"/>
    <n v="-0.19077864896871222"/>
    <n v="0"/>
    <n v="0.1429699005476559"/>
    <m/>
    <n v="0"/>
    <n v="0"/>
    <n v="7.1986058004159803E-3"/>
    <n v="0"/>
    <n v="1.9583239906877603E-2"/>
    <n v="3.8247282994599979E-3"/>
    <n v="0"/>
    <n v="0"/>
    <m/>
    <m/>
    <m/>
    <n v="-29.08926361333592"/>
    <n v="0"/>
    <n v="0"/>
    <n v="15.231200000000001"/>
    <n v="-1.6951999999999998"/>
    <n v="0"/>
    <n v="0"/>
    <n v="15.401222902166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1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60.875"/>
    <n v="60.875"/>
    <n v="60.875"/>
    <n v="60.875"/>
    <m/>
    <n v="516.83000000000004"/>
    <n v="173.82"/>
    <m/>
    <n v="42043.318750000006"/>
    <n v="42043.318750000006"/>
    <n v="31743.268749999999"/>
    <n v="0"/>
    <n v="3722.4731192696927"/>
    <n v="0"/>
    <n v="0"/>
    <n v="165.48528296766921"/>
    <n v="2095.7199764057677"/>
    <n v="22135.111530772803"/>
    <n v="9796.1350010850983"/>
    <n v="492.83580574206212"/>
    <n v="0"/>
    <n v="0"/>
    <n v="0"/>
    <n v="0"/>
    <n v="575.35985903257119"/>
    <m/>
    <n v="94.45011771897488"/>
    <n v="352.98391755486989"/>
    <n v="1155.9746024666917"/>
    <n v="0"/>
    <n v="0"/>
    <n v="0"/>
    <n v="0"/>
    <n v="0"/>
    <n v="0"/>
    <n v="0"/>
    <n v="0"/>
    <n v="0"/>
    <n v="0"/>
    <m/>
    <n v="0"/>
    <n v="0"/>
    <n v="0"/>
    <n v="33.774218063046959"/>
    <n v="292.54627754295234"/>
    <n v="1130.9554251741195"/>
    <n v="0"/>
    <n v="175.18"/>
    <n v="805.29"/>
    <n v="15101.85"/>
    <n v="53"/>
    <m/>
    <m/>
    <m/>
    <m/>
    <m/>
    <m/>
    <m/>
    <m/>
    <m/>
    <n v="11253.410921865217"/>
    <m/>
    <m/>
    <m/>
    <m/>
    <m/>
    <m/>
    <m/>
    <m/>
    <m/>
    <m/>
    <m/>
    <m/>
    <n v="31745.876"/>
    <n v="-10297.472749999997"/>
    <m/>
    <m/>
    <m/>
    <m/>
    <n v="-11589.991250000003"/>
    <n v="1289.9412499999999"/>
    <n v="30"/>
    <n v="1418.7453849777485"/>
    <n v="34.272508341762773"/>
    <n v="112.2378307780682"/>
    <n v="0"/>
    <n v="0"/>
    <n v="0"/>
    <n v="0"/>
    <n v="0"/>
    <n v="-40.183770643581738"/>
    <n v="0"/>
    <n v="0"/>
    <n v="1257.4421947858918"/>
    <n v="37.551547959403536"/>
    <n v="4.3352941628171564"/>
    <n v="0"/>
    <n v="145.17062819962939"/>
    <n v="0"/>
    <n v="-108.79115869798215"/>
    <m/>
    <n v="0"/>
    <n v="0"/>
    <n v="-5.4776891012539863"/>
    <n v="0"/>
    <n v="-14.901621616639659"/>
    <n v="-2.9103791903703495"/>
    <n v="0"/>
    <n v="0"/>
    <m/>
    <m/>
    <m/>
    <n v="22135.111530772803"/>
    <n v="0"/>
    <n v="0"/>
    <n v="-11589.991250000003"/>
    <n v="1289.9412499999999"/>
    <n v="0"/>
    <n v="0"/>
    <n v="-11719.368052117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2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3.4020000000000001"/>
    <n v="3.4020000000000001"/>
    <n v="3.4020000000000001"/>
    <n v="3.4020000000000001"/>
    <m/>
    <n v="516.83000000000004"/>
    <n v="173.82"/>
    <m/>
    <n v="2349.5913"/>
    <n v="2349.5913"/>
    <n v="1773.9729000000002"/>
    <n v="0"/>
    <n v="208.03044848879662"/>
    <n v="0"/>
    <n v="0"/>
    <n v="9.2481467376757411"/>
    <n v="117.11933239806852"/>
    <n v="1237.02093515711"/>
    <n v="547.45710511197547"/>
    <n v="27.542134063811012"/>
    <n v="0"/>
    <n v="0"/>
    <n v="0"/>
    <n v="0"/>
    <n v="32.153991629220656"/>
    <m/>
    <n v="5.2783457984386457"/>
    <n v="19.726509856618769"/>
    <n v="64.601652527173485"/>
    <n v="0"/>
    <n v="0"/>
    <n v="0"/>
    <n v="0"/>
    <n v="0"/>
    <n v="0"/>
    <n v="0"/>
    <n v="0"/>
    <n v="0"/>
    <n v="0"/>
    <m/>
    <n v="0"/>
    <n v="0"/>
    <n v="0"/>
    <n v="1.8874725232112648"/>
    <n v="16.348951724043104"/>
    <n v="63.203455547307676"/>
    <n v="0"/>
    <n v="11.08"/>
    <n v="51"/>
    <n v="267.79000000000002"/>
    <n v="4"/>
    <m/>
    <m/>
    <m/>
    <m/>
    <m/>
    <m/>
    <m/>
    <m/>
    <m/>
    <n v="628.89698490653757"/>
    <m/>
    <m/>
    <m/>
    <m/>
    <m/>
    <m/>
    <m/>
    <m/>
    <m/>
    <m/>
    <m/>
    <m/>
    <n v="1772.9299999999998"/>
    <n v="-576.69130000000087"/>
    <m/>
    <m/>
    <m/>
    <m/>
    <n v="-647.70678000000021"/>
    <n v="72.088380000000001"/>
    <n v="30"/>
    <n v="79.28660040565569"/>
    <n v="1.9153194805532152"/>
    <n v="6.2724123253714623"/>
    <n v="0"/>
    <n v="0"/>
    <n v="0"/>
    <n v="0"/>
    <n v="0"/>
    <n v="-2.2456704349809371"/>
    <n v="0"/>
    <n v="0"/>
    <n v="70.272169965693706"/>
    <n v="2.098568643250772"/>
    <n v="0.24227795879924408"/>
    <n v="0"/>
    <n v="8.1128620473944792"/>
    <n v="0"/>
    <n v="-6.0797950207890779"/>
    <m/>
    <n v="0"/>
    <n v="0"/>
    <n v="-0.30612071166268962"/>
    <n v="0"/>
    <n v="-0.83277727703996973"/>
    <n v="-0.16264657093453661"/>
    <n v="0"/>
    <n v="0"/>
    <m/>
    <m/>
    <m/>
    <n v="1237.02093515711"/>
    <n v="0"/>
    <n v="0"/>
    <n v="-647.70678000000021"/>
    <n v="72.088380000000029"/>
    <n v="0"/>
    <n v="0"/>
    <n v="-654.9370039146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3"/>
    <s v="Regular"/>
    <s v="Verde"/>
    <s v="A4"/>
    <s v="Comercial"/>
    <s v="Não se aplica"/>
    <s v="Não se aplica"/>
    <s v="Não se aplica"/>
    <s v="Ponta"/>
    <s v="CATIVO"/>
    <x v="11"/>
    <n v="0"/>
    <n v="0"/>
    <n v="10.036"/>
    <n v="10.036"/>
    <n v="10.036"/>
    <n v="10.036"/>
    <m/>
    <n v="1684.16"/>
    <n v="173.82"/>
    <m/>
    <n v="18646.687279999998"/>
    <n v="18646.687279999998"/>
    <n v="12800.51656"/>
    <n v="0"/>
    <n v="533.91546604914834"/>
    <n v="0"/>
    <n v="0"/>
    <n v="180.64197699230448"/>
    <n v="2755.7443852507909"/>
    <n v="11624.623083354343"/>
    <n v="1615.0145522938817"/>
    <n v="81.250105074781686"/>
    <n v="0"/>
    <n v="0"/>
    <n v="0"/>
    <n v="0"/>
    <n v="94.855220455866686"/>
    <m/>
    <n v="12.472044960752035"/>
    <n v="387.95305746139064"/>
    <n v="1247.4614622440358"/>
    <n v="0"/>
    <n v="0"/>
    <n v="0"/>
    <n v="0"/>
    <n v="0"/>
    <n v="0"/>
    <n v="0"/>
    <n v="0"/>
    <n v="0"/>
    <n v="0"/>
    <m/>
    <n v="0"/>
    <n v="0"/>
    <n v="0"/>
    <n v="1.8726536174525283"/>
    <n v="48.2298881547609"/>
    <n v="62.707233197120239"/>
    <n v="0"/>
    <n v="0"/>
    <n v="0"/>
    <n v="0"/>
    <n v="0"/>
    <m/>
    <m/>
    <m/>
    <m/>
    <m/>
    <m/>
    <m/>
    <m/>
    <m/>
    <n v="1727.8243272632153"/>
    <m/>
    <m/>
    <m/>
    <m/>
    <m/>
    <m/>
    <m/>
    <m/>
    <m/>
    <m/>
    <m/>
    <m/>
    <n v="12805.618399999999"/>
    <n v="-5841.0988799999941"/>
    <m/>
    <m/>
    <m/>
    <m/>
    <n v="-6058.83356"/>
    <n v="212.66283999999996"/>
    <n v="30"/>
    <n v="308.38650562217572"/>
    <n v="37.667790901523801"/>
    <n v="121.12062687427647"/>
    <n v="0"/>
    <n v="0"/>
    <n v="0"/>
    <n v="0"/>
    <n v="0"/>
    <n v="-52.83921591432636"/>
    <n v="0"/>
    <n v="0"/>
    <n v="207.30496701225775"/>
    <n v="6.1908391839108603"/>
    <n v="0.240375788465792"/>
    <n v="0"/>
    <n v="8.0491664244725527"/>
    <n v="0"/>
    <n v="-15.603949400622469"/>
    <m/>
    <n v="0"/>
    <n v="0"/>
    <n v="-0.90306509766217857"/>
    <n v="0"/>
    <n v="-2.4567174463177963"/>
    <n v="-0.384312703803527"/>
    <n v="0"/>
    <n v="0"/>
    <m/>
    <m/>
    <m/>
    <n v="11624.623083354343"/>
    <n v="0"/>
    <n v="0"/>
    <n v="-6058.8335599999991"/>
    <n v="212.66283999999996"/>
    <n v="0"/>
    <n v="0"/>
    <n v="-6154.6216377346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4"/>
    <s v="Sistema de Compensação"/>
    <s v="Verde"/>
    <s v="A4"/>
    <s v="Comercial"/>
    <s v="Não se aplica"/>
    <s v="Não se aplica"/>
    <s v="Não se aplica"/>
    <s v="Ponta"/>
    <s v="CATIVO"/>
    <x v="11"/>
    <n v="0"/>
    <n v="0"/>
    <n v="10.279"/>
    <n v="10.279"/>
    <n v="10.279"/>
    <n v="10.279"/>
    <m/>
    <n v="1684.16"/>
    <n v="173.82"/>
    <m/>
    <n v="19098.176420000003"/>
    <n v="19098.176420000003"/>
    <n v="13110.45334"/>
    <n v="0"/>
    <n v="546.84307249095207"/>
    <n v="0"/>
    <n v="0"/>
    <n v="185.01583115822018"/>
    <n v="2822.4687660415384"/>
    <n v="11906.088150039786"/>
    <n v="1654.1186312304515"/>
    <n v="83.217400365053905"/>
    <n v="0"/>
    <n v="0"/>
    <n v="0"/>
    <n v="0"/>
    <n v="97.151934143668157"/>
    <m/>
    <n v="12.774028512511974"/>
    <n v="397.34650036325576"/>
    <n v="1277.6660392991673"/>
    <n v="0"/>
    <n v="0"/>
    <n v="0"/>
    <n v="0"/>
    <n v="0"/>
    <n v="0"/>
    <n v="0"/>
    <n v="0"/>
    <n v="0"/>
    <n v="0"/>
    <m/>
    <n v="0"/>
    <n v="0"/>
    <n v="0"/>
    <n v="1.9179958682537404"/>
    <n v="49.39767042076398"/>
    <n v="64.22555301247499"/>
    <n v="0"/>
    <n v="0"/>
    <n v="0"/>
    <n v="0"/>
    <n v="0"/>
    <m/>
    <m/>
    <m/>
    <m/>
    <m/>
    <m/>
    <m/>
    <m/>
    <m/>
    <n v="1769.6598505319441"/>
    <m/>
    <m/>
    <m/>
    <m/>
    <m/>
    <m/>
    <m/>
    <m/>
    <m/>
    <m/>
    <m/>
    <m/>
    <n v="13111.728799999999"/>
    <n v="-5986.4776199999997"/>
    <m/>
    <m/>
    <m/>
    <m/>
    <n v="-6205.5350900000003"/>
    <n v="217.81200999999999"/>
    <n v="30"/>
    <n v="315.85341682845319"/>
    <n v="38.579834862172504"/>
    <n v="124.05330048233236"/>
    <n v="0"/>
    <n v="0"/>
    <n v="0"/>
    <n v="0"/>
    <n v="0"/>
    <n v="-54.118603067293407"/>
    <n v="0"/>
    <n v="0"/>
    <n v="212.32440772409313"/>
    <n v="6.3407369441430603"/>
    <n v="0.24619596748105632"/>
    <n v="0"/>
    <n v="8.2440595533233676"/>
    <n v="0"/>
    <n v="-15.981765234057093"/>
    <m/>
    <n v="0"/>
    <n v="0"/>
    <n v="-0.92493086278093983"/>
    <n v="0"/>
    <n v="-2.5162015375349256"/>
    <n v="-0.39361800342730646"/>
    <n v="0"/>
    <n v="0"/>
    <m/>
    <m/>
    <m/>
    <n v="11906.088150039786"/>
    <n v="0"/>
    <n v="0"/>
    <n v="-6205.5350900000012"/>
    <n v="217.81200999999987"/>
    <n v="0"/>
    <n v="0"/>
    <n v="-6303.6424685407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5"/>
    <s v="Regular"/>
    <s v="Verde"/>
    <s v="A4"/>
    <s v="Comercial"/>
    <s v="Não se aplica"/>
    <s v="Não se aplica"/>
    <s v="Não se aplica"/>
    <s v="Fora ponta"/>
    <s v="CATIVO"/>
    <x v="11"/>
    <n v="0"/>
    <n v="0"/>
    <n v="230.04"/>
    <n v="230.04"/>
    <n v="230.04"/>
    <n v="230.04"/>
    <m/>
    <n v="70.33"/>
    <n v="173.82"/>
    <m/>
    <n v="56164.265999999996"/>
    <n v="56164.265999999996"/>
    <n v="60806.473199999993"/>
    <n v="0"/>
    <n v="12238.13409824094"/>
    <n v="0"/>
    <n v="0"/>
    <n v="0"/>
    <n v="0"/>
    <n v="0"/>
    <n v="37018.528059952623"/>
    <n v="1862.3728747910304"/>
    <n v="0"/>
    <n v="0"/>
    <n v="0"/>
    <n v="0"/>
    <n v="2174.22229111873"/>
    <m/>
    <n v="285.87776233274195"/>
    <n v="0"/>
    <n v="0"/>
    <n v="0"/>
    <n v="0"/>
    <n v="0"/>
    <n v="0"/>
    <n v="0"/>
    <n v="0"/>
    <n v="0"/>
    <n v="0"/>
    <n v="0"/>
    <n v="0"/>
    <m/>
    <n v="0"/>
    <n v="0"/>
    <n v="0"/>
    <n v="42.923997425147434"/>
    <n v="1105.5005451495813"/>
    <n v="1437.3427585358249"/>
    <n v="0"/>
    <n v="0"/>
    <n v="0"/>
    <n v="0"/>
    <n v="0"/>
    <m/>
    <m/>
    <m/>
    <m/>
    <m/>
    <m/>
    <m/>
    <m/>
    <m/>
    <n v="39604.295361063174"/>
    <m/>
    <m/>
    <m/>
    <m/>
    <m/>
    <m/>
    <m/>
    <m/>
    <m/>
    <m/>
    <m/>
    <m/>
    <n v="60806.473199999993"/>
    <n v="4642.1771999999983"/>
    <m/>
    <m/>
    <m/>
    <m/>
    <n v="-232.34040000000118"/>
    <n v="4874.547599999999"/>
    <n v="30"/>
    <n v="4640.1631483770252"/>
    <n v="0"/>
    <n v="0"/>
    <n v="0"/>
    <n v="0"/>
    <n v="0"/>
    <n v="0"/>
    <n v="0"/>
    <n v="0"/>
    <n v="0"/>
    <n v="0"/>
    <n v="4751.7372072040453"/>
    <n v="141.90321301981407"/>
    <n v="5.5097694677830589"/>
    <n v="0"/>
    <n v="184.49882864544293"/>
    <n v="0"/>
    <n v="-357.6656556515718"/>
    <m/>
    <n v="0"/>
    <n v="0"/>
    <n v="-20.699590979096229"/>
    <n v="0"/>
    <n v="-56.31160635222659"/>
    <n v="-8.8090169771784872"/>
    <n v="0"/>
    <n v="0"/>
    <m/>
    <m/>
    <m/>
    <n v="0"/>
    <n v="0"/>
    <n v="0"/>
    <n v="-232.34040000000095"/>
    <n v="4874.5475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6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54.973999999999997"/>
    <n v="54.973999999999997"/>
    <n v="54.973999999999997"/>
    <n v="54.973999999999997"/>
    <m/>
    <n v="70.33"/>
    <n v="173.82"/>
    <m/>
    <n v="13421.902099999999"/>
    <n v="13421.902099999999"/>
    <n v="14531.277419999999"/>
    <n v="0"/>
    <n v="2924.6182573321917"/>
    <n v="0"/>
    <n v="0"/>
    <n v="0"/>
    <n v="0"/>
    <n v="0"/>
    <n v="8846.5334792550657"/>
    <n v="445.06210406347634"/>
    <n v="0"/>
    <n v="0"/>
    <n v="0"/>
    <n v="0"/>
    <n v="519.58657725596004"/>
    <m/>
    <n v="68.31787561502415"/>
    <n v="0"/>
    <n v="0"/>
    <n v="0"/>
    <n v="0"/>
    <n v="0"/>
    <n v="0"/>
    <n v="0"/>
    <n v="0"/>
    <n v="0"/>
    <n v="0"/>
    <n v="0"/>
    <n v="0"/>
    <m/>
    <n v="0"/>
    <n v="0"/>
    <n v="0"/>
    <n v="10.257797924056923"/>
    <n v="264.18791066359364"/>
    <n v="343.49017913297013"/>
    <n v="0"/>
    <n v="0"/>
    <n v="0"/>
    <n v="0"/>
    <n v="0"/>
    <m/>
    <m/>
    <m/>
    <m/>
    <m/>
    <m/>
    <m/>
    <m/>
    <m/>
    <n v="9464.4693669756871"/>
    <m/>
    <m/>
    <m/>
    <m/>
    <m/>
    <m/>
    <m/>
    <m/>
    <m/>
    <m/>
    <m/>
    <m/>
    <n v="14530.220099999999"/>
    <n v="1108.2879999999986"/>
    <m/>
    <m/>
    <m/>
    <m/>
    <n v="-55.523740000000281"/>
    <n v="1164.8990599999997"/>
    <n v="30"/>
    <n v="1108.8868410662399"/>
    <n v="0"/>
    <n v="0"/>
    <n v="0"/>
    <n v="0"/>
    <n v="0"/>
    <n v="0"/>
    <n v="0"/>
    <n v="0"/>
    <n v="0"/>
    <n v="0"/>
    <n v="1135.5503444132992"/>
    <n v="33.911438152283324"/>
    <n v="1.3167017332720672"/>
    <n v="0"/>
    <n v="44.090760763148012"/>
    <n v="0"/>
    <n v="-85.473447025688984"/>
    <m/>
    <n v="0"/>
    <n v="0"/>
    <n v="-4.946701940900823"/>
    <n v="0"/>
    <n v="-13.45711288300862"/>
    <n v="-2.1051421461633169"/>
    <n v="0"/>
    <n v="0"/>
    <m/>
    <m/>
    <m/>
    <n v="0"/>
    <n v="0"/>
    <n v="0"/>
    <n v="-55.523740000000544"/>
    <n v="1164.8990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37"/>
    <s v="Regular"/>
    <s v="Verde"/>
    <s v="A4"/>
    <s v="Comercial"/>
    <s v="Não se aplica"/>
    <s v="Não se aplica"/>
    <s v="Não se aplica"/>
    <s v="Não se aplica"/>
    <s v="CATIVO"/>
    <x v="11"/>
    <n v="2411"/>
    <n v="2411"/>
    <n v="0"/>
    <n v="0"/>
    <n v="0"/>
    <n v="0"/>
    <n v="59.12"/>
    <m/>
    <m/>
    <n v="142538.32"/>
    <m/>
    <n v="142538.32"/>
    <n v="82046.33"/>
    <n v="0"/>
    <n v="0"/>
    <n v="0"/>
    <n v="0"/>
    <n v="1379.2375359975074"/>
    <n v="12337.141610874904"/>
    <n v="116118.09438115865"/>
    <m/>
    <m/>
    <m/>
    <n v="0"/>
    <n v="0"/>
    <n v="0"/>
    <n v="0"/>
    <m/>
    <n v="0"/>
    <n v="2912.6618709287345"/>
    <n v="9791.0417401520754"/>
    <n v="0"/>
    <n v="0"/>
    <m/>
    <m/>
    <n v="0"/>
    <n v="0"/>
    <n v="0"/>
    <m/>
    <m/>
    <n v="0"/>
    <m/>
    <n v="0"/>
    <n v="0"/>
    <n v="0"/>
    <n v="0"/>
    <m/>
    <n v="0"/>
    <n v="0"/>
    <n v="866.9"/>
    <n v="3977.49"/>
    <n v="49402.36"/>
    <n v="12"/>
    <m/>
    <m/>
    <m/>
    <m/>
    <m/>
    <m/>
    <m/>
    <m/>
    <m/>
    <n v="0"/>
    <m/>
    <m/>
    <m/>
    <m/>
    <m/>
    <m/>
    <m/>
    <m/>
    <m/>
    <m/>
    <m/>
    <m/>
    <n v="82046.33"/>
    <n v="-60492.020000000033"/>
    <m/>
    <m/>
    <m/>
    <m/>
    <n v="-60491.989999999991"/>
    <n v="0"/>
    <n v="30"/>
    <n v="996.89444339986949"/>
    <n v="282.8010662911297"/>
    <n v="950.64829592906608"/>
    <n v="0"/>
    <n v="0"/>
    <m/>
    <m/>
    <m/>
    <n v="-236.554918820327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6118.09438115865"/>
    <m/>
    <n v="0"/>
    <n v="0"/>
    <n v="-60491.990000000005"/>
    <m/>
    <n v="0"/>
    <m/>
    <n v="-61478.37491902388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38"/>
    <s v="Sistema de Compensação"/>
    <s v="Verde"/>
    <s v="A4"/>
    <s v="Comercial"/>
    <s v="Não se aplica"/>
    <s v="Não se aplica"/>
    <s v="Não se aplica"/>
    <s v="Não se aplica"/>
    <s v="CATIVO"/>
    <x v="11"/>
    <n v="315"/>
    <n v="315"/>
    <n v="0"/>
    <n v="0"/>
    <n v="0"/>
    <n v="0"/>
    <n v="59.12"/>
    <m/>
    <m/>
    <n v="18622.8"/>
    <m/>
    <n v="18622.8"/>
    <n v="10719.45"/>
    <n v="0"/>
    <n v="0"/>
    <n v="0"/>
    <n v="0"/>
    <n v="180.19901445010984"/>
    <n v="1611.8621349753605"/>
    <n v="15170.966292021971"/>
    <m/>
    <m/>
    <m/>
    <n v="0"/>
    <n v="0"/>
    <n v="0"/>
    <n v="0"/>
    <m/>
    <n v="0"/>
    <n v="380.54271644236889"/>
    <n v="1279.211177166281"/>
    <n v="0"/>
    <n v="0"/>
    <m/>
    <m/>
    <n v="0"/>
    <n v="0"/>
    <n v="0"/>
    <m/>
    <m/>
    <n v="0"/>
    <m/>
    <n v="0"/>
    <n v="0"/>
    <n v="0"/>
    <n v="0"/>
    <m/>
    <n v="0"/>
    <n v="0"/>
    <n v="218.2"/>
    <n v="1001.21"/>
    <n v="13198.94"/>
    <n v="4"/>
    <m/>
    <m/>
    <m/>
    <m/>
    <m/>
    <m/>
    <m/>
    <m/>
    <m/>
    <n v="0"/>
    <m/>
    <m/>
    <m/>
    <m/>
    <m/>
    <m/>
    <m/>
    <m/>
    <m/>
    <m/>
    <m/>
    <m/>
    <n v="10719.45"/>
    <n v="-7903.3799999999937"/>
    <m/>
    <m/>
    <m/>
    <m/>
    <n v="-7903.3499999999985"/>
    <n v="0"/>
    <n v="30"/>
    <n v="130.24543744129369"/>
    <n v="36.948293605021036"/>
    <n v="124.20332360748898"/>
    <n v="0"/>
    <n v="0"/>
    <m/>
    <m/>
    <m/>
    <n v="-30.9061797712165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70.966292021971"/>
    <m/>
    <n v="0"/>
    <n v="0"/>
    <n v="-7903.3499999999985"/>
    <m/>
    <n v="0"/>
    <m/>
    <n v="-8032.222355658448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39"/>
    <s v="Regular"/>
    <s v="Convencional"/>
    <s v="B2"/>
    <s v="Rural"/>
    <s v="Não se aplica"/>
    <s v="Não se aplica"/>
    <s v="Não se aplica"/>
    <s v="Não se aplica"/>
    <s v="CATIVO"/>
    <x v="11"/>
    <n v="0"/>
    <n v="0"/>
    <n v="2276.8200000000002"/>
    <n v="2276.8200000000002"/>
    <n v="2276.8200000000002"/>
    <n v="2276.8200000000002"/>
    <m/>
    <n v="516.83000000000004"/>
    <n v="173.82"/>
    <m/>
    <n v="1572485.7330000002"/>
    <n v="1572485.7330000002"/>
    <n v="1187247.7890000001"/>
    <n v="0"/>
    <n v="139226.30385898353"/>
    <n v="0"/>
    <n v="0"/>
    <n v="6189.4078351778016"/>
    <n v="78383.197645670312"/>
    <n v="827887.71475144371"/>
    <n v="366390.73664345912"/>
    <n v="18432.828241965373"/>
    <n v="0"/>
    <n v="0"/>
    <n v="0"/>
    <n v="0"/>
    <n v="21519.356620000639"/>
    <m/>
    <n v="3532.5817991772715"/>
    <n v="13202.149374411154"/>
    <n v="43235.254117260178"/>
    <n v="0"/>
    <n v="0"/>
    <n v="0"/>
    <n v="0"/>
    <n v="0"/>
    <n v="0"/>
    <n v="0"/>
    <n v="0"/>
    <n v="0"/>
    <n v="0"/>
    <m/>
    <n v="0"/>
    <n v="0"/>
    <n v="0"/>
    <n v="1263.2084627565762"/>
    <n v="10941.687320498477"/>
    <n v="42299.497842216661"/>
    <n v="0"/>
    <n v="6503.93"/>
    <n v="30089.69"/>
    <n v="71383.67"/>
    <n v="10184"/>
    <m/>
    <m/>
    <m/>
    <m/>
    <m/>
    <n v="142460.6274"/>
    <m/>
    <m/>
    <m/>
    <n v="420895.13026893081"/>
    <m/>
    <m/>
    <m/>
    <m/>
    <m/>
    <m/>
    <m/>
    <m/>
    <m/>
    <m/>
    <m/>
    <m/>
    <n v="1044787.1616000001"/>
    <n v="-338995.7598"/>
    <m/>
    <m/>
    <m/>
    <m/>
    <n v="-433483.75980000012"/>
    <n v="48245.815799999997"/>
    <n v="30"/>
    <n v="53063.291456674109"/>
    <n v="1281.8452967998728"/>
    <n v="4197.8700266467567"/>
    <n v="0"/>
    <n v="0"/>
    <n v="0"/>
    <n v="0"/>
    <n v="0"/>
    <n v="-1502.9357318557741"/>
    <n v="0"/>
    <n v="0"/>
    <n v="47030.300417780934"/>
    <n v="1404.4864956867223"/>
    <n v="162.14676724082733"/>
    <n v="0"/>
    <n v="5429.6080443117826"/>
    <n v="0"/>
    <n v="-4068.9591120614496"/>
    <m/>
    <n v="0"/>
    <n v="0"/>
    <n v="-204.87412073128871"/>
    <n v="0"/>
    <n v="-557.34390355971482"/>
    <n v="-108.85272358470684"/>
    <n v="0"/>
    <n v="0"/>
    <m/>
    <m/>
    <m/>
    <n v="827887.71475144371"/>
    <n v="0"/>
    <n v="0"/>
    <n v="-433483.75980000023"/>
    <n v="48245.815799999982"/>
    <n v="0"/>
    <n v="0"/>
    <n v="-438322.65410137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0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4.585"/>
    <n v="-4.585"/>
    <n v="-4.585"/>
    <n v="-4.585"/>
    <m/>
    <n v="516.83000000000004"/>
    <n v="173.82"/>
    <m/>
    <n v="-3166.6302500000002"/>
    <n v="-3166.6302500000002"/>
    <n v="-2390.84825"/>
    <n v="0"/>
    <n v="-280.37025465053864"/>
    <n v="0"/>
    <n v="0"/>
    <n v="-12.46406607649714"/>
    <n v="-157.8460138286726"/>
    <n v="-1667.1784208393149"/>
    <n v="-737.82799145749777"/>
    <n v="-37.119542822625952"/>
    <n v="0"/>
    <n v="0"/>
    <n v="0"/>
    <n v="0"/>
    <n v="-43.335112175184214"/>
    <m/>
    <n v="-7.1138199546858285"/>
    <n v="-26.586139827335991"/>
    <n v="-87.066013179626808"/>
    <n v="0"/>
    <n v="0"/>
    <n v="0"/>
    <n v="0"/>
    <n v="0"/>
    <n v="0"/>
    <n v="0"/>
    <n v="0"/>
    <n v="0"/>
    <n v="0"/>
    <m/>
    <n v="0"/>
    <n v="0"/>
    <n v="0"/>
    <n v="-2.5438158491839062"/>
    <n v="-22.034081027259738"/>
    <n v="-85.181611900178041"/>
    <n v="0"/>
    <n v="-14.43"/>
    <n v="-66.53"/>
    <n v="-25.93"/>
    <n v="0"/>
    <m/>
    <m/>
    <m/>
    <m/>
    <m/>
    <n v="-286.88344999999998"/>
    <m/>
    <m/>
    <m/>
    <n v="-847.58750023411949"/>
    <m/>
    <m/>
    <m/>
    <m/>
    <m/>
    <m/>
    <m/>
    <m/>
    <m/>
    <m/>
    <m/>
    <m/>
    <n v="-2106.2592"/>
    <n v="680.33624999999893"/>
    <m/>
    <m/>
    <m/>
    <m/>
    <n v="872.93815000000018"/>
    <n v="-97.156149999999982"/>
    <n v="30"/>
    <n v="-106.85745527922745"/>
    <n v="-2.5813462135027905"/>
    <n v="-8.4535598212310816"/>
    <n v="0"/>
    <n v="0"/>
    <n v="0"/>
    <n v="0"/>
    <n v="0"/>
    <n v="3.026572294058667"/>
    <n v="0"/>
    <n v="0"/>
    <n v="-94.708377217138604"/>
    <n v="-2.8283178216651343"/>
    <n v="-0.32652687862861063"/>
    <n v="0"/>
    <n v="-10.934001319019302"/>
    <n v="0"/>
    <n v="8.1939624251375562"/>
    <m/>
    <n v="0"/>
    <n v="0"/>
    <n v="0.412570094936342"/>
    <n v="0"/>
    <n v="1.122364437162922"/>
    <n v="0.21920474066280171"/>
    <n v="0"/>
    <n v="0"/>
    <m/>
    <m/>
    <m/>
    <n v="-1667.1784208393149"/>
    <n v="0"/>
    <n v="0"/>
    <n v="872.93815000000018"/>
    <n v="-97.156149999999911"/>
    <n v="0"/>
    <n v="0"/>
    <n v="882.68258758039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1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68.031999999999996"/>
    <n v="68.031999999999996"/>
    <n v="68.031999999999996"/>
    <n v="68.031999999999996"/>
    <m/>
    <n v="516.83000000000004"/>
    <n v="173.82"/>
    <m/>
    <n v="46986.300800000005"/>
    <n v="46986.300800000005"/>
    <n v="35475.286399999997"/>
    <n v="0"/>
    <n v="4160.1197741298683"/>
    <n v="0"/>
    <n v="0"/>
    <n v="184.94118720092766"/>
    <n v="2342.1112350691938"/>
    <n v="24737.509776780866"/>
    <n v="10947.854725155177"/>
    <n v="550.7779143530837"/>
    <n v="0"/>
    <n v="0"/>
    <n v="0"/>
    <n v="0"/>
    <n v="643.00422061115205"/>
    <m/>
    <n v="105.5545036329741"/>
    <n v="394.48380910214223"/>
    <n v="1291.8811360166567"/>
    <n v="0"/>
    <n v="0"/>
    <n v="0"/>
    <n v="0"/>
    <n v="0"/>
    <n v="0"/>
    <n v="0"/>
    <n v="0"/>
    <n v="0"/>
    <n v="0"/>
    <m/>
    <n v="0"/>
    <n v="0"/>
    <n v="0"/>
    <n v="37.745011963288874"/>
    <n v="326.94058897416238"/>
    <n v="1263.9204843605041"/>
    <n v="0"/>
    <n v="210.35"/>
    <n v="974.14"/>
    <n v="2201.4499999999998"/>
    <n v="329"/>
    <m/>
    <m/>
    <m/>
    <m/>
    <m/>
    <n v="4256.7622399999991"/>
    <m/>
    <m/>
    <m/>
    <n v="12576.460810453133"/>
    <m/>
    <m/>
    <m/>
    <m/>
    <m/>
    <m/>
    <m/>
    <m/>
    <m/>
    <m/>
    <m/>
    <m/>
    <n v="31217.606400000001"/>
    <n v="-10130.232240000001"/>
    <m/>
    <m/>
    <m/>
    <m/>
    <n v="-12952.612480000002"/>
    <n v="1441.5980799999998"/>
    <n v="30"/>
    <n v="1585.5455610809986"/>
    <n v="38.301885626395176"/>
    <n v="125.43349656662895"/>
    <n v="0"/>
    <n v="0"/>
    <n v="0"/>
    <n v="0"/>
    <n v="0"/>
    <n v="-44.90812787555069"/>
    <n v="0"/>
    <n v="0"/>
    <n v="1405.2781502369398"/>
    <n v="41.9664379593288"/>
    <n v="4.8449894453351519"/>
    <n v="0"/>
    <n v="162.23816308299274"/>
    <n v="0"/>
    <n v="-121.58160342572728"/>
    <m/>
    <n v="0"/>
    <n v="0"/>
    <n v="-6.1216943726738009"/>
    <n v="0"/>
    <n v="-16.65358721680866"/>
    <n v="-3.2525489458607808"/>
    <n v="0"/>
    <n v="0"/>
    <m/>
    <m/>
    <m/>
    <n v="24737.509776780866"/>
    <n v="0"/>
    <n v="0"/>
    <n v="-12952.612480000003"/>
    <n v="1441.5980799999998"/>
    <n v="0"/>
    <n v="0"/>
    <n v="-13097.199956002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2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8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43"/>
    <s v="Regular"/>
    <s v="Verde"/>
    <s v="A4"/>
    <s v="Rural"/>
    <s v="Não se aplica"/>
    <s v="Não se aplica"/>
    <s v="Não se aplica"/>
    <s v="Ponta"/>
    <s v="CATIVO"/>
    <x v="11"/>
    <n v="0"/>
    <n v="0"/>
    <n v="38.819000000000003"/>
    <n v="37.266240000000003"/>
    <n v="38.819000000000003"/>
    <n v="37.266240000000003"/>
    <m/>
    <n v="1684.16"/>
    <n v="173.82"/>
    <m/>
    <n v="72124.925620000009"/>
    <n v="72124.925620000009"/>
    <n v="49512.081740000001"/>
    <n v="0"/>
    <n v="2065.1718290715316"/>
    <n v="0"/>
    <n v="0"/>
    <n v="698.71870315506862"/>
    <n v="10659.151184839624"/>
    <n v="44963.754829885642"/>
    <n v="6246.836379583121"/>
    <n v="314.27339865463836"/>
    <n v="0"/>
    <n v="0"/>
    <n v="0"/>
    <n v="0"/>
    <n v="366.89764875212131"/>
    <m/>
    <n v="48.241561710983788"/>
    <n v="1500.5928395370393"/>
    <n v="4825.1501098895205"/>
    <n v="0"/>
    <n v="0"/>
    <n v="0"/>
    <n v="0"/>
    <n v="0"/>
    <n v="0"/>
    <n v="0"/>
    <n v="0"/>
    <n v="0"/>
    <n v="0"/>
    <m/>
    <n v="0"/>
    <n v="0"/>
    <n v="0"/>
    <n v="7.2433779170874555"/>
    <n v="186.55201557190748"/>
    <n v="242.5500284454973"/>
    <n v="0"/>
    <n v="0"/>
    <n v="0"/>
    <n v="0"/>
    <n v="0"/>
    <m/>
    <m/>
    <m/>
    <m/>
    <m/>
    <n v="1980.4832695999989"/>
    <m/>
    <m/>
    <m/>
    <n v="6683.1818015176141"/>
    <m/>
    <m/>
    <m/>
    <m/>
    <m/>
    <m/>
    <m/>
    <m/>
    <m/>
    <m/>
    <m/>
    <m/>
    <n v="47536.39420000001"/>
    <n v="-21703.564395199995"/>
    <m/>
    <m/>
    <m/>
    <m/>
    <n v="-23435.418490000004"/>
    <n v="822.57461000000001"/>
    <n v="30"/>
    <n v="1192.8313831952182"/>
    <n v="145.69808439679673"/>
    <n v="468.49159173301541"/>
    <n v="0"/>
    <n v="0"/>
    <n v="0"/>
    <n v="0"/>
    <n v="0"/>
    <n v="-204.3807814446227"/>
    <n v="0"/>
    <n v="0"/>
    <n v="801.85048968202864"/>
    <n v="23.946012981290949"/>
    <n v="0.92976760984989859"/>
    <n v="0"/>
    <n v="31.133976826584245"/>
    <n v="0"/>
    <n v="-60.355690691785867"/>
    <m/>
    <n v="0"/>
    <n v="0"/>
    <n v="-3.4930334820793405"/>
    <n v="0"/>
    <n v="-9.5025223743135143"/>
    <n v="-1.4865120415453461"/>
    <n v="0"/>
    <n v="0"/>
    <m/>
    <m/>
    <m/>
    <n v="44963.754829885642"/>
    <n v="0"/>
    <n v="0"/>
    <n v="-23435.418490000004"/>
    <n v="822.57461000000058"/>
    <n v="0"/>
    <n v="0"/>
    <n v="-23805.924407654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4"/>
    <s v="Sistema de Compensação"/>
    <s v="Verde"/>
    <s v="A4"/>
    <s v="Rural"/>
    <s v="Não se aplica"/>
    <s v="Não se aplica"/>
    <s v="Não se aplica"/>
    <s v="Ponta"/>
    <s v="CATIVO"/>
    <x v="11"/>
    <n v="0"/>
    <n v="0"/>
    <n v="4.3049999999999997"/>
    <n v="4.1327999999999996"/>
    <n v="4.3049999999999997"/>
    <n v="4.1327999999999996"/>
    <m/>
    <n v="1684.16"/>
    <n v="173.82"/>
    <m/>
    <n v="7998.6039000000001"/>
    <n v="7998.6039000000001"/>
    <n v="5490.8552999999993"/>
    <n v="0"/>
    <n v="229.02611412331441"/>
    <n v="0"/>
    <n v="0"/>
    <n v="77.487416396160896"/>
    <n v="1182.0924251200333"/>
    <n v="4986.4490209087735"/>
    <n v="692.76979350589477"/>
    <n v="34.852700512847264"/>
    <n v="0"/>
    <n v="0"/>
    <n v="0"/>
    <n v="0"/>
    <n v="40.688693111050824"/>
    <m/>
    <n v="5.3499555157470615"/>
    <n v="166.41469832316528"/>
    <n v="535.10577869276347"/>
    <n v="0"/>
    <n v="0"/>
    <n v="0"/>
    <n v="0"/>
    <n v="0"/>
    <n v="0"/>
    <n v="0"/>
    <n v="0"/>
    <n v="0"/>
    <n v="0"/>
    <m/>
    <n v="0"/>
    <n v="0"/>
    <n v="0"/>
    <n v="0.80328555431776949"/>
    <n v="20.688488292770593"/>
    <n v="26.898628827580971"/>
    <n v="0"/>
    <n v="0"/>
    <n v="0"/>
    <n v="0"/>
    <n v="0"/>
    <m/>
    <m/>
    <m/>
    <m/>
    <m/>
    <n v="219.63421200000016"/>
    <m/>
    <m/>
    <m/>
    <n v="741.16019618056407"/>
    <m/>
    <m/>
    <m/>
    <m/>
    <m/>
    <m/>
    <m/>
    <m/>
    <m/>
    <m/>
    <m/>
    <m/>
    <n v="5267.6498000000001"/>
    <n v="-2411.0399440000001"/>
    <m/>
    <m/>
    <m/>
    <m/>
    <n v="-2598.9715500000002"/>
    <n v="91.222949999999983"/>
    <n v="30"/>
    <n v="132.28416766674627"/>
    <n v="16.157815846060174"/>
    <n v="51.955390463706635"/>
    <n v="0"/>
    <n v="0"/>
    <n v="0"/>
    <n v="0"/>
    <n v="0"/>
    <n v="-22.665685981583692"/>
    <n v="0"/>
    <n v="0"/>
    <n v="88.924659524488902"/>
    <n v="2.6555961226321507"/>
    <n v="0.10311057885066111"/>
    <n v="0"/>
    <n v="3.4527362950731693"/>
    <n v="0"/>
    <n v="-6.6934039627022344"/>
    <m/>
    <n v="0"/>
    <n v="0"/>
    <n v="-0.38737497463488069"/>
    <n v="0"/>
    <n v="-1.0538230974888521"/>
    <n v="-0.16485314765585724"/>
    <n v="0"/>
    <n v="0"/>
    <m/>
    <m/>
    <m/>
    <n v="4986.4490209087735"/>
    <n v="0"/>
    <n v="0"/>
    <n v="-2598.9715500000002"/>
    <n v="91.222949999999969"/>
    <n v="0"/>
    <n v="0"/>
    <n v="-2640.0603976133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5"/>
    <s v="Regular"/>
    <s v="Verde"/>
    <s v="A4"/>
    <s v="Rural"/>
    <s v="Não se aplica"/>
    <s v="Não se aplica"/>
    <s v="Não se aplica"/>
    <s v="Fora ponta"/>
    <s v="CATIVO"/>
    <x v="11"/>
    <n v="0"/>
    <n v="0"/>
    <n v="444.404"/>
    <n v="426.62783999999999"/>
    <n v="444.404"/>
    <n v="426.62783999999999"/>
    <m/>
    <n v="70.33"/>
    <n v="173.82"/>
    <m/>
    <n v="108501.23659999999"/>
    <n v="108501.23659999999"/>
    <n v="117469.30932"/>
    <n v="0"/>
    <n v="23642.304580919263"/>
    <n v="0"/>
    <n v="0"/>
    <n v="0"/>
    <n v="0"/>
    <n v="0"/>
    <n v="71514.440723157648"/>
    <n v="3597.8349636960229"/>
    <n v="0"/>
    <n v="0"/>
    <n v="0"/>
    <n v="0"/>
    <n v="4200.2829206326205"/>
    <m/>
    <n v="552.27447875030362"/>
    <n v="0"/>
    <n v="0"/>
    <n v="0"/>
    <n v="0"/>
    <n v="0"/>
    <n v="0"/>
    <n v="0"/>
    <n v="0"/>
    <n v="0"/>
    <n v="0"/>
    <n v="0"/>
    <n v="0"/>
    <m/>
    <n v="0"/>
    <n v="0"/>
    <n v="0"/>
    <n v="82.922953189554946"/>
    <n v="2135.66711992112"/>
    <n v="2776.7382684070371"/>
    <n v="0"/>
    <n v="0"/>
    <n v="0"/>
    <n v="0"/>
    <n v="0"/>
    <m/>
    <m/>
    <m/>
    <m/>
    <m/>
    <n v="4698.772372800001"/>
    <m/>
    <m/>
    <m/>
    <n v="76509.769064675362"/>
    <m/>
    <m/>
    <m/>
    <m/>
    <m/>
    <m/>
    <m/>
    <m/>
    <m/>
    <m/>
    <m/>
    <m/>
    <n v="112771.10789999999"/>
    <n v="8609.8907639999961"/>
    <m/>
    <m/>
    <m/>
    <m/>
    <n v="-448.84804000000224"/>
    <n v="9416.9207599999991"/>
    <n v="30"/>
    <n v="8964.1239079783554"/>
    <n v="0"/>
    <n v="0"/>
    <n v="0"/>
    <n v="0"/>
    <n v="0"/>
    <n v="0"/>
    <n v="0"/>
    <n v="0"/>
    <n v="0"/>
    <n v="0"/>
    <n v="9179.6688481581805"/>
    <n v="274.1364783466247"/>
    <n v="10.64407751069669"/>
    <n v="0"/>
    <n v="356.4250454066655"/>
    <n v="0"/>
    <n v="-690.95830305243362"/>
    <m/>
    <n v="0"/>
    <n v="0"/>
    <n v="-39.988615151601152"/>
    <n v="0"/>
    <n v="-108.7858768447004"/>
    <n v="-17.017746395087897"/>
    <n v="0"/>
    <n v="0"/>
    <m/>
    <m/>
    <m/>
    <n v="0"/>
    <n v="0"/>
    <n v="0"/>
    <n v="-448.8480400000044"/>
    <n v="9416.920760000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6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27.54"/>
    <n v="26.438399999999998"/>
    <n v="27.54"/>
    <n v="26.438399999999998"/>
    <m/>
    <n v="70.33"/>
    <n v="173.82"/>
    <m/>
    <n v="6723.8909999999996"/>
    <n v="6723.8909999999996"/>
    <n v="7279.6481999999996"/>
    <n v="0"/>
    <n v="1465.1287300710985"/>
    <n v="0"/>
    <n v="0"/>
    <n v="0"/>
    <n v="0"/>
    <n v="0"/>
    <n v="4431.7956128112301"/>
    <n v="222.96013289751772"/>
    <n v="0"/>
    <n v="0"/>
    <n v="0"/>
    <n v="0"/>
    <n v="260.29421795083385"/>
    <m/>
    <n v="34.224802532793049"/>
    <n v="0"/>
    <n v="0"/>
    <n v="0"/>
    <n v="0"/>
    <n v="0"/>
    <n v="0"/>
    <n v="0"/>
    <n v="0"/>
    <n v="0"/>
    <n v="0"/>
    <n v="0"/>
    <n v="0"/>
    <m/>
    <n v="0"/>
    <n v="0"/>
    <n v="0"/>
    <n v="5.1387884241373687"/>
    <n v="132.34865681368225"/>
    <n v="172.0762457402044"/>
    <n v="0"/>
    <n v="0"/>
    <n v="0"/>
    <n v="0"/>
    <n v="0"/>
    <m/>
    <m/>
    <m/>
    <m/>
    <m/>
    <n v="291.18592800000033"/>
    <m/>
    <m/>
    <m/>
    <n v="4741.3593037892542"/>
    <m/>
    <m/>
    <m/>
    <m/>
    <m/>
    <m/>
    <m/>
    <m/>
    <m/>
    <m/>
    <m/>
    <m/>
    <n v="6988.8852000000006"/>
    <n v="533.91984000000139"/>
    <m/>
    <m/>
    <m/>
    <m/>
    <n v="-27.815400000000139"/>
    <n v="583.57259999999997"/>
    <n v="30"/>
    <n v="555.51248959443092"/>
    <n v="0"/>
    <n v="0"/>
    <n v="0"/>
    <n v="0"/>
    <n v="0"/>
    <n v="0"/>
    <n v="0"/>
    <n v="0"/>
    <n v="0"/>
    <n v="0"/>
    <n v="568.86994734132895"/>
    <n v="16.988412826315795"/>
    <n v="0.65962028839656384"/>
    <n v="0"/>
    <n v="22.087887936426256"/>
    <n v="0"/>
    <n v="-42.81912778927267"/>
    <m/>
    <n v="0"/>
    <n v="0"/>
    <n v="-2.4781200467932081"/>
    <n v="0"/>
    <n v="-6.7415303379426064"/>
    <n v="-1.05460062402841"/>
    <n v="0"/>
    <n v="0"/>
    <m/>
    <m/>
    <m/>
    <n v="0"/>
    <n v="0"/>
    <n v="0"/>
    <n v="-27.815400000000182"/>
    <n v="583.5726000000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47"/>
    <s v="Regular"/>
    <s v="Verde"/>
    <s v="A4"/>
    <s v="Rural"/>
    <s v="Não se aplica"/>
    <s v="Não se aplica"/>
    <s v="Não se aplica"/>
    <s v="Não se aplica"/>
    <s v="CATIVO"/>
    <x v="11"/>
    <n v="1596"/>
    <n v="1532.16"/>
    <n v="0"/>
    <n v="0"/>
    <n v="0"/>
    <n v="0"/>
    <n v="59.12"/>
    <m/>
    <m/>
    <n v="94355.51999999999"/>
    <m/>
    <n v="94355.51999999999"/>
    <n v="54311.880000000005"/>
    <n v="0"/>
    <n v="0"/>
    <n v="0"/>
    <n v="0"/>
    <n v="913.00833988055649"/>
    <n v="8166.7681505418268"/>
    <n v="76866.229212911319"/>
    <m/>
    <m/>
    <m/>
    <n v="0"/>
    <n v="0"/>
    <n v="0"/>
    <n v="0"/>
    <m/>
    <n v="0"/>
    <n v="1928.0830966413357"/>
    <n v="6481.3366309758239"/>
    <n v="0"/>
    <n v="0"/>
    <m/>
    <m/>
    <n v="0"/>
    <n v="0"/>
    <n v="0"/>
    <m/>
    <m/>
    <n v="0"/>
    <m/>
    <n v="0"/>
    <n v="0"/>
    <n v="0"/>
    <n v="0"/>
    <m/>
    <n v="0"/>
    <n v="0"/>
    <n v="1235.4100000000001"/>
    <n v="5667.2"/>
    <n v="6011.42"/>
    <n v="14"/>
    <m/>
    <m/>
    <m/>
    <m/>
    <m/>
    <n v="2172.4751999999971"/>
    <m/>
    <m/>
    <m/>
    <n v="0"/>
    <m/>
    <m/>
    <m/>
    <m/>
    <m/>
    <m/>
    <m/>
    <m/>
    <m/>
    <m/>
    <m/>
    <m/>
    <n v="52139.404800000004"/>
    <n v="-38441.924399999974"/>
    <m/>
    <m/>
    <m/>
    <m/>
    <n v="-40043.639999999992"/>
    <n v="0"/>
    <n v="30"/>
    <n v="659.91021636922233"/>
    <n v="187.20468759877326"/>
    <n v="629.29683961127739"/>
    <n v="0"/>
    <n v="0"/>
    <m/>
    <m/>
    <m/>
    <n v="-156.591310840830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866.229212911319"/>
    <m/>
    <n v="0"/>
    <n v="0"/>
    <n v="-40043.639999999985"/>
    <m/>
    <n v="0"/>
    <m/>
    <n v="-40696.59326866947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48"/>
    <s v="Sistema de Compensação"/>
    <s v="Verde"/>
    <s v="A4"/>
    <s v="Rural"/>
    <s v="Não se aplica"/>
    <s v="Não se aplica"/>
    <s v="Não se aplica"/>
    <s v="Não se aplica"/>
    <s v="CATIVO"/>
    <x v="11"/>
    <n v="170"/>
    <n v="163.19999999999999"/>
    <n v="0"/>
    <n v="0"/>
    <n v="0"/>
    <n v="0"/>
    <n v="59.12"/>
    <m/>
    <m/>
    <n v="10050.4"/>
    <m/>
    <n v="10050.4"/>
    <n v="5785.1"/>
    <n v="0"/>
    <n v="0"/>
    <n v="0"/>
    <n v="0"/>
    <n v="97.250261766725941"/>
    <n v="869.89385062162319"/>
    <n v="8187.5056179166195"/>
    <m/>
    <m/>
    <m/>
    <n v="0"/>
    <n v="0"/>
    <n v="0"/>
    <n v="0"/>
    <m/>
    <n v="0"/>
    <n v="205.3722596673102"/>
    <n v="690.3679368833898"/>
    <n v="0"/>
    <n v="0"/>
    <m/>
    <m/>
    <n v="0"/>
    <n v="0"/>
    <n v="0"/>
    <m/>
    <m/>
    <n v="0"/>
    <m/>
    <n v="0"/>
    <n v="0"/>
    <n v="0"/>
    <n v="0"/>
    <m/>
    <n v="0"/>
    <n v="0"/>
    <n v="106.47"/>
    <n v="488.51"/>
    <n v="5.71"/>
    <n v="1"/>
    <m/>
    <m/>
    <m/>
    <m/>
    <m/>
    <n v="231.40400000000039"/>
    <m/>
    <m/>
    <m/>
    <n v="0"/>
    <m/>
    <m/>
    <m/>
    <m/>
    <m/>
    <m/>
    <m/>
    <m/>
    <m/>
    <m/>
    <m/>
    <m/>
    <n v="5553.6959999999999"/>
    <n v="-4094.7179999999989"/>
    <m/>
    <m/>
    <m/>
    <m/>
    <n v="-4265.2999999999993"/>
    <n v="0"/>
    <n v="30"/>
    <n v="70.291188460380681"/>
    <n v="19.940348929693897"/>
    <n v="67.030365121501973"/>
    <n v="0"/>
    <n v="0"/>
    <m/>
    <m/>
    <m/>
    <n v="-16.679525590815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87.5056179166195"/>
    <m/>
    <n v="0"/>
    <n v="0"/>
    <n v="-4265.2999999999993"/>
    <m/>
    <n v="0"/>
    <m/>
    <n v="-4334.850160196623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49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203.38800000000001"/>
    <n v="203.38800000000001"/>
    <n v="203.38800000000001"/>
    <n v="203.38800000000001"/>
    <m/>
    <n v="516.83000000000004"/>
    <n v="173.82"/>
    <m/>
    <n v="140469.92220000003"/>
    <n v="140469.92220000003"/>
    <n v="106056.67259999999"/>
    <n v="0"/>
    <n v="12437.065507712925"/>
    <n v="0"/>
    <n v="0"/>
    <n v="552.89890319882227"/>
    <n v="7001.9596642499591"/>
    <n v="73955.089347364585"/>
    <n v="32729.631303502196"/>
    <n v="1646.601870361668"/>
    <n v="0"/>
    <n v="0"/>
    <n v="0"/>
    <n v="0"/>
    <n v="1922.3210021998621"/>
    <m/>
    <n v="315.56501918072877"/>
    <n v="1179.3460866307989"/>
    <n v="3862.1989724270311"/>
    <n v="0"/>
    <n v="0"/>
    <n v="0"/>
    <n v="0"/>
    <n v="0"/>
    <n v="0"/>
    <n v="0"/>
    <n v="0"/>
    <n v="0"/>
    <n v="0"/>
    <m/>
    <n v="0"/>
    <n v="0"/>
    <n v="0"/>
    <n v="112.84222855699375"/>
    <n v="977.41933957956462"/>
    <n v="3778.6080002515619"/>
    <n v="0"/>
    <n v="584"/>
    <n v="2686.09"/>
    <n v="34786.75"/>
    <n v="263"/>
    <m/>
    <m/>
    <m/>
    <m/>
    <m/>
    <m/>
    <m/>
    <m/>
    <m/>
    <n v="37598.500871890312"/>
    <m/>
    <m/>
    <m/>
    <m/>
    <m/>
    <m/>
    <m/>
    <m/>
    <m/>
    <m/>
    <m/>
    <m/>
    <n v="106057.71549999999"/>
    <n v="-34412.236700000009"/>
    <m/>
    <m/>
    <m/>
    <m/>
    <n v="-38723.041320000011"/>
    <n v="4309.7917199999993"/>
    <n v="30"/>
    <n v="4740.1361209010938"/>
    <n v="114.50705423596628"/>
    <n v="374.99511993905116"/>
    <n v="0"/>
    <n v="0"/>
    <n v="0"/>
    <n v="0"/>
    <n v="0"/>
    <n v="-134.25703069662086"/>
    <n v="0"/>
    <n v="0"/>
    <n v="4201.2099074022626"/>
    <n v="125.46257472471734"/>
    <n v="14.484547173504012"/>
    <n v="0"/>
    <n v="485.02609820560519"/>
    <n v="0"/>
    <n v="-363.47952665733465"/>
    <m/>
    <n v="0"/>
    <n v="0"/>
    <n v="-18.301375456687538"/>
    <n v="0"/>
    <n v="-49.78744997725039"/>
    <n v="-9.7237979921321767"/>
    <n v="0"/>
    <n v="0"/>
    <m/>
    <m/>
    <m/>
    <n v="73955.089347364585"/>
    <n v="0"/>
    <n v="0"/>
    <n v="-38723.041320000018"/>
    <n v="4309.7917200000011"/>
    <n v="0"/>
    <n v="0"/>
    <n v="-39155.299045321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0"/>
    <s v="Refaturamento - Regular"/>
    <s v="Convencional"/>
    <s v="B3"/>
    <s v="Poder público"/>
    <s v="Não se aplica"/>
    <s v="Não se aplica"/>
    <s v="Não se aplica"/>
    <s v="Não se aplica"/>
    <s v="CATIVO"/>
    <x v="11"/>
    <n v="0"/>
    <n v="0"/>
    <n v="-0.20599999999999999"/>
    <n v="-0.20599999999999999"/>
    <n v="-0.20599999999999999"/>
    <n v="-0.20599999999999999"/>
    <m/>
    <n v="516.83000000000004"/>
    <n v="173.82"/>
    <m/>
    <n v="-142.2739"/>
    <n v="-142.2739"/>
    <n v="-107.4187"/>
    <n v="0"/>
    <n v="-12.596787886152882"/>
    <n v="0"/>
    <n v="0"/>
    <n v="-0.55999947911851922"/>
    <n v="-7.0918819735455951"/>
    <n v="-74.904853804339993"/>
    <n v="-33.149959921536428"/>
    <n v="-1.6677482707657461"/>
    <n v="0"/>
    <n v="0"/>
    <n v="0"/>
    <n v="0"/>
    <n v="-1.9470083114695633"/>
    <m/>
    <n v="-0.31961764681903609"/>
    <n v="-1.1944917785019005"/>
    <n v="-3.9117990654314334"/>
    <n v="0"/>
    <n v="0"/>
    <n v="0"/>
    <n v="0"/>
    <n v="0"/>
    <n v="0"/>
    <n v="0"/>
    <n v="0"/>
    <n v="0"/>
    <n v="0"/>
    <m/>
    <n v="0"/>
    <n v="0"/>
    <n v="0"/>
    <n v="-0.11429139911273384"/>
    <n v="-0.98997179751701325"/>
    <n v="-3.827134580466014"/>
    <n v="0"/>
    <n v="-0.24"/>
    <n v="-1.1399999999999999"/>
    <n v="-44.4"/>
    <n v="0"/>
    <m/>
    <m/>
    <m/>
    <m/>
    <m/>
    <m/>
    <m/>
    <m/>
    <m/>
    <n v="-38.081357698632196"/>
    <m/>
    <m/>
    <m/>
    <m/>
    <m/>
    <m/>
    <m/>
    <m/>
    <m/>
    <m/>
    <m/>
    <m/>
    <n v="-109.50449999999998"/>
    <n v="32.739400000000018"/>
    <m/>
    <m/>
    <m/>
    <m/>
    <n v="39.220340000000007"/>
    <n v="-4.3651399999999994"/>
    <n v="30"/>
    <n v="-4.801011076885672"/>
    <n v="-0.11597760523044176"/>
    <n v="-0.37981097561038224"/>
    <n v="0"/>
    <n v="0"/>
    <n v="0"/>
    <n v="0"/>
    <n v="0"/>
    <n v="0.13598121975487221"/>
    <n v="0"/>
    <n v="0"/>
    <n v="-4.2551637310208363"/>
    <n v="-0.12707382143141066"/>
    <n v="-1.4670564230642058E-2"/>
    <n v="0"/>
    <n v="-0.49125502109443353"/>
    <n v="0"/>
    <n v="0.36814749391021451"/>
    <m/>
    <n v="0"/>
    <n v="0"/>
    <n v="1.8536409936070974E-2"/>
    <n v="0"/>
    <n v="5.0426842760209922E-2"/>
    <n v="9.8486753711095054E-3"/>
    <n v="0"/>
    <n v="0"/>
    <m/>
    <m/>
    <m/>
    <n v="-74.904853804339993"/>
    <n v="0"/>
    <n v="0"/>
    <n v="39.220340000000007"/>
    <n v="-4.3651399999999967"/>
    <n v="0"/>
    <n v="0"/>
    <n v="39.658148973077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1"/>
    <s v="Sistema de Compensação"/>
    <s v="Convencional"/>
    <s v="B3"/>
    <s v="Poder público"/>
    <s v="Não se aplica"/>
    <s v="Não se aplica"/>
    <s v="Não se aplica"/>
    <s v="Não se aplica"/>
    <s v="CATIVO"/>
    <x v="11"/>
    <n v="0"/>
    <n v="0"/>
    <n v="0.1"/>
    <n v="0.1"/>
    <n v="0.1"/>
    <n v="0.1"/>
    <m/>
    <n v="516.83000000000004"/>
    <n v="173.82"/>
    <m/>
    <n v="69.065000000000012"/>
    <n v="69.065000000000012"/>
    <n v="52.144999999999996"/>
    <n v="0"/>
    <n v="6.1149455758023699"/>
    <n v="0"/>
    <n v="0"/>
    <n v="0.27184440733908705"/>
    <n v="3.4426611522066"/>
    <n v="36.361579516669899"/>
    <n v="16.0922135541439"/>
    <n v="0.80958653920667301"/>
    <n v="0"/>
    <n v="0"/>
    <n v="0"/>
    <n v="0"/>
    <n v="0.94514966576192405"/>
    <m/>
    <n v="0.155154197484969"/>
    <n v="0.57985037791354399"/>
    <n v="1.8989315851608901"/>
    <n v="0"/>
    <n v="0"/>
    <n v="0"/>
    <n v="0"/>
    <n v="0"/>
    <n v="0"/>
    <n v="0"/>
    <n v="0"/>
    <n v="0"/>
    <n v="0"/>
    <m/>
    <n v="0"/>
    <n v="0"/>
    <n v="0"/>
    <n v="5.5481261705210609E-2"/>
    <n v="0.48056883374612297"/>
    <n v="1.8578323206145702"/>
    <n v="0"/>
    <n v="0.28000000000000003"/>
    <n v="1.32"/>
    <n v="166.76"/>
    <n v="1"/>
    <m/>
    <m/>
    <m/>
    <m/>
    <m/>
    <m/>
    <m/>
    <m/>
    <m/>
    <n v="18.486095970209803"/>
    <m/>
    <m/>
    <m/>
    <m/>
    <m/>
    <m/>
    <m/>
    <m/>
    <m/>
    <m/>
    <m/>
    <m/>
    <n v="52.144999999999996"/>
    <n v="-16.950000000000017"/>
    <m/>
    <m/>
    <m/>
    <m/>
    <n v="-19.039000000000005"/>
    <n v="2.1189999999999998"/>
    <n v="30"/>
    <n v="2.3305879014008113"/>
    <n v="5.6299808364292048E-2"/>
    <n v="0.1843742600050402"/>
    <n v="0"/>
    <n v="0"/>
    <n v="0"/>
    <n v="0"/>
    <n v="0"/>
    <n v="-6.6010300851879755E-2"/>
    <n v="0"/>
    <n v="0"/>
    <n v="2.0656134616606003"/>
    <n v="6.1686321083209095E-2"/>
    <n v="7.1216331216709047E-3"/>
    <n v="0"/>
    <n v="0.23847331121088988"/>
    <n v="0"/>
    <n v="-0.17871237568456966"/>
    <m/>
    <n v="0"/>
    <n v="0"/>
    <n v="-8.9982572505200586E-3"/>
    <n v="0"/>
    <n v="-2.4479049883597059E-2"/>
    <n v="-4.780910374324987E-3"/>
    <n v="0"/>
    <n v="0"/>
    <m/>
    <m/>
    <m/>
    <n v="36.361579516669899"/>
    <n v="0"/>
    <n v="0"/>
    <n v="-19.039000000000009"/>
    <n v="2.1189999999999998"/>
    <n v="0"/>
    <n v="0"/>
    <n v="-19.25152862770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2"/>
    <s v="Regular"/>
    <s v="Azul"/>
    <s v="A4"/>
    <s v="Poder público"/>
    <s v="Não se aplica"/>
    <s v="Não se aplica"/>
    <s v="Não se aplica"/>
    <s v="Ponta"/>
    <s v="CATIVO"/>
    <x v="11"/>
    <n v="620"/>
    <n v="620"/>
    <n v="25.751000000000001"/>
    <n v="25.751000000000001"/>
    <n v="25.751000000000001"/>
    <n v="25.751000000000001"/>
    <n v="67.099999999999994"/>
    <n v="70.33"/>
    <n v="173.82"/>
    <n v="41602"/>
    <n v="6287.1066499999997"/>
    <n v="47889.106650000002"/>
    <n v="32871.561829999999"/>
    <n v="0"/>
    <n v="1369.9538826456376"/>
    <n v="0"/>
    <n v="0"/>
    <n v="464.01921340310855"/>
    <n v="7078.6845471939478"/>
    <n v="29860.314606519434"/>
    <n v="4143.9059123275956"/>
    <n v="208.47662971111035"/>
    <n v="0"/>
    <n v="0"/>
    <n v="0"/>
    <n v="0"/>
    <n v="243.38549043035306"/>
    <m/>
    <n v="32.001557371893753"/>
    <n v="996.52618854704053"/>
    <n v="3204.3442446425338"/>
    <n v="0"/>
    <n v="0"/>
    <n v="0"/>
    <n v="0"/>
    <n v="0"/>
    <n v="0"/>
    <n v="0"/>
    <n v="0"/>
    <n v="0"/>
    <n v="0"/>
    <m/>
    <n v="0"/>
    <n v="0"/>
    <n v="0"/>
    <n v="4.8049724295556056"/>
    <n v="123.75128037796414"/>
    <n v="160.89816281975322"/>
    <n v="0"/>
    <n v="0"/>
    <n v="0"/>
    <n v="0"/>
    <n v="0"/>
    <m/>
    <m/>
    <m/>
    <m/>
    <m/>
    <m/>
    <m/>
    <m/>
    <m/>
    <n v="4433.3603279548688"/>
    <m/>
    <m/>
    <m/>
    <m/>
    <m/>
    <m/>
    <m/>
    <m/>
    <m/>
    <m/>
    <m/>
    <m/>
    <n v="32871.297500000001"/>
    <n v="-15017.839150000007"/>
    <m/>
    <m/>
    <m/>
    <m/>
    <n v="-15563.208509999997"/>
    <n v="545.66368999999997"/>
    <n v="30"/>
    <n v="791.57617558745551"/>
    <n v="96.75639713657381"/>
    <n v="311.12158201178818"/>
    <n v="0"/>
    <n v="0"/>
    <n v="0"/>
    <n v="0"/>
    <n v="0"/>
    <n v="-135.72816955750204"/>
    <n v="0"/>
    <n v="0"/>
    <n v="531.91612251222159"/>
    <n v="15.884844542137174"/>
    <n v="0.61677131614015757"/>
    <n v="0"/>
    <n v="20.653057452829074"/>
    <n v="0"/>
    <n v="-40.037594760405227"/>
    <m/>
    <n v="0"/>
    <n v="0"/>
    <n v="-2.3171412245814054"/>
    <n v="0"/>
    <n v="-6.3036001355250733"/>
    <n v="-0.98609370622206782"/>
    <n v="0"/>
    <n v="0"/>
    <m/>
    <m/>
    <n v="29860.314606519434"/>
    <n v="0"/>
    <n v="0"/>
    <n v="0"/>
    <n v="-15563.20851"/>
    <n v="545.66369000000032"/>
    <n v="0"/>
    <n v="0"/>
    <n v="-15809.453525422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3"/>
    <s v="Regular"/>
    <s v="Azul"/>
    <s v="A4"/>
    <s v="Poder público"/>
    <s v="Não se aplica"/>
    <s v="Não se aplica"/>
    <s v="Não se aplica"/>
    <s v="Fora ponta"/>
    <s v="CATIVO"/>
    <x v="11"/>
    <n v="544"/>
    <n v="544"/>
    <n v="151.947"/>
    <n v="151.947"/>
    <n v="151.947"/>
    <n v="151.947"/>
    <n v="59.12"/>
    <n v="70.33"/>
    <n v="173.82"/>
    <n v="32161.279999999999"/>
    <n v="37097.860050000003"/>
    <n v="69259.140050000002"/>
    <n v="58676.470509999999"/>
    <n v="0"/>
    <n v="8083.5844280360643"/>
    <n v="0"/>
    <n v="0"/>
    <n v="311.20083765352302"/>
    <n v="2783.660321989194"/>
    <n v="26200.017977333184"/>
    <n v="24451.635729115031"/>
    <n v="1230.1424587283634"/>
    <n v="0"/>
    <n v="0"/>
    <n v="0"/>
    <n v="0"/>
    <n v="1436.1265626352706"/>
    <m/>
    <n v="188.82919645789056"/>
    <n v="657.1912309353927"/>
    <n v="2209.1773980268472"/>
    <n v="0"/>
    <n v="0"/>
    <n v="0"/>
    <n v="0"/>
    <n v="0"/>
    <n v="0"/>
    <n v="0"/>
    <n v="0"/>
    <n v="0"/>
    <n v="0"/>
    <m/>
    <n v="0"/>
    <n v="0"/>
    <n v="0"/>
    <n v="28.352341491735686"/>
    <n v="730.20992581222151"/>
    <n v="949.39975713459842"/>
    <n v="0"/>
    <n v="0"/>
    <n v="0"/>
    <n v="0"/>
    <n v="0"/>
    <m/>
    <m/>
    <m/>
    <m/>
    <m/>
    <m/>
    <m/>
    <m/>
    <m/>
    <n v="26159.597753553586"/>
    <m/>
    <m/>
    <m/>
    <m/>
    <m/>
    <m/>
    <m/>
    <m/>
    <m/>
    <m/>
    <m/>
    <m/>
    <n v="58677.263499999994"/>
    <n v="-10581.906550000007"/>
    <m/>
    <m/>
    <m/>
    <m/>
    <n v="-13802.426469999999"/>
    <n v="3219.7569299999996"/>
    <n v="30"/>
    <n v="3289.8721173943995"/>
    <n v="63.809116575020425"/>
    <n v="214.49716838880659"/>
    <n v="0"/>
    <n v="0"/>
    <n v="0"/>
    <n v="0"/>
    <n v="0"/>
    <n v="-53.374481890608877"/>
    <n v="0"/>
    <n v="0"/>
    <n v="3138.6376865894345"/>
    <n v="93.730514296303681"/>
    <n v="3.6393363820258777"/>
    <n v="0"/>
    <n v="121.86595164401444"/>
    <n v="0"/>
    <n v="-236.24684132885341"/>
    <m/>
    <n v="0"/>
    <n v="0"/>
    <n v="-13.672581944447757"/>
    <n v="0"/>
    <n v="-37.195181926629175"/>
    <n v="-5.8185693906770268"/>
    <n v="0"/>
    <n v="0"/>
    <m/>
    <m/>
    <n v="26200.017977333184"/>
    <n v="0"/>
    <n v="0"/>
    <n v="0"/>
    <n v="-13802.426469999999"/>
    <n v="3219.7569299999996"/>
    <n v="0"/>
    <n v="0"/>
    <n v="-13871.52051262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4"/>
    <s v="Regular"/>
    <s v="Azul"/>
    <s v="A4"/>
    <s v="Poder público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29.13"/>
    <n v="2886.6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55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396.74200000000002"/>
    <n v="396.74200000000002"/>
    <n v="396.74200000000002"/>
    <n v="396.74200000000002"/>
    <m/>
    <n v="284.26"/>
    <n v="95.6"/>
    <m/>
    <n v="150706.41612000001"/>
    <n v="150706.41612000001"/>
    <n v="113781.63818000001"/>
    <n v="0"/>
    <n v="13343.306556992438"/>
    <n v="0"/>
    <n v="0"/>
    <n v="593.18651621088293"/>
    <n v="7512.1654896681302"/>
    <n v="79343.911793314401"/>
    <n v="35114.513444439937"/>
    <n v="1766.5834050586359"/>
    <n v="0"/>
    <n v="0"/>
    <n v="0"/>
    <n v="0"/>
    <n v="2062.3931278154441"/>
    <m/>
    <n v="338.55902640219966"/>
    <n v="1265.2804924879633"/>
    <n v="4143.6225322794617"/>
    <n v="0"/>
    <n v="0"/>
    <n v="0"/>
    <n v="0"/>
    <n v="0"/>
    <n v="0"/>
    <n v="0"/>
    <n v="0"/>
    <n v="0"/>
    <n v="0"/>
    <m/>
    <n v="0"/>
    <n v="0"/>
    <n v="0"/>
    <n v="121.06460702296754"/>
    <n v="1048.6401213095753"/>
    <n v="4053.9406079989476"/>
    <n v="0"/>
    <n v="627.37"/>
    <n v="2878.59"/>
    <n v="29321.94"/>
    <n v="15"/>
    <m/>
    <m/>
    <m/>
    <m/>
    <m/>
    <m/>
    <m/>
    <m/>
    <m/>
    <n v="40338.158780771431"/>
    <m/>
    <m/>
    <m/>
    <m/>
    <m/>
    <m/>
    <m/>
    <m/>
    <m/>
    <m/>
    <m/>
    <m/>
    <n v="113781.06459999998"/>
    <n v="-36925.381519999995"/>
    <m/>
    <m/>
    <m/>
    <m/>
    <n v="-41546.822240000001"/>
    <n v="4622.0443000000023"/>
    <n v="30"/>
    <n v="5085.5315784764243"/>
    <n v="122.85074213536427"/>
    <n v="402.3195696460507"/>
    <n v="0"/>
    <n v="0"/>
    <n v="0"/>
    <n v="0"/>
    <n v="0"/>
    <n v="-144.03982329315568"/>
    <n v="0"/>
    <n v="0"/>
    <n v="4507.3358880336673"/>
    <n v="134.60454919556992"/>
    <n v="15.539980323768773"/>
    <n v="0"/>
    <n v="520.36808140037192"/>
    <n v="0"/>
    <n v="-389.96487944618821"/>
    <m/>
    <n v="0"/>
    <n v="0"/>
    <n v="-19.634926179472131"/>
    <n v="0"/>
    <n v="-53.415269649047559"/>
    <n v="-10.432333690518078"/>
    <n v="0"/>
    <n v="0"/>
    <m/>
    <m/>
    <m/>
    <n v="79343.911793314401"/>
    <n v="0"/>
    <n v="0"/>
    <n v="-41546.822239999994"/>
    <n v="4622.0443000000014"/>
    <n v="0"/>
    <n v="0"/>
    <n v="-42008.394839476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6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7.4320000000000004"/>
    <n v="6.9860800000000003"/>
    <n v="7.4320000000000004"/>
    <n v="6.9860800000000003"/>
    <m/>
    <n v="516.83000000000004"/>
    <n v="173.82"/>
    <m/>
    <n v="5132.9108000000006"/>
    <n v="5132.9108000000006"/>
    <n v="3875.4164000000001"/>
    <n v="0"/>
    <n v="454.46275519363218"/>
    <n v="0"/>
    <n v="0"/>
    <n v="20.203476353440948"/>
    <n v="255.8585768319945"/>
    <n v="2702.3925896789069"/>
    <n v="1195.9733113439747"/>
    <n v="60.168471593839932"/>
    <n v="0"/>
    <n v="0"/>
    <n v="0"/>
    <n v="0"/>
    <n v="70.243523159426189"/>
    <m/>
    <n v="11.531059957082896"/>
    <n v="43.094480086534588"/>
    <n v="141.12859540915736"/>
    <n v="0"/>
    <n v="0"/>
    <n v="0"/>
    <n v="0"/>
    <n v="0"/>
    <n v="0"/>
    <n v="0"/>
    <n v="0"/>
    <n v="0"/>
    <n v="0"/>
    <m/>
    <n v="0"/>
    <n v="0"/>
    <n v="0"/>
    <n v="4.1233673699312527"/>
    <n v="35.715875724011859"/>
    <n v="138.07409806807485"/>
    <n v="0"/>
    <n v="21.33"/>
    <n v="98.07"/>
    <n v="1331.57"/>
    <n v="7"/>
    <m/>
    <m/>
    <m/>
    <m/>
    <n v="232.52498400000007"/>
    <m/>
    <m/>
    <m/>
    <m/>
    <n v="1373.8866525059925"/>
    <m/>
    <m/>
    <m/>
    <m/>
    <m/>
    <m/>
    <m/>
    <m/>
    <m/>
    <m/>
    <m/>
    <m/>
    <n v="3644.9354999999996"/>
    <n v="-1180.0306520000013"/>
    <m/>
    <m/>
    <m/>
    <m/>
    <n v="-1414.9784800000004"/>
    <n v="157.48407999999998"/>
    <n v="30"/>
    <n v="173.20929283210762"/>
    <n v="4.1842017576341917"/>
    <n v="13.702695003574576"/>
    <n v="0"/>
    <n v="0"/>
    <n v="0"/>
    <n v="0"/>
    <n v="0"/>
    <n v="-4.9058855593116846"/>
    <n v="0"/>
    <n v="0"/>
    <n v="153.51639247061576"/>
    <n v="4.5845273829040991"/>
    <n v="0.52927977360258094"/>
    <n v="0"/>
    <n v="17.723336489193372"/>
    <n v="0"/>
    <n v="-13.281903760877299"/>
    <m/>
    <n v="0"/>
    <n v="0"/>
    <n v="-0.66875047885864092"/>
    <n v="0"/>
    <n v="-1.8192829873489273"/>
    <n v="-0.35531725901983258"/>
    <n v="0"/>
    <n v="0"/>
    <m/>
    <m/>
    <m/>
    <n v="2702.3925896789069"/>
    <n v="0"/>
    <n v="0"/>
    <n v="-1414.9784800000002"/>
    <n v="157.48407999999995"/>
    <n v="0"/>
    <n v="0"/>
    <n v="-1430.7736076112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7"/>
    <s v="Regular"/>
    <s v="Azul"/>
    <s v="A4"/>
    <s v="Serviço público"/>
    <s v="Água, esgoto e saneamento"/>
    <s v="Não se aplica"/>
    <s v="Não se aplica"/>
    <s v="Ponta"/>
    <s v="CATIVO"/>
    <x v="11"/>
    <n v="100"/>
    <n v="94"/>
    <n v="3.6669999999999998"/>
    <n v="3.4469799999999999"/>
    <n v="3.6669999999999998"/>
    <n v="3.4469799999999999"/>
    <n v="67.099999999999994"/>
    <n v="70.33"/>
    <n v="173.82"/>
    <n v="6709.9999999999991"/>
    <n v="895.29804999999988"/>
    <n v="7605.2980499999985"/>
    <n v="5173.2981099999997"/>
    <n v="0"/>
    <n v="195.08449721026571"/>
    <n v="0"/>
    <n v="0"/>
    <n v="74.841808613404609"/>
    <n v="1141.7233140635399"/>
    <n v="4816.1797752450702"/>
    <n v="590.10147103045676"/>
    <n v="29.687538392708696"/>
    <n v="0"/>
    <n v="0"/>
    <n v="0"/>
    <n v="0"/>
    <n v="34.658638243489747"/>
    <m/>
    <n v="4.5570933510440126"/>
    <n v="160.73003041081299"/>
    <n v="516.82971687782799"/>
    <n v="0"/>
    <n v="0"/>
    <n v="0"/>
    <n v="0"/>
    <n v="0"/>
    <n v="0"/>
    <n v="0"/>
    <n v="0"/>
    <n v="0"/>
    <n v="0"/>
    <m/>
    <n v="0"/>
    <n v="0"/>
    <n v="0"/>
    <n v="0.68423882176150075"/>
    <n v="17.622459133470329"/>
    <n v="22.912258283563165"/>
    <n v="0"/>
    <n v="0"/>
    <n v="0"/>
    <n v="0"/>
    <n v="0"/>
    <m/>
    <m/>
    <m/>
    <m/>
    <n v="310.39788659999999"/>
    <m/>
    <m/>
    <m/>
    <m/>
    <n v="631.3204272692517"/>
    <m/>
    <m/>
    <m/>
    <m/>
    <m/>
    <m/>
    <m/>
    <m/>
    <m/>
    <m/>
    <m/>
    <m/>
    <n v="4863.6984999999995"/>
    <n v="-2285.3116670000009"/>
    <m/>
    <m/>
    <m/>
    <m/>
    <n v="-2509.7036699999994"/>
    <n v="77.703729999999993"/>
    <n v="30"/>
    <n v="117.86260695327383"/>
    <n v="15.60587050589902"/>
    <n v="50.180900324482081"/>
    <n v="0"/>
    <n v="0"/>
    <n v="0"/>
    <n v="0"/>
    <n v="0"/>
    <n v="-21.891640251209992"/>
    <n v="0"/>
    <n v="0"/>
    <n v="75.746045639094177"/>
    <n v="2.2620373941212755"/>
    <n v="8.7829615016347118E-2"/>
    <n v="0"/>
    <n v="2.9410415781726584"/>
    <n v="0"/>
    <n v="-5.7014430502273967"/>
    <m/>
    <n v="0"/>
    <n v="0"/>
    <n v="-0.32996609337656935"/>
    <n v="0"/>
    <n v="-0.89764675923149895"/>
    <n v="-0.14042194946667319"/>
    <n v="0"/>
    <n v="0"/>
    <m/>
    <m/>
    <n v="4816.1797752450702"/>
    <n v="0"/>
    <n v="0"/>
    <n v="0"/>
    <n v="-2509.703669999999"/>
    <n v="77.70372999999995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8"/>
    <s v="Regular"/>
    <s v="Azul"/>
    <s v="A4"/>
    <s v="Serviço público"/>
    <s v="Água, esgoto e saneamento"/>
    <s v="Não se aplica"/>
    <s v="Não se aplica"/>
    <s v="Fora ponta"/>
    <s v="CATIVO"/>
    <x v="11"/>
    <n v="100"/>
    <n v="94"/>
    <n v="33.052"/>
    <n v="31.06888"/>
    <n v="33.052"/>
    <n v="31.06888"/>
    <n v="59.12"/>
    <n v="70.33"/>
    <n v="173.82"/>
    <n v="5912"/>
    <n v="8069.6458000000002"/>
    <n v="13981.6458"/>
    <n v="12139.63516"/>
    <n v="0"/>
    <n v="1758.367276191356"/>
    <n v="0"/>
    <n v="0"/>
    <n v="57.206036333368203"/>
    <n v="511.70226507154302"/>
    <n v="4816.1797752450702"/>
    <n v="5318.7984239156413"/>
    <n v="267.58454293858955"/>
    <n v="0"/>
    <n v="0"/>
    <n v="0"/>
    <n v="0"/>
    <n v="312.39086752763109"/>
    <m/>
    <n v="41.074733962014378"/>
    <n v="120.807211569006"/>
    <n v="406.098786401994"/>
    <n v="0"/>
    <n v="0"/>
    <n v="0"/>
    <n v="0"/>
    <n v="0"/>
    <n v="0"/>
    <n v="0"/>
    <n v="0"/>
    <n v="0"/>
    <n v="0"/>
    <m/>
    <n v="0"/>
    <n v="0"/>
    <n v="0"/>
    <n v="6.167292483463628"/>
    <n v="158.83761092976854"/>
    <n v="206.51648780701655"/>
    <n v="0"/>
    <n v="0"/>
    <n v="0"/>
    <n v="0"/>
    <n v="0"/>
    <m/>
    <m/>
    <m/>
    <m/>
    <n v="728.37810959999979"/>
    <m/>
    <m/>
    <m/>
    <m/>
    <n v="5690.3198151358902"/>
    <m/>
    <m/>
    <m/>
    <m/>
    <m/>
    <m/>
    <m/>
    <m/>
    <m/>
    <m/>
    <m/>
    <m/>
    <n v="11411.553099999999"/>
    <n v="-1731.2239520000003"/>
    <m/>
    <m/>
    <m/>
    <m/>
    <n v="-2542.3825199999997"/>
    <n v="700.37187999999992"/>
    <n v="30"/>
    <n v="708.04342988864664"/>
    <n v="11.729617017467007"/>
    <n v="39.429626542059964"/>
    <n v="0"/>
    <n v="0"/>
    <n v="0"/>
    <n v="0"/>
    <n v="0"/>
    <n v="-9.8114856416560201"/>
    <n v="0"/>
    <n v="0"/>
    <n v="682.72656134806221"/>
    <n v="20.388562844422268"/>
    <n v="0.79164015149176592"/>
    <n v="0"/>
    <n v="26.508673641058863"/>
    <n v="0"/>
    <n v="-51.38917253780096"/>
    <m/>
    <n v="0"/>
    <n v="0"/>
    <n v="-2.9741039864418894"/>
    <n v="0"/>
    <n v="-8.0908155675264766"/>
    <n v="-1.265673922490457"/>
    <n v="0"/>
    <n v="0"/>
    <m/>
    <m/>
    <n v="4816.1797752450702"/>
    <n v="0"/>
    <n v="0"/>
    <n v="0"/>
    <n v="-2542.3825200000001"/>
    <n v="700.37187999999969"/>
    <n v="0"/>
    <n v="0"/>
    <n v="-2549.911858939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59"/>
    <s v="Regular"/>
    <s v="Azul"/>
    <s v="A4"/>
    <s v="Serviço público"/>
    <s v="Água, esgoto e saneamento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5.46"/>
    <n v="438"/>
    <n v="5739.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60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1.74"/>
    <n v="1.74"/>
    <n v="1.74"/>
    <n v="1.74"/>
    <m/>
    <n v="516.83000000000004"/>
    <n v="173.82"/>
    <m/>
    <n v="1201.731"/>
    <n v="1201.731"/>
    <n v="907.32299999999987"/>
    <n v="0"/>
    <n v="106.40005301896123"/>
    <n v="0"/>
    <n v="0"/>
    <n v="4.7300926877001137"/>
    <n v="59.902304048394832"/>
    <n v="632.69148359005624"/>
    <n v="280.00451584210384"/>
    <n v="14.086805782196109"/>
    <n v="0"/>
    <n v="0"/>
    <n v="0"/>
    <n v="0"/>
    <n v="16.445604184257476"/>
    <m/>
    <n v="2.6996830362384605"/>
    <n v="10.089396575695666"/>
    <n v="33.041409581799485"/>
    <n v="0"/>
    <n v="0"/>
    <n v="0"/>
    <n v="0"/>
    <n v="0"/>
    <n v="0"/>
    <n v="0"/>
    <n v="0"/>
    <n v="0"/>
    <n v="0"/>
    <m/>
    <n v="0"/>
    <n v="0"/>
    <n v="0"/>
    <n v="0.96537395367066448"/>
    <n v="8.3618977071825391"/>
    <n v="32.32628237869352"/>
    <n v="0"/>
    <n v="4.96"/>
    <n v="22.96"/>
    <n v="311.72000000000003"/>
    <n v="7"/>
    <m/>
    <m/>
    <m/>
    <m/>
    <m/>
    <m/>
    <m/>
    <m/>
    <m/>
    <n v="321.65806988165059"/>
    <m/>
    <m/>
    <m/>
    <m/>
    <m/>
    <m/>
    <m/>
    <m/>
    <m/>
    <m/>
    <m/>
    <m/>
    <n v="907.32299999999987"/>
    <n v="-294.4380000000001"/>
    <m/>
    <m/>
    <m/>
    <m/>
    <n v="-331.2786000000001"/>
    <n v="36.870599999999996"/>
    <n v="30"/>
    <n v="40.552229484374152"/>
    <n v="0.97961666553868021"/>
    <n v="3.2081121240876982"/>
    <n v="0"/>
    <n v="0"/>
    <n v="0"/>
    <n v="0"/>
    <n v="0"/>
    <n v="-1.1485792348227051"/>
    <n v="0"/>
    <n v="0"/>
    <n v="35.941674232894457"/>
    <n v="1.0733419868478382"/>
    <n v="0.12391641631707362"/>
    <n v="0"/>
    <n v="4.1494356150694856"/>
    <n v="0"/>
    <n v="-3.1095953369115108"/>
    <m/>
    <n v="0"/>
    <n v="0"/>
    <n v="-0.15656967615904804"/>
    <n v="0"/>
    <n v="-0.42593546797458615"/>
    <n v="-8.3187840513255118E-2"/>
    <n v="0"/>
    <n v="0"/>
    <m/>
    <m/>
    <m/>
    <n v="632.69148359005624"/>
    <n v="0"/>
    <n v="0"/>
    <n v="-331.2786000000001"/>
    <n v="36.870599999999968"/>
    <n v="0"/>
    <n v="0"/>
    <n v="-334.97659812211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1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66"/>
    <n v="78.540000000000006"/>
    <n v="435.54"/>
    <n v="6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62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1200000000000001"/>
    <n v="5.28"/>
    <n v="29.28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63"/>
    <s v="Regular"/>
    <s v="Convencional"/>
    <s v="B2"/>
    <s v="Rural"/>
    <s v="Agropecuária rural"/>
    <s v="IRRIG./AQUIC."/>
    <s v="Não se aplica"/>
    <s v="Não se aplica"/>
    <s v="CATIVO"/>
    <x v="11"/>
    <n v="0"/>
    <n v="0"/>
    <n v="5.9359999999999999"/>
    <n v="5.9359999999999999"/>
    <n v="5.9359999999999999"/>
    <n v="5.9359999999999999"/>
    <m/>
    <n v="516.83000000000004"/>
    <n v="173.82"/>
    <m/>
    <n v="4099.6984000000002"/>
    <n v="4099.6984000000002"/>
    <n v="3095.3271999999997"/>
    <n v="0"/>
    <n v="362.98316937962869"/>
    <n v="0"/>
    <n v="0"/>
    <n v="16.136684019648204"/>
    <n v="204.35636599498375"/>
    <n v="2158.4233601095252"/>
    <n v="955.23379657398186"/>
    <n v="48.057056967308107"/>
    <n v="0"/>
    <n v="0"/>
    <n v="0"/>
    <n v="0"/>
    <n v="56.104084159627803"/>
    <m/>
    <n v="9.2099531627077589"/>
    <n v="34.419918432947973"/>
    <n v="112.72057889515042"/>
    <n v="0"/>
    <n v="0"/>
    <n v="0"/>
    <n v="0"/>
    <n v="0"/>
    <n v="0"/>
    <n v="0"/>
    <n v="0"/>
    <n v="0"/>
    <n v="0"/>
    <m/>
    <n v="0"/>
    <n v="0"/>
    <n v="0"/>
    <n v="3.2933676948213013"/>
    <n v="28.526565971169859"/>
    <n v="110.28092655168088"/>
    <n v="0"/>
    <n v="0"/>
    <n v="0"/>
    <n v="0"/>
    <n v="0"/>
    <m/>
    <m/>
    <m/>
    <m/>
    <m/>
    <n v="371.41551999999996"/>
    <m/>
    <m/>
    <m/>
    <n v="1097.334656791654"/>
    <m/>
    <m/>
    <m/>
    <m/>
    <m/>
    <m/>
    <m/>
    <m/>
    <m/>
    <m/>
    <m/>
    <m/>
    <n v="2725.7472000000002"/>
    <n v="-882.00552000000062"/>
    <m/>
    <m/>
    <m/>
    <m/>
    <n v="-1130.1550400000003"/>
    <n v="125.78383999999998"/>
    <n v="30"/>
    <n v="138.34369782715203"/>
    <n v="3.3419566245043768"/>
    <n v="10.94445607389919"/>
    <n v="0"/>
    <n v="0"/>
    <n v="0"/>
    <n v="0"/>
    <n v="0"/>
    <n v="-3.9183714585675489"/>
    <n v="0"/>
    <n v="0"/>
    <n v="122.61481508417319"/>
    <n v="3.6617000194992926"/>
    <n v="0.42274014210238464"/>
    <n v="0"/>
    <n v="14.155775753478437"/>
    <n v="0"/>
    <n v="-10.608366620636104"/>
    <m/>
    <n v="0"/>
    <n v="0"/>
    <n v="-0.53413655039086905"/>
    <n v="0"/>
    <n v="-1.4530764010903141"/>
    <n v="-0.28379483981993125"/>
    <n v="0"/>
    <n v="0"/>
    <m/>
    <m/>
    <m/>
    <n v="2158.4233601095252"/>
    <n v="0"/>
    <n v="0"/>
    <n v="-1130.1550400000001"/>
    <n v="125.78384000000005"/>
    <n v="0"/>
    <n v="0"/>
    <n v="-1142.770739340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4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4"/>
    <n v="0.4"/>
    <n v="0.4"/>
    <n v="0.4"/>
    <m/>
    <n v="516.83000000000004"/>
    <n v="173.82"/>
    <m/>
    <n v="276.26000000000005"/>
    <n v="276.26000000000005"/>
    <n v="208.57999999999998"/>
    <n v="0"/>
    <n v="24.459782303209479"/>
    <n v="0"/>
    <n v="0"/>
    <n v="1.0873776293563482"/>
    <n v="13.7706446088264"/>
    <n v="145.44631806667959"/>
    <n v="64.368854216575599"/>
    <n v="3.238346156826692"/>
    <n v="0"/>
    <n v="0"/>
    <n v="0"/>
    <n v="0"/>
    <n v="3.7805986630476962"/>
    <m/>
    <n v="0.62061678993987601"/>
    <n v="2.319401511654176"/>
    <n v="7.5957263406435604"/>
    <n v="0"/>
    <n v="0"/>
    <n v="0"/>
    <n v="0"/>
    <n v="0"/>
    <n v="0"/>
    <n v="0"/>
    <n v="0"/>
    <n v="0"/>
    <n v="0"/>
    <m/>
    <n v="0"/>
    <n v="0"/>
    <n v="0"/>
    <n v="0.22192504682084244"/>
    <n v="1.9222753349844919"/>
    <n v="7.4313292824582806"/>
    <n v="0"/>
    <n v="0"/>
    <n v="0"/>
    <n v="0"/>
    <n v="0"/>
    <m/>
    <m/>
    <m/>
    <m/>
    <m/>
    <n v="25.027999999999999"/>
    <m/>
    <m/>
    <m/>
    <n v="73.944383880839212"/>
    <m/>
    <m/>
    <m/>
    <m/>
    <m/>
    <m/>
    <m/>
    <m/>
    <m/>
    <m/>
    <m/>
    <m/>
    <n v="183.55200000000002"/>
    <n v="-59.585999999999956"/>
    <m/>
    <m/>
    <m/>
    <m/>
    <n v="-76.15600000000002"/>
    <n v="8.4759999999999991"/>
    <n v="30"/>
    <n v="9.3223516056032452"/>
    <n v="0.22519923345716819"/>
    <n v="0.73749704002016081"/>
    <n v="0"/>
    <n v="0"/>
    <n v="0"/>
    <n v="0"/>
    <n v="0"/>
    <n v="-0.26404120340751902"/>
    <n v="0"/>
    <n v="0"/>
    <n v="8.2624538466424013"/>
    <n v="0.24674528433283638"/>
    <n v="2.8486532486683619E-2"/>
    <n v="0"/>
    <n v="0.95389324484355953"/>
    <n v="0"/>
    <n v="-0.71484950273827863"/>
    <m/>
    <n v="0"/>
    <n v="0"/>
    <n v="-3.5993029002080235E-2"/>
    <n v="0"/>
    <n v="-9.7916199534388237E-2"/>
    <n v="-1.9123641497299948E-2"/>
    <n v="0"/>
    <n v="0"/>
    <m/>
    <m/>
    <m/>
    <n v="145.44631806667959"/>
    <n v="0"/>
    <n v="0"/>
    <n v="-76.156000000000034"/>
    <n v="8.4759999999999991"/>
    <n v="0"/>
    <n v="0"/>
    <n v="-77.00611451083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5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1.4E-2"/>
    <n v="5.5999999999999999E-3"/>
    <n v="1.4E-2"/>
    <n v="5.5999999999999999E-3"/>
    <m/>
    <n v="516.83000000000004"/>
    <n v="173.82"/>
    <m/>
    <n v="9.6691000000000003"/>
    <n v="9.6691000000000003"/>
    <n v="7.3003"/>
    <n v="0"/>
    <n v="0.85609238061233184"/>
    <n v="0"/>
    <n v="0"/>
    <n v="3.8058217027472183E-2"/>
    <n v="0.48197256130892396"/>
    <n v="5.0906211323337862"/>
    <n v="2.252909897580146"/>
    <n v="0.11334211548893421"/>
    <n v="0"/>
    <n v="0"/>
    <n v="0"/>
    <n v="0"/>
    <n v="0.13232095320666937"/>
    <m/>
    <n v="2.1721587647895658E-2"/>
    <n v="8.1179052907896163E-2"/>
    <n v="0.26585042192252462"/>
    <n v="0"/>
    <n v="0"/>
    <n v="0"/>
    <n v="0"/>
    <n v="0"/>
    <n v="0"/>
    <n v="0"/>
    <n v="0"/>
    <n v="0"/>
    <n v="0"/>
    <m/>
    <n v="0"/>
    <n v="0"/>
    <n v="0"/>
    <n v="7.7673766387294845E-3"/>
    <n v="6.727963672445722E-2"/>
    <n v="0.26009652488603979"/>
    <n v="0"/>
    <n v="0"/>
    <n v="0"/>
    <n v="0"/>
    <n v="0"/>
    <m/>
    <m/>
    <m/>
    <m/>
    <m/>
    <m/>
    <n v="4.7305719999999996"/>
    <m/>
    <m/>
    <n v="2.5880534358293725"/>
    <m/>
    <m/>
    <m/>
    <m/>
    <m/>
    <m/>
    <m/>
    <m/>
    <m/>
    <m/>
    <m/>
    <m/>
    <n v="4.5888"/>
    <n v="1.1552880000000005"/>
    <m/>
    <m/>
    <m/>
    <m/>
    <n v="-2.6654600000000008"/>
    <n v="0.29665999999999998"/>
    <n v="30"/>
    <n v="0.32628230619611198"/>
    <n v="7.8819731710008806E-3"/>
    <n v="2.5812396400705595E-2"/>
    <n v="0"/>
    <n v="0"/>
    <n v="0"/>
    <n v="0"/>
    <n v="0"/>
    <n v="-9.2414421192631435E-3"/>
    <n v="0"/>
    <n v="0"/>
    <n v="0.28918588463248396"/>
    <n v="8.6360849516492616E-3"/>
    <n v="9.9702863703392697E-4"/>
    <n v="0"/>
    <n v="3.3386263569524621E-2"/>
    <n v="0"/>
    <n v="-2.5019732595839894E-2"/>
    <m/>
    <n v="0"/>
    <n v="0"/>
    <n v="-1.259756015072791E-3"/>
    <n v="0"/>
    <n v="-3.4270669837035972E-3"/>
    <n v="-6.6932745240549929E-4"/>
    <n v="0"/>
    <n v="0"/>
    <m/>
    <m/>
    <m/>
    <n v="5.0906211323337862"/>
    <n v="0"/>
    <n v="0"/>
    <n v="-2.6654600000000004"/>
    <n v="0.29666000000000015"/>
    <n v="0"/>
    <n v="0"/>
    <n v="-2.695214007879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6"/>
    <s v="Regular"/>
    <s v="Verde"/>
    <s v="A4"/>
    <s v="Rural"/>
    <s v="Agropecuária rural"/>
    <s v="Não se aplica"/>
    <s v="Não se aplica"/>
    <s v="Ponta"/>
    <s v="CATIVO"/>
    <x v="11"/>
    <n v="0"/>
    <n v="0"/>
    <n v="6.3E-2"/>
    <n v="6.0479999999999999E-2"/>
    <n v="6.3E-2"/>
    <n v="6.0479999999999999E-2"/>
    <m/>
    <n v="1684.16"/>
    <n v="173.82"/>
    <m/>
    <n v="117.05274"/>
    <n v="117.05274"/>
    <n v="80.353980000000007"/>
    <n v="0"/>
    <n v="3.3516016700972844"/>
    <n v="0"/>
    <n v="0"/>
    <n v="1.1339621911633302"/>
    <n v="17.298913538341953"/>
    <n v="72.972424696225957"/>
    <n v="10.138094539110657"/>
    <n v="0.51003951970020389"/>
    <n v="0"/>
    <n v="0"/>
    <n v="0"/>
    <n v="0"/>
    <n v="0.59544428943001215"/>
    <m/>
    <n v="7.829203193776188E-2"/>
    <n v="2.4353370486316872"/>
    <n v="7.8308162735526361"/>
    <n v="0"/>
    <n v="0"/>
    <n v="0"/>
    <n v="0"/>
    <n v="0"/>
    <n v="0"/>
    <n v="0"/>
    <n v="0"/>
    <n v="0"/>
    <n v="0"/>
    <m/>
    <n v="0"/>
    <n v="0"/>
    <n v="0"/>
    <n v="1.1755398355869797E-2"/>
    <n v="0.30275836526005745"/>
    <n v="0.39363847064752644"/>
    <n v="0"/>
    <n v="0"/>
    <n v="0"/>
    <n v="0"/>
    <n v="0"/>
    <m/>
    <m/>
    <m/>
    <m/>
    <m/>
    <n v="3.2141592000000019"/>
    <m/>
    <m/>
    <m/>
    <n v="10.846246773374112"/>
    <m/>
    <m/>
    <m/>
    <m/>
    <m/>
    <m/>
    <m/>
    <m/>
    <m/>
    <m/>
    <m/>
    <m/>
    <n v="76.527599999999993"/>
    <n v="-35.873030400000033"/>
    <m/>
    <m/>
    <m/>
    <m/>
    <n v="-38.033730000000006"/>
    <n v="1.3349699999999998"/>
    <n v="30"/>
    <n v="1.9358658682938312"/>
    <n v="0.23645584164966094"/>
    <n v="0.76032278727375679"/>
    <n v="0"/>
    <n v="0"/>
    <n v="0"/>
    <n v="0"/>
    <n v="0"/>
    <n v="-0.3316929655841534"/>
    <n v="0"/>
    <n v="0"/>
    <n v="1.301336480846178"/>
    <n v="3.8862382282421726E-2"/>
    <n v="1.5089353002535784E-3"/>
    <n v="0"/>
    <n v="5.0527848220582927E-2"/>
    <n v="0"/>
    <n v="-9.7952253112715493E-2"/>
    <m/>
    <n v="0"/>
    <n v="0"/>
    <n v="-5.6689020678275526E-3"/>
    <n v="0"/>
    <n v="-1.542180142666616E-2"/>
    <n v="-2.4124850876466875E-3"/>
    <n v="0"/>
    <n v="0"/>
    <m/>
    <m/>
    <m/>
    <n v="72.972424696225957"/>
    <n v="0"/>
    <n v="0"/>
    <n v="-38.033729999999991"/>
    <n v="1.3349700000000002"/>
    <n v="0"/>
    <n v="0"/>
    <n v="-38.63503020897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7"/>
    <s v="Regular"/>
    <s v="Verde"/>
    <s v="A4"/>
    <s v="Rural"/>
    <s v="Agropecuária rural"/>
    <s v="Não se aplica"/>
    <s v="Não se aplica"/>
    <s v="Fora ponta"/>
    <s v="CATIVO"/>
    <x v="11"/>
    <n v="0"/>
    <n v="0"/>
    <n v="0.35799999999999998"/>
    <n v="0.34367999999999999"/>
    <n v="0.35799999999999998"/>
    <n v="0.34367999999999999"/>
    <m/>
    <n v="70.33"/>
    <n v="173.82"/>
    <m/>
    <n v="87.405699999999996"/>
    <n v="87.405699999999996"/>
    <n v="94.630139999999983"/>
    <n v="0"/>
    <n v="19.045609490394089"/>
    <n v="0"/>
    <n v="0"/>
    <n v="0"/>
    <n v="0"/>
    <n v="0"/>
    <n v="57.610124523835154"/>
    <n v="2.8983198103598888"/>
    <n v="0"/>
    <n v="0"/>
    <n v="0"/>
    <n v="0"/>
    <n v="3.3836358034276874"/>
    <m/>
    <n v="0.44489757831299609"/>
    <n v="0"/>
    <n v="0"/>
    <n v="0"/>
    <n v="0"/>
    <n v="0"/>
    <n v="0"/>
    <n v="0"/>
    <n v="0"/>
    <n v="0"/>
    <n v="0"/>
    <n v="0"/>
    <n v="0"/>
    <m/>
    <n v="0"/>
    <n v="0"/>
    <n v="0"/>
    <n v="6.6800517641291857E-2"/>
    <n v="1.7204364248111201"/>
    <n v="2.2368662300288009"/>
    <n v="0"/>
    <n v="0"/>
    <n v="0"/>
    <n v="0"/>
    <n v="0"/>
    <m/>
    <m/>
    <m/>
    <m/>
    <m/>
    <n v="3.7852055999999998"/>
    <m/>
    <m/>
    <m/>
    <n v="61.634227696316366"/>
    <m/>
    <m/>
    <m/>
    <m/>
    <m/>
    <m/>
    <m/>
    <m/>
    <m/>
    <m/>
    <m/>
    <m/>
    <n v="89.872199999999992"/>
    <n v="5.9327279999999831"/>
    <m/>
    <m/>
    <m/>
    <m/>
    <n v="-0.36158000000000179"/>
    <n v="7.5860199999999987"/>
    <n v="30"/>
    <n v="7.2212589424403006"/>
    <n v="0"/>
    <n v="0"/>
    <n v="0"/>
    <n v="0"/>
    <n v="0"/>
    <n v="0"/>
    <n v="0"/>
    <n v="0"/>
    <n v="0"/>
    <n v="0"/>
    <n v="7.3948961927449517"/>
    <n v="0.22083702947788852"/>
    <n v="8.5745847220758953E-3"/>
    <n v="0"/>
    <n v="0.28712650258680483"/>
    <n v="0"/>
    <n v="-0.55661756530717454"/>
    <m/>
    <n v="0"/>
    <n v="0"/>
    <n v="-3.221376095686157E-2"/>
    <n v="0"/>
    <n v="-8.7634998583276946E-2"/>
    <n v="-1.3709042244087588E-2"/>
    <n v="0"/>
    <n v="0"/>
    <m/>
    <m/>
    <m/>
    <n v="0"/>
    <n v="0"/>
    <n v="0"/>
    <n v="-0.36158000000000357"/>
    <n v="7.5860199999999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68"/>
    <s v="Regular"/>
    <s v="Verde"/>
    <s v="A4"/>
    <s v="Rural"/>
    <s v="Agropecuária rural"/>
    <s v="Não se aplica"/>
    <s v="Não se aplica"/>
    <s v="Não se aplica"/>
    <s v="CATIVO"/>
    <x v="11"/>
    <n v="158"/>
    <n v="151.68"/>
    <n v="0"/>
    <n v="0"/>
    <n v="0"/>
    <n v="0"/>
    <n v="59.12"/>
    <m/>
    <m/>
    <n v="9340.9599999999991"/>
    <m/>
    <n v="9340.9599999999991"/>
    <n v="5376.74"/>
    <n v="0"/>
    <n v="0"/>
    <n v="0"/>
    <n v="0"/>
    <n v="90.385537406721767"/>
    <n v="808.48957881303795"/>
    <n v="7609.5640448872109"/>
    <m/>
    <m/>
    <m/>
    <n v="0"/>
    <n v="0"/>
    <n v="0"/>
    <n v="0"/>
    <m/>
    <n v="0"/>
    <n v="190.87539427902948"/>
    <n v="641.63608251515052"/>
    <n v="0"/>
    <n v="0"/>
    <m/>
    <m/>
    <n v="0"/>
    <n v="0"/>
    <n v="0"/>
    <m/>
    <m/>
    <n v="0"/>
    <m/>
    <n v="0"/>
    <n v="0"/>
    <n v="0"/>
    <n v="0"/>
    <m/>
    <n v="0"/>
    <n v="0"/>
    <n v="31.02"/>
    <n v="142.01"/>
    <n v="12.1"/>
    <n v="9"/>
    <m/>
    <m/>
    <m/>
    <m/>
    <m/>
    <n v="215.06959999999978"/>
    <m/>
    <m/>
    <m/>
    <n v="0"/>
    <m/>
    <m/>
    <m/>
    <m/>
    <m/>
    <m/>
    <m/>
    <m/>
    <m/>
    <m/>
    <m/>
    <m/>
    <n v="5161.6704"/>
    <n v="-3805.6812"/>
    <m/>
    <m/>
    <m/>
    <m/>
    <n v="-3964.2199999999993"/>
    <n v="0"/>
    <n v="30"/>
    <n v="65.329457510236125"/>
    <n v="18.532794887597873"/>
    <n v="62.298809936454745"/>
    <n v="0"/>
    <n v="0"/>
    <m/>
    <m/>
    <m/>
    <n v="-15.5021473138165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09.5640448872109"/>
    <m/>
    <n v="0"/>
    <n v="0"/>
    <n v="-3964.2199999999993"/>
    <m/>
    <n v="0"/>
    <m/>
    <n v="-4028.860737123920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69"/>
    <s v="Regular"/>
    <s v="Verde"/>
    <s v="A4"/>
    <s v="Rural"/>
    <s v="Agropecuária rural"/>
    <s v="IRRIG./AQUIC. PR"/>
    <s v="Não se aplica"/>
    <s v="Fora ponta"/>
    <s v="CATIVO"/>
    <x v="11"/>
    <n v="0"/>
    <n v="0"/>
    <n v="0.24199999999999999"/>
    <n v="7.2599999999999998E-2"/>
    <n v="0.24199999999999999"/>
    <n v="7.2599999999999998E-2"/>
    <m/>
    <n v="70.33"/>
    <n v="173.82"/>
    <m/>
    <n v="59.084299999999999"/>
    <n v="59.084299999999999"/>
    <n v="63.967859999999995"/>
    <n v="0"/>
    <n v="12.874406415294329"/>
    <n v="0"/>
    <n v="0"/>
    <n v="0"/>
    <n v="0"/>
    <n v="0"/>
    <n v="38.943156801028238"/>
    <n v="1.9591994248801483"/>
    <n v="0"/>
    <n v="0"/>
    <n v="0"/>
    <n v="0"/>
    <n v="2.287262191143856"/>
    <m/>
    <n v="0.30074082109425992"/>
    <n v="0"/>
    <n v="0"/>
    <n v="0"/>
    <n v="0"/>
    <n v="0"/>
    <n v="0"/>
    <n v="0"/>
    <n v="0"/>
    <n v="0"/>
    <n v="0"/>
    <n v="0"/>
    <n v="0"/>
    <m/>
    <n v="0"/>
    <n v="0"/>
    <n v="0"/>
    <n v="4.5155657176515727E-2"/>
    <n v="1.1629765776656176"/>
    <n v="1.5120715856619269"/>
    <n v="0"/>
    <n v="0"/>
    <n v="0"/>
    <n v="0"/>
    <n v="0"/>
    <m/>
    <m/>
    <m/>
    <m/>
    <m/>
    <m/>
    <n v="44.777501999999991"/>
    <m/>
    <m/>
    <n v="41.663360621532298"/>
    <m/>
    <m/>
    <m/>
    <m/>
    <m/>
    <m/>
    <m/>
    <m/>
    <m/>
    <m/>
    <m/>
    <m/>
    <n v="18.5031"/>
    <n v="0.7478100000000012"/>
    <m/>
    <m/>
    <m/>
    <m/>
    <n v="-0.24442000000000122"/>
    <n v="5.1279799999999991"/>
    <n v="30"/>
    <n v="4.8814096761747336"/>
    <n v="0"/>
    <n v="0"/>
    <n v="0"/>
    <n v="0"/>
    <n v="0"/>
    <n v="0"/>
    <n v="0"/>
    <n v="0"/>
    <n v="0"/>
    <n v="0"/>
    <n v="4.9987845772186503"/>
    <n v="0.14928089702136593"/>
    <n v="5.7962276612915226E-3"/>
    <n v="0"/>
    <n v="0.19409109951398529"/>
    <n v="0"/>
    <n v="-0.37626103576630321"/>
    <m/>
    <n v="0"/>
    <n v="0"/>
    <n v="-2.1775782546258338E-2"/>
    <n v="0"/>
    <n v="-5.9239300718304744E-2"/>
    <n v="-9.2670062096905093E-3"/>
    <n v="0"/>
    <n v="0"/>
    <m/>
    <m/>
    <m/>
    <n v="0"/>
    <n v="0"/>
    <n v="0"/>
    <n v="-0.24442000000000164"/>
    <n v="5.12798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70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4000000000000001"/>
    <n v="0.66"/>
    <n v="3.6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"/>
    <m/>
    <m/>
    <m/>
    <m/>
    <n v="0"/>
    <m/>
    <m/>
    <m/>
    <m/>
    <n v="0"/>
    <n v="0"/>
    <n v="0"/>
    <n v="0"/>
  </r>
  <r>
    <n v="771"/>
    <s v="Regular"/>
    <s v="Convencional"/>
    <s v="B2"/>
    <s v="Rural"/>
    <s v="Aquicultura"/>
    <s v="IRRIG./AQUIC."/>
    <s v="Não se aplica"/>
    <s v="Não se aplica"/>
    <s v="CATIVO"/>
    <x v="11"/>
    <n v="0"/>
    <n v="0"/>
    <n v="0.05"/>
    <n v="0.05"/>
    <n v="0.05"/>
    <n v="0.05"/>
    <m/>
    <n v="516.83000000000004"/>
    <n v="173.82"/>
    <m/>
    <n v="34.532500000000006"/>
    <n v="34.532500000000006"/>
    <n v="26.072499999999998"/>
    <n v="0"/>
    <n v="3.0574727879011849"/>
    <n v="0"/>
    <n v="0"/>
    <n v="0.13592220366954352"/>
    <n v="1.7213305761033"/>
    <n v="18.180789758334949"/>
    <n v="8.0461067770719499"/>
    <n v="0.4047932696033365"/>
    <n v="0"/>
    <n v="0"/>
    <n v="0"/>
    <n v="0"/>
    <n v="0.47257483288096203"/>
    <m/>
    <n v="7.7577098742484502E-2"/>
    <n v="0.289925188956772"/>
    <n v="0.94946579258044506"/>
    <n v="0"/>
    <n v="0"/>
    <n v="0"/>
    <n v="0"/>
    <n v="0"/>
    <n v="0"/>
    <n v="0"/>
    <n v="0"/>
    <n v="0"/>
    <n v="0"/>
    <m/>
    <n v="0"/>
    <n v="0"/>
    <n v="0"/>
    <n v="2.7740630852605305E-2"/>
    <n v="0.24028441687306148"/>
    <n v="0.92891616030728508"/>
    <n v="0"/>
    <n v="0"/>
    <n v="0"/>
    <n v="0"/>
    <n v="0"/>
    <m/>
    <m/>
    <m/>
    <m/>
    <m/>
    <n v="3.1284999999999998"/>
    <m/>
    <m/>
    <m/>
    <n v="9.2430479851049014"/>
    <m/>
    <m/>
    <m/>
    <m/>
    <m/>
    <m/>
    <m/>
    <m/>
    <m/>
    <m/>
    <m/>
    <m/>
    <n v="22.944000000000003"/>
    <n v="-7.4745000000000026"/>
    <m/>
    <m/>
    <m/>
    <m/>
    <n v="-9.5195000000000025"/>
    <n v="1.0594999999999999"/>
    <n v="30"/>
    <n v="1.1652939507004056"/>
    <n v="2.8149904182146024E-2"/>
    <n v="9.2187130002520101E-2"/>
    <n v="0"/>
    <n v="0"/>
    <n v="0"/>
    <n v="0"/>
    <n v="0"/>
    <n v="-3.3005150425939878E-2"/>
    <n v="0"/>
    <n v="0"/>
    <n v="1.0328067308303002"/>
    <n v="3.0843160541604547E-2"/>
    <n v="3.5608165608354524E-3"/>
    <n v="0"/>
    <n v="0.11923665560544494"/>
    <n v="0"/>
    <n v="-8.9356187842284829E-2"/>
    <m/>
    <n v="0"/>
    <n v="0"/>
    <n v="-4.4991286252600293E-3"/>
    <n v="0"/>
    <n v="-1.223952494179853E-2"/>
    <n v="-2.3904551871624935E-3"/>
    <n v="0"/>
    <n v="0"/>
    <m/>
    <m/>
    <m/>
    <n v="18.180789758334949"/>
    <n v="0"/>
    <n v="0"/>
    <n v="-9.5195000000000043"/>
    <n v="1.0594999999999999"/>
    <n v="0"/>
    <n v="0"/>
    <n v="-9.625764313853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0"/>
    <n v="0"/>
    <n v="0"/>
    <m/>
    <n v="0"/>
    <m/>
    <m/>
    <m/>
    <m/>
    <n v="0"/>
    <n v="0"/>
    <n v="0"/>
    <n v="0"/>
  </r>
  <r>
    <n v="773"/>
    <s v="Regular"/>
    <s v="Verde"/>
    <s v="A4"/>
    <s v="Industrial"/>
    <s v="Não se aplica"/>
    <s v="Fonte incentivada"/>
    <s v="Não se aplica"/>
    <s v="Ponta"/>
    <s v="LIVRE"/>
    <x v="0"/>
    <n v="0"/>
    <n v="0"/>
    <n v="8.577"/>
    <n v="3.6984024"/>
    <n v="0"/>
    <n v="0"/>
    <m/>
    <n v="1684.16"/>
    <m/>
    <m/>
    <n v="14445.04032"/>
    <n v="14445.04032"/>
    <n v="9267.0196500000002"/>
    <n v="0"/>
    <n v="456.29662737181599"/>
    <n v="0"/>
    <n v="0"/>
    <n v="154.38085259695055"/>
    <n v="2355.1235145771257"/>
    <n v="9934.674390786191"/>
    <m/>
    <m/>
    <m/>
    <n v="0"/>
    <n v="0"/>
    <n v="0"/>
    <n v="81.065486832400211"/>
    <m/>
    <n v="10.658900919526724"/>
    <n v="331.55374390657113"/>
    <n v="1066.1097012422374"/>
    <n v="0"/>
    <n v="0"/>
    <m/>
    <m/>
    <n v="0"/>
    <n v="0"/>
    <n v="0"/>
    <m/>
    <m/>
    <n v="0"/>
    <m/>
    <n v="0"/>
    <n v="0"/>
    <n v="0"/>
    <n v="1.6004135190205595"/>
    <m/>
    <n v="53.591066075298954"/>
    <n v="0"/>
    <n v="0"/>
    <n v="0"/>
    <n v="0"/>
    <n v="0"/>
    <m/>
    <n v="5271.0807769200001"/>
    <m/>
    <m/>
    <m/>
    <m/>
    <m/>
    <m/>
    <m/>
    <n v="55.191479594319517"/>
    <m/>
    <m/>
    <m/>
    <m/>
    <m/>
    <m/>
    <m/>
    <m/>
    <m/>
    <m/>
    <m/>
    <m/>
    <n v="3997.6650000000004"/>
    <n v="-2231.0663859840001"/>
    <m/>
    <m/>
    <m/>
    <m/>
    <n v="-5178.0206699999999"/>
    <n v="0"/>
    <n v="31"/>
    <n v="81.867588513303417"/>
    <n v="32.191773870303848"/>
    <n v="103.51251661027004"/>
    <n v="0"/>
    <n v="0"/>
    <m/>
    <m/>
    <m/>
    <n v="-45.157628028813633"/>
    <n v="0"/>
    <n v="0"/>
    <m/>
    <m/>
    <n v="0.20543076302023722"/>
    <n v="0"/>
    <n v="6.879005622030796"/>
    <n v="0"/>
    <n v="-13.335499602345408"/>
    <m/>
    <n v="0"/>
    <n v="0"/>
    <m/>
    <n v="0"/>
    <n v="-2.0995681085161095"/>
    <n v="-0.32844261264675723"/>
    <n v="0"/>
    <n v="0"/>
    <m/>
    <m/>
    <m/>
    <n v="9934.674390786191"/>
    <n v="0"/>
    <n v="0"/>
    <n v="-5178.0206699999999"/>
    <m/>
    <n v="0"/>
    <m/>
    <n v="-5259.883398450609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74"/>
    <s v="Regular"/>
    <s v="Verde"/>
    <s v="A4"/>
    <s v="Industrial"/>
    <s v="Não se aplica"/>
    <s v="Fonte incentivada"/>
    <s v="Não se aplica"/>
    <s v="Fora ponta"/>
    <s v="LIVRE"/>
    <x v="0"/>
    <n v="0"/>
    <n v="0"/>
    <n v="603.32399999999996"/>
    <n v="603.32399999999996"/>
    <n v="0"/>
    <n v="0"/>
    <m/>
    <n v="70.33"/>
    <m/>
    <m/>
    <n v="42431.776919999997"/>
    <n v="42431.776919999997"/>
    <n v="41822.419679999992"/>
    <n v="0"/>
    <n v="32096.852793805931"/>
    <n v="0"/>
    <n v="0"/>
    <n v="0"/>
    <n v="0"/>
    <n v="0"/>
    <m/>
    <m/>
    <m/>
    <n v="0"/>
    <n v="0"/>
    <n v="0"/>
    <n v="5702.31476946147"/>
    <m/>
    <n v="749.76923613997212"/>
    <n v="0"/>
    <n v="0"/>
    <n v="0"/>
    <n v="0"/>
    <m/>
    <m/>
    <n v="0"/>
    <n v="0"/>
    <n v="0"/>
    <m/>
    <m/>
    <n v="0"/>
    <m/>
    <n v="0"/>
    <n v="0"/>
    <n v="0"/>
    <n v="112.57641202629824"/>
    <m/>
    <n v="3769.7069311896544"/>
    <n v="0"/>
    <n v="0"/>
    <n v="0"/>
    <n v="0"/>
    <n v="0"/>
    <m/>
    <m/>
    <m/>
    <m/>
    <m/>
    <m/>
    <m/>
    <m/>
    <m/>
    <n v="3882.2833432159528"/>
    <m/>
    <m/>
    <m/>
    <m/>
    <m/>
    <m/>
    <m/>
    <m/>
    <m/>
    <m/>
    <m/>
    <m/>
    <n v="41822.142399999997"/>
    <n v="-609.66452000000572"/>
    <m/>
    <m/>
    <m/>
    <m/>
    <n v="-609.357240000003"/>
    <n v="0"/>
    <n v="31"/>
    <n v="-610.50409290495008"/>
    <n v="0"/>
    <n v="0"/>
    <n v="0"/>
    <n v="0"/>
    <m/>
    <m/>
    <m/>
    <n v="0"/>
    <n v="0"/>
    <n v="0"/>
    <m/>
    <m/>
    <n v="14.450426683971259"/>
    <n v="0"/>
    <n v="483.88354761642813"/>
    <n v="0"/>
    <n v="-938.04674852342578"/>
    <m/>
    <n v="0"/>
    <n v="0"/>
    <m/>
    <n v="0"/>
    <n v="-147.68798291971325"/>
    <n v="-23.103335762211941"/>
    <n v="0"/>
    <n v="0"/>
    <m/>
    <m/>
    <m/>
    <n v="0"/>
    <n v="0"/>
    <n v="0"/>
    <n v="-609.3572400000048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75"/>
    <s v="Regular"/>
    <s v="Verde"/>
    <s v="A4"/>
    <s v="Industrial"/>
    <s v="Não se aplica"/>
    <s v="Fonte incentivada"/>
    <s v="Não se aplica"/>
    <s v="Não se aplica"/>
    <s v="LIVRE"/>
    <x v="0"/>
    <n v="3400"/>
    <n v="1193.4000000000001"/>
    <n v="0"/>
    <n v="0"/>
    <n v="0"/>
    <n v="0"/>
    <n v="59.12"/>
    <m/>
    <m/>
    <n v="201008"/>
    <m/>
    <n v="201008"/>
    <n v="115702"/>
    <n v="0"/>
    <n v="0"/>
    <n v="0"/>
    <n v="0"/>
    <n v="1945.0052353345191"/>
    <n v="17397.877012432462"/>
    <n v="163750.11235833238"/>
    <m/>
    <m/>
    <m/>
    <n v="0"/>
    <n v="0"/>
    <n v="0"/>
    <n v="0"/>
    <m/>
    <n v="0"/>
    <n v="4107.4451933462042"/>
    <n v="13807.358737667795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637.51"/>
    <n v="3"/>
    <m/>
    <n v="75090.597999999998"/>
    <m/>
    <m/>
    <m/>
    <m/>
    <m/>
    <m/>
    <m/>
    <n v="0"/>
    <m/>
    <m/>
    <m/>
    <m/>
    <m/>
    <m/>
    <m/>
    <m/>
    <m/>
    <m/>
    <m/>
    <m/>
    <n v="40611.402000000002"/>
    <n v="-29942.435999999987"/>
    <m/>
    <m/>
    <m/>
    <m/>
    <n v="-85305.999999999985"/>
    <n v="0"/>
    <n v="31"/>
    <n v="1405.8237692076145"/>
    <n v="398.80697859387783"/>
    <n v="1340.6073024300404"/>
    <n v="0"/>
    <n v="0"/>
    <m/>
    <m/>
    <m/>
    <n v="-333.590511816306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3750.11235833238"/>
    <m/>
    <n v="0"/>
    <n v="0"/>
    <n v="-85306"/>
    <m/>
    <n v="0"/>
    <m/>
    <n v="-86697.00320393245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76"/>
    <s v="Regular"/>
    <s v="Geração"/>
    <s v="A4"/>
    <s v="Não se aplica"/>
    <s v="Não se aplica"/>
    <s v="Não se aplica"/>
    <s v="PCH MORRINHOS"/>
    <s v="Não se aplica"/>
    <s v="GERAÇÃO"/>
    <x v="0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1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77"/>
    <s v="Regular"/>
    <s v="Verde"/>
    <s v="A4"/>
    <s v="Industrial"/>
    <s v="Não se aplica"/>
    <s v="Fonte incentivada"/>
    <s v="Não se aplica"/>
    <s v="Ponta"/>
    <s v="LIVRE"/>
    <x v="1"/>
    <n v="0"/>
    <n v="0"/>
    <n v="10.827999999999999"/>
    <n v="5.4302419999999998"/>
    <n v="0"/>
    <n v="0"/>
    <m/>
    <n v="1684.16"/>
    <m/>
    <m/>
    <n v="18236.084480000001"/>
    <n v="18236.084480000001"/>
    <n v="11699.1126"/>
    <n v="0"/>
    <n v="576.049887044657"/>
    <n v="0"/>
    <n v="0"/>
    <n v="194.89750168121492"/>
    <n v="2973.2164411613753"/>
    <n v="12541.990708106898"/>
    <m/>
    <m/>
    <m/>
    <n v="0"/>
    <n v="0"/>
    <n v="0"/>
    <n v="102.34080580870112"/>
    <m/>
    <n v="13.456287647969612"/>
    <n v="418.56872321561758"/>
    <n v="1345.9060096829833"/>
    <n v="0"/>
    <n v="0"/>
    <m/>
    <m/>
    <n v="0"/>
    <n v="0"/>
    <n v="0"/>
    <m/>
    <m/>
    <n v="0"/>
    <m/>
    <n v="0"/>
    <n v="0"/>
    <n v="0"/>
    <n v="2.0204357682120344"/>
    <m/>
    <n v="67.655831113831994"/>
    <n v="0"/>
    <n v="0"/>
    <n v="0"/>
    <n v="0"/>
    <n v="0"/>
    <m/>
    <n v="5832.0076311000003"/>
    <m/>
    <m/>
    <m/>
    <m/>
    <m/>
    <m/>
    <m/>
    <n v="69.676266882044033"/>
    <m/>
    <m/>
    <m/>
    <m/>
    <m/>
    <m/>
    <m/>
    <m/>
    <m/>
    <m/>
    <m/>
    <m/>
    <n v="5866.8434999999999"/>
    <n v="-3278.5828667200012"/>
    <m/>
    <m/>
    <m/>
    <m/>
    <n v="-6536.9718800000001"/>
    <n v="0"/>
    <n v="31"/>
    <n v="103.35341592888381"/>
    <n v="40.640378625119524"/>
    <n v="130.67897048571785"/>
    <n v="0"/>
    <n v="0"/>
    <m/>
    <m/>
    <m/>
    <n v="-57.009070338812762"/>
    <n v="0"/>
    <n v="0"/>
    <m/>
    <m/>
    <n v="0.25934526081183717"/>
    <n v="0"/>
    <n v="8.684373659245594"/>
    <n v="0"/>
    <n v="-16.835349154039363"/>
    <m/>
    <n v="0"/>
    <n v="0"/>
    <m/>
    <n v="0"/>
    <n v="-2.6505915213958815"/>
    <n v="-0.41464108776251329"/>
    <n v="0"/>
    <n v="0"/>
    <m/>
    <m/>
    <m/>
    <n v="12541.990708106898"/>
    <n v="0"/>
    <n v="0"/>
    <n v="-6536.971880000001"/>
    <m/>
    <n v="0"/>
    <m/>
    <n v="-6640.319160361803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78"/>
    <s v="Regular"/>
    <s v="Verde"/>
    <s v="A4"/>
    <s v="Industrial"/>
    <s v="Não se aplica"/>
    <s v="Fonte incentivada"/>
    <s v="Não se aplica"/>
    <s v="Fora ponta"/>
    <s v="LIVRE"/>
    <x v="1"/>
    <n v="0"/>
    <n v="0"/>
    <n v="563.59500000000003"/>
    <n v="563.59500000000003"/>
    <n v="0"/>
    <n v="0"/>
    <m/>
    <n v="70.33"/>
    <m/>
    <m/>
    <n v="39637.636350000001"/>
    <n v="39637.636350000001"/>
    <n v="39068.405399999996"/>
    <n v="0"/>
    <n v="29983.268940610778"/>
    <n v="0"/>
    <n v="0"/>
    <n v="0"/>
    <n v="0"/>
    <n v="0"/>
    <m/>
    <m/>
    <m/>
    <n v="0"/>
    <n v="0"/>
    <n v="0"/>
    <n v="5326.8162587509159"/>
    <m/>
    <n v="700.39678952322083"/>
    <n v="0"/>
    <n v="0"/>
    <n v="0"/>
    <n v="0"/>
    <m/>
    <m/>
    <n v="0"/>
    <n v="0"/>
    <n v="0"/>
    <m/>
    <m/>
    <n v="0"/>
    <m/>
    <n v="0"/>
    <n v="0"/>
    <n v="0"/>
    <n v="105.16323391073712"/>
    <m/>
    <n v="3521.471013723693"/>
    <n v="0"/>
    <n v="0"/>
    <n v="0"/>
    <n v="0"/>
    <n v="0"/>
    <m/>
    <m/>
    <m/>
    <m/>
    <m/>
    <m/>
    <m/>
    <m/>
    <m/>
    <n v="3626.6342476344303"/>
    <m/>
    <m/>
    <m/>
    <m/>
    <m/>
    <m/>
    <m/>
    <m/>
    <m/>
    <m/>
    <m/>
    <m/>
    <n v="39068.752"/>
    <n v="-568.91435000000638"/>
    <m/>
    <m/>
    <m/>
    <m/>
    <n v="-569.23095000000296"/>
    <n v="0"/>
    <n v="31"/>
    <n v="-570.30228242331941"/>
    <n v="0"/>
    <n v="0"/>
    <n v="0"/>
    <n v="0"/>
    <m/>
    <m/>
    <m/>
    <n v="0"/>
    <n v="0"/>
    <n v="0"/>
    <m/>
    <m/>
    <n v="13.498863342006601"/>
    <n v="0"/>
    <n v="452.01972409332484"/>
    <n v="0"/>
    <n v="-876.27619195334773"/>
    <m/>
    <n v="0"/>
    <n v="0"/>
    <m/>
    <n v="0"/>
    <n v="-137.96270119145902"/>
    <n v="-21.581976713845052"/>
    <n v="0"/>
    <n v="0"/>
    <m/>
    <m/>
    <m/>
    <n v="0"/>
    <n v="0"/>
    <n v="0"/>
    <n v="-569.2309500000046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79"/>
    <s v="Regular"/>
    <s v="Verde"/>
    <s v="A4"/>
    <s v="Industrial"/>
    <s v="Não se aplica"/>
    <s v="Fonte incentivada"/>
    <s v="Não se aplica"/>
    <s v="Não se aplica"/>
    <s v="LIVRE"/>
    <x v="1"/>
    <n v="3400"/>
    <n v="1187.28"/>
    <n v="0"/>
    <n v="0"/>
    <n v="0"/>
    <n v="0"/>
    <n v="59.12"/>
    <m/>
    <m/>
    <n v="201008"/>
    <m/>
    <n v="201008"/>
    <n v="115702"/>
    <n v="0"/>
    <n v="0"/>
    <n v="0"/>
    <n v="0"/>
    <n v="1945.0052353345191"/>
    <n v="17397.877012432462"/>
    <n v="163750.11235833238"/>
    <m/>
    <m/>
    <m/>
    <n v="0"/>
    <n v="0"/>
    <n v="0"/>
    <n v="0"/>
    <m/>
    <n v="0"/>
    <n v="4107.4451933462042"/>
    <n v="13807.358737667795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263.02"/>
    <n v="3"/>
    <m/>
    <n v="75298.861600000018"/>
    <m/>
    <m/>
    <m/>
    <m/>
    <m/>
    <m/>
    <m/>
    <n v="0"/>
    <m/>
    <m/>
    <m/>
    <m/>
    <m/>
    <m/>
    <m/>
    <m/>
    <m/>
    <m/>
    <m/>
    <m/>
    <n v="40403.138400000003"/>
    <n v="-29788.885199999982"/>
    <m/>
    <m/>
    <m/>
    <m/>
    <n v="-85305.999999999985"/>
    <n v="0"/>
    <n v="31"/>
    <n v="1405.8237692076145"/>
    <n v="398.80697859387783"/>
    <n v="1340.6073024300404"/>
    <n v="0"/>
    <n v="0"/>
    <m/>
    <m/>
    <m/>
    <n v="-333.590511816306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3750.11235833238"/>
    <m/>
    <n v="0"/>
    <n v="0"/>
    <n v="-85306"/>
    <m/>
    <n v="0"/>
    <m/>
    <n v="-86697.00320393245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0"/>
    <s v="Regular"/>
    <s v="Geração"/>
    <s v="A4"/>
    <s v="Não se aplica"/>
    <s v="Não se aplica"/>
    <s v="Não se aplica"/>
    <s v="PCH MORRINHOS"/>
    <s v="Não se aplica"/>
    <s v="GERAÇÃO"/>
    <x v="1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1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1"/>
    <s v="Regular"/>
    <s v="Verde"/>
    <s v="A4"/>
    <s v="Industrial"/>
    <s v="Não se aplica"/>
    <s v="Fonte incentivada"/>
    <s v="Não se aplica"/>
    <s v="Ponta"/>
    <s v="LIVRE"/>
    <x v="2"/>
    <n v="0"/>
    <n v="0"/>
    <n v="14.36"/>
    <n v="7.1010200000000001"/>
    <n v="0"/>
    <n v="0"/>
    <m/>
    <n v="1684.16"/>
    <m/>
    <m/>
    <n v="24184.5376"/>
    <n v="24184.5376"/>
    <n v="15515.262000000001"/>
    <n v="0"/>
    <n v="763.95238067614287"/>
    <n v="0"/>
    <n v="0"/>
    <n v="258.47138198580035"/>
    <n v="3943.0539430252447"/>
    <n v="16633.079660917534"/>
    <m/>
    <m/>
    <m/>
    <n v="0"/>
    <n v="0"/>
    <n v="0"/>
    <n v="135.72349200341228"/>
    <m/>
    <n v="17.845612359146994"/>
    <n v="555.10222251350831"/>
    <n v="1784.9289156859659"/>
    <n v="0"/>
    <n v="0"/>
    <m/>
    <m/>
    <n v="0"/>
    <n v="0"/>
    <n v="0"/>
    <m/>
    <m/>
    <n v="0"/>
    <m/>
    <n v="0"/>
    <n v="0"/>
    <n v="0"/>
    <n v="2.6794844506395283"/>
    <m/>
    <n v="89.724578388864757"/>
    <n v="0"/>
    <n v="0"/>
    <n v="0"/>
    <n v="0"/>
    <n v="0"/>
    <m/>
    <n v="7842.9649409999993"/>
    <m/>
    <m/>
    <m/>
    <m/>
    <m/>
    <m/>
    <m/>
    <n v="92.404062839504292"/>
    <m/>
    <m/>
    <m/>
    <m/>
    <m/>
    <m/>
    <m/>
    <m/>
    <m/>
    <m/>
    <m/>
    <m/>
    <n v="7671.1949999999997"/>
    <n v="-4288.0888432000011"/>
    <m/>
    <m/>
    <m/>
    <m/>
    <n v="-8669.2756000000008"/>
    <n v="0"/>
    <n v="30"/>
    <n v="137.06640679153861"/>
    <n v="53.896918826811657"/>
    <n v="173.30532103573228"/>
    <n v="0"/>
    <n v="0"/>
    <m/>
    <m/>
    <m/>
    <n v="-75.604936282355993"/>
    <n v="0"/>
    <n v="0"/>
    <m/>
    <m/>
    <n v="0.34394144304192675"/>
    <n v="0"/>
    <n v="11.517141276945566"/>
    <n v="0"/>
    <n v="-22.326894519025245"/>
    <m/>
    <n v="0"/>
    <n v="0"/>
    <m/>
    <n v="0"/>
    <n v="-3.5151915632845316"/>
    <n v="-0.54989342632708826"/>
    <n v="0"/>
    <n v="0"/>
    <m/>
    <m/>
    <m/>
    <n v="16633.079660917534"/>
    <n v="0"/>
    <n v="0"/>
    <n v="-8669.275599999999"/>
    <m/>
    <n v="0"/>
    <m/>
    <n v="-8806.333869855512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2"/>
    <s v="Regular"/>
    <s v="Verde"/>
    <s v="A4"/>
    <s v="Industrial"/>
    <s v="Não se aplica"/>
    <s v="Fonte incentivada"/>
    <s v="Não se aplica"/>
    <s v="Fora ponta"/>
    <s v="LIVRE"/>
    <x v="2"/>
    <n v="0"/>
    <n v="0"/>
    <n v="675.84799999999996"/>
    <n v="675.84799999999996"/>
    <n v="0"/>
    <n v="0"/>
    <m/>
    <n v="70.33"/>
    <m/>
    <m/>
    <n v="47532.389839999996"/>
    <n v="47532.389839999996"/>
    <n v="46849.783359999994"/>
    <n v="0"/>
    <n v="35955.131516379508"/>
    <n v="0"/>
    <n v="0"/>
    <n v="0"/>
    <n v="0"/>
    <n v="0"/>
    <m/>
    <m/>
    <m/>
    <n v="0"/>
    <n v="0"/>
    <n v="0"/>
    <n v="6387.7751130586475"/>
    <m/>
    <n v="839.89703493765853"/>
    <n v="0"/>
    <n v="0"/>
    <n v="0"/>
    <n v="0"/>
    <m/>
    <m/>
    <n v="0"/>
    <n v="0"/>
    <n v="0"/>
    <m/>
    <m/>
    <n v="0"/>
    <m/>
    <n v="0"/>
    <n v="0"/>
    <n v="0"/>
    <n v="126.10892806377603"/>
    <m/>
    <n v="4222.8535414315784"/>
    <n v="0"/>
    <n v="0"/>
    <n v="0"/>
    <n v="0"/>
    <n v="0"/>
    <m/>
    <m/>
    <m/>
    <m/>
    <m/>
    <m/>
    <m/>
    <m/>
    <m/>
    <n v="4348.9624694953545"/>
    <m/>
    <m/>
    <m/>
    <m/>
    <m/>
    <m/>
    <m/>
    <m/>
    <m/>
    <m/>
    <m/>
    <m/>
    <n v="46849.921999999999"/>
    <n v="-682.49784000000363"/>
    <m/>
    <m/>
    <m/>
    <m/>
    <n v="-682.60648000000344"/>
    <n v="0"/>
    <n v="30"/>
    <n v="-683.8911930929753"/>
    <n v="0"/>
    <n v="0"/>
    <n v="0"/>
    <n v="0"/>
    <m/>
    <m/>
    <m/>
    <n v="0"/>
    <n v="0"/>
    <n v="0"/>
    <m/>
    <m/>
    <n v="16.187474679456841"/>
    <n v="0"/>
    <n v="542.04992324102386"/>
    <n v="0"/>
    <n v="-1050.8068946305139"/>
    <m/>
    <n v="0"/>
    <n v="0"/>
    <m/>
    <n v="0"/>
    <n v="-165.44116905729243"/>
    <n v="-25.880527325648245"/>
    <n v="0"/>
    <n v="0"/>
    <m/>
    <m/>
    <m/>
    <n v="0"/>
    <n v="0"/>
    <n v="0"/>
    <n v="-682.6064800000021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3"/>
    <s v="Regular"/>
    <s v="Verde"/>
    <s v="A4"/>
    <s v="Industrial"/>
    <s v="Não se aplica"/>
    <s v="Fonte incentivada"/>
    <s v="Não se aplica"/>
    <s v="Não se aplica"/>
    <s v="LIVRE"/>
    <x v="2"/>
    <n v="3438"/>
    <n v="1214.3016"/>
    <n v="0"/>
    <n v="0"/>
    <n v="0"/>
    <n v="0"/>
    <n v="59.12"/>
    <m/>
    <m/>
    <n v="203254.56"/>
    <m/>
    <n v="203254.56"/>
    <n v="116995.14"/>
    <n v="0"/>
    <n v="0"/>
    <n v="0"/>
    <n v="0"/>
    <n v="1966.7435291411989"/>
    <n v="17592.32387315965"/>
    <n v="165580.26067292551"/>
    <m/>
    <m/>
    <m/>
    <n v="0"/>
    <n v="0"/>
    <n v="0"/>
    <n v="0"/>
    <m/>
    <n v="0"/>
    <n v="4153.3519337424259"/>
    <n v="13961.676276500553"/>
    <n v="0"/>
    <n v="0"/>
    <m/>
    <m/>
    <n v="0"/>
    <n v="0"/>
    <n v="0"/>
    <m/>
    <m/>
    <n v="0"/>
    <m/>
    <n v="0"/>
    <n v="0"/>
    <n v="0"/>
    <n v="0"/>
    <m/>
    <n v="0"/>
    <n v="0"/>
    <n v="2895.45"/>
    <n v="0"/>
    <n v="60936.91"/>
    <n v="3"/>
    <m/>
    <n v="75672.456552000003"/>
    <m/>
    <m/>
    <m/>
    <m/>
    <m/>
    <m/>
    <m/>
    <n v="0"/>
    <m/>
    <m/>
    <m/>
    <m/>
    <m/>
    <m/>
    <m/>
    <m/>
    <m/>
    <m/>
    <m/>
    <m/>
    <n v="41322.629000000001"/>
    <n v="-30466.911591999975"/>
    <m/>
    <m/>
    <m/>
    <m/>
    <n v="-86259.419999999984"/>
    <n v="0"/>
    <n v="30"/>
    <n v="1421.5359172164026"/>
    <n v="403.26423306051583"/>
    <n v="1355.5905605160224"/>
    <n v="0"/>
    <n v="0"/>
    <m/>
    <m/>
    <m/>
    <n v="-337.318876360135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5580.26067292551"/>
    <m/>
    <n v="0"/>
    <n v="0"/>
    <n v="-86259.42"/>
    <m/>
    <n v="0"/>
    <m/>
    <n v="-87665.969710329344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4"/>
    <s v="Regular"/>
    <s v="Geração"/>
    <s v="A4"/>
    <s v="Não se aplica"/>
    <s v="Não se aplica"/>
    <s v="Não se aplica"/>
    <s v="PCH MORRINHOS"/>
    <s v="Não se aplica"/>
    <s v="GERAÇÃO"/>
    <x v="2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0.66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0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5"/>
    <s v="Regular"/>
    <s v="Verde"/>
    <s v="A4"/>
    <s v="Industrial"/>
    <s v="Não se aplica"/>
    <s v="Fonte incentivada"/>
    <s v="Não se aplica"/>
    <s v="Ponta"/>
    <s v="LIVRE"/>
    <x v="3"/>
    <n v="0"/>
    <n v="0"/>
    <n v="10.971"/>
    <n v="5.2309728"/>
    <n v="0"/>
    <n v="0"/>
    <m/>
    <n v="1684.16"/>
    <m/>
    <m/>
    <n v="18476.91936"/>
    <n v="18476.91936"/>
    <n v="11853.616950000001"/>
    <n v="0"/>
    <n v="583.65749083551282"/>
    <n v="0"/>
    <n v="0"/>
    <n v="197.47141586115708"/>
    <n v="3012.4822290341199"/>
    <n v="12707.626529242778"/>
    <m/>
    <m/>
    <m/>
    <n v="0"/>
    <n v="0"/>
    <n v="0"/>
    <n v="103.69236983074067"/>
    <m/>
    <n v="13.633998133161676"/>
    <n v="424.09655175457522"/>
    <n v="1363.6807196372376"/>
    <n v="0"/>
    <n v="0"/>
    <m/>
    <m/>
    <n v="0"/>
    <n v="0"/>
    <n v="0"/>
    <m/>
    <m/>
    <n v="0"/>
    <m/>
    <n v="0"/>
    <n v="0"/>
    <n v="0"/>
    <n v="2.0471186565436121"/>
    <m/>
    <n v="68.549327959904957"/>
    <n v="0"/>
    <n v="0"/>
    <n v="0"/>
    <n v="0"/>
    <n v="0"/>
    <m/>
    <n v="6201.8123882400005"/>
    <m/>
    <m/>
    <m/>
    <m/>
    <m/>
    <m/>
    <m/>
    <n v="70.596446616448574"/>
    <m/>
    <m/>
    <m/>
    <m/>
    <m/>
    <m/>
    <m/>
    <m/>
    <m/>
    <m/>
    <m/>
    <m/>
    <n v="5650.7535000000007"/>
    <n v="-3159.071650848"/>
    <m/>
    <m/>
    <m/>
    <m/>
    <n v="-6623.3024100000002"/>
    <n v="0"/>
    <n v="31"/>
    <n v="104.71835298815859"/>
    <n v="41.177095852990988"/>
    <n v="132.40478252667276"/>
    <n v="0"/>
    <n v="0"/>
    <m/>
    <m/>
    <m/>
    <n v="-57.761960721011747"/>
    <n v="0"/>
    <n v="0"/>
    <m/>
    <m/>
    <n v="0.26277030442987304"/>
    <n v="0"/>
    <n v="8.7990638544129496"/>
    <n v="0"/>
    <n v="-17.057685220628628"/>
    <m/>
    <n v="0"/>
    <n v="0"/>
    <m/>
    <n v="0"/>
    <n v="-2.6855965627294154"/>
    <n v="-0.42011704597733157"/>
    <n v="0"/>
    <n v="0"/>
    <m/>
    <m/>
    <m/>
    <n v="12707.626529242778"/>
    <n v="0"/>
    <n v="0"/>
    <n v="-6623.3024099999984"/>
    <m/>
    <n v="0"/>
    <m/>
    <n v="-6728.0145463917033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6"/>
    <s v="Regular"/>
    <s v="Verde"/>
    <s v="A4"/>
    <s v="Industrial"/>
    <s v="Não se aplica"/>
    <s v="Fonte incentivada"/>
    <s v="Não se aplica"/>
    <s v="Fora ponta"/>
    <s v="LIVRE"/>
    <x v="3"/>
    <n v="0"/>
    <n v="0"/>
    <n v="713.51300000000003"/>
    <n v="713.51300000000003"/>
    <n v="0"/>
    <n v="0"/>
    <m/>
    <n v="70.33"/>
    <m/>
    <m/>
    <n v="50181.369290000002"/>
    <n v="50181.369290000002"/>
    <n v="49460.721160000001"/>
    <n v="0"/>
    <n v="37958.910514859104"/>
    <n v="0"/>
    <n v="0"/>
    <n v="0"/>
    <n v="0"/>
    <n v="0"/>
    <m/>
    <m/>
    <m/>
    <n v="0"/>
    <n v="0"/>
    <n v="0"/>
    <n v="6743.765734667877"/>
    <m/>
    <n v="886.70448546044918"/>
    <n v="0"/>
    <n v="0"/>
    <n v="0"/>
    <n v="0"/>
    <m/>
    <m/>
    <n v="0"/>
    <n v="0"/>
    <n v="0"/>
    <m/>
    <m/>
    <n v="0"/>
    <m/>
    <n v="0"/>
    <n v="0"/>
    <n v="0"/>
    <n v="133.13697693796394"/>
    <m/>
    <n v="4458.1931128115639"/>
    <n v="0"/>
    <n v="0"/>
    <n v="0"/>
    <n v="0"/>
    <n v="0"/>
    <m/>
    <m/>
    <m/>
    <m/>
    <m/>
    <m/>
    <m/>
    <m/>
    <m/>
    <n v="4591.3300897495283"/>
    <m/>
    <m/>
    <m/>
    <m/>
    <m/>
    <m/>
    <m/>
    <m/>
    <m/>
    <m/>
    <m/>
    <m/>
    <n v="49460.513199999994"/>
    <n v="-720.88609000001452"/>
    <m/>
    <m/>
    <m/>
    <m/>
    <n v="-720.64813000000368"/>
    <n v="0"/>
    <n v="31"/>
    <n v="-722.00444013645756"/>
    <n v="0"/>
    <n v="0"/>
    <n v="0"/>
    <n v="0"/>
    <m/>
    <m/>
    <m/>
    <n v="0"/>
    <n v="0"/>
    <n v="0"/>
    <m/>
    <m/>
    <n v="17.089602426822694"/>
    <n v="0"/>
    <n v="572.25835821290184"/>
    <n v="0"/>
    <n v="-1109.3683488129027"/>
    <m/>
    <n v="0"/>
    <n v="0"/>
    <m/>
    <n v="0"/>
    <n v="-174.66120319594938"/>
    <n v="-27.322848767334222"/>
    <n v="0"/>
    <n v="0"/>
    <m/>
    <m/>
    <m/>
    <n v="0"/>
    <n v="0"/>
    <n v="0"/>
    <n v="-720.648130000001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7"/>
    <s v="Regular"/>
    <s v="Verde"/>
    <s v="A4"/>
    <s v="Industrial"/>
    <s v="Não se aplica"/>
    <s v="Fonte incentivada"/>
    <s v="Não se aplica"/>
    <s v="Não se aplica"/>
    <s v="LIVRE"/>
    <x v="3"/>
    <n v="3469"/>
    <n v="1217.2720999999999"/>
    <n v="0"/>
    <n v="0"/>
    <n v="0"/>
    <n v="0"/>
    <n v="59.12"/>
    <m/>
    <m/>
    <n v="205087.28"/>
    <m/>
    <n v="205087.28"/>
    <n v="118050.07"/>
    <n v="0"/>
    <n v="0"/>
    <n v="0"/>
    <n v="0"/>
    <n v="1984.477400404543"/>
    <n v="17750.951575331826"/>
    <n v="167073.27640325148"/>
    <m/>
    <m/>
    <m/>
    <n v="0"/>
    <n v="0"/>
    <n v="0"/>
    <n v="0"/>
    <m/>
    <n v="0"/>
    <n v="4190.8021693288183"/>
    <n v="14087.566900285172"/>
    <n v="0"/>
    <n v="0"/>
    <m/>
    <m/>
    <n v="0"/>
    <n v="0"/>
    <n v="0"/>
    <m/>
    <m/>
    <n v="0"/>
    <m/>
    <n v="0"/>
    <n v="0"/>
    <n v="0"/>
    <n v="0"/>
    <m/>
    <n v="0"/>
    <n v="0"/>
    <n v="8543.2800000000007"/>
    <n v="0"/>
    <n v="61967.41"/>
    <n v="3"/>
    <m/>
    <n v="76626.300436999998"/>
    <m/>
    <m/>
    <m/>
    <m/>
    <m/>
    <m/>
    <m/>
    <n v="0"/>
    <m/>
    <m/>
    <m/>
    <m/>
    <m/>
    <m/>
    <m/>
    <m/>
    <m/>
    <m/>
    <m/>
    <m/>
    <n v="41423.698100000001"/>
    <n v="-30541.45845199997"/>
    <m/>
    <m/>
    <m/>
    <m/>
    <n v="-87037.209999999992"/>
    <n v="0"/>
    <n v="31"/>
    <n v="1434.3537221709485"/>
    <n v="406.90041433592978"/>
    <n v="1367.8137447440604"/>
    <n v="0"/>
    <n v="0"/>
    <m/>
    <m/>
    <m/>
    <n v="-340.360436909046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073.27640325148"/>
    <m/>
    <n v="0"/>
    <n v="0"/>
    <n v="-87037.209999999992"/>
    <m/>
    <n v="0"/>
    <m/>
    <n v="-88456.44238660050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8"/>
    <s v="Regular"/>
    <s v="Geração"/>
    <s v="A4"/>
    <s v="Não se aplica"/>
    <s v="Não se aplica"/>
    <s v="Não se aplica"/>
    <s v="PCH MORRINHOS"/>
    <s v="Não se aplica"/>
    <s v="GERAÇÃO"/>
    <x v="3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46.25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1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89"/>
    <s v="Regular"/>
    <s v="Verde"/>
    <s v="A4"/>
    <s v="Industrial"/>
    <s v="Não se aplica"/>
    <s v="Fonte incentivada"/>
    <s v="Não se aplica"/>
    <s v="Ponta"/>
    <s v="LIVRE"/>
    <x v="4"/>
    <n v="0"/>
    <n v="0"/>
    <n v="9.3729999999999993"/>
    <n v="4.5908954"/>
    <n v="0"/>
    <n v="0"/>
    <m/>
    <n v="1684.16"/>
    <m/>
    <m/>
    <n v="15785.63168"/>
    <n v="15785.63168"/>
    <n v="10127.057849999999"/>
    <n v="0"/>
    <n v="498.6438484733626"/>
    <n v="0"/>
    <n v="0"/>
    <n v="168.70837488529992"/>
    <n v="2573.6939142044303"/>
    <n v="10856.675185360727"/>
    <m/>
    <m/>
    <m/>
    <n v="0"/>
    <n v="0"/>
    <n v="0"/>
    <n v="88.588878171865133"/>
    <m/>
    <n v="11.648114529407017"/>
    <n v="362.32403423531434"/>
    <n v="1165.0514433652199"/>
    <n v="0"/>
    <n v="0"/>
    <m/>
    <m/>
    <n v="0"/>
    <n v="0"/>
    <n v="0"/>
    <m/>
    <m/>
    <n v="0"/>
    <m/>
    <n v="0"/>
    <n v="0"/>
    <n v="0"/>
    <n v="1.7489420442788508"/>
    <m/>
    <n v="58.564656910781984"/>
    <n v="0"/>
    <n v="0"/>
    <n v="0"/>
    <n v="0"/>
    <n v="0"/>
    <m/>
    <n v="5166.8249150699994"/>
    <m/>
    <m/>
    <m/>
    <m/>
    <m/>
    <m/>
    <m/>
    <n v="60.313598955060833"/>
    <m/>
    <m/>
    <m/>
    <m/>
    <m/>
    <m/>
    <m/>
    <m/>
    <m/>
    <m/>
    <m/>
    <m/>
    <n v="4959.2655000000004"/>
    <n v="-2772.5668968640002"/>
    <m/>
    <m/>
    <m/>
    <m/>
    <n v="-5658.5738300000003"/>
    <n v="0"/>
    <n v="30"/>
    <n v="89.465419976120756"/>
    <n v="35.179374663210695"/>
    <n v="113.11913468439548"/>
    <n v="0"/>
    <n v="0"/>
    <m/>
    <m/>
    <m/>
    <n v="-49.348542324130904"/>
    <n v="0"/>
    <n v="0"/>
    <m/>
    <m/>
    <n v="0.22449604078217122"/>
    <n v="0"/>
    <n v="7.5174209741511717"/>
    <n v="0"/>
    <n v="-14.573118546436206"/>
    <m/>
    <n v="0"/>
    <n v="0"/>
    <m/>
    <n v="0"/>
    <n v="-2.294421345589555"/>
    <n v="-0.3589241702621031"/>
    <n v="0"/>
    <n v="0"/>
    <m/>
    <m/>
    <m/>
    <n v="10856.675185360727"/>
    <n v="0"/>
    <n v="0"/>
    <n v="-5658.5738300000012"/>
    <m/>
    <n v="0"/>
    <m/>
    <n v="-5748.033938868783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0"/>
    <s v="Regular"/>
    <s v="Verde"/>
    <s v="A4"/>
    <s v="Industrial"/>
    <s v="Não se aplica"/>
    <s v="Fonte incentivada"/>
    <s v="Não se aplica"/>
    <s v="Fora ponta"/>
    <s v="LIVRE"/>
    <x v="4"/>
    <n v="0"/>
    <n v="0"/>
    <n v="644.88099999999997"/>
    <n v="644.88099999999997"/>
    <n v="0"/>
    <n v="0"/>
    <m/>
    <n v="70.33"/>
    <m/>
    <m/>
    <n v="45354.480729999996"/>
    <n v="45354.480729999996"/>
    <n v="44703.150919999993"/>
    <n v="0"/>
    <n v="34307.686295460422"/>
    <n v="0"/>
    <n v="0"/>
    <n v="0"/>
    <n v="0"/>
    <n v="0"/>
    <m/>
    <m/>
    <m/>
    <n v="0"/>
    <n v="0"/>
    <n v="0"/>
    <n v="6095.0906160621525"/>
    <m/>
    <n v="801.41339441358434"/>
    <n v="0"/>
    <n v="0"/>
    <n v="0"/>
    <n v="0"/>
    <m/>
    <m/>
    <n v="0"/>
    <n v="0"/>
    <n v="0"/>
    <m/>
    <m/>
    <n v="0"/>
    <m/>
    <n v="0"/>
    <n v="0"/>
    <n v="0"/>
    <n v="120.33068328780429"/>
    <m/>
    <n v="4029.364612534087"/>
    <n v="0"/>
    <n v="0"/>
    <n v="0"/>
    <n v="0"/>
    <n v="0"/>
    <m/>
    <m/>
    <m/>
    <m/>
    <m/>
    <m/>
    <m/>
    <m/>
    <m/>
    <n v="4149.6952958218917"/>
    <m/>
    <m/>
    <m/>
    <m/>
    <m/>
    <m/>
    <m/>
    <m/>
    <m/>
    <m/>
    <m/>
    <m/>
    <n v="44703.081599999998"/>
    <n v="-651.42913000000408"/>
    <m/>
    <m/>
    <m/>
    <m/>
    <n v="-651.32981000000325"/>
    <n v="0"/>
    <n v="30"/>
    <n v="-652.55565821455821"/>
    <n v="0"/>
    <n v="0"/>
    <n v="0"/>
    <n v="0"/>
    <m/>
    <m/>
    <m/>
    <n v="0"/>
    <n v="0"/>
    <n v="0"/>
    <m/>
    <m/>
    <n v="15.445773100997272"/>
    <n v="0"/>
    <n v="517.21348076726599"/>
    <n v="0"/>
    <n v="-1002.6594752314413"/>
    <m/>
    <n v="0"/>
    <n v="0"/>
    <m/>
    <n v="0"/>
    <n v="-157.86074167983861"/>
    <n v="-24.694695171534704"/>
    <n v="0"/>
    <n v="0"/>
    <m/>
    <m/>
    <m/>
    <n v="0"/>
    <n v="0"/>
    <n v="0"/>
    <n v="-651.3298100000029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1"/>
    <s v="Regular"/>
    <s v="Verde"/>
    <s v="A4"/>
    <s v="Industrial"/>
    <s v="Não se aplica"/>
    <s v="Fonte incentivada"/>
    <s v="Não se aplica"/>
    <s v="Não se aplica"/>
    <s v="LIVRE"/>
    <x v="4"/>
    <n v="3477"/>
    <n v="1220.0793000000001"/>
    <n v="0"/>
    <n v="0"/>
    <n v="0"/>
    <n v="0"/>
    <n v="59.12"/>
    <m/>
    <m/>
    <n v="205560.24"/>
    <m/>
    <n v="205560.24"/>
    <n v="118322.31"/>
    <n v="0"/>
    <n v="0"/>
    <n v="0"/>
    <n v="0"/>
    <n v="1989.0538833112125"/>
    <n v="17791.887756537551"/>
    <n v="167458.57078527109"/>
    <m/>
    <m/>
    <m/>
    <n v="0"/>
    <n v="0"/>
    <n v="0"/>
    <n v="0"/>
    <m/>
    <n v="0"/>
    <n v="4200.4667462543384"/>
    <n v="14120.05480319733"/>
    <n v="0"/>
    <n v="0"/>
    <m/>
    <m/>
    <n v="0"/>
    <n v="0"/>
    <n v="0"/>
    <m/>
    <m/>
    <n v="0"/>
    <m/>
    <n v="0"/>
    <n v="0"/>
    <n v="0"/>
    <n v="0"/>
    <m/>
    <n v="0"/>
    <n v="0"/>
    <n v="6366.82"/>
    <n v="0"/>
    <n v="58944.1"/>
    <n v="3"/>
    <m/>
    <n v="76803.011420999988"/>
    <m/>
    <m/>
    <m/>
    <m/>
    <m/>
    <m/>
    <m/>
    <n v="0"/>
    <m/>
    <m/>
    <m/>
    <m/>
    <m/>
    <m/>
    <m/>
    <m/>
    <m/>
    <m/>
    <m/>
    <m/>
    <n v="41519.322399999997"/>
    <n v="-30611.795815999991"/>
    <m/>
    <m/>
    <m/>
    <m/>
    <n v="-87237.93"/>
    <n v="0"/>
    <n v="30"/>
    <n v="1437.6615428043733"/>
    <n v="407.83878369732793"/>
    <n v="1370.9681148674263"/>
    <n v="0"/>
    <n v="0"/>
    <m/>
    <m/>
    <m/>
    <n v="-341.145355760381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458.57078527109"/>
    <m/>
    <n v="0"/>
    <n v="0"/>
    <n v="-87237.93"/>
    <m/>
    <n v="0"/>
    <m/>
    <n v="-88660.43533531564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2"/>
    <s v="Regular"/>
    <s v="Geração"/>
    <s v="A4"/>
    <s v="Não se aplica"/>
    <s v="Não se aplica"/>
    <s v="Não se aplica"/>
    <s v="PCH MORRINHOS"/>
    <s v="Não se aplica"/>
    <s v="GERAÇÃO"/>
    <x v="4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847.05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0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3"/>
    <s v="Regular"/>
    <s v="Verde"/>
    <s v="A4"/>
    <s v="Industrial"/>
    <s v="Não se aplica"/>
    <s v="Fonte incentivada"/>
    <s v="Não se aplica"/>
    <s v="Ponta"/>
    <s v="LIVRE"/>
    <x v="5"/>
    <n v="0"/>
    <n v="0"/>
    <n v="6.9569999999999999"/>
    <n v="3.4026687"/>
    <n v="0"/>
    <n v="0"/>
    <m/>
    <n v="1684.16"/>
    <m/>
    <m/>
    <n v="11716.70112"/>
    <n v="11716.70112"/>
    <n v="7516.6906500000005"/>
    <n v="0"/>
    <n v="370.1125844264572"/>
    <n v="0"/>
    <n v="0"/>
    <n v="125.22182482417918"/>
    <n v="1910.2943093054755"/>
    <n v="8058.2406128832372"/>
    <m/>
    <m/>
    <m/>
    <n v="0"/>
    <n v="0"/>
    <n v="0"/>
    <n v="65.75406224705705"/>
    <m/>
    <n v="8.6456772411271334"/>
    <n v="268.93079122747059"/>
    <n v="864.7458542080268"/>
    <n v="0"/>
    <n v="0"/>
    <m/>
    <m/>
    <n v="0"/>
    <n v="0"/>
    <n v="0"/>
    <m/>
    <m/>
    <n v="0"/>
    <m/>
    <n v="0"/>
    <n v="0"/>
    <n v="0"/>
    <n v="1.298131847012479"/>
    <m/>
    <n v="43.468933972933989"/>
    <n v="0"/>
    <n v="0"/>
    <n v="0"/>
    <n v="0"/>
    <n v="0"/>
    <m/>
    <n v="3840.2772530850002"/>
    <m/>
    <m/>
    <m/>
    <m/>
    <m/>
    <m/>
    <m/>
    <n v="44.767065819946467"/>
    <m/>
    <m/>
    <m/>
    <m/>
    <m/>
    <m/>
    <m/>
    <m/>
    <m/>
    <m/>
    <m/>
    <m/>
    <n v="3673.53"/>
    <n v="-2057.1385177920006"/>
    <m/>
    <m/>
    <m/>
    <m/>
    <n v="-4200.0104700000002"/>
    <n v="0"/>
    <m/>
    <n v="66.404665184452824"/>
    <n v="26.111480799312574"/>
    <n v="83.961359223230488"/>
    <n v="0"/>
    <n v="0"/>
    <m/>
    <m/>
    <m/>
    <n v="-36.628380342364153"/>
    <n v="0"/>
    <n v="0"/>
    <m/>
    <m/>
    <n v="0.16662956958514519"/>
    <n v="0"/>
    <n v="5.5797180963586612"/>
    <n v="0"/>
    <n v="-10.816727379446945"/>
    <m/>
    <n v="0"/>
    <n v="0"/>
    <m/>
    <n v="0"/>
    <n v="-1.7030075004018386"/>
    <n v="-0.26640728182155726"/>
    <n v="0"/>
    <n v="0"/>
    <m/>
    <m/>
    <m/>
    <n v="8058.2406128832372"/>
    <n v="0"/>
    <n v="0"/>
    <n v="-4200.0104699999993"/>
    <m/>
    <n v="0"/>
    <m/>
    <n v="-4266.411193076936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4"/>
    <s v="Regular"/>
    <s v="Verde"/>
    <s v="A4"/>
    <s v="Industrial"/>
    <s v="Não se aplica"/>
    <s v="Fonte incentivada"/>
    <s v="Não se aplica"/>
    <s v="Fora ponta"/>
    <s v="LIVRE"/>
    <x v="5"/>
    <n v="0"/>
    <n v="0"/>
    <n v="646.25"/>
    <n v="646.25"/>
    <n v="0"/>
    <n v="0"/>
    <m/>
    <n v="70.33"/>
    <m/>
    <m/>
    <n v="45450.762499999997"/>
    <n v="45450.762499999997"/>
    <n v="44798.049999999996"/>
    <n v="0"/>
    <n v="34380.517131751905"/>
    <n v="0"/>
    <n v="0"/>
    <n v="0"/>
    <n v="0"/>
    <n v="0"/>
    <m/>
    <m/>
    <m/>
    <n v="0"/>
    <n v="0"/>
    <n v="0"/>
    <n v="6108.0297149864336"/>
    <m/>
    <n v="803.11469269489862"/>
    <n v="0"/>
    <n v="0"/>
    <n v="0"/>
    <n v="0"/>
    <m/>
    <m/>
    <n v="0"/>
    <n v="0"/>
    <n v="0"/>
    <m/>
    <m/>
    <n v="0"/>
    <m/>
    <n v="0"/>
    <n v="0"/>
    <n v="0"/>
    <n v="120.58612996001359"/>
    <m/>
    <n v="4037.918438983555"/>
    <n v="0"/>
    <n v="0"/>
    <n v="0"/>
    <n v="0"/>
    <n v="0"/>
    <m/>
    <m/>
    <m/>
    <m/>
    <m/>
    <m/>
    <m/>
    <m/>
    <m/>
    <n v="4158.5045689435683"/>
    <m/>
    <m/>
    <m/>
    <m/>
    <m/>
    <m/>
    <m/>
    <m/>
    <m/>
    <m/>
    <m/>
    <m/>
    <n v="44798.049999999996"/>
    <n v="-652.74250000000757"/>
    <m/>
    <m/>
    <m/>
    <m/>
    <n v="-652.71250000000327"/>
    <n v="0"/>
    <m/>
    <n v="-653.94095053376077"/>
    <n v="0"/>
    <n v="0"/>
    <n v="0"/>
    <n v="0"/>
    <m/>
    <m/>
    <m/>
    <n v="0"/>
    <n v="0"/>
    <n v="0"/>
    <m/>
    <m/>
    <n v="15.478562504585327"/>
    <n v="0"/>
    <n v="518.3114589293923"/>
    <n v="0"/>
    <n v="-1004.787993239559"/>
    <m/>
    <n v="0"/>
    <n v="0"/>
    <m/>
    <n v="0"/>
    <n v="-158.19585987274604"/>
    <n v="-24.747118855423423"/>
    <n v="0"/>
    <n v="0"/>
    <m/>
    <m/>
    <m/>
    <n v="0"/>
    <n v="0"/>
    <n v="0"/>
    <n v="-652.7125000000014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5"/>
    <s v="Regular"/>
    <s v="Verde"/>
    <s v="A4"/>
    <s v="Industrial"/>
    <s v="Não se aplica"/>
    <s v="Fonte incentivada"/>
    <s v="Não se aplica"/>
    <s v="Não se aplica"/>
    <s v="LIVRE"/>
    <x v="5"/>
    <n v="3433"/>
    <n v="1215.6252999999999"/>
    <n v="0"/>
    <n v="0"/>
    <n v="0"/>
    <n v="0"/>
    <n v="59.12"/>
    <m/>
    <m/>
    <n v="202958.96"/>
    <m/>
    <n v="202958.96"/>
    <n v="116824.99"/>
    <n v="0"/>
    <n v="0"/>
    <n v="0"/>
    <n v="0"/>
    <n v="1963.8832273245305"/>
    <n v="17566.738759906071"/>
    <n v="165339.45168416327"/>
    <m/>
    <m/>
    <m/>
    <n v="0"/>
    <n v="0"/>
    <n v="0"/>
    <n v="0"/>
    <m/>
    <n v="0"/>
    <n v="4147.3115731639764"/>
    <n v="13941.371337180453"/>
    <n v="0"/>
    <n v="0"/>
    <m/>
    <m/>
    <n v="0"/>
    <n v="0"/>
    <n v="0"/>
    <m/>
    <m/>
    <n v="0"/>
    <m/>
    <n v="0"/>
    <n v="0"/>
    <n v="0"/>
    <n v="0"/>
    <m/>
    <n v="0"/>
    <n v="0"/>
    <n v="1207.71"/>
    <n v="0"/>
    <n v="56487.87"/>
    <n v="3"/>
    <m/>
    <n v="75457.26104100002"/>
    <m/>
    <m/>
    <m/>
    <m/>
    <m/>
    <m/>
    <m/>
    <n v="0"/>
    <m/>
    <m/>
    <m/>
    <m/>
    <m/>
    <m/>
    <m/>
    <m/>
    <m/>
    <m/>
    <m/>
    <m/>
    <n v="41367.888900000005"/>
    <n v="-30499.908835999973"/>
    <m/>
    <m/>
    <m/>
    <m/>
    <n v="-86133.969999999987"/>
    <n v="0"/>
    <m/>
    <n v="1419.4685293205112"/>
    <n v="402.67775220964177"/>
    <n v="1353.6190791889203"/>
    <n v="0"/>
    <n v="0"/>
    <m/>
    <m/>
    <m/>
    <n v="-336.828302078050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5339.45168416327"/>
    <m/>
    <n v="0"/>
    <n v="0"/>
    <n v="-86133.969999999987"/>
    <m/>
    <n v="0"/>
    <m/>
    <n v="-87538.47411738241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6"/>
    <s v="Regular"/>
    <s v="Geração"/>
    <s v="A4"/>
    <s v="Não se aplica"/>
    <s v="Não se aplica"/>
    <s v="Não se aplica"/>
    <s v="PCH MORRINHOS"/>
    <s v="Não se aplica"/>
    <s v="GERAÇÃO"/>
    <x v="5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8.17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m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7"/>
    <s v="Regular"/>
    <s v="Verde"/>
    <s v="A4"/>
    <s v="Industrial"/>
    <s v="Não se aplica"/>
    <s v="Fonte incentivada"/>
    <s v="Não se aplica"/>
    <s v="Ponta"/>
    <s v="LIVRE"/>
    <x v="6"/>
    <n v="0"/>
    <n v="0"/>
    <n v="8.8279999999999994"/>
    <n v="4.1526911999999996"/>
    <n v="0"/>
    <n v="0"/>
    <m/>
    <n v="1684.16"/>
    <m/>
    <m/>
    <n v="14867.76448"/>
    <n v="14867.76448"/>
    <n v="9538.2125999999989"/>
    <n v="0"/>
    <n v="469.64983402569561"/>
    <n v="0"/>
    <n v="0"/>
    <n v="158.89870196174411"/>
    <n v="2424.0445828013135"/>
    <n v="10225.405797115598"/>
    <m/>
    <m/>
    <m/>
    <n v="0"/>
    <n v="0"/>
    <n v="0"/>
    <n v="83.437812493462644"/>
    <m/>
    <n v="10.970826316612092"/>
    <n v="341.2564359574688"/>
    <n v="1097.3086676654391"/>
    <n v="0"/>
    <n v="0"/>
    <m/>
    <m/>
    <n v="0"/>
    <n v="0"/>
    <n v="0"/>
    <m/>
    <m/>
    <n v="0"/>
    <m/>
    <n v="0"/>
    <n v="0"/>
    <n v="0"/>
    <n v="1.6472485188193424"/>
    <m/>
    <n v="55.159371728196241"/>
    <n v="0"/>
    <n v="0"/>
    <n v="0"/>
    <n v="0"/>
    <n v="0"/>
    <m/>
    <n v="5051.4373929599997"/>
    <m/>
    <m/>
    <m/>
    <m/>
    <m/>
    <m/>
    <m/>
    <n v="56.806620247015587"/>
    <m/>
    <m/>
    <m/>
    <m/>
    <m/>
    <m/>
    <m/>
    <m/>
    <m/>
    <m/>
    <m/>
    <m/>
    <n v="4483.8675000000003"/>
    <n v="-2509.9589113920001"/>
    <m/>
    <m/>
    <m/>
    <m/>
    <n v="-5329.55188"/>
    <n v="0"/>
    <n v="31"/>
    <n v="84.263387127833994"/>
    <n v="33.133843969574741"/>
    <n v="106.54173914369403"/>
    <n v="0"/>
    <n v="0"/>
    <m/>
    <m/>
    <m/>
    <n v="-46.479134923442871"/>
    <n v="0"/>
    <n v="0"/>
    <m/>
    <m/>
    <n v="0.21144255286727898"/>
    <n v="0"/>
    <n v="7.0803149855762868"/>
    <n v="0"/>
    <n v="-13.725753817127782"/>
    <m/>
    <n v="0"/>
    <n v="0"/>
    <m/>
    <n v="0"/>
    <n v="-2.1610105237239452"/>
    <n v="-0.33805425958325408"/>
    <n v="0"/>
    <n v="0"/>
    <m/>
    <m/>
    <m/>
    <n v="10225.405797115598"/>
    <n v="0"/>
    <n v="0"/>
    <n v="-5329.5518800000009"/>
    <m/>
    <n v="0"/>
    <m/>
    <n v="-5413.8102648387521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8"/>
    <s v="Regular"/>
    <s v="Verde"/>
    <s v="A4"/>
    <s v="Industrial"/>
    <s v="Não se aplica"/>
    <s v="Fonte incentivada"/>
    <s v="Não se aplica"/>
    <s v="Fora ponta"/>
    <s v="LIVRE"/>
    <x v="6"/>
    <n v="0"/>
    <n v="0"/>
    <n v="584.05899999999997"/>
    <n v="584.05899999999997"/>
    <n v="0"/>
    <n v="0"/>
    <m/>
    <n v="70.33"/>
    <m/>
    <m/>
    <n v="41076.869469999998"/>
    <n v="41076.869469999998"/>
    <n v="40486.969879999997"/>
    <n v="0"/>
    <n v="31071.954283100786"/>
    <n v="0"/>
    <n v="0"/>
    <n v="0"/>
    <n v="0"/>
    <n v="0"/>
    <m/>
    <m/>
    <m/>
    <n v="0"/>
    <n v="0"/>
    <n v="0"/>
    <n v="5520.2316863524347"/>
    <m/>
    <n v="725.82802986567083"/>
    <n v="0"/>
    <n v="0"/>
    <n v="0"/>
    <n v="0"/>
    <m/>
    <m/>
    <n v="0"/>
    <n v="0"/>
    <n v="0"/>
    <m/>
    <m/>
    <n v="0"/>
    <m/>
    <n v="0"/>
    <n v="0"/>
    <n v="0"/>
    <n v="108.98168584652313"/>
    <m/>
    <n v="3649.334786157518"/>
    <n v="0"/>
    <n v="0"/>
    <n v="0"/>
    <n v="0"/>
    <n v="0"/>
    <m/>
    <m/>
    <m/>
    <m/>
    <m/>
    <m/>
    <m/>
    <m/>
    <m/>
    <n v="3758.3164720040413"/>
    <m/>
    <m/>
    <m/>
    <m/>
    <m/>
    <m/>
    <m/>
    <m/>
    <m/>
    <m/>
    <m/>
    <m/>
    <n v="40487.039199999992"/>
    <n v="-589.86027000001195"/>
    <m/>
    <m/>
    <m/>
    <m/>
    <n v="-589.89959000000295"/>
    <n v="0"/>
    <n v="31"/>
    <n v="-591.0098222480301"/>
    <n v="0"/>
    <n v="0"/>
    <n v="0"/>
    <n v="0"/>
    <m/>
    <m/>
    <m/>
    <n v="0"/>
    <n v="0"/>
    <n v="0"/>
    <m/>
    <m/>
    <n v="13.989003849695308"/>
    <n v="0"/>
    <n v="468.43245244230866"/>
    <n v="0"/>
    <n v="-908.09357144062233"/>
    <m/>
    <n v="0"/>
    <n v="0"/>
    <m/>
    <n v="0"/>
    <n v="-142.97209395963728"/>
    <n v="-22.365613139775178"/>
    <n v="0"/>
    <n v="0"/>
    <m/>
    <m/>
    <m/>
    <n v="0"/>
    <n v="0"/>
    <n v="0"/>
    <n v="-589.899590000000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799"/>
    <s v="Regular"/>
    <s v="Verde"/>
    <s v="A4"/>
    <s v="Industrial"/>
    <s v="Não se aplica"/>
    <s v="Fonte incentivada"/>
    <s v="Não se aplica"/>
    <s v="Não se aplica"/>
    <s v="LIVRE"/>
    <x v="6"/>
    <n v="4100"/>
    <n v="1601.87"/>
    <n v="0"/>
    <n v="0"/>
    <n v="0"/>
    <n v="0"/>
    <n v="59.12"/>
    <m/>
    <m/>
    <n v="242392"/>
    <m/>
    <n v="242392"/>
    <n v="139523"/>
    <n v="0"/>
    <n v="0"/>
    <n v="0"/>
    <n v="0"/>
    <n v="2345.4474896680963"/>
    <n v="20979.792867933265"/>
    <n v="197463.37078504788"/>
    <m/>
    <m/>
    <m/>
    <n v="0"/>
    <n v="0"/>
    <n v="0"/>
    <n v="0"/>
    <m/>
    <n v="0"/>
    <n v="4953.0956743292463"/>
    <n v="16650.050242481753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740.83"/>
    <n v="4"/>
    <m/>
    <n v="85011.363900000011"/>
    <m/>
    <m/>
    <m/>
    <m/>
    <m/>
    <m/>
    <m/>
    <n v="0"/>
    <m/>
    <m/>
    <m/>
    <m/>
    <m/>
    <m/>
    <m/>
    <m/>
    <m/>
    <m/>
    <m/>
    <m/>
    <n v="54511.636099999996"/>
    <n v="-40190.948299999982"/>
    <m/>
    <m/>
    <m/>
    <m/>
    <n v="-102868.99999999999"/>
    <n v="0"/>
    <n v="31"/>
    <n v="1695.2580746327003"/>
    <n v="480.91429771614639"/>
    <n v="1616.6146882244611"/>
    <n v="0"/>
    <n v="0"/>
    <m/>
    <m/>
    <m/>
    <n v="-402.270911307899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7463.37078504788"/>
    <m/>
    <n v="0"/>
    <n v="0"/>
    <n v="-102869"/>
    <m/>
    <n v="0"/>
    <m/>
    <n v="-104546.386216506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0"/>
    <s v="Regular"/>
    <s v="Geração"/>
    <s v="A4"/>
    <s v="Não se aplica"/>
    <s v="Não se aplica"/>
    <s v="Não se aplica"/>
    <s v="PCH MORRINHOS"/>
    <s v="Não se aplica"/>
    <s v="GERAÇÃO"/>
    <x v="6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1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1"/>
    <s v="Regular"/>
    <s v="Verde"/>
    <s v="A4"/>
    <s v="Industrial"/>
    <s v="Não se aplica"/>
    <s v="Fonte incentivada"/>
    <s v="Não se aplica"/>
    <s v="Ponta"/>
    <s v="LIVRE"/>
    <x v="7"/>
    <n v="0"/>
    <n v="0"/>
    <n v="7.8129999999999997"/>
    <n v="3.7760229000000001"/>
    <n v="0"/>
    <n v="0"/>
    <m/>
    <n v="1684.16"/>
    <m/>
    <m/>
    <n v="13158.34208"/>
    <n v="13158.34208"/>
    <n v="8441.5558500000006"/>
    <n v="0"/>
    <n v="415.65180711857272"/>
    <n v="0"/>
    <n v="0"/>
    <n v="140.62931110411267"/>
    <n v="2145.3398646835817"/>
    <n v="9049.7389547875136"/>
    <m/>
    <m/>
    <m/>
    <n v="0"/>
    <n v="0"/>
    <n v="0"/>
    <n v="73.844543385979122"/>
    <m/>
    <n v="9.7094546909481512"/>
    <n v="302.0204501739583"/>
    <n v="971.14551659153562"/>
    <n v="0"/>
    <n v="0"/>
    <m/>
    <m/>
    <n v="0"/>
    <n v="0"/>
    <n v="0"/>
    <m/>
    <m/>
    <n v="0"/>
    <m/>
    <n v="0"/>
    <n v="0"/>
    <n v="0"/>
    <n v="1.4578559897525512"/>
    <m/>
    <n v="48.81741858998609"/>
    <n v="0"/>
    <n v="0"/>
    <n v="0"/>
    <n v="0"/>
    <n v="0"/>
    <m/>
    <n v="4361.7519076950002"/>
    <m/>
    <m/>
    <m/>
    <m/>
    <m/>
    <m/>
    <m/>
    <n v="50.275274579738642"/>
    <m/>
    <m/>
    <m/>
    <m/>
    <m/>
    <m/>
    <m/>
    <m/>
    <m/>
    <m/>
    <m/>
    <m/>
    <n v="4084.1010000000001"/>
    <n v="-2275.3557272640014"/>
    <m/>
    <m/>
    <m/>
    <m/>
    <n v="-4716.7862299999997"/>
    <n v="0"/>
    <n v="29"/>
    <n v="74.575197511302576"/>
    <n v="29.324277631885707"/>
    <n v="94.292094237616766"/>
    <n v="0"/>
    <n v="0"/>
    <m/>
    <m/>
    <m/>
    <n v="-41.135192700142397"/>
    <n v="0"/>
    <n v="0"/>
    <m/>
    <m/>
    <n v="0.18713192858541605"/>
    <n v="0"/>
    <n v="6.2662552086891239"/>
    <n v="0"/>
    <n v="-12.147634183645152"/>
    <m/>
    <n v="0"/>
    <n v="0"/>
    <m/>
    <n v="0"/>
    <n v="-1.9125481674054328"/>
    <n v="-0.29918644428227914"/>
    <n v="0"/>
    <n v="0"/>
    <m/>
    <m/>
    <m/>
    <n v="9049.7389547875136"/>
    <n v="0"/>
    <n v="0"/>
    <n v="-4716.7862299999997"/>
    <m/>
    <n v="0"/>
    <m/>
    <n v="-4791.3570003608029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2"/>
    <s v="Regular"/>
    <s v="Verde"/>
    <s v="A4"/>
    <s v="Industrial"/>
    <s v="Não se aplica"/>
    <s v="Fonte incentivada"/>
    <s v="Não se aplica"/>
    <s v="Fora ponta"/>
    <s v="LIVRE"/>
    <x v="7"/>
    <n v="0"/>
    <n v="0"/>
    <n v="683.77200000000005"/>
    <n v="683.77200000000005"/>
    <n v="0"/>
    <n v="0"/>
    <m/>
    <n v="70.33"/>
    <m/>
    <m/>
    <n v="48089.684760000004"/>
    <n v="48089.684760000004"/>
    <n v="47399.075039999996"/>
    <n v="0"/>
    <n v="36376.688526440637"/>
    <n v="0"/>
    <n v="0"/>
    <n v="0"/>
    <n v="0"/>
    <n v="0"/>
    <m/>
    <m/>
    <m/>
    <n v="0"/>
    <n v="0"/>
    <n v="0"/>
    <n v="6462.6687725736228"/>
    <m/>
    <n v="849.7444327324971"/>
    <n v="0"/>
    <n v="0"/>
    <n v="0"/>
    <n v="0"/>
    <m/>
    <m/>
    <n v="0"/>
    <n v="0"/>
    <n v="0"/>
    <m/>
    <m/>
    <n v="0"/>
    <m/>
    <n v="0"/>
    <n v="0"/>
    <n v="0"/>
    <n v="127.5874959458699"/>
    <m/>
    <n v="4272.3645135174675"/>
    <n v="0"/>
    <n v="0"/>
    <n v="0"/>
    <n v="0"/>
    <n v="0"/>
    <m/>
    <m/>
    <m/>
    <m/>
    <m/>
    <m/>
    <m/>
    <m/>
    <m/>
    <n v="4399.9520094633372"/>
    <m/>
    <m/>
    <m/>
    <m/>
    <m/>
    <m/>
    <m/>
    <m/>
    <m/>
    <m/>
    <m/>
    <m/>
    <n v="47398.936399999991"/>
    <n v="-690.77836000001844"/>
    <m/>
    <m/>
    <m/>
    <m/>
    <n v="-690.60972000000356"/>
    <n v="0"/>
    <n v="29"/>
    <n v="-691.90949574987462"/>
    <n v="0"/>
    <n v="0"/>
    <n v="0"/>
    <n v="0"/>
    <m/>
    <m/>
    <m/>
    <n v="0"/>
    <n v="0"/>
    <n v="0"/>
    <m/>
    <m/>
    <n v="16.377265208333171"/>
    <n v="0"/>
    <n v="548.40520370610284"/>
    <n v="0"/>
    <n v="-1063.1271113553521"/>
    <m/>
    <n v="0"/>
    <n v="0"/>
    <m/>
    <n v="0"/>
    <n v="-167.38088897006855"/>
    <n v="-26.183964338894498"/>
    <n v="0"/>
    <n v="0"/>
    <m/>
    <m/>
    <m/>
    <n v="0"/>
    <n v="0"/>
    <n v="0"/>
    <n v="-690.6097200000076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3"/>
    <s v="Regular"/>
    <s v="Verde"/>
    <s v="A4"/>
    <s v="Industrial"/>
    <s v="Não se aplica"/>
    <s v="Fonte incentivada"/>
    <s v="Não se aplica"/>
    <s v="Não se aplica"/>
    <s v="LIVRE"/>
    <x v="7"/>
    <n v="4100"/>
    <n v="1601.87"/>
    <n v="0"/>
    <n v="0"/>
    <n v="0"/>
    <n v="0"/>
    <n v="59.12"/>
    <m/>
    <m/>
    <n v="242392"/>
    <m/>
    <n v="242392"/>
    <n v="139523"/>
    <n v="0"/>
    <n v="0"/>
    <n v="0"/>
    <n v="0"/>
    <n v="2345.4474896680963"/>
    <n v="20979.792867933265"/>
    <n v="197463.37078504788"/>
    <m/>
    <m/>
    <m/>
    <n v="0"/>
    <n v="0"/>
    <n v="0"/>
    <n v="0"/>
    <m/>
    <n v="0"/>
    <n v="4953.0956743292463"/>
    <n v="16650.050242481753"/>
    <n v="0"/>
    <n v="0"/>
    <m/>
    <m/>
    <n v="0"/>
    <n v="0"/>
    <n v="0"/>
    <m/>
    <m/>
    <n v="0"/>
    <m/>
    <n v="0"/>
    <n v="0"/>
    <n v="0"/>
    <n v="0"/>
    <m/>
    <n v="0"/>
    <n v="0"/>
    <n v="3726.92"/>
    <n v="0"/>
    <n v="53854.98"/>
    <n v="4"/>
    <m/>
    <n v="85011.363900000011"/>
    <m/>
    <m/>
    <m/>
    <m/>
    <m/>
    <m/>
    <m/>
    <n v="0"/>
    <m/>
    <m/>
    <m/>
    <m/>
    <m/>
    <m/>
    <m/>
    <m/>
    <m/>
    <m/>
    <m/>
    <m/>
    <n v="54511.636099999996"/>
    <n v="-40190.948299999982"/>
    <m/>
    <m/>
    <m/>
    <m/>
    <n v="-102868.99999999999"/>
    <n v="0"/>
    <n v="29"/>
    <n v="1695.2580746327003"/>
    <n v="480.91429771614639"/>
    <n v="1616.6146882244611"/>
    <n v="0"/>
    <n v="0"/>
    <m/>
    <m/>
    <m/>
    <n v="-402.270911307899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7463.37078504788"/>
    <m/>
    <n v="0"/>
    <n v="0"/>
    <n v="-102869"/>
    <m/>
    <n v="0"/>
    <m/>
    <n v="-104546.3862165068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4"/>
    <s v="Regular"/>
    <s v="Geração"/>
    <s v="A4"/>
    <s v="Não se aplica"/>
    <s v="Não se aplica"/>
    <s v="Não se aplica"/>
    <s v="PCH MORRINHOS"/>
    <s v="Não se aplica"/>
    <s v="GERAÇÃO"/>
    <x v="7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9.73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29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5"/>
    <s v="Regular"/>
    <s v="Verde"/>
    <s v="A4"/>
    <s v="Industrial"/>
    <s v="Não se aplica"/>
    <s v="Fonte incentivada"/>
    <s v="Não se aplica"/>
    <s v="Ponta"/>
    <s v="LIVRE"/>
    <x v="8"/>
    <n v="0"/>
    <n v="0"/>
    <n v="11.5"/>
    <n v="6.1191500000000003"/>
    <n v="0"/>
    <n v="0"/>
    <m/>
    <n v="1684.16"/>
    <m/>
    <m/>
    <n v="19367.84"/>
    <n v="19367.84"/>
    <n v="12425.175000000001"/>
    <n v="0"/>
    <n v="611.80030485902807"/>
    <n v="0"/>
    <n v="0"/>
    <n v="206.99309838695712"/>
    <n v="3157.7381855703561"/>
    <n v="13320.363238199976"/>
    <m/>
    <m/>
    <m/>
    <n v="0"/>
    <n v="0"/>
    <n v="0"/>
    <n v="108.69221156262125"/>
    <m/>
    <n v="14.29140265530574"/>
    <n v="444.5456517343556"/>
    <n v="1429.4347166008781"/>
    <n v="0"/>
    <n v="0"/>
    <m/>
    <m/>
    <n v="0"/>
    <n v="0"/>
    <n v="0"/>
    <m/>
    <m/>
    <n v="0"/>
    <m/>
    <n v="0"/>
    <n v="0"/>
    <n v="0"/>
    <n v="2.1458266840079787"/>
    <m/>
    <n v="71.854641467405614"/>
    <n v="0"/>
    <n v="0"/>
    <n v="0"/>
    <n v="0"/>
    <n v="0"/>
    <m/>
    <n v="5813.7393824999999"/>
    <m/>
    <m/>
    <m/>
    <m/>
    <m/>
    <m/>
    <m/>
    <n v="74.0004681514136"/>
    <m/>
    <m/>
    <m/>
    <m/>
    <m/>
    <m/>
    <m/>
    <m/>
    <m/>
    <m/>
    <m/>
    <m/>
    <n v="6612.3540000000003"/>
    <n v="-3693.3036640000018"/>
    <m/>
    <m/>
    <m/>
    <m/>
    <n v="-6942.6650000000009"/>
    <n v="0"/>
    <n v="31"/>
    <n v="109.76766560603664"/>
    <n v="43.16257426938256"/>
    <n v="138.78908021663779"/>
    <n v="0"/>
    <n v="0"/>
    <m/>
    <m/>
    <m/>
    <n v="-60.547128638376762"/>
    <n v="0"/>
    <n v="0"/>
    <m/>
    <m/>
    <n v="0.27544057068120908"/>
    <n v="0"/>
    <n v="9.2233373735984827"/>
    <n v="0"/>
    <n v="-17.880173187241667"/>
    <m/>
    <n v="0"/>
    <n v="0"/>
    <m/>
    <n v="0"/>
    <n v="-2.8150907366136551"/>
    <n v="-0.44037426203074581"/>
    <n v="0"/>
    <n v="0"/>
    <m/>
    <m/>
    <m/>
    <n v="13320.363238199976"/>
    <n v="0"/>
    <n v="0"/>
    <n v="-6942.6649999999991"/>
    <m/>
    <n v="0"/>
    <m/>
    <n v="-7052.426149257549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6"/>
    <s v="Regular"/>
    <s v="Verde"/>
    <s v="A4"/>
    <s v="Industrial"/>
    <s v="Não se aplica"/>
    <s v="Fonte incentivada"/>
    <s v="Não se aplica"/>
    <s v="Fora ponta"/>
    <s v="LIVRE"/>
    <x v="8"/>
    <n v="0"/>
    <n v="0"/>
    <n v="816.57799999999997"/>
    <n v="816.57799999999997"/>
    <n v="0"/>
    <n v="0"/>
    <m/>
    <n v="70.33"/>
    <m/>
    <m/>
    <n v="57429.930739999996"/>
    <n v="57429.930739999996"/>
    <n v="56605.186959999992"/>
    <n v="0"/>
    <n v="43441.971247058733"/>
    <n v="0"/>
    <n v="0"/>
    <n v="0"/>
    <n v="0"/>
    <n v="0"/>
    <m/>
    <m/>
    <m/>
    <n v="0"/>
    <n v="0"/>
    <n v="0"/>
    <n v="7717.8842376854036"/>
    <m/>
    <n v="1014.7865215186305"/>
    <n v="0"/>
    <n v="0"/>
    <n v="0"/>
    <n v="0"/>
    <m/>
    <m/>
    <n v="0"/>
    <n v="0"/>
    <n v="0"/>
    <m/>
    <m/>
    <n v="0"/>
    <m/>
    <n v="0"/>
    <n v="0"/>
    <n v="0"/>
    <n v="152.36824886729281"/>
    <m/>
    <n v="5102.1669061018383"/>
    <n v="0"/>
    <n v="0"/>
    <n v="0"/>
    <n v="0"/>
    <n v="0"/>
    <m/>
    <m/>
    <m/>
    <m/>
    <m/>
    <m/>
    <m/>
    <m/>
    <m/>
    <n v="5254.5351549691313"/>
    <m/>
    <m/>
    <m/>
    <m/>
    <m/>
    <m/>
    <m/>
    <m/>
    <m/>
    <m/>
    <m/>
    <m/>
    <n v="56605.325599999996"/>
    <n v="-824.63514000000578"/>
    <m/>
    <m/>
    <m/>
    <m/>
    <n v="-824.74378000000411"/>
    <n v="0"/>
    <n v="31"/>
    <n v="-826.29600542351545"/>
    <n v="0"/>
    <n v="0"/>
    <n v="0"/>
    <n v="0"/>
    <m/>
    <m/>
    <m/>
    <n v="0"/>
    <n v="0"/>
    <n v="0"/>
    <m/>
    <m/>
    <n v="19.558148723975648"/>
    <n v="0"/>
    <n v="654.91951181376498"/>
    <n v="0"/>
    <n v="-1269.6135705123015"/>
    <m/>
    <n v="0"/>
    <n v="0"/>
    <m/>
    <n v="0"/>
    <n v="-199.89053595847872"/>
    <n v="-31.269559490481925"/>
    <n v="0"/>
    <n v="0"/>
    <m/>
    <m/>
    <m/>
    <n v="0"/>
    <n v="0"/>
    <n v="0"/>
    <n v="-824.7437800000043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7"/>
    <s v="Regular"/>
    <s v="Verde"/>
    <s v="A4"/>
    <s v="Industrial"/>
    <s v="Não se aplica"/>
    <s v="Fonte incentivada"/>
    <s v="Não se aplica"/>
    <s v="Não se aplica"/>
    <s v="LIVRE"/>
    <x v="8"/>
    <n v="4190"/>
    <n v="2120.9780000000001"/>
    <n v="0"/>
    <n v="0"/>
    <n v="0"/>
    <n v="0"/>
    <n v="59.12"/>
    <m/>
    <m/>
    <n v="247712.8"/>
    <m/>
    <n v="247712.8"/>
    <n v="142585.70000000001"/>
    <n v="0"/>
    <n v="0"/>
    <n v="0"/>
    <n v="0"/>
    <n v="2396.9329223681279"/>
    <n v="21440.324906497652"/>
    <n v="201797.93258276844"/>
    <m/>
    <m/>
    <m/>
    <n v="0"/>
    <n v="0"/>
    <n v="0"/>
    <n v="0"/>
    <m/>
    <n v="0"/>
    <n v="5061.8221647413511"/>
    <n v="17015.539150243549"/>
    <n v="0"/>
    <n v="0"/>
    <m/>
    <m/>
    <n v="0"/>
    <n v="0"/>
    <n v="0"/>
    <m/>
    <m/>
    <n v="0"/>
    <m/>
    <n v="0"/>
    <n v="0"/>
    <n v="0"/>
    <n v="0"/>
    <m/>
    <n v="0"/>
    <n v="0"/>
    <n v="0"/>
    <n v="0"/>
    <n v="57173.91"/>
    <n v="5"/>
    <m/>
    <n v="70408.818660000004"/>
    <m/>
    <m/>
    <m/>
    <m/>
    <m/>
    <m/>
    <m/>
    <n v="0"/>
    <m/>
    <m/>
    <m/>
    <m/>
    <m/>
    <m/>
    <m/>
    <m/>
    <m/>
    <m/>
    <m/>
    <m/>
    <n v="72176.949399999998"/>
    <n v="-53215.299959999989"/>
    <m/>
    <m/>
    <m/>
    <m/>
    <n v="-105127.09999999999"/>
    <n v="0"/>
    <n v="31"/>
    <n v="1732.4710567587899"/>
    <n v="491.47095303186779"/>
    <n v="1652.1013521123132"/>
    <n v="0"/>
    <n v="0"/>
    <m/>
    <m/>
    <m/>
    <n v="-411.101248385388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1797.93258276844"/>
    <m/>
    <n v="0"/>
    <n v="0"/>
    <n v="-105127.09999999998"/>
    <m/>
    <n v="0"/>
    <m/>
    <n v="-106841.3068895520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8"/>
    <s v="Regular"/>
    <s v="Geração"/>
    <s v="A4"/>
    <s v="Não se aplica"/>
    <s v="Não se aplica"/>
    <s v="Não se aplica"/>
    <s v="PCH MORRINHOS"/>
    <s v="Não se aplica"/>
    <s v="GERAÇÃO"/>
    <x v="8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1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09"/>
    <s v="Regular"/>
    <s v="Verde"/>
    <s v="A4"/>
    <s v="Industrial"/>
    <s v="Não se aplica"/>
    <s v="Fonte incentivada"/>
    <s v="Não se aplica"/>
    <s v="Ponta"/>
    <s v="LIVRE"/>
    <x v="9"/>
    <n v="0"/>
    <n v="0"/>
    <n v="8.1679999999999993"/>
    <n v="4.3461927999999999"/>
    <n v="0"/>
    <n v="0"/>
    <m/>
    <n v="1684.16"/>
    <m/>
    <m/>
    <n v="13756.218879999999"/>
    <n v="13756.218879999999"/>
    <n v="8825.1155999999992"/>
    <n v="0"/>
    <n v="434.53781652943832"/>
    <n v="0"/>
    <n v="0"/>
    <n v="147.01909805431873"/>
    <n v="2242.8178695424926"/>
    <n v="9460.9327764884692"/>
    <m/>
    <m/>
    <m/>
    <n v="0"/>
    <n v="0"/>
    <n v="0"/>
    <n v="77.199824699433947"/>
    <m/>
    <n v="10.15062407726411"/>
    <n v="315.74338116227966"/>
    <n v="1015.2715447996496"/>
    <n v="0"/>
    <n v="0"/>
    <m/>
    <m/>
    <n v="0"/>
    <n v="0"/>
    <n v="0"/>
    <m/>
    <m/>
    <n v="0"/>
    <m/>
    <n v="0"/>
    <n v="0"/>
    <n v="0"/>
    <n v="1.524096726519754"/>
    <m/>
    <n v="51.03554013093644"/>
    <n v="0"/>
    <n v="0"/>
    <n v="0"/>
    <n v="0"/>
    <n v="0"/>
    <m/>
    <n v="4129.2715892399992"/>
    <m/>
    <m/>
    <m/>
    <m/>
    <m/>
    <m/>
    <m/>
    <n v="52.559636857456191"/>
    <m/>
    <m/>
    <m/>
    <m/>
    <m/>
    <m/>
    <m/>
    <m/>
    <m/>
    <m/>
    <m/>
    <m/>
    <n v="4699.9574999999995"/>
    <n v="-2619.7565660480013"/>
    <m/>
    <m/>
    <m/>
    <m/>
    <n v="-4931.1032800000003"/>
    <n v="0"/>
    <n v="30"/>
    <n v="77.963677623488365"/>
    <n v="30.656687533244963"/>
    <n v="98.576452800825905"/>
    <n v="0"/>
    <n v="0"/>
    <m/>
    <m/>
    <m/>
    <n v="-43.004256236370566"/>
    <n v="0"/>
    <n v="0"/>
    <m/>
    <m/>
    <n v="0.19563465924557488"/>
    <n v="0"/>
    <n v="6.5509756232654155"/>
    <n v="0"/>
    <n v="-12.69958735594696"/>
    <m/>
    <n v="0"/>
    <n v="0"/>
    <m/>
    <n v="0"/>
    <n v="-1.9994487944922099"/>
    <n v="-0.31278060628409854"/>
    <n v="0"/>
    <n v="0"/>
    <m/>
    <m/>
    <m/>
    <n v="9460.9327764884692"/>
    <n v="0"/>
    <n v="0"/>
    <n v="-4931.1032799999994"/>
    <m/>
    <n v="0"/>
    <m/>
    <n v="-5009.062329316145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0"/>
    <s v="Regular"/>
    <s v="Verde"/>
    <s v="A4"/>
    <s v="Industrial"/>
    <s v="Não se aplica"/>
    <s v="Fonte incentivada"/>
    <s v="Não se aplica"/>
    <s v="Fora ponta"/>
    <s v="LIVRE"/>
    <x v="9"/>
    <n v="0"/>
    <n v="0"/>
    <n v="729.55499999999995"/>
    <n v="729.55499999999995"/>
    <n v="0"/>
    <n v="0"/>
    <m/>
    <n v="70.33"/>
    <m/>
    <m/>
    <n v="51309.603149999995"/>
    <n v="51309.603149999995"/>
    <n v="50572.752599999993"/>
    <n v="0"/>
    <n v="38812.345340124193"/>
    <n v="0"/>
    <n v="0"/>
    <n v="0"/>
    <n v="0"/>
    <n v="0"/>
    <m/>
    <m/>
    <m/>
    <n v="0"/>
    <n v="0"/>
    <n v="0"/>
    <n v="6895.3866440494039"/>
    <m/>
    <n v="906.64037079926766"/>
    <n v="0"/>
    <n v="0"/>
    <n v="0"/>
    <n v="0"/>
    <m/>
    <m/>
    <n v="0"/>
    <n v="0"/>
    <n v="0"/>
    <m/>
    <m/>
    <n v="0"/>
    <m/>
    <n v="0"/>
    <n v="0"/>
    <n v="0"/>
    <n v="136.13031186534269"/>
    <m/>
    <n v="4558.4272135437477"/>
    <n v="0"/>
    <n v="0"/>
    <n v="0"/>
    <n v="0"/>
    <n v="0"/>
    <m/>
    <m/>
    <m/>
    <m/>
    <m/>
    <m/>
    <m/>
    <m/>
    <m/>
    <n v="4694.55752540909"/>
    <m/>
    <m/>
    <m/>
    <m/>
    <m/>
    <m/>
    <m/>
    <m/>
    <m/>
    <m/>
    <m/>
    <m/>
    <n v="50573.09919999999"/>
    <n v="-736.53395000001183"/>
    <m/>
    <m/>
    <m/>
    <m/>
    <n v="-736.85055000000364"/>
    <n v="0"/>
    <n v="30"/>
    <n v="-738.23735422305617"/>
    <n v="0"/>
    <n v="0"/>
    <n v="0"/>
    <n v="0"/>
    <m/>
    <m/>
    <m/>
    <n v="0"/>
    <n v="0"/>
    <n v="0"/>
    <m/>
    <m/>
    <n v="17.473830047246025"/>
    <n v="0"/>
    <n v="585.1245128344035"/>
    <n v="0"/>
    <n v="-1134.3104130102729"/>
    <m/>
    <n v="0"/>
    <n v="0"/>
    <m/>
    <n v="0"/>
    <n v="-178.58813237827599"/>
    <n v="-27.937151716159974"/>
    <n v="0"/>
    <n v="0"/>
    <m/>
    <m/>
    <m/>
    <n v="0"/>
    <n v="0"/>
    <n v="0"/>
    <n v="-736.850550000002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1"/>
    <s v="Regular"/>
    <s v="Verde"/>
    <s v="A4"/>
    <s v="Industrial"/>
    <s v="Não se aplica"/>
    <s v="Fonte incentivada"/>
    <s v="Não se aplica"/>
    <s v="Não se aplica"/>
    <s v="LIVRE"/>
    <x v="9"/>
    <n v="4220"/>
    <n v="2115.9079999999999"/>
    <n v="0"/>
    <n v="0"/>
    <n v="0"/>
    <n v="0"/>
    <n v="59.12"/>
    <m/>
    <m/>
    <n v="249486.4"/>
    <m/>
    <n v="249486.4"/>
    <n v="143606.6"/>
    <n v="0"/>
    <n v="0"/>
    <n v="0"/>
    <n v="0"/>
    <n v="2414.094733268138"/>
    <n v="21593.835586019115"/>
    <n v="203242.78651534196"/>
    <m/>
    <m/>
    <m/>
    <n v="0"/>
    <n v="0"/>
    <n v="0"/>
    <n v="0"/>
    <m/>
    <n v="0"/>
    <n v="5098.0643282120536"/>
    <n v="17137.368786164148"/>
    <n v="0"/>
    <n v="0"/>
    <m/>
    <m/>
    <n v="0"/>
    <n v="0"/>
    <n v="0"/>
    <m/>
    <m/>
    <n v="0"/>
    <m/>
    <n v="0"/>
    <n v="0"/>
    <n v="0"/>
    <n v="0"/>
    <m/>
    <n v="0"/>
    <n v="0"/>
    <n v="2148.09"/>
    <n v="0"/>
    <n v="53637.54"/>
    <n v="6"/>
    <m/>
    <n v="71602.25076000001"/>
    <m/>
    <m/>
    <m/>
    <m/>
    <m/>
    <m/>
    <m/>
    <n v="0"/>
    <m/>
    <m/>
    <m/>
    <m/>
    <m/>
    <m/>
    <m/>
    <m/>
    <m/>
    <m/>
    <m/>
    <m/>
    <n v="72004.417300000001"/>
    <n v="-53088.09365999997"/>
    <m/>
    <m/>
    <m/>
    <m/>
    <n v="-105879.79999999999"/>
    <n v="0"/>
    <n v="30"/>
    <n v="1744.8753841341531"/>
    <n v="494.98983813710674"/>
    <n v="1663.9302400749293"/>
    <n v="0"/>
    <n v="0"/>
    <m/>
    <m/>
    <m/>
    <n v="-414.044694077885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242.78651534196"/>
    <m/>
    <n v="0"/>
    <n v="0"/>
    <n v="-105879.79999999999"/>
    <m/>
    <n v="0"/>
    <m/>
    <n v="-107606.2804472338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2"/>
    <s v="Regular"/>
    <s v="Geração"/>
    <s v="A4"/>
    <s v="Não se aplica"/>
    <s v="Não se aplica"/>
    <s v="Não se aplica"/>
    <s v="PCH MORRINHOS"/>
    <s v="Não se aplica"/>
    <s v="GERAÇÃO"/>
    <x v="9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4.68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0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3"/>
    <s v="Regular"/>
    <s v="Verde"/>
    <s v="A4"/>
    <s v="Industrial"/>
    <s v="Não se aplica"/>
    <s v="Fonte incentivada"/>
    <s v="Não se aplica"/>
    <s v="Ponta"/>
    <s v="LIVRE"/>
    <x v="10"/>
    <n v="0"/>
    <n v="0"/>
    <n v="10.214"/>
    <n v="5.4348694000000002"/>
    <n v="0"/>
    <n v="0"/>
    <m/>
    <n v="1684.16"/>
    <m/>
    <m/>
    <n v="17202.010240000003"/>
    <n v="17202.010240000003"/>
    <n v="11035.7163"/>
    <n v="0"/>
    <n v="543.38507076783594"/>
    <n v="0"/>
    <n v="0"/>
    <n v="183.84587016733741"/>
    <n v="2804.6206806448363"/>
    <n v="11830.799140432571"/>
    <m/>
    <m/>
    <m/>
    <n v="0"/>
    <n v="0"/>
    <n v="0"/>
    <n v="96.537586860922914"/>
    <m/>
    <n v="12.693251019242854"/>
    <n v="394.83385102736594"/>
    <n v="1269.5866256835973"/>
    <n v="0"/>
    <n v="0"/>
    <m/>
    <m/>
    <n v="0"/>
    <n v="0"/>
    <n v="0"/>
    <m/>
    <m/>
    <n v="0"/>
    <m/>
    <n v="0"/>
    <n v="0"/>
    <n v="0"/>
    <n v="1.9058672826484782"/>
    <m/>
    <n v="63.819418082441828"/>
    <n v="0"/>
    <n v="0"/>
    <n v="0"/>
    <n v="0"/>
    <n v="0"/>
    <m/>
    <n v="5163.6116567700001"/>
    <m/>
    <m/>
    <m/>
    <m/>
    <m/>
    <m/>
    <m/>
    <n v="65.725285365090301"/>
    <m/>
    <m/>
    <m/>
    <m/>
    <m/>
    <m/>
    <m/>
    <m/>
    <m/>
    <m/>
    <m/>
    <m/>
    <n v="5866.8434999999999"/>
    <n v="-3286.3761487040019"/>
    <m/>
    <m/>
    <m/>
    <m/>
    <n v="-6166.2939400000005"/>
    <n v="0"/>
    <n v="31"/>
    <n v="97.492777086962633"/>
    <n v="38.335872485867299"/>
    <n v="123.26884046371651"/>
    <n v="0"/>
    <n v="0"/>
    <m/>
    <m/>
    <m/>
    <n v="-53.77638016629362"/>
    <n v="0"/>
    <n v="0"/>
    <m/>
    <m/>
    <n v="0.2446391294728576"/>
    <n v="0"/>
    <n v="8.1919276464291073"/>
    <n v="0"/>
    <n v="-15.880703385607603"/>
    <m/>
    <n v="0"/>
    <n v="0"/>
    <m/>
    <n v="0"/>
    <n v="-2.5002901551105907"/>
    <n v="-0.39112893151148143"/>
    <n v="0"/>
    <n v="0"/>
    <m/>
    <m/>
    <m/>
    <n v="11830.799140432571"/>
    <n v="0"/>
    <n v="0"/>
    <n v="-6166.2939400000032"/>
    <m/>
    <n v="0"/>
    <m/>
    <n v="-6263.7809294362287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4"/>
    <s v="Regular"/>
    <s v="Verde"/>
    <s v="A4"/>
    <s v="Industrial"/>
    <s v="Não se aplica"/>
    <s v="Fonte incentivada"/>
    <s v="Não se aplica"/>
    <s v="Fora ponta"/>
    <s v="LIVRE"/>
    <x v="10"/>
    <n v="0"/>
    <n v="0"/>
    <n v="796.33100000000002"/>
    <n v="796.33100000000002"/>
    <n v="0"/>
    <n v="0"/>
    <m/>
    <n v="70.33"/>
    <m/>
    <m/>
    <n v="56005.95923"/>
    <n v="56005.95923"/>
    <n v="55201.664919999996"/>
    <n v="0"/>
    <n v="42364.830310321275"/>
    <n v="0"/>
    <n v="0"/>
    <n v="0"/>
    <n v="0"/>
    <n v="0"/>
    <m/>
    <m/>
    <m/>
    <n v="0"/>
    <n v="0"/>
    <n v="0"/>
    <n v="7526.5197848585867"/>
    <m/>
    <n v="989.62495373063268"/>
    <n v="0"/>
    <n v="0"/>
    <n v="0"/>
    <n v="0"/>
    <m/>
    <m/>
    <n v="0"/>
    <n v="0"/>
    <n v="0"/>
    <m/>
    <m/>
    <n v="0"/>
    <m/>
    <n v="0"/>
    <n v="0"/>
    <n v="0"/>
    <n v="148.59028774806592"/>
    <m/>
    <n v="4975.6589995113554"/>
    <n v="0"/>
    <n v="0"/>
    <n v="0"/>
    <n v="0"/>
    <n v="0"/>
    <m/>
    <m/>
    <m/>
    <m/>
    <m/>
    <m/>
    <m/>
    <m/>
    <m/>
    <n v="5124.2492872594212"/>
    <m/>
    <m/>
    <m/>
    <m/>
    <m/>
    <m/>
    <m/>
    <m/>
    <m/>
    <m/>
    <m/>
    <m/>
    <n v="55201.595600000001"/>
    <n v="-804.39363000000594"/>
    <m/>
    <m/>
    <m/>
    <m/>
    <n v="-804.29431000000409"/>
    <n v="0"/>
    <n v="31"/>
    <n v="-805.80804809206893"/>
    <n v="0"/>
    <n v="0"/>
    <n v="0"/>
    <n v="0"/>
    <m/>
    <m/>
    <m/>
    <n v="0"/>
    <n v="0"/>
    <n v="0"/>
    <m/>
    <m/>
    <n v="19.073205660098921"/>
    <n v="0"/>
    <n v="638.68082383087312"/>
    <n v="0"/>
    <n v="-1238.1335821190733"/>
    <m/>
    <n v="0"/>
    <n v="0"/>
    <m/>
    <n v="0"/>
    <n v="-194.93426272854686"/>
    <n v="-30.494232735409241"/>
    <n v="0"/>
    <n v="0"/>
    <m/>
    <m/>
    <m/>
    <n v="0"/>
    <n v="0"/>
    <n v="0"/>
    <n v="-804.294310000004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5"/>
    <s v="Regular"/>
    <s v="Verde"/>
    <s v="A4"/>
    <s v="Industrial"/>
    <s v="Não se aplica"/>
    <s v="Fonte incentivada"/>
    <s v="Não se aplica"/>
    <s v="Não se aplica"/>
    <s v="LIVRE"/>
    <x v="10"/>
    <n v="4220"/>
    <n v="2117.174"/>
    <n v="0"/>
    <n v="0"/>
    <n v="0"/>
    <n v="0"/>
    <n v="59.12"/>
    <m/>
    <m/>
    <n v="249486.4"/>
    <m/>
    <n v="249486.4"/>
    <n v="143606.6"/>
    <n v="0"/>
    <n v="0"/>
    <n v="0"/>
    <n v="0"/>
    <n v="2414.094733268138"/>
    <n v="21593.835586019115"/>
    <n v="203242.78651534196"/>
    <m/>
    <m/>
    <m/>
    <n v="0"/>
    <n v="0"/>
    <n v="0"/>
    <n v="0"/>
    <m/>
    <n v="0"/>
    <n v="5098.0643282120536"/>
    <n v="17137.368786164148"/>
    <n v="0"/>
    <n v="0"/>
    <m/>
    <m/>
    <n v="0"/>
    <n v="0"/>
    <n v="0"/>
    <m/>
    <m/>
    <n v="0"/>
    <m/>
    <n v="0"/>
    <n v="0"/>
    <n v="0"/>
    <n v="0"/>
    <m/>
    <n v="0"/>
    <n v="0"/>
    <n v="8911.09"/>
    <n v="0"/>
    <n v="57418.47"/>
    <n v="6"/>
    <m/>
    <n v="71559.168780000007"/>
    <m/>
    <m/>
    <m/>
    <m/>
    <m/>
    <m/>
    <m/>
    <n v="0"/>
    <m/>
    <m/>
    <m/>
    <m/>
    <m/>
    <m/>
    <m/>
    <m/>
    <m/>
    <m/>
    <m/>
    <m/>
    <n v="72047.295100000003"/>
    <n v="-53120.061779999975"/>
    <m/>
    <m/>
    <m/>
    <m/>
    <n v="-105879.79999999999"/>
    <n v="0"/>
    <n v="31"/>
    <n v="1744.8753841341531"/>
    <n v="494.98983813710674"/>
    <n v="1663.9302400749293"/>
    <n v="0"/>
    <n v="0"/>
    <m/>
    <m/>
    <m/>
    <n v="-414.044694077885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242.78651534196"/>
    <m/>
    <n v="0"/>
    <n v="0"/>
    <n v="-105879.79999999999"/>
    <m/>
    <n v="0"/>
    <m/>
    <n v="-107606.2804472338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6"/>
    <s v="Regular"/>
    <s v="Geração"/>
    <s v="A4"/>
    <s v="Não se aplica"/>
    <s v="Não se aplica"/>
    <s v="Não se aplica"/>
    <s v="PCH MORRINHOS"/>
    <s v="Não se aplica"/>
    <s v="GERAÇÃO"/>
    <x v="10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30.22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1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7"/>
    <s v="Regular"/>
    <s v="Verde"/>
    <s v="A4"/>
    <s v="Industrial"/>
    <s v="Não se aplica"/>
    <s v="Fonte incentivada"/>
    <s v="Não se aplica"/>
    <s v="Ponta"/>
    <s v="LIVRE"/>
    <x v="11"/>
    <n v="0"/>
    <n v="0"/>
    <n v="10.557"/>
    <n v="5.6173796999999999"/>
    <n v="0"/>
    <n v="0"/>
    <m/>
    <n v="1684.16"/>
    <m/>
    <m/>
    <n v="17779.67712"/>
    <n v="17779.67712"/>
    <n v="11406.310650000001"/>
    <n v="0"/>
    <n v="561.63267986058781"/>
    <n v="0"/>
    <n v="0"/>
    <n v="190.01966431922665"/>
    <n v="2898.8036543535873"/>
    <n v="12228.093452667579"/>
    <m/>
    <m/>
    <m/>
    <n v="0"/>
    <n v="0"/>
    <n v="0"/>
    <n v="99.779450214486317"/>
    <m/>
    <n v="13.119507637570671"/>
    <n v="408.09290829213847"/>
    <n v="1312.2210698396061"/>
    <n v="0"/>
    <n v="0"/>
    <m/>
    <m/>
    <n v="0"/>
    <n v="0"/>
    <n v="0"/>
    <m/>
    <m/>
    <n v="0"/>
    <m/>
    <n v="0"/>
    <n v="0"/>
    <n v="0"/>
    <n v="1.9698688959193247"/>
    <m/>
    <n v="65.962560867078352"/>
    <n v="0"/>
    <n v="0"/>
    <n v="0"/>
    <n v="0"/>
    <n v="0"/>
    <m/>
    <n v="5337.0127531350008"/>
    <m/>
    <m/>
    <m/>
    <m/>
    <m/>
    <m/>
    <m/>
    <n v="67.932429762997671"/>
    <m/>
    <m/>
    <m/>
    <m/>
    <m/>
    <m/>
    <m/>
    <m/>
    <m/>
    <m/>
    <m/>
    <m/>
    <n v="6072.1290000000008"/>
    <n v="-3388.4671955520007"/>
    <m/>
    <m/>
    <m/>
    <m/>
    <n v="-6373.3664700000008"/>
    <n v="0"/>
    <n v="30"/>
    <n v="100.76671702634303"/>
    <n v="39.623243179293183"/>
    <n v="127.40837563887362"/>
    <n v="0"/>
    <n v="0"/>
    <m/>
    <m/>
    <m/>
    <n v="-55.582264090030094"/>
    <n v="0"/>
    <n v="0"/>
    <m/>
    <m/>
    <n v="0.25285444388534972"/>
    <n v="0"/>
    <n v="8.4670237089634099"/>
    <n v="0"/>
    <n v="-16.413998985887929"/>
    <m/>
    <n v="0"/>
    <n v="0"/>
    <m/>
    <n v="0"/>
    <n v="-2.5842532962113296"/>
    <n v="-0.40426357254422562"/>
    <n v="0"/>
    <n v="0"/>
    <m/>
    <m/>
    <m/>
    <n v="12228.093452667579"/>
    <n v="0"/>
    <n v="0"/>
    <n v="-6373.366469999999"/>
    <m/>
    <n v="0"/>
    <m/>
    <n v="-6474.1272050184316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8"/>
    <s v="Regular"/>
    <s v="Verde"/>
    <s v="A4"/>
    <s v="Industrial"/>
    <s v="Não se aplica"/>
    <s v="Fonte incentivada"/>
    <s v="Não se aplica"/>
    <s v="Fora ponta"/>
    <s v="LIVRE"/>
    <x v="11"/>
    <n v="0"/>
    <n v="0"/>
    <n v="722.28700000000003"/>
    <n v="722.28700000000003"/>
    <n v="0"/>
    <n v="0"/>
    <m/>
    <n v="70.33"/>
    <m/>
    <m/>
    <n v="50798.444710000003"/>
    <n v="50798.444710000003"/>
    <n v="50068.934839999994"/>
    <n v="0"/>
    <n v="38425.687547453286"/>
    <n v="0"/>
    <n v="0"/>
    <n v="0"/>
    <n v="0"/>
    <n v="0"/>
    <m/>
    <m/>
    <m/>
    <n v="0"/>
    <n v="0"/>
    <n v="0"/>
    <n v="6826.6931663418281"/>
    <m/>
    <n v="897.60820432111461"/>
    <n v="0"/>
    <n v="0"/>
    <n v="0"/>
    <n v="0"/>
    <m/>
    <m/>
    <n v="0"/>
    <n v="0"/>
    <n v="0"/>
    <m/>
    <m/>
    <n v="0"/>
    <m/>
    <n v="0"/>
    <n v="0"/>
    <n v="0"/>
    <n v="134.77414940104967"/>
    <m/>
    <n v="4513.0150801363479"/>
    <n v="0"/>
    <n v="0"/>
    <n v="0"/>
    <n v="0"/>
    <n v="0"/>
    <m/>
    <m/>
    <m/>
    <m/>
    <m/>
    <m/>
    <m/>
    <m/>
    <m/>
    <n v="4647.7892295373977"/>
    <m/>
    <m/>
    <m/>
    <m/>
    <m/>
    <m/>
    <m/>
    <m/>
    <m/>
    <m/>
    <m/>
    <m/>
    <n v="50069.142799999994"/>
    <n v="-729.33191000001534"/>
    <m/>
    <m/>
    <m/>
    <m/>
    <n v="-729.50987000000373"/>
    <n v="0"/>
    <n v="30"/>
    <n v="-730.88285855035792"/>
    <n v="0"/>
    <n v="0"/>
    <n v="0"/>
    <n v="0"/>
    <m/>
    <m/>
    <m/>
    <n v="0"/>
    <n v="0"/>
    <n v="0"/>
    <m/>
    <m/>
    <n v="17.299751606575484"/>
    <n v="0"/>
    <n v="579.29536361428927"/>
    <n v="0"/>
    <n v="-1123.0101435559336"/>
    <m/>
    <n v="0"/>
    <n v="0"/>
    <m/>
    <n v="0"/>
    <n v="-176.80899503273668"/>
    <n v="-27.658835182556686"/>
    <n v="0"/>
    <n v="0"/>
    <m/>
    <m/>
    <m/>
    <n v="0"/>
    <n v="0"/>
    <n v="0"/>
    <n v="-729.5098700000089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19"/>
    <s v="Regular"/>
    <s v="Verde"/>
    <s v="A4"/>
    <s v="Industrial"/>
    <s v="Não se aplica"/>
    <s v="Fonte incentivada"/>
    <s v="Não se aplica"/>
    <s v="Não se aplica"/>
    <s v="LIVRE"/>
    <x v="11"/>
    <n v="4220"/>
    <n v="2142.0720000000001"/>
    <n v="0"/>
    <n v="0"/>
    <n v="0"/>
    <n v="0"/>
    <n v="59.12"/>
    <m/>
    <m/>
    <n v="249486.4"/>
    <m/>
    <n v="249486.4"/>
    <n v="143606.6"/>
    <n v="0"/>
    <n v="0"/>
    <n v="0"/>
    <n v="0"/>
    <n v="2414.094733268138"/>
    <n v="21593.835586019115"/>
    <n v="203242.78651534196"/>
    <m/>
    <m/>
    <m/>
    <n v="0"/>
    <n v="0"/>
    <n v="0"/>
    <n v="0"/>
    <m/>
    <n v="0"/>
    <n v="5098.0643282120536"/>
    <n v="17137.368786164148"/>
    <n v="0"/>
    <n v="0"/>
    <m/>
    <m/>
    <n v="0"/>
    <n v="0"/>
    <n v="0"/>
    <m/>
    <m/>
    <n v="0"/>
    <m/>
    <n v="0"/>
    <n v="0"/>
    <n v="0"/>
    <n v="0"/>
    <m/>
    <n v="0"/>
    <n v="0"/>
    <n v="6346.62"/>
    <n v="0"/>
    <n v="56247.27"/>
    <n v="6"/>
    <m/>
    <n v="70711.889840000003"/>
    <m/>
    <m/>
    <m/>
    <m/>
    <m/>
    <m/>
    <m/>
    <n v="0"/>
    <m/>
    <m/>
    <m/>
    <m/>
    <m/>
    <m/>
    <m/>
    <m/>
    <m/>
    <m/>
    <m/>
    <m/>
    <n v="72894.642100000012"/>
    <n v="-53744.684539999973"/>
    <m/>
    <m/>
    <m/>
    <m/>
    <n v="-105879.79999999999"/>
    <n v="0"/>
    <n v="30"/>
    <n v="1744.8753841341531"/>
    <n v="494.98983813710674"/>
    <n v="1663.9302400749293"/>
    <n v="0"/>
    <n v="0"/>
    <m/>
    <m/>
    <m/>
    <n v="-414.044694077885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242.78651534196"/>
    <m/>
    <n v="0"/>
    <n v="0"/>
    <n v="-105879.79999999999"/>
    <m/>
    <n v="0"/>
    <m/>
    <n v="-107606.28044723382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  <r>
    <n v="820"/>
    <s v="Regular"/>
    <s v="Geração"/>
    <s v="A4"/>
    <s v="Não se aplica"/>
    <s v="Não se aplica"/>
    <s v="Não se aplica"/>
    <s v="PCH MORRINHOS"/>
    <s v="Não se aplica"/>
    <s v="GERAÇÃO"/>
    <x v="11"/>
    <n v="2300"/>
    <n v="1150"/>
    <n v="0"/>
    <n v="0"/>
    <n v="0"/>
    <n v="0"/>
    <n v="21.22"/>
    <m/>
    <m/>
    <n v="48806"/>
    <m/>
    <n v="48806"/>
    <n v="23161"/>
    <n v="0"/>
    <n v="0"/>
    <n v="0"/>
    <n v="0"/>
    <n v="0"/>
    <n v="0"/>
    <n v="48415.733888970302"/>
    <m/>
    <m/>
    <m/>
    <n v="0"/>
    <n v="0"/>
    <n v="0"/>
    <n v="0"/>
    <m/>
    <n v="382.492090894800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3.5"/>
    <n v="0"/>
    <n v="0"/>
    <n v="0"/>
    <m/>
    <m/>
    <n v="11580.5"/>
    <m/>
    <m/>
    <m/>
    <m/>
    <m/>
    <m/>
    <n v="0"/>
    <m/>
    <m/>
    <m/>
    <m/>
    <m/>
    <m/>
    <m/>
    <m/>
    <m/>
    <m/>
    <m/>
    <m/>
    <n v="11580.5"/>
    <n v="-12822.529999999995"/>
    <m/>
    <m/>
    <m/>
    <m/>
    <n v="-25644.999999999996"/>
    <n v="0"/>
    <n v="30"/>
    <n v="-11.78608400609482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1.786084006094825"/>
    <n v="0"/>
    <n v="0"/>
    <m/>
    <m/>
    <n v="48415.733888970302"/>
    <m/>
    <n v="0"/>
    <n v="0"/>
    <n v="-25645"/>
    <m/>
    <n v="0"/>
    <m/>
    <n v="-25633.564311134465"/>
    <m/>
    <n v="0"/>
    <n v="0"/>
    <m/>
    <n v="0"/>
    <n v="0"/>
    <n v="0"/>
    <n v="0"/>
    <n v="0"/>
    <m/>
    <m/>
    <n v="0"/>
    <n v="0"/>
    <m/>
    <n v="0"/>
    <m/>
    <n v="0"/>
    <m/>
    <n v="239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8" dataDxfId="577">
  <autoFilter ref="AA5:AE7" xr:uid="{B3DE7FE8-5926-4E44-9EDC-9655DE4A4B67}"/>
  <tableColumns count="5">
    <tableColumn id="1" xr3:uid="{1315B14B-5316-4DE2-9050-0B99168CC239}" name="Cotas" dataDxfId="576"/>
    <tableColumn id="2" xr3:uid="{00C64702-8D8C-4EE8-B854-0E39030818B6}" name="Valor da &quot;Cota&quot;" dataDxfId="575"/>
    <tableColumn id="3" xr3:uid="{63BFFE80-8EC9-4566-842F-9FD193C67815}" name="Ano" dataDxfId="574"/>
    <tableColumn id="4" xr3:uid="{7B5A7EF8-5CB6-4557-B7D2-1C4857462594}" name="Custo Médio da Cota" dataDxfId="573"/>
    <tableColumn id="5" xr3:uid="{D3F4B71D-C886-4718-A85E-FA54E9F8D838}" name="Energia MWh" dataDxfId="572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1" dataDxfId="570" headerRowCellStyle="Normal 5" dataCellStyle="Normal 5">
  <autoFilter ref="AA21:AG23" xr:uid="{8109BFC4-5B84-4531-A319-ED0D5E86A4C5}"/>
  <tableColumns count="7">
    <tableColumn id="1" xr3:uid="{59A03A63-2F04-4649-A4AF-9B891D5BEBED}" name="Leilão" dataDxfId="569" dataCellStyle="Normal 5"/>
    <tableColumn id="2" xr3:uid="{1B8E1FA7-1B1E-42CD-98A0-C36F374D9818}" name="Produto" dataDxfId="568" dataCellStyle="Normal 5"/>
    <tableColumn id="3" xr3:uid="{3C5EB2AC-0FA8-44FB-8B3B-4F205233DD96}" name="Modalidade" dataDxfId="567" dataCellStyle="Normal 5"/>
    <tableColumn id="4" xr3:uid="{C358BA83-832A-4936-8DD9-2979DA133039}" name="Fonte" dataDxfId="566" dataCellStyle="Normal 5"/>
    <tableColumn id="5" xr3:uid="{9CA52279-BDEC-44E2-A60F-C256B4A0590B}" name="Montante" dataDxfId="565" dataCellStyle="Normal 5"/>
    <tableColumn id="6" xr3:uid="{4C1D6705-AC4A-482B-AC5B-B0F755A722F2}" name="Data Base" dataDxfId="564" dataCellStyle="Vírgula"/>
    <tableColumn id="7" xr3:uid="{3DEA0CF9-631C-4B3F-B4AC-928E92F0AB84}" name="Custo Base" dataDxfId="563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2" dataDxfId="561">
  <autoFilter ref="AA10:AD11" xr:uid="{3C49DBE7-062C-4416-B6BA-09DB0F685AD5}"/>
  <tableColumns count="4">
    <tableColumn id="1" xr3:uid="{6F9C1B42-695A-4B8B-B63F-DA108D710421}" name="GSF previsto" dataDxfId="560" dataCellStyle="Normal 5"/>
    <tableColumn id="2" xr3:uid="{4D1DBAC9-9D60-4D51-A973-81AD2081E4F6}" name="PLD" dataDxfId="559" dataCellStyle="Normal 5"/>
    <tableColumn id="3" xr3:uid="{0DCF2C66-C111-4FF7-BEB4-BFD00E93A10A}" name="MWm repactuado" dataDxfId="558" dataCellStyle="Normal 5"/>
    <tableColumn id="4" xr3:uid="{030AED12-E9C5-474F-937C-742184A44EF8}" name="Fator de rateio" dataDxfId="557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6" dataDxfId="555">
  <autoFilter ref="AI5:AJ20" xr:uid="{C3573309-01D4-4FAA-88C4-46F0CAA1CC27}"/>
  <tableColumns count="2">
    <tableColumn id="1" xr3:uid="{56AC757E-E114-458B-A041-461374D0BA5F}" name="Data" dataDxfId="554"/>
    <tableColumn id="2" xr3:uid="{578DAC09-D952-4F72-9444-614F5761412A}" name="Valor Pis/Cofins Transmissora" dataDxfId="553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2"/>
    <tableColumn id="2" xr3:uid="{AAB31625-7790-4B9A-AC2F-62007C1AB8C0}" name="Valor" dataDxfId="551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50">
  <autoFilter ref="B70:D77" xr:uid="{2E07311B-F74E-449E-81FD-B2BBBED3E4B3}"/>
  <tableColumns count="3">
    <tableColumn id="1" xr3:uid="{34D06310-1B0F-4D68-8C00-ED68EED3BDEB}" name="Encargo" dataDxfId="549"/>
    <tableColumn id="2" xr3:uid="{9D37526B-68DA-4918-8BA1-31EFC93C676E}" name="Valor" dataDxfId="548" dataCellStyle="Vírgula"/>
    <tableColumn id="3" xr3:uid="{62B99FEA-2637-4880-B5A6-705D0DFDF64C}" name="DSP" dataDxfId="547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6">
  <autoFilter ref="AA15:AB16" xr:uid="{1246E986-5AFA-4E40-BCC4-649D094A68F9}"/>
  <tableColumns count="2">
    <tableColumn id="1" xr3:uid="{D4D96454-0BF2-4CE9-B9F7-0CF391A2F556}" name="Proinfa" dataDxfId="545"/>
    <tableColumn id="2" xr3:uid="{62B09719-28BC-4F30-8705-5FB3C24A0D07}" name="MWh" dataDxfId="544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3" dataDxfId="542">
  <autoFilter ref="AO5:AQ9" xr:uid="{1A968768-5E00-4725-815D-7B925098B780}"/>
  <tableColumns count="3">
    <tableColumn id="1" xr3:uid="{FC8C62E6-3A06-4479-B5D7-11BDBC46D611}" name="Conta Escassez" dataDxfId="541"/>
    <tableColumn id="2" xr3:uid="{55A5FC57-FA17-4C65-B2C8-0C51598692AE}" name="Valor" dataDxfId="540"/>
    <tableColumn id="3" xr3:uid="{C90C9243-AD2A-42D1-9D06-640F7A17A24B}" name="Legislacao" dataDxfId="539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8" dataDxfId="537">
  <autoFilter ref="AI24:AK45" xr:uid="{63306B16-ABC6-4C4A-8A31-BA4561D3E91F}"/>
  <tableColumns count="3">
    <tableColumn id="1" xr3:uid="{E80EBDF5-704B-4864-987B-30FABD11C257}" name="Grupo_TARIFA" dataDxfId="536"/>
    <tableColumn id="2" xr3:uid="{C48FAF4C-2500-4FE3-A576-CC56F4BB20F4}" name="Detalhe_Grupo_TARIFA" dataDxfId="535"/>
    <tableColumn id="3" xr3:uid="{C451D982-3266-4B86-86BB-DCF98A1C0BC5}" name="valor" dataDxfId="534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3" dataDxfId="532">
  <autoFilter ref="AM24:AP31" xr:uid="{5E07B889-3CC1-4EB8-A2FA-27865F10E9FF}"/>
  <tableColumns count="4">
    <tableColumn id="1" xr3:uid="{A684CBA1-85F2-4F6F-9549-132415395C97}" name="Grupo Tarifa" dataDxfId="531"/>
    <tableColumn id="2" xr3:uid="{601A6100-10DA-47B4-AC85-55E7B31A99AC}" name="Detalhe Grupo" dataDxfId="530"/>
    <tableColumn id="3" xr3:uid="{C6D6A904-43B1-4BB1-8721-FC3B084DEB3F}" name="Det3" dataDxfId="529"/>
    <tableColumn id="4" xr3:uid="{49E46CEE-1005-4E4F-AD52-B5C103AA28C0}" name="Valor" dataDxfId="528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7" tableBorderDxfId="526">
  <autoFilter ref="AA26:AB30" xr:uid="{ED60079D-08D5-46B4-B1E6-28428B2FF85A}"/>
  <tableColumns count="2">
    <tableColumn id="1" xr3:uid="{C7D3432F-090C-4D89-8F9B-66E323363124}" name="Dados de perda" dataDxfId="525"/>
    <tableColumn id="2" xr3:uid="{7924BC5A-340A-47DE-8986-F75E2F948A7A}" name="Valor" dataDxfId="524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3"/>
    <tableColumn id="2" xr3:uid="{00000000-0010-0000-1600-000002000000}" name="NomPessoaSuprida" dataDxfId="522"/>
    <tableColumn id="3" xr3:uid="{00000000-0010-0000-1600-000003000000}" name="IdeAgenteSupridora" dataDxfId="521"/>
    <tableColumn id="4" xr3:uid="{00000000-0010-0000-1600-000004000000}" name="NomPessoaSupridora" dataDxfId="520"/>
    <tableColumn id="5" xr3:uid="{00000000-0010-0000-1600-000005000000}" name="DescSubGrupoSgt" dataDxfId="519"/>
    <tableColumn id="6" xr3:uid="{00000000-0010-0000-1600-000006000000}" name="MesAno"/>
    <tableColumn id="7" xr3:uid="{00000000-0010-0000-1600-000007000000}" name="Descricao" dataDxfId="518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7" dataDxfId="515" headerRowBorderDxfId="516" tableBorderDxfId="514">
  <autoFilter ref="A9:AN61" xr:uid="{00000000-0009-0000-0100-00001A000000}">
    <filterColumn colId="0">
      <filters>
        <filter val="Certaja"/>
      </filters>
    </filterColumn>
  </autoFilter>
  <tableColumns count="40">
    <tableColumn id="1" xr3:uid="{00000000-0010-0000-0000-000001000000}" name="Sigla" dataDxfId="513"/>
    <tableColumn id="2" xr3:uid="{00000000-0010-0000-0000-000002000000}" name="NomeSAMP" dataDxfId="512"/>
    <tableColumn id="3" xr3:uid="{00000000-0010-0000-0000-000003000000}" name="SARI" dataDxfId="511"/>
    <tableColumn id="4" xr3:uid="{00000000-0010-0000-0000-000004000000}" name="Área" dataDxfId="510"/>
    <tableColumn id="5" xr3:uid="{00000000-0010-0000-0000-000005000000}" name="Tipo de Contrato" dataDxfId="509"/>
    <tableColumn id="6" xr3:uid="{00000000-0010-0000-0000-000006000000}" name="Sede" dataDxfId="508"/>
    <tableColumn id="7" xr3:uid="{00000000-0010-0000-0000-000007000000}" name="UF" dataDxfId="507"/>
    <tableColumn id="8" xr3:uid="{00000000-0010-0000-0000-000008000000}" name="WACC ERD" dataDxfId="506"/>
    <tableColumn id="9" xr3:uid="{00000000-0010-0000-0000-000009000000}" name="Supridora 1" dataDxfId="505"/>
    <tableColumn id="33" xr3:uid="{00000000-0010-0000-0000-000021000000}" name="idsreagsupridora 1" dataDxfId="504"/>
    <tableColumn id="10" xr3:uid="{00000000-0010-0000-0000-00000A000000}" name="Supridora 2" dataDxfId="503"/>
    <tableColumn id="35" xr3:uid="{00000000-0010-0000-0000-000023000000}" name="idsreagsupridora2" dataDxfId="502"/>
    <tableColumn id="11" xr3:uid="{00000000-0010-0000-0000-00000B000000}" name="Desconto Tusd" dataDxfId="501"/>
    <tableColumn id="12" xr3:uid="{00000000-0010-0000-0000-00000C000000}" name="Proinfa MWh" dataDxfId="500"/>
    <tableColumn id="36" xr3:uid="{00000000-0010-0000-0000-000024000000}" name="REH Proinfa" dataDxfId="499"/>
    <tableColumn id="13" xr3:uid="{00000000-0010-0000-0000-00000D000000}" name="Beta" dataDxfId="498"/>
    <tableColumn id="14" xr3:uid="{00000000-0010-0000-0000-00000E000000}" name="Limite PB" dataDxfId="497" dataCellStyle="Vírgula"/>
    <tableColumn id="31" xr3:uid="{00000000-0010-0000-0000-00001F000000}" name="Data Base Limite PB" dataDxfId="496" dataCellStyle="Vírgula"/>
    <tableColumn id="30" xr3:uid="{00000000-0010-0000-0000-00001E000000}" name="Despacho limite Parcela B" dataDxfId="495" dataCellStyle="Vírgula"/>
    <tableColumn id="15" xr3:uid="{00000000-0010-0000-0000-00000F000000}" name="Contrato Permissão" dataDxfId="494"/>
    <tableColumn id="16" xr3:uid="{00000000-0010-0000-0000-000010000000}" name="Data Contrato" dataDxfId="493"/>
    <tableColumn id="17" xr3:uid="{00000000-0010-0000-0000-000011000000}" name="Próxima Revisão" dataDxfId="492"/>
    <tableColumn id="19" xr3:uid="{00000000-0010-0000-0000-000013000000}" name="Última REH" dataDxfId="491"/>
    <tableColumn id="20" xr3:uid="{00000000-0010-0000-0000-000014000000}" name="Data última REH " dataDxfId="490"/>
    <tableColumn id="21" xr3:uid="{00000000-0010-0000-0000-000015000000}" name="Pd" dataDxfId="489"/>
    <tableColumn id="22" xr3:uid="{00000000-0010-0000-0000-000016000000}" name="T" dataDxfId="488"/>
    <tableColumn id="26" xr3:uid="{00000000-0010-0000-0000-00001A000000}" name="Supridora para calculo da subvenção" dataDxfId="487"/>
    <tableColumn id="24" xr3:uid="{00000000-0010-0000-0000-000018000000}" name="Densidade Cooperativa" dataDxfId="486" dataCellStyle="Vírgula"/>
    <tableColumn id="25" xr3:uid="{00000000-0010-0000-0000-000019000000}" name="Densidade Principal Supridora" dataDxfId="485"/>
    <tableColumn id="27" xr3:uid="{00000000-0010-0000-0000-00001B000000}" name="Subvenção Anual (R$)" dataDxfId="484"/>
    <tableColumn id="28" xr3:uid="{00000000-0010-0000-0000-00001C000000}" name="Data Referência Subvenção" dataDxfId="483"/>
    <tableColumn id="39" xr3:uid="{3093CAC3-54C5-4BCF-9CB8-B8E3D611B57C}" name="Data de aniversarioda supridora" dataDxfId="482"/>
    <tableColumn id="23" xr3:uid="{00000000-0010-0000-0000-000017000000}" name="Geração Própria" dataDxfId="481"/>
    <tableColumn id="29" xr3:uid="{00000000-0010-0000-0000-00001D000000}" name="Data de referência da Geração Própria" dataDxfId="480"/>
    <tableColumn id="18" xr3:uid="{00000000-0010-0000-0000-000012000000}" name="Data da RTE" dataDxfId="479"/>
    <tableColumn id="32" xr3:uid="{00000000-0010-0000-0000-000020000000}" name="Data original" dataDxfId="478"/>
    <tableColumn id="34" xr3:uid="{00000000-0010-0000-0000-000022000000}" name="Regularização" dataDxfId="477"/>
    <tableColumn id="37" xr3:uid="{00000000-0010-0000-0000-000025000000}" name="vigência das tarifas" dataDxfId="476"/>
    <tableColumn id="38" xr3:uid="{00000000-0010-0000-0000-000026000000}" name="TUSD 2019" dataDxfId="475"/>
    <tableColumn id="40" xr3:uid="{00724FE7-7DEC-42A0-9F57-47D4901A2437}" name="CDE Conta covid" dataDxfId="474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3">
  <autoFilter ref="A68:N150" xr:uid="{00000000-0009-0000-0100-00001B000000}">
    <filterColumn colId="0">
      <filters>
        <filter val="Certaja"/>
      </filters>
    </filterColumn>
  </autoFilter>
  <tableColumns count="14">
    <tableColumn id="1" xr3:uid="{00000000-0010-0000-0100-000001000000}" name="Permissionária" dataDxfId="472"/>
    <tableColumn id="2" xr3:uid="{00000000-0010-0000-0100-000002000000}" name="Supridora" dataDxfId="471"/>
    <tableColumn id="11" xr3:uid="{00000000-0010-0000-0100-00000B000000}" name="idsreag supridora" dataDxfId="470"/>
    <tableColumn id="13" xr3:uid="{00000000-0010-0000-0100-00000D000000}" name="codsariSUP" dataDxfId="469"/>
    <tableColumn id="3" xr3:uid="{00000000-0010-0000-0100-000003000000}" name="Classe" dataDxfId="468"/>
    <tableColumn id="12" xr3:uid="{00000000-0010-0000-0100-00000C000000}" name="chave" dataDxfId="467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6" dataCellStyle="Porcentagem"/>
    <tableColumn id="5" xr3:uid="{00000000-0010-0000-0100-000005000000}" name="2016" dataDxfId="465" dataCellStyle="Porcentagem"/>
    <tableColumn id="6" xr3:uid="{00000000-0010-0000-0100-000006000000}" name="2017" dataDxfId="464" dataCellStyle="Porcentagem"/>
    <tableColumn id="7" xr3:uid="{00000000-0010-0000-0100-000007000000}" name="2018" dataDxfId="463"/>
    <tableColumn id="8" xr3:uid="{00000000-0010-0000-0100-000008000000}" name="2019"/>
    <tableColumn id="9" xr3:uid="{00000000-0010-0000-0100-000009000000}" name="2020" dataDxfId="462"/>
    <tableColumn id="10" xr3:uid="{00000000-0010-0000-0100-00000A000000}" name="2021" dataDxfId="461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>
    <filterColumn colId="1">
      <filters>
        <filter val="Certaja"/>
      </filters>
    </filterColumn>
  </autoFilter>
  <tableColumns count="14">
    <tableColumn id="1" xr3:uid="{00000000-0010-0000-0200-000001000000}" name="Tipo" dataDxfId="460"/>
    <tableColumn id="2" xr3:uid="{00000000-0010-0000-0200-000002000000}" name="Sigla" dataDxfId="459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8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3" dataDxfId="442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1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813" totalsRowShown="0" headerRowDxfId="383" dataDxfId="382" totalsRowDxfId="381">
  <autoFilter ref="A2:FI813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6" totalsRowShown="0">
  <autoFilter ref="A1:Q27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2178</v>
      </c>
    </row>
    <row r="2" spans="1:15">
      <c r="A2">
        <v>252</v>
      </c>
      <c r="B2" s="979">
        <v>43922</v>
      </c>
      <c r="C2" s="234"/>
      <c r="D2" s="234"/>
      <c r="E2" s="234"/>
      <c r="F2" s="234"/>
      <c r="G2" s="234"/>
      <c r="H2" s="234"/>
      <c r="I2" s="980"/>
    </row>
    <row r="3" spans="1:15">
      <c r="A3">
        <v>255</v>
      </c>
      <c r="B3" s="979">
        <v>43922</v>
      </c>
      <c r="C3" s="234"/>
      <c r="D3" s="234"/>
      <c r="E3" s="234"/>
      <c r="F3" s="234"/>
      <c r="G3" s="234"/>
      <c r="H3" s="234"/>
      <c r="I3" s="980"/>
    </row>
    <row r="4" spans="1:15">
      <c r="A4">
        <v>206</v>
      </c>
      <c r="B4" s="979">
        <v>43922</v>
      </c>
      <c r="C4" s="234"/>
      <c r="D4" s="234"/>
      <c r="E4" s="234"/>
      <c r="F4" s="234"/>
      <c r="G4" s="234"/>
      <c r="H4" s="234"/>
      <c r="I4" s="980"/>
    </row>
    <row r="5" spans="1:15">
      <c r="A5">
        <v>256</v>
      </c>
      <c r="B5" s="979">
        <v>43922</v>
      </c>
      <c r="C5" s="234"/>
      <c r="D5" s="234"/>
      <c r="E5" s="234"/>
      <c r="F5" s="234"/>
      <c r="G5" s="234"/>
      <c r="H5" s="234"/>
      <c r="I5" s="980"/>
      <c r="J5" s="234">
        <v>4154376.2782662762</v>
      </c>
    </row>
    <row r="6" spans="1:15">
      <c r="A6">
        <v>203</v>
      </c>
      <c r="B6" s="979">
        <v>43952</v>
      </c>
      <c r="C6" s="234"/>
      <c r="D6" s="234"/>
      <c r="E6" s="234"/>
      <c r="F6" s="234"/>
      <c r="G6" s="234"/>
      <c r="H6" s="234"/>
      <c r="I6" s="980"/>
      <c r="J6" s="234"/>
    </row>
    <row r="7" spans="1:15">
      <c r="A7">
        <v>211</v>
      </c>
      <c r="B7" s="979">
        <v>43952</v>
      </c>
      <c r="C7" s="234"/>
      <c r="D7" s="234"/>
      <c r="E7" s="234"/>
      <c r="F7" s="234"/>
      <c r="G7" s="234"/>
      <c r="H7" s="234"/>
      <c r="I7" s="980"/>
      <c r="J7" s="234">
        <v>18046086.986190885</v>
      </c>
      <c r="N7" s="234"/>
      <c r="O7" s="980"/>
    </row>
    <row r="8" spans="1:15">
      <c r="A8">
        <v>254</v>
      </c>
      <c r="B8" s="979">
        <v>43952</v>
      </c>
      <c r="C8" s="234"/>
      <c r="D8" s="234"/>
      <c r="E8" s="234"/>
      <c r="F8" s="234"/>
      <c r="G8" s="234"/>
      <c r="H8" s="234"/>
      <c r="I8" s="980"/>
      <c r="N8" s="234"/>
      <c r="O8" s="980"/>
    </row>
    <row r="9" spans="1:15">
      <c r="A9">
        <v>210</v>
      </c>
      <c r="B9" s="979">
        <v>43952</v>
      </c>
      <c r="C9" s="234"/>
      <c r="D9" s="234"/>
      <c r="E9" s="234"/>
      <c r="F9" s="234"/>
      <c r="G9" s="234"/>
      <c r="H9" s="234"/>
      <c r="I9" s="980"/>
      <c r="N9" s="234"/>
      <c r="O9" s="980"/>
    </row>
    <row r="10" spans="1:15">
      <c r="A10">
        <v>258</v>
      </c>
      <c r="B10" s="979">
        <v>44013</v>
      </c>
      <c r="C10" s="234"/>
      <c r="D10" s="234"/>
      <c r="E10" s="234"/>
      <c r="F10" s="234"/>
      <c r="G10" s="234"/>
      <c r="H10" s="234"/>
      <c r="I10" s="980"/>
    </row>
    <row r="11" spans="1:15">
      <c r="A11">
        <v>247</v>
      </c>
      <c r="B11" s="979">
        <v>44013</v>
      </c>
      <c r="C11" s="234"/>
      <c r="D11" s="234"/>
      <c r="E11" s="234"/>
      <c r="F11" s="234"/>
      <c r="G11" s="234"/>
      <c r="H11" s="234"/>
      <c r="I11" s="980"/>
    </row>
    <row r="12" spans="1:15">
      <c r="A12">
        <v>248</v>
      </c>
      <c r="B12" s="979">
        <v>44013</v>
      </c>
      <c r="C12" s="234"/>
      <c r="D12" s="234"/>
      <c r="E12" s="234"/>
      <c r="F12" s="234"/>
      <c r="G12" s="234"/>
      <c r="H12" s="234"/>
      <c r="I12" s="981"/>
    </row>
    <row r="13" spans="1:15">
      <c r="A13">
        <v>209</v>
      </c>
      <c r="B13" s="979">
        <v>44013</v>
      </c>
      <c r="C13" s="234"/>
      <c r="D13" s="234"/>
      <c r="E13" s="234"/>
      <c r="F13" s="234"/>
      <c r="G13" s="234"/>
      <c r="H13" s="234"/>
      <c r="I13" s="980"/>
    </row>
    <row r="14" spans="1:15">
      <c r="A14">
        <v>207</v>
      </c>
      <c r="B14" s="979">
        <v>44013</v>
      </c>
      <c r="C14" s="234"/>
      <c r="D14" s="234"/>
      <c r="E14" s="234"/>
      <c r="F14" s="234"/>
      <c r="G14" s="234"/>
      <c r="H14" s="234"/>
      <c r="I14" s="980"/>
    </row>
    <row r="15" spans="1:15">
      <c r="A15">
        <v>249</v>
      </c>
      <c r="B15" s="979">
        <v>44013</v>
      </c>
      <c r="C15" s="234"/>
      <c r="D15" s="234"/>
      <c r="E15" s="234"/>
      <c r="F15" s="234"/>
      <c r="G15" s="234"/>
      <c r="H15" s="234"/>
      <c r="I15" s="980"/>
    </row>
    <row r="16" spans="1:15">
      <c r="A16">
        <v>237</v>
      </c>
      <c r="B16" s="979">
        <v>44013</v>
      </c>
      <c r="C16" s="234"/>
      <c r="D16" s="234"/>
      <c r="E16" s="234"/>
      <c r="F16" s="234"/>
      <c r="G16" s="234"/>
      <c r="H16" s="234"/>
      <c r="I16" s="981"/>
    </row>
    <row r="17" spans="1:10">
      <c r="A17">
        <v>246</v>
      </c>
      <c r="B17" s="979">
        <v>44013</v>
      </c>
      <c r="C17" s="234"/>
      <c r="D17" s="234"/>
      <c r="E17" s="234"/>
      <c r="F17" s="234"/>
      <c r="G17" s="234"/>
      <c r="H17" s="234"/>
      <c r="I17" s="980"/>
    </row>
    <row r="18" spans="1:10">
      <c r="A18">
        <v>238</v>
      </c>
      <c r="B18" s="979">
        <v>44013</v>
      </c>
      <c r="C18" s="234"/>
      <c r="D18" s="234"/>
      <c r="E18" s="234"/>
      <c r="F18" s="234"/>
      <c r="G18" s="234"/>
      <c r="H18" s="234"/>
      <c r="I18" s="980"/>
    </row>
    <row r="19" spans="1:10">
      <c r="A19">
        <v>240</v>
      </c>
      <c r="B19" s="979">
        <v>44013</v>
      </c>
      <c r="C19" s="234"/>
      <c r="D19" s="234"/>
      <c r="E19" s="234"/>
      <c r="F19" s="234"/>
      <c r="G19" s="234"/>
      <c r="H19" s="234"/>
      <c r="I19" s="980"/>
      <c r="J19" s="234">
        <v>81721407.839354143</v>
      </c>
    </row>
    <row r="20" spans="1:10">
      <c r="A20">
        <v>242</v>
      </c>
      <c r="B20" s="979">
        <v>44013</v>
      </c>
      <c r="C20" s="234"/>
      <c r="D20" s="234"/>
      <c r="E20" s="234"/>
      <c r="F20" s="234"/>
      <c r="G20" s="234"/>
      <c r="H20" s="234"/>
      <c r="I20" s="980"/>
    </row>
    <row r="21" spans="1:10">
      <c r="A21">
        <v>245</v>
      </c>
      <c r="B21" s="979">
        <v>44013</v>
      </c>
      <c r="C21" s="234"/>
      <c r="D21" s="234"/>
      <c r="E21" s="234"/>
      <c r="F21" s="234"/>
      <c r="G21" s="234"/>
      <c r="H21" s="234"/>
      <c r="I21" s="980"/>
    </row>
    <row r="22" spans="1:10">
      <c r="A22">
        <v>257</v>
      </c>
      <c r="B22" s="979">
        <v>44013</v>
      </c>
      <c r="C22" s="234"/>
      <c r="D22" s="234"/>
      <c r="E22" s="234"/>
      <c r="F22" s="234"/>
      <c r="G22" s="234"/>
      <c r="H22" s="234"/>
      <c r="I22" s="980"/>
    </row>
    <row r="23" spans="1:10">
      <c r="A23">
        <v>239</v>
      </c>
      <c r="B23" s="979">
        <v>44013</v>
      </c>
      <c r="C23" s="234"/>
      <c r="D23" s="234"/>
      <c r="E23" s="234"/>
      <c r="F23" s="234"/>
      <c r="G23" s="234"/>
      <c r="H23" s="234"/>
      <c r="I23" s="980"/>
    </row>
    <row r="24" spans="1:10">
      <c r="A24">
        <v>232</v>
      </c>
      <c r="B24" s="979">
        <v>44075</v>
      </c>
      <c r="C24" s="234"/>
      <c r="D24" s="234"/>
      <c r="E24" s="234"/>
      <c r="F24" s="234"/>
      <c r="G24" s="234"/>
      <c r="H24" s="234"/>
      <c r="I24" s="980"/>
    </row>
    <row r="25" spans="1:10">
      <c r="A25">
        <v>222</v>
      </c>
      <c r="B25" s="979">
        <v>44075</v>
      </c>
      <c r="C25" s="234"/>
      <c r="D25" s="234"/>
      <c r="E25" s="234"/>
      <c r="F25" s="234"/>
      <c r="G25" s="234"/>
      <c r="H25" s="234"/>
      <c r="I25" s="980"/>
    </row>
    <row r="26" spans="1:10">
      <c r="A26">
        <v>202</v>
      </c>
      <c r="B26" s="979">
        <v>44075</v>
      </c>
      <c r="C26" s="234"/>
      <c r="D26" s="234"/>
      <c r="E26" s="234"/>
      <c r="F26" s="234"/>
      <c r="G26" s="234"/>
      <c r="H26" s="234"/>
      <c r="I26" s="980"/>
    </row>
    <row r="27" spans="1:10">
      <c r="A27">
        <v>260</v>
      </c>
      <c r="B27" s="979">
        <v>44075</v>
      </c>
      <c r="C27" s="234"/>
      <c r="D27" s="234"/>
      <c r="E27" s="234"/>
      <c r="F27" s="234"/>
      <c r="G27" s="234"/>
      <c r="H27" s="234"/>
      <c r="I27" s="980"/>
    </row>
    <row r="28" spans="1:10">
      <c r="A28">
        <v>230</v>
      </c>
      <c r="B28" s="979">
        <v>44075</v>
      </c>
      <c r="C28" s="234"/>
      <c r="D28" s="234"/>
      <c r="E28" s="234"/>
      <c r="F28" s="234"/>
      <c r="G28" s="234"/>
      <c r="H28" s="234"/>
      <c r="I28" s="980"/>
    </row>
    <row r="29" spans="1:10">
      <c r="A29">
        <v>221</v>
      </c>
      <c r="B29" s="979">
        <v>44075</v>
      </c>
      <c r="C29" s="234"/>
      <c r="D29" s="234"/>
      <c r="E29" s="234"/>
      <c r="F29" s="234"/>
      <c r="G29" s="234"/>
      <c r="H29" s="234"/>
      <c r="I29" s="980"/>
    </row>
    <row r="30" spans="1:10">
      <c r="A30">
        <v>218</v>
      </c>
      <c r="B30" s="979">
        <v>44075</v>
      </c>
      <c r="C30" s="234"/>
      <c r="D30" s="234"/>
      <c r="E30" s="234"/>
      <c r="F30" s="234"/>
      <c r="G30" s="234"/>
      <c r="H30" s="234"/>
      <c r="I30" s="980"/>
    </row>
    <row r="31" spans="1:10">
      <c r="A31">
        <v>261</v>
      </c>
      <c r="B31" s="979">
        <v>44075</v>
      </c>
      <c r="C31" s="234"/>
      <c r="D31" s="234"/>
      <c r="E31" s="234"/>
      <c r="F31" s="234"/>
      <c r="G31" s="234"/>
      <c r="H31" s="234"/>
      <c r="I31" s="980"/>
    </row>
    <row r="32" spans="1:10">
      <c r="A32">
        <v>262</v>
      </c>
      <c r="B32" s="979">
        <v>44075</v>
      </c>
      <c r="C32" s="234"/>
      <c r="D32" s="234"/>
      <c r="E32" s="234"/>
      <c r="F32" s="234"/>
      <c r="G32" s="234"/>
      <c r="H32" s="234"/>
      <c r="I32" s="980"/>
    </row>
    <row r="33" spans="1:9">
      <c r="A33">
        <v>227</v>
      </c>
      <c r="B33" s="979">
        <v>44075</v>
      </c>
      <c r="C33" s="234"/>
      <c r="D33" s="234"/>
      <c r="E33" s="234"/>
      <c r="F33" s="234"/>
      <c r="G33" s="234"/>
      <c r="H33" s="234"/>
      <c r="I33" s="980"/>
    </row>
    <row r="34" spans="1:9">
      <c r="A34">
        <v>231</v>
      </c>
      <c r="B34" s="979">
        <v>44075</v>
      </c>
      <c r="C34" s="234"/>
      <c r="D34" s="234"/>
      <c r="E34" s="234"/>
      <c r="F34" s="234"/>
      <c r="G34" s="234"/>
      <c r="H34" s="234"/>
      <c r="I34" s="980"/>
    </row>
    <row r="35" spans="1:9">
      <c r="A35">
        <v>216</v>
      </c>
      <c r="B35" s="979">
        <v>44075</v>
      </c>
      <c r="C35" s="234"/>
      <c r="D35" s="234"/>
      <c r="E35" s="234"/>
      <c r="F35" s="234"/>
      <c r="G35" s="234"/>
      <c r="H35" s="234"/>
      <c r="I35" s="980"/>
    </row>
    <row r="36" spans="1:9">
      <c r="A36">
        <v>229</v>
      </c>
      <c r="B36" s="979">
        <v>44075</v>
      </c>
      <c r="C36" s="234"/>
      <c r="D36" s="234"/>
      <c r="E36" s="234"/>
      <c r="F36" s="234"/>
      <c r="G36" s="234"/>
      <c r="H36" s="234"/>
      <c r="I36" s="980"/>
    </row>
    <row r="37" spans="1:9">
      <c r="A37">
        <v>215</v>
      </c>
      <c r="B37" s="979">
        <v>44075</v>
      </c>
      <c r="C37" s="234"/>
      <c r="D37" s="234"/>
      <c r="E37" s="234"/>
      <c r="F37" s="234"/>
      <c r="G37" s="234"/>
      <c r="H37" s="234"/>
      <c r="I37" s="980"/>
    </row>
    <row r="38" spans="1:9">
      <c r="A38">
        <v>224</v>
      </c>
      <c r="B38" s="979">
        <v>44075</v>
      </c>
      <c r="C38" s="234"/>
      <c r="D38" s="234"/>
      <c r="E38" s="234"/>
      <c r="F38" s="234"/>
      <c r="G38" s="234"/>
      <c r="H38" s="234"/>
      <c r="I38" s="980"/>
    </row>
    <row r="39" spans="1:9">
      <c r="A39">
        <v>226</v>
      </c>
      <c r="B39" s="979">
        <v>44075</v>
      </c>
      <c r="C39" s="234"/>
      <c r="D39" s="234"/>
      <c r="E39" s="234"/>
      <c r="F39" s="234"/>
      <c r="G39" s="234"/>
      <c r="H39" s="234"/>
      <c r="I39" s="980"/>
    </row>
    <row r="40" spans="1:9">
      <c r="A40">
        <v>234</v>
      </c>
      <c r="B40" s="979">
        <v>44075</v>
      </c>
      <c r="C40" s="234"/>
      <c r="D40" s="234"/>
      <c r="E40" s="234"/>
      <c r="F40" s="234"/>
      <c r="G40" s="234"/>
      <c r="H40" s="234"/>
      <c r="I40" s="980"/>
    </row>
    <row r="41" spans="1:9">
      <c r="A41">
        <v>223</v>
      </c>
      <c r="B41" s="979">
        <v>44075</v>
      </c>
      <c r="C41" s="234"/>
      <c r="D41" s="234"/>
      <c r="E41" s="234"/>
      <c r="F41" s="234"/>
      <c r="G41" s="234"/>
      <c r="H41" s="234"/>
      <c r="I41" s="980"/>
    </row>
    <row r="42" spans="1:9">
      <c r="A42">
        <v>225</v>
      </c>
      <c r="B42" s="979">
        <v>44075</v>
      </c>
      <c r="C42" s="234"/>
      <c r="D42" s="234"/>
      <c r="E42" s="234"/>
      <c r="F42" s="234"/>
      <c r="G42" s="234"/>
      <c r="H42" s="234"/>
      <c r="I42" s="980"/>
    </row>
    <row r="43" spans="1:9">
      <c r="A43">
        <v>228</v>
      </c>
      <c r="B43" s="979">
        <v>44075</v>
      </c>
      <c r="C43" s="234"/>
      <c r="D43" s="234"/>
      <c r="E43" s="234"/>
      <c r="F43" s="234"/>
      <c r="G43" s="234"/>
      <c r="H43" s="234"/>
      <c r="I43" s="980"/>
    </row>
    <row r="44" spans="1:9">
      <c r="A44">
        <v>220</v>
      </c>
      <c r="B44" s="979">
        <v>44075</v>
      </c>
      <c r="C44" s="234"/>
      <c r="D44" s="234"/>
      <c r="E44" s="234"/>
      <c r="F44" s="234"/>
      <c r="G44" s="234"/>
      <c r="H44" s="234"/>
      <c r="I44" s="980"/>
    </row>
    <row r="45" spans="1:9">
      <c r="A45">
        <v>201</v>
      </c>
      <c r="B45" s="979">
        <v>44136</v>
      </c>
      <c r="C45" s="234"/>
      <c r="D45" s="234"/>
      <c r="E45" s="234"/>
      <c r="F45" s="234"/>
      <c r="G45" s="234"/>
      <c r="H45" s="234"/>
      <c r="I45" s="980"/>
    </row>
    <row r="46" spans="1:9">
      <c r="A46">
        <v>213</v>
      </c>
      <c r="B46" s="979">
        <v>44136</v>
      </c>
      <c r="C46" s="234"/>
      <c r="D46" s="234"/>
      <c r="E46" s="234"/>
      <c r="F46" s="234"/>
      <c r="G46" s="234"/>
      <c r="H46" s="234"/>
      <c r="I46" s="980"/>
    </row>
    <row r="47" spans="1:9">
      <c r="A47">
        <v>219</v>
      </c>
      <c r="B47" s="979">
        <v>44136</v>
      </c>
      <c r="C47" s="234"/>
      <c r="D47" s="234"/>
      <c r="E47" s="234"/>
      <c r="F47" s="234"/>
      <c r="G47" s="234"/>
      <c r="H47" s="234"/>
      <c r="I47" s="980"/>
    </row>
    <row r="48" spans="1:9">
      <c r="A48">
        <v>205</v>
      </c>
      <c r="B48" s="979">
        <v>44136</v>
      </c>
      <c r="C48" s="234"/>
      <c r="D48" s="234"/>
      <c r="E48" s="234"/>
      <c r="F48" s="234"/>
      <c r="G48" s="234"/>
      <c r="H48" s="234"/>
      <c r="I48" s="980"/>
    </row>
    <row r="49" spans="1:10">
      <c r="A49">
        <v>208</v>
      </c>
      <c r="B49" s="979">
        <v>44136</v>
      </c>
      <c r="C49" s="234"/>
      <c r="D49" s="234"/>
      <c r="E49" s="234"/>
      <c r="F49" s="234"/>
      <c r="G49" s="234"/>
      <c r="H49" s="234"/>
      <c r="I49" s="980"/>
    </row>
    <row r="50" spans="1:10">
      <c r="A50">
        <v>263</v>
      </c>
      <c r="B50" s="979">
        <v>44166</v>
      </c>
      <c r="C50" s="234"/>
      <c r="D50" s="234"/>
      <c r="F50" s="234"/>
      <c r="G50" s="234"/>
      <c r="H50" s="234"/>
      <c r="I50" s="980"/>
      <c r="J50" s="234">
        <v>5389974.3136365721</v>
      </c>
    </row>
    <row r="51" spans="1:10">
      <c r="A51">
        <v>217</v>
      </c>
      <c r="B51" s="979">
        <v>44166</v>
      </c>
      <c r="C51" s="234"/>
      <c r="D51" s="234"/>
      <c r="E51" s="234"/>
      <c r="F51" s="234"/>
      <c r="G51" s="234"/>
      <c r="H51" s="234"/>
      <c r="I51" s="980"/>
      <c r="J51" s="234"/>
    </row>
    <row r="52" spans="1:10">
      <c r="A52">
        <v>264</v>
      </c>
      <c r="B52" s="979">
        <v>44166</v>
      </c>
      <c r="C52" s="234"/>
      <c r="D52" s="234"/>
      <c r="F52" s="234"/>
      <c r="G52" s="234"/>
      <c r="H52" s="234"/>
      <c r="I52" s="980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Y1" zoomScale="106" zoomScaleNormal="106" workbookViewId="0">
      <selection activeCell="AE9" sqref="AE9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07" t="s">
        <v>12</v>
      </c>
      <c r="C1" s="1008"/>
      <c r="D1" s="1008"/>
      <c r="E1" s="1009" t="s">
        <v>13</v>
      </c>
      <c r="F1" s="1010">
        <f ca="1">LnkTXTIRTEco</f>
        <v>0.1182</v>
      </c>
    </row>
    <row r="2" spans="2:43" ht="28.5" customHeight="1">
      <c r="B2" s="138" t="str">
        <f>CAPA!C9</f>
        <v>Certaja</v>
      </c>
      <c r="C2" s="70"/>
      <c r="D2" s="70"/>
      <c r="E2" s="84" t="s">
        <v>14</v>
      </c>
      <c r="F2" s="85">
        <f ca="1">LnkTXTIRTTotal</f>
        <v>-0.2044</v>
      </c>
      <c r="M2" s="86"/>
      <c r="N2" s="87"/>
      <c r="AA2" s="903"/>
      <c r="AB2" s="978"/>
      <c r="AC2" s="903"/>
      <c r="AD2" s="903"/>
    </row>
    <row r="3" spans="2:43" ht="21" customHeight="1">
      <c r="B3" s="1011" t="s">
        <v>15</v>
      </c>
      <c r="C3" s="823"/>
      <c r="I3" s="1011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12" t="s">
        <v>17</v>
      </c>
      <c r="C5" s="1013">
        <v>113727.004</v>
      </c>
      <c r="D5" s="1763" t="s">
        <v>18</v>
      </c>
      <c r="E5" s="91"/>
      <c r="F5" s="72"/>
      <c r="G5" s="72"/>
      <c r="H5" s="72" t="s">
        <v>19</v>
      </c>
      <c r="I5" s="492" t="s">
        <v>20</v>
      </c>
      <c r="J5" s="492" t="s">
        <v>21</v>
      </c>
      <c r="K5" s="492"/>
      <c r="L5" s="492" t="s">
        <v>22</v>
      </c>
      <c r="M5" s="492" t="s">
        <v>23</v>
      </c>
      <c r="N5" s="492" t="s">
        <v>24</v>
      </c>
      <c r="O5" s="492"/>
      <c r="P5" s="492"/>
      <c r="Q5" s="492" t="s">
        <v>25</v>
      </c>
      <c r="R5" s="492" t="s">
        <v>26</v>
      </c>
      <c r="S5" s="822" t="s">
        <v>27</v>
      </c>
      <c r="T5" s="492" t="s">
        <v>28</v>
      </c>
      <c r="U5" s="71" t="s">
        <v>29</v>
      </c>
      <c r="V5" s="822" t="s">
        <v>30</v>
      </c>
      <c r="AA5" s="68" t="s">
        <v>31</v>
      </c>
      <c r="AB5" s="68" t="s">
        <v>32</v>
      </c>
      <c r="AC5" s="68" t="s">
        <v>20</v>
      </c>
      <c r="AD5" s="903" t="s">
        <v>33</v>
      </c>
      <c r="AE5" s="903" t="s">
        <v>2173</v>
      </c>
      <c r="AI5" s="944" t="s">
        <v>34</v>
      </c>
      <c r="AJ5" s="944" t="s">
        <v>35</v>
      </c>
      <c r="AL5" s="959" t="s">
        <v>36</v>
      </c>
      <c r="AM5" s="959" t="s">
        <v>37</v>
      </c>
      <c r="AO5" s="903" t="s">
        <v>2203</v>
      </c>
      <c r="AP5" s="903" t="s">
        <v>37</v>
      </c>
      <c r="AQ5" s="903" t="s">
        <v>2204</v>
      </c>
    </row>
    <row r="6" spans="2:43" ht="16.5">
      <c r="B6" s="94"/>
      <c r="C6" s="89"/>
      <c r="D6" s="1764"/>
      <c r="E6" s="91"/>
      <c r="F6" s="72"/>
      <c r="G6" s="72"/>
      <c r="H6" s="68" t="str">
        <f>CONCATENATE(W6,J6,L6,O6)</f>
        <v>5707A4PontaPotência</v>
      </c>
      <c r="I6" s="1014">
        <v>2021</v>
      </c>
      <c r="J6" s="1015" t="s">
        <v>596</v>
      </c>
      <c r="K6" s="1015" t="s">
        <v>828</v>
      </c>
      <c r="L6" s="1015" t="s">
        <v>971</v>
      </c>
      <c r="M6" s="1015" t="s">
        <v>449</v>
      </c>
      <c r="N6" s="1015">
        <v>3223</v>
      </c>
      <c r="O6" s="1015" t="s">
        <v>1319</v>
      </c>
      <c r="P6" s="1015" t="s">
        <v>829</v>
      </c>
      <c r="Q6" s="1016">
        <v>44522</v>
      </c>
      <c r="R6" s="1016">
        <v>44511</v>
      </c>
      <c r="S6" s="520" t="s">
        <v>191</v>
      </c>
      <c r="T6" s="1016" t="s">
        <v>2313</v>
      </c>
      <c r="U6" s="1015">
        <v>27.88</v>
      </c>
      <c r="V6" s="1015">
        <v>110</v>
      </c>
      <c r="W6" s="68">
        <f>VLOOKUP(V6,DescontosTE[[#All],[idsreag supridora]:[codsariSUP]],2,FALSE)</f>
        <v>5707</v>
      </c>
      <c r="AA6" s="904" t="s">
        <v>1226</v>
      </c>
      <c r="AB6" s="905">
        <v>3.229917809236368E-4</v>
      </c>
      <c r="AC6" s="904">
        <v>2022</v>
      </c>
      <c r="AD6" s="904">
        <v>349.15</v>
      </c>
      <c r="AE6" s="904">
        <v>4321.022032259767</v>
      </c>
      <c r="AI6" s="957">
        <v>44287</v>
      </c>
      <c r="AJ6" s="958">
        <v>25403.53</v>
      </c>
      <c r="AL6" s="960" t="s">
        <v>2372</v>
      </c>
      <c r="AM6" s="961">
        <v>0</v>
      </c>
      <c r="AO6" s="1609" t="s">
        <v>2221</v>
      </c>
      <c r="AP6" s="1610">
        <v>-234493.53</v>
      </c>
      <c r="AQ6" s="1610"/>
    </row>
    <row r="7" spans="2:43" ht="16.5">
      <c r="B7" s="1017" t="s">
        <v>38</v>
      </c>
      <c r="C7" s="1018">
        <v>0</v>
      </c>
      <c r="D7" s="1764"/>
      <c r="E7" s="72"/>
      <c r="F7" s="72"/>
      <c r="G7" s="72"/>
      <c r="H7" s="68" t="str">
        <f t="shared" ref="H7:H30" si="0">CONCATENATE(W7,J7,L7,O7)</f>
        <v>5707A4Não se aplicaEnergia</v>
      </c>
      <c r="I7" s="518">
        <v>2021</v>
      </c>
      <c r="J7" s="519" t="s">
        <v>596</v>
      </c>
      <c r="K7" s="519" t="s">
        <v>828</v>
      </c>
      <c r="L7" s="519" t="s">
        <v>1320</v>
      </c>
      <c r="M7" s="519" t="s">
        <v>449</v>
      </c>
      <c r="N7" s="519">
        <v>3223</v>
      </c>
      <c r="O7" s="519" t="s">
        <v>120</v>
      </c>
      <c r="P7" s="519" t="s">
        <v>829</v>
      </c>
      <c r="Q7" s="520">
        <v>44522</v>
      </c>
      <c r="R7" s="520">
        <v>44511</v>
      </c>
      <c r="S7" s="520" t="s">
        <v>191</v>
      </c>
      <c r="T7" s="520" t="s">
        <v>2313</v>
      </c>
      <c r="U7" s="519">
        <v>10.62</v>
      </c>
      <c r="V7" s="519">
        <v>110</v>
      </c>
      <c r="W7" s="68">
        <f>VLOOKUP(V7,DescontosTE[[#All],[idsreag supridora]:[codsariSUP]],2,FALSE)</f>
        <v>5707</v>
      </c>
      <c r="AA7" s="904"/>
      <c r="AB7" s="905"/>
      <c r="AC7" s="904"/>
      <c r="AD7" s="904"/>
      <c r="AE7" s="904"/>
      <c r="AI7" s="957">
        <v>44317</v>
      </c>
      <c r="AJ7" s="958">
        <v>25386.44</v>
      </c>
      <c r="AL7" s="960" t="s">
        <v>2373</v>
      </c>
      <c r="AM7" s="961">
        <v>0</v>
      </c>
      <c r="AO7" s="1609" t="s">
        <v>2222</v>
      </c>
      <c r="AP7" s="1610">
        <v>-680568.42</v>
      </c>
      <c r="AQ7" s="1610"/>
    </row>
    <row r="8" spans="2:43" ht="16.5">
      <c r="B8" s="94" t="s">
        <v>39</v>
      </c>
      <c r="C8" s="120">
        <v>0</v>
      </c>
      <c r="D8" s="1764"/>
      <c r="E8" s="72"/>
      <c r="F8" s="72"/>
      <c r="G8" s="72"/>
      <c r="H8" s="68" t="str">
        <f t="shared" si="0"/>
        <v>5707A4Fora pontaPotência</v>
      </c>
      <c r="I8" s="518">
        <v>2021</v>
      </c>
      <c r="J8" s="519" t="s">
        <v>596</v>
      </c>
      <c r="K8" s="519" t="s">
        <v>828</v>
      </c>
      <c r="L8" s="519" t="s">
        <v>2242</v>
      </c>
      <c r="M8" s="519" t="s">
        <v>449</v>
      </c>
      <c r="N8" s="519">
        <v>3223</v>
      </c>
      <c r="O8" s="519" t="s">
        <v>1319</v>
      </c>
      <c r="P8" s="519" t="s">
        <v>829</v>
      </c>
      <c r="Q8" s="520">
        <v>44522</v>
      </c>
      <c r="R8" s="520">
        <v>44511</v>
      </c>
      <c r="S8" s="520" t="s">
        <v>191</v>
      </c>
      <c r="T8" s="520" t="s">
        <v>2313</v>
      </c>
      <c r="U8" s="519">
        <v>16.29</v>
      </c>
      <c r="V8" s="519">
        <v>110</v>
      </c>
      <c r="W8" s="68">
        <f>VLOOKUP(V8,DescontosTE[[#All],[idsreag supridora]:[codsariSUP]],2,FALSE)</f>
        <v>5707</v>
      </c>
      <c r="AI8" s="957">
        <v>44348</v>
      </c>
      <c r="AJ8" s="958">
        <v>25378.33</v>
      </c>
      <c r="AL8" s="960" t="s">
        <v>2374</v>
      </c>
      <c r="AM8" s="961">
        <v>0</v>
      </c>
      <c r="AO8" s="1609" t="s">
        <v>2223</v>
      </c>
      <c r="AP8" s="1610">
        <v>0</v>
      </c>
      <c r="AQ8" s="1610"/>
    </row>
    <row r="9" spans="2:43" ht="16.5">
      <c r="B9" s="94" t="s">
        <v>40</v>
      </c>
      <c r="C9" s="120">
        <v>166389.63517198499</v>
      </c>
      <c r="D9" s="1764"/>
      <c r="E9" s="72"/>
      <c r="F9" s="72"/>
      <c r="G9" s="72"/>
      <c r="H9" s="68" t="str">
        <f t="shared" si="0"/>
        <v>396A4Não se aplicaEnergia</v>
      </c>
      <c r="I9" s="518">
        <v>2022</v>
      </c>
      <c r="J9" s="519" t="s">
        <v>596</v>
      </c>
      <c r="K9" s="519" t="s">
        <v>828</v>
      </c>
      <c r="L9" s="519" t="s">
        <v>1320</v>
      </c>
      <c r="M9" s="519" t="s">
        <v>449</v>
      </c>
      <c r="N9" s="519">
        <v>3223</v>
      </c>
      <c r="O9" s="519" t="s">
        <v>120</v>
      </c>
      <c r="P9" s="519" t="s">
        <v>829</v>
      </c>
      <c r="Q9" s="520">
        <v>44734</v>
      </c>
      <c r="R9" s="520">
        <v>44732</v>
      </c>
      <c r="S9" s="520" t="s">
        <v>2314</v>
      </c>
      <c r="T9" s="520" t="s">
        <v>2315</v>
      </c>
      <c r="U9" s="519">
        <v>11.36</v>
      </c>
      <c r="V9" s="519">
        <v>167</v>
      </c>
      <c r="W9" s="68">
        <f>VLOOKUP(V9,DescontosTE[[#All],[idsreag supridora]:[codsariSUP]],2,FALSE)</f>
        <v>396</v>
      </c>
      <c r="AI9" s="957">
        <v>44378</v>
      </c>
      <c r="AJ9" s="958">
        <v>21958.19</v>
      </c>
      <c r="AL9" s="960" t="s">
        <v>2375</v>
      </c>
      <c r="AM9" s="961"/>
      <c r="AO9" s="1609"/>
      <c r="AP9" s="1610"/>
      <c r="AQ9" s="1610" t="s">
        <v>2224</v>
      </c>
    </row>
    <row r="10" spans="2:43" ht="16.5">
      <c r="B10" s="94" t="s">
        <v>41</v>
      </c>
      <c r="C10" s="120">
        <v>6440461.1320200004</v>
      </c>
      <c r="D10" s="1764"/>
      <c r="H10" s="68" t="str">
        <f t="shared" si="0"/>
        <v>396A4Fora pontaPotência</v>
      </c>
      <c r="I10" s="518">
        <v>2022</v>
      </c>
      <c r="J10" s="519" t="s">
        <v>596</v>
      </c>
      <c r="K10" s="519" t="s">
        <v>828</v>
      </c>
      <c r="L10" s="519" t="s">
        <v>2242</v>
      </c>
      <c r="M10" s="519" t="s">
        <v>449</v>
      </c>
      <c r="N10" s="519">
        <v>3223</v>
      </c>
      <c r="O10" s="519" t="s">
        <v>1319</v>
      </c>
      <c r="P10" s="519" t="s">
        <v>829</v>
      </c>
      <c r="Q10" s="520">
        <v>44734</v>
      </c>
      <c r="R10" s="520">
        <v>44732</v>
      </c>
      <c r="S10" s="520" t="s">
        <v>2314</v>
      </c>
      <c r="T10" s="520" t="s">
        <v>2315</v>
      </c>
      <c r="U10" s="519">
        <v>19.98</v>
      </c>
      <c r="V10" s="519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09" t="s">
        <v>45</v>
      </c>
      <c r="AI10" s="957">
        <v>44409</v>
      </c>
      <c r="AJ10" s="958">
        <v>21912.04</v>
      </c>
      <c r="AL10" s="960" t="s">
        <v>2376</v>
      </c>
      <c r="AM10" s="961">
        <v>-30562.894592922999</v>
      </c>
    </row>
    <row r="11" spans="2:43" ht="16.5">
      <c r="B11" s="94" t="s">
        <v>46</v>
      </c>
      <c r="C11" s="120">
        <v>851967.65457204496</v>
      </c>
      <c r="D11" s="1764"/>
      <c r="H11" s="68" t="str">
        <f t="shared" si="0"/>
        <v>396A4PontaPotência</v>
      </c>
      <c r="I11" s="518">
        <v>2022</v>
      </c>
      <c r="J11" s="519" t="s">
        <v>596</v>
      </c>
      <c r="K11" s="519" t="s">
        <v>828</v>
      </c>
      <c r="L11" s="519" t="s">
        <v>971</v>
      </c>
      <c r="M11" s="519" t="s">
        <v>449</v>
      </c>
      <c r="N11" s="519">
        <v>3223</v>
      </c>
      <c r="O11" s="519" t="s">
        <v>1319</v>
      </c>
      <c r="P11" s="519" t="s">
        <v>829</v>
      </c>
      <c r="Q11" s="520">
        <v>44734</v>
      </c>
      <c r="R11" s="520">
        <v>44732</v>
      </c>
      <c r="S11" s="520" t="s">
        <v>2314</v>
      </c>
      <c r="T11" s="520" t="s">
        <v>2315</v>
      </c>
      <c r="U11" s="519">
        <v>26.9</v>
      </c>
      <c r="V11" s="519">
        <v>167</v>
      </c>
      <c r="W11" s="68">
        <f>VLOOKUP(V11,DescontosTE[[#All],[idsreag supridora]:[codsariSUP]],2,FALSE)</f>
        <v>396</v>
      </c>
      <c r="AA11" s="1657">
        <v>0.88500000000000001</v>
      </c>
      <c r="AB11" s="1658">
        <v>195.04</v>
      </c>
      <c r="AC11" s="904">
        <v>14739.74</v>
      </c>
      <c r="AD11" s="904">
        <v>3.587946E-4</v>
      </c>
      <c r="AI11" s="957">
        <v>44440</v>
      </c>
      <c r="AJ11" s="958">
        <v>21877.3</v>
      </c>
      <c r="AL11" s="960" t="s">
        <v>2377</v>
      </c>
      <c r="AM11" s="961">
        <v>0</v>
      </c>
    </row>
    <row r="12" spans="2:43" ht="16.5">
      <c r="B12" s="94" t="s">
        <v>47</v>
      </c>
      <c r="C12" s="120">
        <v>1044139.62868</v>
      </c>
      <c r="D12" s="1764"/>
      <c r="H12" s="68" t="e">
        <f t="shared" si="0"/>
        <v>#N/A</v>
      </c>
      <c r="I12" s="518"/>
      <c r="J12" s="519"/>
      <c r="K12" s="519"/>
      <c r="L12" s="519"/>
      <c r="M12" s="519"/>
      <c r="N12" s="519"/>
      <c r="O12" s="519"/>
      <c r="P12" s="519"/>
      <c r="Q12" s="520"/>
      <c r="R12" s="520"/>
      <c r="S12" s="520"/>
      <c r="T12" s="520"/>
      <c r="U12" s="519"/>
      <c r="V12" s="519"/>
      <c r="W12" s="68" t="e">
        <f>VLOOKUP(V12,DescontosTE[[#All],[idsreag supridora]:[codsariSUP]],2,FALSE)</f>
        <v>#N/A</v>
      </c>
      <c r="AI12" s="957">
        <v>44470</v>
      </c>
      <c r="AJ12" s="958">
        <v>21868.81</v>
      </c>
      <c r="AL12" s="960" t="s">
        <v>2378</v>
      </c>
      <c r="AM12" s="961">
        <v>0</v>
      </c>
    </row>
    <row r="13" spans="2:43" ht="16.5">
      <c r="B13" s="94" t="s">
        <v>48</v>
      </c>
      <c r="C13" s="120">
        <v>0</v>
      </c>
      <c r="D13" s="1764"/>
      <c r="H13" s="68" t="e">
        <f t="shared" si="0"/>
        <v>#N/A</v>
      </c>
      <c r="I13" s="518"/>
      <c r="J13" s="519"/>
      <c r="K13" s="519"/>
      <c r="L13" s="519"/>
      <c r="M13" s="519"/>
      <c r="N13" s="519"/>
      <c r="O13" s="519"/>
      <c r="P13" s="519"/>
      <c r="Q13" s="520"/>
      <c r="R13" s="520"/>
      <c r="S13" s="520"/>
      <c r="T13" s="520"/>
      <c r="U13" s="519"/>
      <c r="V13" s="519"/>
      <c r="W13" s="68" t="e">
        <f>VLOOKUP(V13,DescontosTE[[#All],[idsreag supridora]:[codsariSUP]],2,FALSE)</f>
        <v>#N/A</v>
      </c>
      <c r="AI13" s="957">
        <v>44501</v>
      </c>
      <c r="AJ13" s="958">
        <v>21923.67</v>
      </c>
      <c r="AL13" s="960" t="s">
        <v>2379</v>
      </c>
      <c r="AM13" s="961">
        <v>872023.76029981195</v>
      </c>
    </row>
    <row r="14" spans="2:43" ht="16.5">
      <c r="B14" s="94" t="s">
        <v>49</v>
      </c>
      <c r="C14" s="120">
        <v>0</v>
      </c>
      <c r="D14" s="1764"/>
      <c r="H14" s="68" t="e">
        <f t="shared" si="0"/>
        <v>#N/A</v>
      </c>
      <c r="I14" s="518"/>
      <c r="J14" s="519"/>
      <c r="K14" s="519"/>
      <c r="L14" s="519"/>
      <c r="M14" s="519"/>
      <c r="N14" s="519"/>
      <c r="O14" s="519"/>
      <c r="P14" s="519"/>
      <c r="Q14" s="520"/>
      <c r="R14" s="520"/>
      <c r="S14" s="520"/>
      <c r="T14" s="520"/>
      <c r="U14" s="519"/>
      <c r="V14" s="519"/>
      <c r="W14" s="68" t="e">
        <f>VLOOKUP(V14,DescontosTE[[#All],[idsreag supridora]:[codsariSUP]],2,FALSE)</f>
        <v>#N/A</v>
      </c>
      <c r="AA14" s="835"/>
      <c r="AB14" s="835"/>
      <c r="AC14" s="835"/>
      <c r="AI14" s="957">
        <v>44531</v>
      </c>
      <c r="AJ14" s="958">
        <v>21884.16</v>
      </c>
      <c r="AL14" s="960" t="s">
        <v>2380</v>
      </c>
      <c r="AM14" s="961">
        <v>0</v>
      </c>
    </row>
    <row r="15" spans="2:43" ht="16.5">
      <c r="B15" s="1019" t="s">
        <v>2174</v>
      </c>
      <c r="C15" s="1020">
        <v>0</v>
      </c>
      <c r="D15" s="1764"/>
      <c r="F15" s="93"/>
      <c r="H15" s="68" t="e">
        <f t="shared" si="0"/>
        <v>#N/A</v>
      </c>
      <c r="I15" s="518"/>
      <c r="J15" s="519"/>
      <c r="K15" s="519"/>
      <c r="L15" s="519"/>
      <c r="M15" s="519"/>
      <c r="N15" s="519"/>
      <c r="O15" s="519"/>
      <c r="P15" s="519"/>
      <c r="Q15" s="520"/>
      <c r="R15" s="520"/>
      <c r="S15" s="520"/>
      <c r="T15" s="520"/>
      <c r="U15" s="519"/>
      <c r="V15" s="519"/>
      <c r="W15" s="68" t="e">
        <f>VLOOKUP(V15,DescontosTE[[#All],[idsreag supridora]:[codsariSUP]],2,FALSE)</f>
        <v>#N/A</v>
      </c>
      <c r="AA15" s="963" t="s">
        <v>122</v>
      </c>
      <c r="AB15" s="963" t="s">
        <v>976</v>
      </c>
      <c r="AC15" s="835"/>
      <c r="AI15" s="957">
        <v>44562</v>
      </c>
      <c r="AJ15" s="958">
        <v>22725.15</v>
      </c>
      <c r="AL15" s="960"/>
      <c r="AM15" s="961"/>
    </row>
    <row r="16" spans="2:43" ht="16.5">
      <c r="D16" s="1764"/>
      <c r="F16" s="93"/>
      <c r="H16" s="68" t="e">
        <f t="shared" si="0"/>
        <v>#N/A</v>
      </c>
      <c r="I16" s="518"/>
      <c r="J16" s="519"/>
      <c r="K16" s="519"/>
      <c r="L16" s="519"/>
      <c r="M16" s="519"/>
      <c r="N16" s="519"/>
      <c r="O16" s="519"/>
      <c r="P16" s="519"/>
      <c r="Q16" s="520"/>
      <c r="R16" s="520"/>
      <c r="S16" s="520"/>
      <c r="T16" s="520"/>
      <c r="U16" s="519"/>
      <c r="V16" s="519"/>
      <c r="W16" s="68" t="e">
        <f>VLOOKUP(V16,DescontosTE[[#All],[idsreag supridora]:[codsariSUP]],2,FALSE)</f>
        <v>#N/A</v>
      </c>
      <c r="AA16" s="904">
        <v>2022</v>
      </c>
      <c r="AB16" s="905">
        <v>1894.971763920269</v>
      </c>
      <c r="AC16" s="903"/>
      <c r="AI16" s="957">
        <v>44593</v>
      </c>
      <c r="AJ16" s="958">
        <v>23175.93</v>
      </c>
      <c r="AL16" s="960"/>
      <c r="AM16" s="961"/>
    </row>
    <row r="17" spans="2:42" ht="16.5">
      <c r="B17" s="1012" t="s">
        <v>50</v>
      </c>
      <c r="C17" s="1021"/>
      <c r="D17" s="1764"/>
      <c r="F17" s="93"/>
      <c r="H17" s="68" t="e">
        <f t="shared" si="0"/>
        <v>#N/A</v>
      </c>
      <c r="I17" s="518"/>
      <c r="J17" s="519"/>
      <c r="K17" s="519"/>
      <c r="L17" s="519"/>
      <c r="M17" s="519"/>
      <c r="N17" s="519"/>
      <c r="O17" s="519"/>
      <c r="P17" s="519"/>
      <c r="Q17" s="520"/>
      <c r="R17" s="520"/>
      <c r="S17" s="520"/>
      <c r="T17" s="520"/>
      <c r="U17" s="519"/>
      <c r="V17" s="519"/>
      <c r="W17" s="68" t="e">
        <f>VLOOKUP(V17,DescontosTE[[#All],[idsreag supridora]:[codsariSUP]],2,FALSE)</f>
        <v>#N/A</v>
      </c>
      <c r="AI17" s="957">
        <v>44621</v>
      </c>
      <c r="AJ17" s="958">
        <v>29061.09</v>
      </c>
      <c r="AL17" s="910"/>
      <c r="AM17" s="905"/>
    </row>
    <row r="18" spans="2:42" ht="16.5">
      <c r="B18" s="94" t="s">
        <v>51</v>
      </c>
      <c r="C18" s="120">
        <v>2413084.7999999998</v>
      </c>
      <c r="D18" s="1764"/>
      <c r="F18" s="93"/>
      <c r="H18" s="68" t="e">
        <f t="shared" si="0"/>
        <v>#N/A</v>
      </c>
      <c r="I18" s="518"/>
      <c r="J18" s="519"/>
      <c r="K18" s="519"/>
      <c r="L18" s="519"/>
      <c r="M18" s="519"/>
      <c r="N18" s="519"/>
      <c r="O18" s="519"/>
      <c r="P18" s="519"/>
      <c r="Q18" s="520"/>
      <c r="R18" s="520"/>
      <c r="S18" s="520"/>
      <c r="T18" s="520"/>
      <c r="U18" s="519"/>
      <c r="V18" s="519"/>
      <c r="W18" s="68" t="e">
        <f>VLOOKUP(V18,DescontosTE[[#All],[idsreag supridora]:[codsariSUP]],2,FALSE)</f>
        <v>#N/A</v>
      </c>
      <c r="AI18" s="957">
        <v>44652</v>
      </c>
      <c r="AJ18" s="958">
        <v>28794.05</v>
      </c>
      <c r="AL18" s="910"/>
      <c r="AM18" s="905"/>
    </row>
    <row r="19" spans="2:42" ht="16.5">
      <c r="B19" s="94" t="s">
        <v>52</v>
      </c>
      <c r="C19" s="120">
        <v>732638.4</v>
      </c>
      <c r="D19" s="1764"/>
      <c r="F19" s="93"/>
      <c r="H19" s="68" t="e">
        <f t="shared" si="0"/>
        <v>#N/A</v>
      </c>
      <c r="I19" s="518"/>
      <c r="J19" s="519"/>
      <c r="K19" s="519"/>
      <c r="L19" s="519"/>
      <c r="M19" s="519"/>
      <c r="N19" s="519"/>
      <c r="O19" s="519"/>
      <c r="P19" s="519"/>
      <c r="Q19" s="520"/>
      <c r="R19" s="520"/>
      <c r="S19" s="520"/>
      <c r="T19" s="520"/>
      <c r="U19" s="519"/>
      <c r="V19" s="519"/>
      <c r="W19" s="68" t="e">
        <f>VLOOKUP(V19,DescontosTE[[#All],[idsreag supridora]:[codsariSUP]],2,FALSE)</f>
        <v>#N/A</v>
      </c>
      <c r="AI19" s="957">
        <v>44682</v>
      </c>
      <c r="AJ19" s="958">
        <v>28645.65</v>
      </c>
    </row>
    <row r="20" spans="2:42" ht="16.5">
      <c r="B20" s="94" t="s">
        <v>53</v>
      </c>
      <c r="C20" s="120"/>
      <c r="D20" s="1764"/>
      <c r="F20" s="93"/>
      <c r="H20" s="68" t="e">
        <f t="shared" si="0"/>
        <v>#N/A</v>
      </c>
      <c r="I20" s="518"/>
      <c r="J20" s="519"/>
      <c r="K20" s="519"/>
      <c r="L20" s="519"/>
      <c r="M20" s="519"/>
      <c r="N20" s="519"/>
      <c r="O20" s="519"/>
      <c r="P20" s="519"/>
      <c r="Q20" s="520"/>
      <c r="R20" s="520"/>
      <c r="S20" s="520"/>
      <c r="T20" s="520"/>
      <c r="U20" s="519"/>
      <c r="V20" s="519"/>
      <c r="W20" s="68" t="e">
        <f>VLOOKUP(V20,DescontosTE[[#All],[idsreag supridora]:[codsariSUP]],2,FALSE)</f>
        <v>#N/A</v>
      </c>
      <c r="AA20" s="906" t="s">
        <v>54</v>
      </c>
      <c r="AB20" s="906"/>
      <c r="AC20" s="907"/>
      <c r="AD20" s="907"/>
      <c r="AE20" s="907"/>
      <c r="AF20" s="907"/>
      <c r="AG20" s="908"/>
      <c r="AI20" s="910"/>
      <c r="AJ20" s="905"/>
    </row>
    <row r="21" spans="2:42" ht="16.5">
      <c r="B21" s="94" t="s">
        <v>55</v>
      </c>
      <c r="C21" s="120"/>
      <c r="D21" s="1764"/>
      <c r="F21" s="93"/>
      <c r="H21" s="68" t="e">
        <f t="shared" si="0"/>
        <v>#N/A</v>
      </c>
      <c r="I21" s="518"/>
      <c r="J21" s="519"/>
      <c r="K21" s="519"/>
      <c r="L21" s="519"/>
      <c r="M21" s="519"/>
      <c r="N21" s="519"/>
      <c r="O21" s="519"/>
      <c r="P21" s="519"/>
      <c r="Q21" s="520"/>
      <c r="R21" s="520"/>
      <c r="S21" s="520"/>
      <c r="T21" s="520"/>
      <c r="U21" s="519"/>
      <c r="V21" s="519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64"/>
      <c r="H22" s="68" t="e">
        <f t="shared" si="0"/>
        <v>#N/A</v>
      </c>
      <c r="I22" s="518"/>
      <c r="J22" s="519"/>
      <c r="K22" s="519"/>
      <c r="L22" s="519"/>
      <c r="M22" s="519"/>
      <c r="N22" s="519"/>
      <c r="O22" s="519"/>
      <c r="P22" s="519"/>
      <c r="Q22" s="520"/>
      <c r="R22" s="520"/>
      <c r="S22" s="520"/>
      <c r="T22" s="520"/>
      <c r="U22" s="519"/>
      <c r="V22" s="519"/>
      <c r="W22" s="68" t="e">
        <f>VLOOKUP(V22,DescontosTE[[#All],[idsreag supridora]:[codsariSUP]],2,FALSE)</f>
        <v>#N/A</v>
      </c>
      <c r="AA22" s="904" t="s">
        <v>1227</v>
      </c>
      <c r="AB22" s="905"/>
      <c r="AC22" s="904"/>
      <c r="AD22" s="904"/>
      <c r="AE22" s="905">
        <v>12635.71101085159</v>
      </c>
      <c r="AF22" s="910">
        <v>44713</v>
      </c>
      <c r="AG22" s="1672">
        <v>152.35845172525617</v>
      </c>
    </row>
    <row r="23" spans="2:42" ht="16.5">
      <c r="B23" s="94" t="s">
        <v>64</v>
      </c>
      <c r="C23" s="120"/>
      <c r="D23" s="1764"/>
      <c r="F23" s="93"/>
      <c r="H23" s="68" t="e">
        <f t="shared" si="0"/>
        <v>#N/A</v>
      </c>
      <c r="I23" s="518"/>
      <c r="J23" s="519"/>
      <c r="K23" s="519"/>
      <c r="L23" s="519"/>
      <c r="M23" s="519"/>
      <c r="N23" s="519"/>
      <c r="O23" s="519"/>
      <c r="P23" s="519"/>
      <c r="Q23" s="520"/>
      <c r="R23" s="520"/>
      <c r="S23" s="520"/>
      <c r="T23" s="520"/>
      <c r="U23" s="519"/>
      <c r="V23" s="519"/>
      <c r="W23" s="68" t="e">
        <f>VLOOKUP(V23,DescontosTE[[#All],[idsreag supridora]:[codsariSUP]],2,FALSE)</f>
        <v>#N/A</v>
      </c>
      <c r="AA23" s="904" t="s">
        <v>1227</v>
      </c>
      <c r="AB23" s="905"/>
      <c r="AC23" s="904"/>
      <c r="AD23" s="904"/>
      <c r="AE23" s="905">
        <v>16185.649127426634</v>
      </c>
      <c r="AF23" s="910">
        <v>44713</v>
      </c>
      <c r="AG23" s="1672">
        <v>139.96158809136514</v>
      </c>
      <c r="AI23" s="903" t="s">
        <v>2207</v>
      </c>
      <c r="AM23" s="903" t="s">
        <v>2211</v>
      </c>
    </row>
    <row r="24" spans="2:42" ht="16.5">
      <c r="B24" s="94" t="s">
        <v>65</v>
      </c>
      <c r="C24" s="120">
        <v>344228.00976660202</v>
      </c>
      <c r="D24" s="1764"/>
      <c r="F24" s="93"/>
      <c r="H24" s="68" t="e">
        <f t="shared" si="0"/>
        <v>#N/A</v>
      </c>
      <c r="I24" s="518"/>
      <c r="J24" s="519"/>
      <c r="K24" s="519"/>
      <c r="L24" s="519"/>
      <c r="M24" s="519"/>
      <c r="N24" s="519"/>
      <c r="O24" s="519"/>
      <c r="P24" s="519"/>
      <c r="Q24" s="520"/>
      <c r="R24" s="520"/>
      <c r="S24" s="520"/>
      <c r="T24" s="520"/>
      <c r="U24" s="519"/>
      <c r="V24" s="519"/>
      <c r="W24" s="68" t="e">
        <f>VLOOKUP(V24,DescontosTE[[#All],[idsreag supridora]:[codsariSUP]],2,FALSE)</f>
        <v>#N/A</v>
      </c>
      <c r="AI24" s="68" t="s">
        <v>2205</v>
      </c>
      <c r="AJ24" s="68" t="s">
        <v>2206</v>
      </c>
      <c r="AK24" s="68" t="s">
        <v>1529</v>
      </c>
      <c r="AM24" s="68" t="s">
        <v>2208</v>
      </c>
      <c r="AN24" s="68" t="s">
        <v>2209</v>
      </c>
      <c r="AO24" s="68" t="s">
        <v>2210</v>
      </c>
      <c r="AP24" s="68" t="s">
        <v>37</v>
      </c>
    </row>
    <row r="25" spans="2:42" ht="16.5">
      <c r="B25" s="94" t="s">
        <v>66</v>
      </c>
      <c r="C25" s="120">
        <v>4079122.2775359</v>
      </c>
      <c r="D25" s="1764"/>
      <c r="H25" s="68" t="e">
        <f t="shared" si="0"/>
        <v>#N/A</v>
      </c>
      <c r="I25" s="518"/>
      <c r="J25" s="519"/>
      <c r="K25" s="519"/>
      <c r="L25" s="519"/>
      <c r="M25" s="519"/>
      <c r="N25" s="519"/>
      <c r="O25" s="519"/>
      <c r="P25" s="519"/>
      <c r="Q25" s="520"/>
      <c r="R25" s="520"/>
      <c r="S25" s="520"/>
      <c r="T25" s="520"/>
      <c r="U25" s="519"/>
      <c r="V25" s="519"/>
      <c r="W25" s="68" t="e">
        <f>VLOOKUP(V25,DescontosTE[[#All],[idsreag supridora]:[codsariSUP]],2,FALSE)</f>
        <v>#N/A</v>
      </c>
      <c r="AD25" s="903"/>
      <c r="AE25" s="978"/>
      <c r="AF25" s="903"/>
      <c r="AG25" s="903"/>
      <c r="AI25" s="262" t="s">
        <v>2225</v>
      </c>
      <c r="AJ25" s="262" t="s">
        <v>41</v>
      </c>
      <c r="AK25" s="69">
        <v>-188225.73236989501</v>
      </c>
      <c r="AM25" s="1613"/>
      <c r="AN25" s="1613"/>
      <c r="AO25" s="1613"/>
      <c r="AP25" s="1612"/>
    </row>
    <row r="26" spans="2:42" ht="16.5">
      <c r="B26" s="1012" t="s">
        <v>67</v>
      </c>
      <c r="C26" s="1022">
        <v>38500000</v>
      </c>
      <c r="D26" s="1764"/>
      <c r="H26" s="68" t="e">
        <f t="shared" si="0"/>
        <v>#N/A</v>
      </c>
      <c r="I26" s="518"/>
      <c r="J26" s="519"/>
      <c r="K26" s="519"/>
      <c r="L26" s="519"/>
      <c r="M26" s="519"/>
      <c r="N26" s="519"/>
      <c r="O26" s="519"/>
      <c r="P26" s="519"/>
      <c r="Q26" s="520"/>
      <c r="R26" s="520"/>
      <c r="S26" s="520"/>
      <c r="T26" s="520"/>
      <c r="U26" s="519"/>
      <c r="V26" s="519"/>
      <c r="W26" s="68" t="e">
        <f>VLOOKUP(V26,DescontosTE[[#All],[idsreag supridora]:[codsariSUP]],2,FALSE)</f>
        <v>#N/A</v>
      </c>
      <c r="AA26" s="963" t="s">
        <v>2212</v>
      </c>
      <c r="AB26" s="963" t="s">
        <v>37</v>
      </c>
      <c r="AD26" s="903"/>
      <c r="AE26" s="978"/>
      <c r="AF26" s="903"/>
      <c r="AG26" s="903"/>
      <c r="AI26" s="262" t="s">
        <v>2225</v>
      </c>
      <c r="AJ26" s="262" t="s">
        <v>46</v>
      </c>
      <c r="AK26" s="69">
        <v>-9469.3077931776807</v>
      </c>
      <c r="AM26" s="1613"/>
      <c r="AN26" s="1613"/>
      <c r="AO26" s="1613"/>
      <c r="AP26" s="1612"/>
    </row>
    <row r="27" spans="2:42" ht="16.5">
      <c r="C27" s="69"/>
      <c r="D27" s="1764"/>
      <c r="H27" s="68" t="e">
        <f t="shared" si="0"/>
        <v>#N/A</v>
      </c>
      <c r="I27" s="518"/>
      <c r="J27" s="519"/>
      <c r="K27" s="519"/>
      <c r="L27" s="519"/>
      <c r="M27" s="519"/>
      <c r="N27" s="519"/>
      <c r="O27" s="519"/>
      <c r="P27" s="519"/>
      <c r="Q27" s="520"/>
      <c r="R27" s="520"/>
      <c r="S27" s="520"/>
      <c r="T27" s="520"/>
      <c r="U27" s="519"/>
      <c r="V27" s="519"/>
      <c r="W27" s="68" t="e">
        <f>VLOOKUP(V27,DescontosTE[[#All],[idsreag supridora]:[codsariSUP]],2,FALSE)</f>
        <v>#N/A</v>
      </c>
      <c r="AA27" s="904" t="s">
        <v>2214</v>
      </c>
      <c r="AB27" s="905">
        <v>3624.1728000000003</v>
      </c>
      <c r="AI27" s="262" t="s">
        <v>2225</v>
      </c>
      <c r="AJ27" s="262" t="s">
        <v>47</v>
      </c>
      <c r="AK27" s="69">
        <v>-27042.855731523901</v>
      </c>
      <c r="AM27" s="1613"/>
      <c r="AN27" s="1613"/>
      <c r="AO27" s="1613"/>
      <c r="AP27" s="1612"/>
    </row>
    <row r="28" spans="2:42" ht="16.5">
      <c r="B28" s="1011" t="s">
        <v>68</v>
      </c>
      <c r="C28" s="1023"/>
      <c r="D28" s="1764"/>
      <c r="H28" s="68" t="e">
        <f t="shared" si="0"/>
        <v>#N/A</v>
      </c>
      <c r="I28" s="518"/>
      <c r="J28" s="519"/>
      <c r="K28" s="519"/>
      <c r="L28" s="519"/>
      <c r="M28" s="519"/>
      <c r="N28" s="519"/>
      <c r="O28" s="519"/>
      <c r="P28" s="519"/>
      <c r="Q28" s="520"/>
      <c r="R28" s="520"/>
      <c r="S28" s="520"/>
      <c r="T28" s="520"/>
      <c r="U28" s="519"/>
      <c r="V28" s="519"/>
      <c r="W28" s="68" t="e">
        <f>VLOOKUP(V28,DescontosTE[[#All],[idsreag supridora]:[codsariSUP]],2,FALSE)</f>
        <v>#N/A</v>
      </c>
      <c r="AA28" s="904" t="s">
        <v>2215</v>
      </c>
      <c r="AB28" s="905">
        <v>0</v>
      </c>
      <c r="AI28" s="262" t="s">
        <v>2225</v>
      </c>
      <c r="AJ28" s="262" t="s">
        <v>40</v>
      </c>
      <c r="AK28" s="69">
        <v>-5127.1183498015998</v>
      </c>
      <c r="AM28" s="1613"/>
      <c r="AN28" s="1613"/>
      <c r="AO28" s="1613"/>
      <c r="AP28" s="1612"/>
    </row>
    <row r="29" spans="2:42" ht="18" customHeight="1">
      <c r="D29" s="1764"/>
      <c r="H29" s="68" t="e">
        <f t="shared" si="0"/>
        <v>#N/A</v>
      </c>
      <c r="I29" s="518"/>
      <c r="J29" s="519"/>
      <c r="K29" s="519"/>
      <c r="L29" s="519"/>
      <c r="M29" s="519"/>
      <c r="N29" s="519"/>
      <c r="O29" s="519"/>
      <c r="P29" s="519"/>
      <c r="Q29" s="520"/>
      <c r="R29" s="520"/>
      <c r="S29" s="520"/>
      <c r="T29" s="520"/>
      <c r="U29" s="519"/>
      <c r="V29" s="519"/>
      <c r="W29" s="68" t="e">
        <f>VLOOKUP(V29,DescontosTE[[#All],[idsreag supridora]:[codsariSUP]],2,FALSE)</f>
        <v>#N/A</v>
      </c>
      <c r="AA29" s="904"/>
      <c r="AB29" s="905"/>
      <c r="AI29" s="262" t="s">
        <v>2226</v>
      </c>
      <c r="AJ29" s="262" t="s">
        <v>2227</v>
      </c>
      <c r="AK29" s="69">
        <v>2449567.47576553</v>
      </c>
      <c r="AM29" s="1613"/>
      <c r="AN29" s="1613"/>
      <c r="AO29" s="1613"/>
      <c r="AP29" s="1612"/>
    </row>
    <row r="30" spans="2:42" ht="16.5">
      <c r="B30" s="1024"/>
      <c r="C30" s="1025"/>
      <c r="D30" s="1764"/>
      <c r="H30" s="68" t="e">
        <f t="shared" si="0"/>
        <v>#N/A</v>
      </c>
      <c r="I30" s="518"/>
      <c r="J30" s="519"/>
      <c r="K30" s="519"/>
      <c r="L30" s="519"/>
      <c r="M30" s="519"/>
      <c r="N30" s="519"/>
      <c r="O30" s="519"/>
      <c r="P30" s="519"/>
      <c r="Q30" s="520"/>
      <c r="R30" s="520"/>
      <c r="S30" s="520"/>
      <c r="T30" s="520"/>
      <c r="U30" s="519"/>
      <c r="V30" s="519"/>
      <c r="W30" s="68" t="e">
        <f>VLOOKUP(V30,DescontosTE[[#All],[idsreag supridora]:[codsariSUP]],2,FALSE)</f>
        <v>#N/A</v>
      </c>
      <c r="AA30" s="904"/>
      <c r="AB30" s="905"/>
      <c r="AI30" s="262" t="s">
        <v>2228</v>
      </c>
      <c r="AJ30" s="262" t="s">
        <v>2229</v>
      </c>
      <c r="AK30" s="69">
        <v>-78213.938824379991</v>
      </c>
      <c r="AM30" s="1613"/>
      <c r="AN30" s="1613"/>
      <c r="AO30" s="1613"/>
      <c r="AP30" s="1612"/>
    </row>
    <row r="31" spans="2:42">
      <c r="B31" s="683" t="s">
        <v>69</v>
      </c>
      <c r="C31" s="684">
        <v>8.6099074972921394E-2</v>
      </c>
      <c r="D31" s="1765"/>
      <c r="AI31" s="262" t="s">
        <v>2228</v>
      </c>
      <c r="AJ31" s="262" t="s">
        <v>2311</v>
      </c>
      <c r="AK31" s="69">
        <v>71134.560037263203</v>
      </c>
      <c r="AM31" s="1613"/>
      <c r="AN31" s="1613"/>
      <c r="AO31" s="1613"/>
      <c r="AP31" s="1612"/>
    </row>
    <row r="32" spans="2:42">
      <c r="B32" s="1026" t="s">
        <v>70</v>
      </c>
      <c r="C32" s="1027">
        <v>0.74494971512358932</v>
      </c>
      <c r="D32" s="90" t="s">
        <v>71</v>
      </c>
      <c r="AI32" s="262" t="s">
        <v>2228</v>
      </c>
      <c r="AJ32" s="262" t="s">
        <v>2312</v>
      </c>
      <c r="AK32" s="69">
        <v>234295.28889095501</v>
      </c>
    </row>
    <row r="33" spans="1:37">
      <c r="D33" s="90"/>
      <c r="AI33" s="262" t="s">
        <v>109</v>
      </c>
      <c r="AJ33" s="262"/>
      <c r="AK33" s="69">
        <v>-20383708.904255599</v>
      </c>
    </row>
    <row r="34" spans="1:37">
      <c r="B34" s="1011"/>
      <c r="C34" s="1023"/>
      <c r="AI34" s="262" t="s">
        <v>2230</v>
      </c>
      <c r="AJ34" s="262" t="s">
        <v>1320</v>
      </c>
      <c r="AK34" s="69">
        <v>1481482.029068019</v>
      </c>
    </row>
    <row r="35" spans="1:37">
      <c r="B35" s="1024" t="s">
        <v>41</v>
      </c>
      <c r="C35" s="1028">
        <v>5994428.5295999981</v>
      </c>
      <c r="AI35" s="262"/>
      <c r="AJ35" s="262"/>
      <c r="AK35" s="69"/>
    </row>
    <row r="36" spans="1:37">
      <c r="B36" s="683" t="s">
        <v>47</v>
      </c>
      <c r="C36" s="88">
        <v>807158.32490999985</v>
      </c>
      <c r="AI36" s="262"/>
      <c r="AJ36" s="262"/>
      <c r="AK36" s="69"/>
    </row>
    <row r="37" spans="1:37">
      <c r="B37" s="1026" t="s">
        <v>40</v>
      </c>
      <c r="C37" s="1029">
        <v>183009.473347455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26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30">
        <f>DATE(YEAR(B41),MONTH(B41),1)</f>
        <v>44409</v>
      </c>
      <c r="B41" s="1016">
        <v>44413</v>
      </c>
      <c r="C41" s="544">
        <v>472697.64419999998</v>
      </c>
      <c r="D41" s="9" t="b">
        <f ca="1">BD!E41&gt;=CAPA!$L$73</f>
        <v>0</v>
      </c>
      <c r="E41" s="235">
        <f>Indexador!L34</f>
        <v>0</v>
      </c>
      <c r="F41" s="491">
        <f>CAPA!B63</f>
        <v>44287</v>
      </c>
      <c r="AI41" s="262"/>
      <c r="AJ41" s="262"/>
      <c r="AK41" s="69"/>
    </row>
    <row r="42" spans="1:37" ht="16.5">
      <c r="A42" s="1030">
        <f t="shared" ref="A42:A57" si="1">DATE(YEAR(B42),MONTH(B42),1)</f>
        <v>44440</v>
      </c>
      <c r="B42" s="520">
        <v>44447</v>
      </c>
      <c r="C42" s="544">
        <v>687523.83999999997</v>
      </c>
      <c r="D42" s="9" t="b">
        <f ca="1">BD!E42&gt;=CAPA!$L$73</f>
        <v>0</v>
      </c>
      <c r="E42" s="235">
        <f>Indexador!L35</f>
        <v>0</v>
      </c>
      <c r="F42" s="491">
        <f>CAPA!B64</f>
        <v>44317</v>
      </c>
      <c r="I42" s="822" t="s">
        <v>20</v>
      </c>
      <c r="J42" s="822" t="s">
        <v>21</v>
      </c>
      <c r="K42" s="822"/>
      <c r="L42" s="822" t="s">
        <v>22</v>
      </c>
      <c r="M42" s="822" t="s">
        <v>23</v>
      </c>
      <c r="N42" s="822" t="s">
        <v>24</v>
      </c>
      <c r="O42" s="822" t="s">
        <v>25</v>
      </c>
      <c r="P42" s="822" t="s">
        <v>26</v>
      </c>
      <c r="Q42" s="822" t="s">
        <v>27</v>
      </c>
      <c r="R42" s="822" t="s">
        <v>28</v>
      </c>
      <c r="S42" s="823" t="s">
        <v>29</v>
      </c>
      <c r="T42" s="822" t="s">
        <v>30</v>
      </c>
      <c r="AI42" s="262"/>
      <c r="AJ42" s="262"/>
      <c r="AK42" s="69"/>
    </row>
    <row r="43" spans="1:37" ht="16.5">
      <c r="A43" s="1030">
        <f t="shared" si="1"/>
        <v>44470</v>
      </c>
      <c r="B43" s="520">
        <v>44476</v>
      </c>
      <c r="C43" s="544">
        <v>778547.92</v>
      </c>
      <c r="D43" s="9" t="b">
        <f ca="1">BD!E43&gt;=CAPA!$L$73</f>
        <v>0</v>
      </c>
      <c r="E43" s="235">
        <f>Indexador!L36</f>
        <v>0</v>
      </c>
      <c r="F43" s="491">
        <f>CAPA!B65</f>
        <v>44348</v>
      </c>
      <c r="H43" s="68" t="str">
        <f>CONCATENATE(U43,J43)</f>
        <v>5707A4</v>
      </c>
      <c r="I43" s="518">
        <v>2021</v>
      </c>
      <c r="J43" s="519" t="s">
        <v>596</v>
      </c>
      <c r="K43" s="519" t="s">
        <v>2316</v>
      </c>
      <c r="L43" s="519" t="s">
        <v>1320</v>
      </c>
      <c r="M43" s="519" t="s">
        <v>449</v>
      </c>
      <c r="N43" s="519">
        <v>3223</v>
      </c>
      <c r="O43" s="520">
        <v>44522</v>
      </c>
      <c r="P43" s="520">
        <v>44511</v>
      </c>
      <c r="Q43" s="520" t="s">
        <v>191</v>
      </c>
      <c r="R43" s="520" t="s">
        <v>2313</v>
      </c>
      <c r="S43" s="519">
        <v>316.45999999999998</v>
      </c>
      <c r="T43" s="519">
        <v>110</v>
      </c>
      <c r="U43" s="68">
        <f>VLOOKUP(T43,DescontosTE[[#All],[idsreag supridora]:[codsariSUP]],2,FALSE)</f>
        <v>5707</v>
      </c>
      <c r="AI43" s="262"/>
      <c r="AJ43" s="262"/>
      <c r="AK43" s="69"/>
    </row>
    <row r="44" spans="1:37" ht="16.5">
      <c r="A44" s="1030">
        <f t="shared" si="1"/>
        <v>44501</v>
      </c>
      <c r="B44" s="520">
        <v>44509</v>
      </c>
      <c r="C44" s="544">
        <v>847281.04579999996</v>
      </c>
      <c r="D44" s="9" t="b">
        <f ca="1">BD!E44&gt;=CAPA!$L$73</f>
        <v>0</v>
      </c>
      <c r="E44" s="235">
        <f>Indexador!L37</f>
        <v>0</v>
      </c>
      <c r="F44" s="491">
        <f>CAPA!B66</f>
        <v>44378</v>
      </c>
      <c r="H44" s="68" t="str">
        <f t="shared" ref="H44:H59" si="2">CONCATENATE(U44,J44)</f>
        <v>396A4</v>
      </c>
      <c r="I44" s="518">
        <v>2022</v>
      </c>
      <c r="J44" s="519" t="s">
        <v>596</v>
      </c>
      <c r="K44" s="519" t="s">
        <v>2316</v>
      </c>
      <c r="L44" s="519" t="s">
        <v>1320</v>
      </c>
      <c r="M44" s="519" t="s">
        <v>449</v>
      </c>
      <c r="N44" s="519">
        <v>3223</v>
      </c>
      <c r="O44" s="520">
        <v>44734</v>
      </c>
      <c r="P44" s="520">
        <v>44732</v>
      </c>
      <c r="Q44" s="520" t="s">
        <v>2314</v>
      </c>
      <c r="R44" s="520" t="s">
        <v>2315</v>
      </c>
      <c r="S44" s="519">
        <v>273.92</v>
      </c>
      <c r="T44" s="519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30">
        <f t="shared" si="1"/>
        <v>44531</v>
      </c>
      <c r="B45" s="520">
        <v>44538</v>
      </c>
      <c r="C45" s="544">
        <v>324334.31559999997</v>
      </c>
      <c r="D45" s="9" t="b">
        <f ca="1">BD!E45&gt;=CAPA!$L$73</f>
        <v>0</v>
      </c>
      <c r="E45" s="235">
        <f>Indexador!L38</f>
        <v>0</v>
      </c>
      <c r="F45" s="491">
        <f>CAPA!B67</f>
        <v>44409</v>
      </c>
      <c r="H45" s="68" t="e">
        <f t="shared" si="2"/>
        <v>#N/A</v>
      </c>
      <c r="I45" s="518"/>
      <c r="J45" s="519"/>
      <c r="K45" s="519"/>
      <c r="L45" s="519"/>
      <c r="M45" s="519"/>
      <c r="N45" s="519"/>
      <c r="O45" s="520"/>
      <c r="P45" s="520"/>
      <c r="Q45" s="520"/>
      <c r="R45" s="520"/>
      <c r="S45" s="519"/>
      <c r="T45" s="519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30">
        <f t="shared" si="1"/>
        <v>44562</v>
      </c>
      <c r="B46" s="520">
        <v>44566</v>
      </c>
      <c r="C46" s="544">
        <v>0</v>
      </c>
      <c r="D46" s="9" t="b">
        <f ca="1">BD!E46&gt;=CAPA!$L$73</f>
        <v>0</v>
      </c>
      <c r="E46" s="235">
        <f>Indexador!L39</f>
        <v>0</v>
      </c>
      <c r="F46" s="491">
        <f>CAPA!B68</f>
        <v>44440</v>
      </c>
      <c r="H46" s="68" t="e">
        <f t="shared" si="2"/>
        <v>#N/A</v>
      </c>
      <c r="I46" s="518"/>
      <c r="J46" s="519"/>
      <c r="K46" s="519"/>
      <c r="L46" s="519"/>
      <c r="M46" s="519"/>
      <c r="N46" s="519"/>
      <c r="O46" s="520"/>
      <c r="P46" s="520"/>
      <c r="Q46" s="520"/>
      <c r="R46" s="520"/>
      <c r="S46" s="519"/>
      <c r="T46" s="519"/>
      <c r="U46" s="68" t="e">
        <f>VLOOKUP(T46,DescontosTE[[#All],[idsreag supridora]:[codsariSUP]],2,FALSE)</f>
        <v>#N/A</v>
      </c>
    </row>
    <row r="47" spans="1:37" ht="16.5">
      <c r="A47" s="1030">
        <f t="shared" si="1"/>
        <v>44593</v>
      </c>
      <c r="B47" s="520">
        <v>44599</v>
      </c>
      <c r="C47" s="544">
        <v>0</v>
      </c>
      <c r="D47" s="9" t="b">
        <f ca="1">BD!E47&gt;=CAPA!$L$73</f>
        <v>0</v>
      </c>
      <c r="E47" s="235">
        <f>Indexador!L40</f>
        <v>0</v>
      </c>
      <c r="F47" s="491">
        <f>CAPA!B69</f>
        <v>44470</v>
      </c>
      <c r="H47" s="68" t="e">
        <f t="shared" si="2"/>
        <v>#N/A</v>
      </c>
      <c r="I47" s="518"/>
      <c r="J47" s="519"/>
      <c r="K47" s="519"/>
      <c r="L47" s="519"/>
      <c r="M47" s="519"/>
      <c r="N47" s="519"/>
      <c r="O47" s="520"/>
      <c r="P47" s="520"/>
      <c r="Q47" s="520"/>
      <c r="R47" s="520"/>
      <c r="S47" s="519"/>
      <c r="T47" s="519"/>
      <c r="U47" s="68" t="e">
        <f>VLOOKUP(T47,DescontosTE[[#All],[idsreag supridora]:[codsariSUP]],2,FALSE)</f>
        <v>#N/A</v>
      </c>
    </row>
    <row r="48" spans="1:37" ht="16.5">
      <c r="A48" s="1030">
        <f t="shared" si="1"/>
        <v>44621</v>
      </c>
      <c r="B48" s="520">
        <v>44629</v>
      </c>
      <c r="C48" s="544">
        <v>0</v>
      </c>
      <c r="D48" s="9" t="b">
        <f ca="1">BD!E48&gt;=CAPA!$L$73</f>
        <v>0</v>
      </c>
      <c r="E48" s="235">
        <f>Indexador!L41</f>
        <v>0</v>
      </c>
      <c r="F48" s="491">
        <f>CAPA!B70</f>
        <v>44501</v>
      </c>
      <c r="H48" s="68" t="e">
        <f t="shared" si="2"/>
        <v>#N/A</v>
      </c>
      <c r="I48" s="518"/>
      <c r="J48" s="519"/>
      <c r="K48" s="519"/>
      <c r="L48" s="519"/>
      <c r="M48" s="519"/>
      <c r="N48" s="519"/>
      <c r="O48" s="520"/>
      <c r="P48" s="520"/>
      <c r="Q48" s="520"/>
      <c r="R48" s="520"/>
      <c r="S48" s="519"/>
      <c r="T48" s="519"/>
      <c r="U48" s="68" t="e">
        <f>VLOOKUP(T48,DescontosTE[[#All],[idsreag supridora]:[codsariSUP]],2,FALSE)</f>
        <v>#N/A</v>
      </c>
    </row>
    <row r="49" spans="1:21" ht="16.5">
      <c r="A49" s="1030">
        <f t="shared" si="1"/>
        <v>44652</v>
      </c>
      <c r="B49" s="520">
        <v>44657</v>
      </c>
      <c r="C49" s="544">
        <v>0</v>
      </c>
      <c r="D49" s="9" t="b">
        <f ca="1">BD!E49&gt;=CAPA!$L$73</f>
        <v>0</v>
      </c>
      <c r="E49" s="235">
        <f>Indexador!L42</f>
        <v>0</v>
      </c>
      <c r="F49" s="491">
        <f>CAPA!B71</f>
        <v>44531</v>
      </c>
      <c r="H49" s="68" t="e">
        <f t="shared" si="2"/>
        <v>#N/A</v>
      </c>
      <c r="I49" s="518"/>
      <c r="J49" s="519"/>
      <c r="K49" s="519"/>
      <c r="L49" s="519"/>
      <c r="M49" s="519"/>
      <c r="N49" s="519"/>
      <c r="O49" s="519"/>
      <c r="P49" s="519"/>
      <c r="Q49" s="520"/>
      <c r="R49" s="520"/>
      <c r="S49" s="520"/>
      <c r="T49" s="519"/>
      <c r="U49" s="68" t="e">
        <f>VLOOKUP(T49,DescontosTE[[#All],[idsreag supridora]:[codsariSUP]],2,FALSE)</f>
        <v>#N/A</v>
      </c>
    </row>
    <row r="50" spans="1:21" ht="16.5">
      <c r="A50" s="1030">
        <f t="shared" si="1"/>
        <v>44682</v>
      </c>
      <c r="B50" s="520">
        <v>44691</v>
      </c>
      <c r="C50" s="544">
        <v>0</v>
      </c>
      <c r="D50" s="9" t="b">
        <f ca="1">BD!E50&gt;=CAPA!$L$73</f>
        <v>0</v>
      </c>
      <c r="E50" s="235">
        <f>Indexador!L43</f>
        <v>0</v>
      </c>
      <c r="F50" s="491">
        <f>CAPA!B72</f>
        <v>44562</v>
      </c>
      <c r="H50" s="68" t="e">
        <f t="shared" si="2"/>
        <v>#N/A</v>
      </c>
      <c r="I50" s="518"/>
      <c r="J50" s="519"/>
      <c r="K50" s="519"/>
      <c r="L50" s="519"/>
      <c r="M50" s="519"/>
      <c r="N50" s="519"/>
      <c r="O50" s="519"/>
      <c r="P50" s="519"/>
      <c r="Q50" s="520"/>
      <c r="R50" s="520"/>
      <c r="S50" s="520"/>
      <c r="T50" s="519"/>
      <c r="U50" s="68" t="e">
        <f>VLOOKUP(T50,DescontosTE[[#All],[idsreag supridora]:[codsariSUP]],2,FALSE)</f>
        <v>#N/A</v>
      </c>
    </row>
    <row r="51" spans="1:21" ht="16.5">
      <c r="A51" s="1030">
        <f t="shared" si="1"/>
        <v>44713</v>
      </c>
      <c r="B51" s="520">
        <v>44718</v>
      </c>
      <c r="C51" s="544">
        <v>677213.52960000001</v>
      </c>
      <c r="D51" s="9" t="b">
        <f ca="1">BD!E51&gt;=CAPA!$L$73</f>
        <v>0</v>
      </c>
      <c r="E51" s="235">
        <f>Indexador!L44</f>
        <v>0</v>
      </c>
      <c r="F51" s="491">
        <f>CAPA!B73</f>
        <v>44593</v>
      </c>
      <c r="H51" s="68" t="e">
        <f t="shared" si="2"/>
        <v>#N/A</v>
      </c>
      <c r="I51" s="518"/>
      <c r="J51" s="519"/>
      <c r="K51" s="519"/>
      <c r="L51" s="519"/>
      <c r="M51" s="519"/>
      <c r="N51" s="519"/>
      <c r="O51" s="519"/>
      <c r="P51" s="519"/>
      <c r="Q51" s="520"/>
      <c r="R51" s="520"/>
      <c r="S51" s="520"/>
      <c r="T51" s="519"/>
      <c r="U51" s="68" t="e">
        <f>VLOOKUP(T51,DescontosTE[[#All],[idsreag supridora]:[codsariSUP]],2,FALSE)</f>
        <v>#N/A</v>
      </c>
    </row>
    <row r="52" spans="1:21" ht="16.5">
      <c r="A52" s="1030">
        <f t="shared" si="1"/>
        <v>44743</v>
      </c>
      <c r="B52" s="520">
        <v>44749</v>
      </c>
      <c r="C52" s="544">
        <v>0</v>
      </c>
      <c r="D52" s="9" t="b">
        <f ca="1">BD!E52&gt;=CAPA!$L$73</f>
        <v>0</v>
      </c>
      <c r="E52" s="235">
        <f>Indexador!L45</f>
        <v>0</v>
      </c>
      <c r="F52" s="491">
        <f>CAPA!B74</f>
        <v>44621</v>
      </c>
      <c r="H52" s="68" t="e">
        <f t="shared" si="2"/>
        <v>#N/A</v>
      </c>
      <c r="I52" s="518"/>
      <c r="J52" s="519"/>
      <c r="K52" s="519"/>
      <c r="L52" s="519"/>
      <c r="M52" s="519"/>
      <c r="N52" s="519"/>
      <c r="O52" s="519"/>
      <c r="P52" s="519"/>
      <c r="Q52" s="520"/>
      <c r="R52" s="520"/>
      <c r="S52" s="520"/>
      <c r="T52" s="519"/>
      <c r="U52" s="68" t="e">
        <f>VLOOKUP(T52,DescontosTE[[#All],[idsreag supridora]:[codsariSUP]],2,FALSE)</f>
        <v>#N/A</v>
      </c>
    </row>
    <row r="53" spans="1:21" ht="16.5">
      <c r="A53" s="1030">
        <f t="shared" si="1"/>
        <v>1</v>
      </c>
      <c r="B53" s="520"/>
      <c r="C53" s="544"/>
      <c r="D53" s="9" t="b">
        <f ca="1">BD!E53&gt;=CAPA!$L$73</f>
        <v>0</v>
      </c>
      <c r="E53" s="235">
        <f>Indexador!L46</f>
        <v>0</v>
      </c>
      <c r="F53" s="491">
        <f>CAPA!B75</f>
        <v>44652</v>
      </c>
      <c r="H53" s="68" t="e">
        <f t="shared" si="2"/>
        <v>#N/A</v>
      </c>
      <c r="I53" s="518"/>
      <c r="J53" s="519"/>
      <c r="K53" s="519"/>
      <c r="L53" s="519"/>
      <c r="M53" s="519"/>
      <c r="N53" s="519"/>
      <c r="O53" s="519"/>
      <c r="P53" s="519"/>
      <c r="Q53" s="520"/>
      <c r="R53" s="520"/>
      <c r="S53" s="520"/>
      <c r="T53" s="519"/>
      <c r="U53" s="68" t="e">
        <f>VLOOKUP(T53,DescontosTE[[#All],[idsreag supridora]:[codsariSUP]],2,FALSE)</f>
        <v>#N/A</v>
      </c>
    </row>
    <row r="54" spans="1:21" ht="16.5">
      <c r="A54" s="1030">
        <f t="shared" si="1"/>
        <v>1</v>
      </c>
      <c r="B54" s="520"/>
      <c r="C54" s="544"/>
      <c r="D54" s="9" t="b">
        <f ca="1">BD!E54&gt;=CAPA!$L$73</f>
        <v>0</v>
      </c>
      <c r="E54" s="235">
        <f>Indexador!L47</f>
        <v>0</v>
      </c>
      <c r="F54" s="491">
        <f>CAPA!B76</f>
        <v>44682</v>
      </c>
      <c r="H54" s="68" t="e">
        <f t="shared" si="2"/>
        <v>#N/A</v>
      </c>
      <c r="I54" s="518"/>
      <c r="J54" s="519"/>
      <c r="K54" s="519"/>
      <c r="L54" s="519"/>
      <c r="M54" s="519"/>
      <c r="N54" s="519"/>
      <c r="O54" s="519"/>
      <c r="P54" s="519"/>
      <c r="Q54" s="520"/>
      <c r="R54" s="520"/>
      <c r="S54" s="520"/>
      <c r="T54" s="519"/>
      <c r="U54" s="68" t="e">
        <f>VLOOKUP(T54,DescontosTE[[#All],[idsreag supridora]:[codsariSUP]],2,FALSE)</f>
        <v>#N/A</v>
      </c>
    </row>
    <row r="55" spans="1:21" ht="16.5">
      <c r="A55" s="1030">
        <f t="shared" si="1"/>
        <v>1</v>
      </c>
      <c r="B55" s="520"/>
      <c r="C55" s="544"/>
      <c r="D55" s="9" t="b">
        <f ca="1">BD!E55&gt;=CAPA!$L$73</f>
        <v>0</v>
      </c>
      <c r="E55" s="235">
        <f>Indexador!L48</f>
        <v>0</v>
      </c>
      <c r="F55" s="491">
        <f>CAPA!B77</f>
        <v>44713</v>
      </c>
      <c r="H55" s="68" t="e">
        <f t="shared" si="2"/>
        <v>#N/A</v>
      </c>
      <c r="I55" s="518"/>
      <c r="J55" s="519"/>
      <c r="K55" s="519"/>
      <c r="L55" s="519"/>
      <c r="M55" s="519"/>
      <c r="N55" s="519"/>
      <c r="O55" s="519"/>
      <c r="P55" s="519"/>
      <c r="Q55" s="520"/>
      <c r="R55" s="520"/>
      <c r="S55" s="520"/>
      <c r="T55" s="519"/>
      <c r="U55" s="68" t="e">
        <f>VLOOKUP(T55,DescontosTE[[#All],[idsreag supridora]:[codsariSUP]],2,FALSE)</f>
        <v>#N/A</v>
      </c>
    </row>
    <row r="56" spans="1:21" ht="16.5">
      <c r="A56" s="1030">
        <f t="shared" si="1"/>
        <v>1</v>
      </c>
      <c r="B56" s="520"/>
      <c r="C56" s="544"/>
      <c r="D56" s="9"/>
      <c r="E56" s="235"/>
      <c r="F56" s="491"/>
      <c r="H56" s="68" t="e">
        <f t="shared" si="2"/>
        <v>#N/A</v>
      </c>
      <c r="I56" s="518"/>
      <c r="J56" s="519"/>
      <c r="K56" s="519"/>
      <c r="L56" s="519"/>
      <c r="M56" s="519"/>
      <c r="N56" s="519"/>
      <c r="O56" s="519"/>
      <c r="P56" s="519"/>
      <c r="Q56" s="520"/>
      <c r="R56" s="520"/>
      <c r="S56" s="520"/>
      <c r="T56" s="519"/>
      <c r="U56" s="68" t="e">
        <f>VLOOKUP(T56,DescontosTE[[#All],[idsreag supridora]:[codsariSUP]],2,FALSE)</f>
        <v>#N/A</v>
      </c>
    </row>
    <row r="57" spans="1:21" ht="16.5">
      <c r="A57" s="1030">
        <f t="shared" si="1"/>
        <v>1</v>
      </c>
      <c r="B57" s="1031"/>
      <c r="C57" s="861"/>
      <c r="D57" s="17"/>
      <c r="H57" s="68" t="e">
        <f t="shared" si="2"/>
        <v>#N/A</v>
      </c>
      <c r="I57" s="518"/>
      <c r="J57" s="519"/>
      <c r="K57" s="519"/>
      <c r="L57" s="519"/>
      <c r="M57" s="519"/>
      <c r="N57" s="519"/>
      <c r="O57" s="519"/>
      <c r="P57" s="519"/>
      <c r="Q57" s="520"/>
      <c r="R57" s="520"/>
      <c r="S57" s="520"/>
      <c r="T57" s="519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8"/>
      <c r="J58" s="519"/>
      <c r="K58" s="519"/>
      <c r="L58" s="519"/>
      <c r="M58" s="519"/>
      <c r="N58" s="519"/>
      <c r="O58" s="519"/>
      <c r="P58" s="519"/>
      <c r="Q58" s="520"/>
      <c r="R58" s="520"/>
      <c r="S58" s="520"/>
      <c r="T58" s="519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32"/>
      <c r="J59" s="1033"/>
      <c r="K59" s="1033"/>
      <c r="L59" s="1033"/>
      <c r="M59" s="1033"/>
      <c r="N59" s="1033"/>
      <c r="O59" s="1033"/>
      <c r="P59" s="1033"/>
      <c r="Q59" s="1031"/>
      <c r="R59" s="1031"/>
      <c r="S59" s="1031"/>
      <c r="T59" s="1033"/>
      <c r="U59" s="68" t="e">
        <f>VLOOKUP(T59,DescontosTE[[#All],[idsreag supridora]:[codsariSUP]],2,FALSE)</f>
        <v>#N/A</v>
      </c>
    </row>
    <row r="60" spans="1:21">
      <c r="B60" s="1026" t="s">
        <v>75</v>
      </c>
      <c r="C60" s="72"/>
    </row>
    <row r="61" spans="1:21" ht="16.5">
      <c r="B61" s="1034" t="s">
        <v>773</v>
      </c>
      <c r="C61" s="862">
        <v>80662.23</v>
      </c>
      <c r="D61" s="68">
        <v>0</v>
      </c>
    </row>
    <row r="62" spans="1:21" ht="16.5">
      <c r="B62" s="720" t="s">
        <v>775</v>
      </c>
      <c r="C62" s="544">
        <v>11576.44</v>
      </c>
      <c r="D62" s="69">
        <v>0</v>
      </c>
    </row>
    <row r="63" spans="1:21" ht="16.5">
      <c r="B63" s="720" t="s">
        <v>777</v>
      </c>
      <c r="C63" s="544">
        <v>0</v>
      </c>
      <c r="D63" s="69">
        <v>0</v>
      </c>
    </row>
    <row r="64" spans="1:21" ht="16.5">
      <c r="B64" s="720" t="s">
        <v>778</v>
      </c>
      <c r="C64" s="544">
        <v>1324.21</v>
      </c>
      <c r="D64" s="69">
        <v>0</v>
      </c>
    </row>
    <row r="65" spans="2:4" ht="16.5">
      <c r="B65" s="720" t="s">
        <v>781</v>
      </c>
      <c r="C65" s="544">
        <v>197078.19</v>
      </c>
      <c r="D65" s="69">
        <v>0</v>
      </c>
    </row>
    <row r="66" spans="2:4" ht="16.5">
      <c r="B66" s="1035" t="s">
        <v>783</v>
      </c>
      <c r="C66" s="861">
        <v>40554.44</v>
      </c>
      <c r="D66" s="69">
        <v>0</v>
      </c>
    </row>
    <row r="70" spans="2:4">
      <c r="B70" s="963" t="s">
        <v>72</v>
      </c>
      <c r="C70" s="963" t="s">
        <v>37</v>
      </c>
      <c r="D70" s="963" t="s">
        <v>73</v>
      </c>
    </row>
    <row r="71" spans="2:4">
      <c r="B71" s="904" t="s">
        <v>49</v>
      </c>
      <c r="C71" s="1611"/>
      <c r="D71" s="905"/>
    </row>
    <row r="72" spans="2:4">
      <c r="B72" s="904" t="s">
        <v>844</v>
      </c>
      <c r="C72" s="1611">
        <v>2564882.9365526969</v>
      </c>
      <c r="D72" s="905" t="s">
        <v>2199</v>
      </c>
    </row>
    <row r="73" spans="2:4">
      <c r="B73" s="904" t="s">
        <v>2176</v>
      </c>
      <c r="C73" s="1611">
        <v>2520100.6629324439</v>
      </c>
      <c r="D73" s="905" t="s">
        <v>2199</v>
      </c>
    </row>
    <row r="74" spans="2:4">
      <c r="B74" s="904" t="s">
        <v>2216</v>
      </c>
      <c r="C74" s="1611">
        <v>-1730000</v>
      </c>
      <c r="D74" s="905" t="s">
        <v>2217</v>
      </c>
    </row>
    <row r="75" spans="2:4">
      <c r="B75" s="904" t="s">
        <v>2218</v>
      </c>
      <c r="C75" s="1611"/>
      <c r="D75" s="905"/>
    </row>
    <row r="76" spans="2:4">
      <c r="B76" s="904" t="s">
        <v>2219</v>
      </c>
      <c r="C76" s="1611">
        <v>0</v>
      </c>
      <c r="D76" s="905"/>
    </row>
    <row r="77" spans="2:4">
      <c r="B77" s="904" t="s">
        <v>2220</v>
      </c>
      <c r="C77" s="1611">
        <v>0</v>
      </c>
      <c r="D77" s="905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H9" sqref="H9"/>
    </sheetView>
  </sheetViews>
  <sheetFormatPr defaultRowHeight="15.75"/>
  <cols>
    <col min="2" max="2" width="25.7109375" bestFit="1" customWidth="1"/>
    <col min="4" max="4" width="12" bestFit="1" customWidth="1"/>
    <col min="5" max="5" width="17.28515625" bestFit="1" customWidth="1"/>
    <col min="6" max="6" width="17.42578125" bestFit="1" customWidth="1"/>
    <col min="7" max="7" width="14.5703125" bestFit="1" customWidth="1"/>
    <col min="8" max="8" width="13.710937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 t="s">
        <v>2326</v>
      </c>
      <c r="C3" s="380" t="s">
        <v>2327</v>
      </c>
      <c r="D3" s="380" t="s">
        <v>971</v>
      </c>
      <c r="E3" s="380"/>
      <c r="F3" s="380">
        <v>6797</v>
      </c>
      <c r="G3" s="380"/>
      <c r="H3" s="380">
        <v>1408</v>
      </c>
      <c r="I3" s="380">
        <v>18.5</v>
      </c>
      <c r="J3" s="380">
        <v>18.5</v>
      </c>
      <c r="K3" s="380">
        <v>18.5</v>
      </c>
      <c r="L3" s="380">
        <v>18.5</v>
      </c>
      <c r="M3" s="380">
        <v>18.5</v>
      </c>
      <c r="N3" s="380">
        <v>18.5</v>
      </c>
      <c r="O3" s="380">
        <v>19</v>
      </c>
      <c r="P3" s="380">
        <v>19</v>
      </c>
      <c r="Q3" s="380">
        <v>19</v>
      </c>
      <c r="R3" s="380">
        <v>19</v>
      </c>
      <c r="S3" s="380">
        <v>19</v>
      </c>
      <c r="T3" s="380">
        <v>19</v>
      </c>
    </row>
    <row r="4" spans="2:20">
      <c r="B4" s="380" t="s">
        <v>2328</v>
      </c>
      <c r="C4" s="380" t="s">
        <v>2327</v>
      </c>
      <c r="D4" s="380" t="s">
        <v>971</v>
      </c>
      <c r="E4" s="380"/>
      <c r="F4" s="380">
        <v>7473</v>
      </c>
      <c r="G4" s="380"/>
      <c r="H4" s="380">
        <v>671</v>
      </c>
      <c r="I4" s="380">
        <v>0</v>
      </c>
      <c r="J4" s="380">
        <v>0</v>
      </c>
      <c r="K4" s="380">
        <v>0</v>
      </c>
      <c r="L4" s="380">
        <v>0</v>
      </c>
      <c r="M4" s="380">
        <v>0</v>
      </c>
      <c r="N4" s="380">
        <v>0</v>
      </c>
      <c r="O4" s="380">
        <v>0</v>
      </c>
      <c r="P4" s="380">
        <v>0</v>
      </c>
      <c r="Q4" s="380">
        <v>5.4</v>
      </c>
      <c r="R4" s="380">
        <v>5.4</v>
      </c>
      <c r="S4" s="380">
        <v>5.4</v>
      </c>
      <c r="T4" s="380">
        <v>5.4</v>
      </c>
    </row>
    <row r="5" spans="2:20">
      <c r="B5" s="380" t="s">
        <v>2326</v>
      </c>
      <c r="C5" s="380" t="s">
        <v>2327</v>
      </c>
      <c r="D5" s="380" t="s">
        <v>1318</v>
      </c>
      <c r="E5" s="380"/>
      <c r="F5" s="380">
        <v>7227</v>
      </c>
      <c r="G5" s="380"/>
      <c r="H5" s="380">
        <v>1408</v>
      </c>
      <c r="I5" s="380">
        <v>21.5</v>
      </c>
      <c r="J5" s="380">
        <v>21.5</v>
      </c>
      <c r="K5" s="380">
        <v>21.5</v>
      </c>
      <c r="L5" s="380">
        <v>21.5</v>
      </c>
      <c r="M5" s="380">
        <v>21.5</v>
      </c>
      <c r="N5" s="380">
        <v>21.5</v>
      </c>
      <c r="O5" s="380">
        <v>22.5</v>
      </c>
      <c r="P5" s="380">
        <v>22.5</v>
      </c>
      <c r="Q5" s="380">
        <v>22.5</v>
      </c>
      <c r="R5" s="380">
        <v>22.5</v>
      </c>
      <c r="S5" s="380">
        <v>22.5</v>
      </c>
      <c r="T5" s="380">
        <v>22.5</v>
      </c>
    </row>
    <row r="6" spans="2:20">
      <c r="B6" s="380" t="s">
        <v>2328</v>
      </c>
      <c r="C6" s="380" t="s">
        <v>2327</v>
      </c>
      <c r="D6" s="380" t="s">
        <v>1318</v>
      </c>
      <c r="E6" s="380"/>
      <c r="F6" s="380">
        <v>8041</v>
      </c>
      <c r="G6" s="380"/>
      <c r="H6" s="380">
        <v>671</v>
      </c>
      <c r="I6" s="380">
        <v>0</v>
      </c>
      <c r="J6" s="380">
        <v>0</v>
      </c>
      <c r="K6" s="380">
        <v>0</v>
      </c>
      <c r="L6" s="380">
        <v>0</v>
      </c>
      <c r="M6" s="380">
        <v>0</v>
      </c>
      <c r="N6" s="380">
        <v>0</v>
      </c>
      <c r="O6" s="380">
        <v>0</v>
      </c>
      <c r="P6" s="380">
        <v>0</v>
      </c>
      <c r="Q6" s="380">
        <v>4.3</v>
      </c>
      <c r="R6" s="380">
        <v>4.3</v>
      </c>
      <c r="S6" s="380">
        <v>4.3</v>
      </c>
      <c r="T6" s="380">
        <v>4.3</v>
      </c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 t="s">
        <v>2329</v>
      </c>
      <c r="C304" s="380" t="s">
        <v>848</v>
      </c>
      <c r="D304" s="380">
        <v>312467.21000000002</v>
      </c>
      <c r="E304" s="380">
        <v>0</v>
      </c>
      <c r="F304" s="380">
        <v>-194331.9</v>
      </c>
      <c r="G304" s="380">
        <v>0</v>
      </c>
      <c r="H304" s="380">
        <v>0</v>
      </c>
      <c r="I304" s="380">
        <v>0</v>
      </c>
      <c r="J304" s="380" t="s">
        <v>2330</v>
      </c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zoomScaleNormal="100" workbookViewId="0">
      <selection activeCell="D12" sqref="D12"/>
    </sheetView>
  </sheetViews>
  <sheetFormatPr defaultColWidth="9.140625" defaultRowHeight="15.75"/>
  <cols>
    <col min="1" max="1" width="18.28515625" style="883" bestFit="1" customWidth="1"/>
    <col min="2" max="2" width="71.42578125" style="883" bestFit="1" customWidth="1"/>
    <col min="3" max="3" width="9.5703125" style="883" customWidth="1"/>
    <col min="4" max="4" width="15.42578125" style="883" customWidth="1"/>
    <col min="5" max="5" width="8.85546875" style="883" customWidth="1"/>
    <col min="6" max="6" width="19.42578125" style="883" customWidth="1"/>
    <col min="7" max="7" width="17.7109375" style="883" customWidth="1"/>
    <col min="8" max="8" width="16.5703125" style="883" customWidth="1"/>
    <col min="9" max="10" width="12.7109375" style="883" customWidth="1"/>
    <col min="11" max="11" width="13.28515625" style="883" customWidth="1"/>
    <col min="12" max="13" width="12.7109375" style="883" customWidth="1"/>
    <col min="14" max="14" width="15.85546875" style="883" customWidth="1"/>
    <col min="15" max="16" width="12.7109375" style="883" customWidth="1"/>
    <col min="17" max="17" width="12" style="883" customWidth="1"/>
    <col min="18" max="18" width="12.7109375" style="883" customWidth="1"/>
    <col min="19" max="19" width="14.28515625" style="883" customWidth="1"/>
    <col min="20" max="20" width="12.7109375" style="883" customWidth="1"/>
    <col min="21" max="21" width="12" style="883" customWidth="1"/>
    <col min="22" max="22" width="16.85546875" style="883" customWidth="1"/>
    <col min="23" max="24" width="12.7109375" style="883" customWidth="1"/>
    <col min="25" max="25" width="12" style="883" customWidth="1"/>
    <col min="26" max="26" width="10.5703125" style="883" customWidth="1"/>
    <col min="27" max="27" width="10.5703125" style="883" bestFit="1" customWidth="1"/>
    <col min="28" max="28" width="9.85546875" style="883" bestFit="1" customWidth="1"/>
    <col min="29" max="29" width="12" style="883" bestFit="1" customWidth="1"/>
    <col min="30" max="30" width="13.28515625" style="884" bestFit="1" customWidth="1"/>
    <col min="31" max="31" width="11.7109375" style="883" bestFit="1" customWidth="1"/>
    <col min="32" max="32" width="12.7109375" style="883" bestFit="1" customWidth="1"/>
    <col min="33" max="34" width="10.5703125" style="883" bestFit="1" customWidth="1"/>
    <col min="35" max="16384" width="9.140625" style="883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3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90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90">
        <v>44043</v>
      </c>
      <c r="AH2" s="885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90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90">
        <v>44055</v>
      </c>
      <c r="AH3" s="885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90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90">
        <v>44088</v>
      </c>
      <c r="AH4" s="885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90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90">
        <v>44117</v>
      </c>
      <c r="AH5" s="885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90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90">
        <v>44147</v>
      </c>
      <c r="AH6" s="885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90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90">
        <v>44179</v>
      </c>
      <c r="AH7" s="885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90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90">
        <v>44193</v>
      </c>
      <c r="AH8" s="885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90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90">
        <v>44208</v>
      </c>
      <c r="AH9" s="885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90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90">
        <v>44043</v>
      </c>
      <c r="AH10" s="885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90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90">
        <v>44055</v>
      </c>
      <c r="AH11" s="885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90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90">
        <v>44088</v>
      </c>
      <c r="AH12" s="885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90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90">
        <v>44117</v>
      </c>
      <c r="AH13" s="885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90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90">
        <v>44147</v>
      </c>
      <c r="AH14" s="885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90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90">
        <v>44179</v>
      </c>
      <c r="AH15" s="885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90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90">
        <v>44193</v>
      </c>
      <c r="AH16" s="885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90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90">
        <v>44208</v>
      </c>
      <c r="AH17" s="885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90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90">
        <v>44043</v>
      </c>
      <c r="AH18" s="885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90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90">
        <v>44055</v>
      </c>
      <c r="AH19" s="885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90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90">
        <v>44088</v>
      </c>
      <c r="AH20" s="885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90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90">
        <v>44117</v>
      </c>
      <c r="AH21" s="885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90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90">
        <v>44147</v>
      </c>
      <c r="AH22" s="885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90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90">
        <v>44179</v>
      </c>
      <c r="AH23" s="885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90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90">
        <v>44193</v>
      </c>
      <c r="AH24" s="885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90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90">
        <v>44208</v>
      </c>
      <c r="AH25" s="885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90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90">
        <v>44043</v>
      </c>
      <c r="AH26" s="885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90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90">
        <v>44055</v>
      </c>
      <c r="AH27" s="885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90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90">
        <v>44088</v>
      </c>
      <c r="AH28" s="885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90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90">
        <v>44117</v>
      </c>
      <c r="AH29" s="885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90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90">
        <v>44147</v>
      </c>
      <c r="AH30" s="885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90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90">
        <v>44179</v>
      </c>
      <c r="AH31" s="885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90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90">
        <v>44193</v>
      </c>
      <c r="AH32" s="885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90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90">
        <v>44208</v>
      </c>
      <c r="AH33" s="885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90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90">
        <v>44043</v>
      </c>
      <c r="AH34" s="885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90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90">
        <v>44055</v>
      </c>
      <c r="AH35" s="885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90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90">
        <v>44088</v>
      </c>
      <c r="AH36" s="885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90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90">
        <v>44117</v>
      </c>
      <c r="AH37" s="885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90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90">
        <v>44147</v>
      </c>
      <c r="AH38" s="885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90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90">
        <v>44179</v>
      </c>
      <c r="AH39" s="885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90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90">
        <v>44193</v>
      </c>
      <c r="AH40" s="885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90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90">
        <v>44208</v>
      </c>
      <c r="AH41" s="885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90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90">
        <v>44043</v>
      </c>
      <c r="AH42" s="885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90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90">
        <v>44055</v>
      </c>
      <c r="AH43" s="885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90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90">
        <v>44088</v>
      </c>
      <c r="AH44" s="885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90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90">
        <v>44117</v>
      </c>
      <c r="AH45" s="885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90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90">
        <v>44147</v>
      </c>
      <c r="AH46" s="885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90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90">
        <v>44179</v>
      </c>
      <c r="AH47" s="885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90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90">
        <v>44193</v>
      </c>
      <c r="AH48" s="885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90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90">
        <v>44208</v>
      </c>
      <c r="AH49" s="885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90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90">
        <v>44043</v>
      </c>
      <c r="AH50" s="885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90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90">
        <v>44055</v>
      </c>
      <c r="AH51" s="885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90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90">
        <v>44088</v>
      </c>
      <c r="AH52" s="885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90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90">
        <v>44117</v>
      </c>
      <c r="AH53" s="885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90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90">
        <v>44147</v>
      </c>
      <c r="AH54" s="885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90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90">
        <v>44179</v>
      </c>
      <c r="AH55" s="885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90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90">
        <v>44193</v>
      </c>
      <c r="AH56" s="885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90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90">
        <v>44208</v>
      </c>
      <c r="AH57" s="885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90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90">
        <v>44043</v>
      </c>
      <c r="AH58" s="885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90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90">
        <v>44055</v>
      </c>
      <c r="AH59" s="885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90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90">
        <v>44088</v>
      </c>
      <c r="AH60" s="885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90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90">
        <v>44117</v>
      </c>
      <c r="AH61" s="885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90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90">
        <v>44147</v>
      </c>
      <c r="AH62" s="885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90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90">
        <v>44179</v>
      </c>
      <c r="AH63" s="885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90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90">
        <v>44193</v>
      </c>
      <c r="AH64" s="885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90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90">
        <v>44208</v>
      </c>
      <c r="AH65" s="885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90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90">
        <v>44043</v>
      </c>
      <c r="AH66" s="885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90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90">
        <v>44055</v>
      </c>
      <c r="AH67" s="885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90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90">
        <v>44088</v>
      </c>
      <c r="AH68" s="885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90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90">
        <v>44117</v>
      </c>
      <c r="AH69" s="885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90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90">
        <v>44147</v>
      </c>
      <c r="AH70" s="885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90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90">
        <v>44179</v>
      </c>
      <c r="AH71" s="885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90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90">
        <v>44193</v>
      </c>
      <c r="AH72" s="885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90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90">
        <v>44208</v>
      </c>
      <c r="AH73" s="885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90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90">
        <v>44043</v>
      </c>
      <c r="AH74" s="885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90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90">
        <v>44055</v>
      </c>
      <c r="AH75" s="885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90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90">
        <v>44088</v>
      </c>
      <c r="AH76" s="885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90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90">
        <v>44117</v>
      </c>
      <c r="AH77" s="885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90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90">
        <v>44147</v>
      </c>
      <c r="AH78" s="885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90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90">
        <v>44179</v>
      </c>
      <c r="AH79" s="885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90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90">
        <v>44193</v>
      </c>
      <c r="AH80" s="885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90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90">
        <v>44208</v>
      </c>
      <c r="AH81" s="885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90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90">
        <v>44043</v>
      </c>
      <c r="AH82" s="885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90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90">
        <v>44055</v>
      </c>
      <c r="AH83" s="885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90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90">
        <v>44088</v>
      </c>
      <c r="AH84" s="885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90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90">
        <v>44117</v>
      </c>
      <c r="AH85" s="885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90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90">
        <v>44147</v>
      </c>
      <c r="AH86" s="885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90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90">
        <v>44179</v>
      </c>
      <c r="AH87" s="885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90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90">
        <v>44193</v>
      </c>
      <c r="AH88" s="885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90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90">
        <v>44208</v>
      </c>
      <c r="AH89" s="885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90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90">
        <v>44043</v>
      </c>
      <c r="AH90" s="885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90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90">
        <v>44055</v>
      </c>
      <c r="AH91" s="885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90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90">
        <v>44088</v>
      </c>
      <c r="AH92" s="885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90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90">
        <v>44117</v>
      </c>
      <c r="AH93" s="885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90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90">
        <v>44147</v>
      </c>
      <c r="AH94" s="885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90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90">
        <v>44179</v>
      </c>
      <c r="AH95" s="885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90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90">
        <v>44193</v>
      </c>
      <c r="AH96" s="885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90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90">
        <v>44208</v>
      </c>
      <c r="AH97" s="885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90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90">
        <v>44043</v>
      </c>
      <c r="AH98" s="885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90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90">
        <v>44055</v>
      </c>
      <c r="AH99" s="885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90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90">
        <v>44088</v>
      </c>
      <c r="AH100" s="885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90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90">
        <v>44117</v>
      </c>
      <c r="AH101" s="885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90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90">
        <v>44147</v>
      </c>
      <c r="AH102" s="885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90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90">
        <v>44179</v>
      </c>
      <c r="AH103" s="885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90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90">
        <v>44193</v>
      </c>
      <c r="AH104" s="885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90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90">
        <v>44208</v>
      </c>
      <c r="AH105" s="885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90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90">
        <v>44043</v>
      </c>
      <c r="AH106" s="885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90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90">
        <v>44055</v>
      </c>
      <c r="AH107" s="885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90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90">
        <v>44088</v>
      </c>
      <c r="AH108" s="885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90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90">
        <v>44117</v>
      </c>
      <c r="AH109" s="885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90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90">
        <v>44147</v>
      </c>
      <c r="AH110" s="885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90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90">
        <v>44179</v>
      </c>
      <c r="AH111" s="885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90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90">
        <v>44193</v>
      </c>
      <c r="AH112" s="885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90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90">
        <v>44208</v>
      </c>
      <c r="AH113" s="885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90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90">
        <v>44043</v>
      </c>
      <c r="AH114" s="885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90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90">
        <v>44055</v>
      </c>
      <c r="AH115" s="885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90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90">
        <v>44088</v>
      </c>
      <c r="AH116" s="885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90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90">
        <v>44117</v>
      </c>
      <c r="AH117" s="885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90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90">
        <v>44147</v>
      </c>
      <c r="AH118" s="885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90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90">
        <v>44179</v>
      </c>
      <c r="AH119" s="885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90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90">
        <v>44193</v>
      </c>
      <c r="AH120" s="885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90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90">
        <v>44208</v>
      </c>
      <c r="AH121" s="885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90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90">
        <v>44043</v>
      </c>
      <c r="AH122" s="885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90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90">
        <v>44055</v>
      </c>
      <c r="AH123" s="885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90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90">
        <v>44088</v>
      </c>
      <c r="AH124" s="885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90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90">
        <v>44117</v>
      </c>
      <c r="AH125" s="885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90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90">
        <v>44147</v>
      </c>
      <c r="AH126" s="885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90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90">
        <v>44179</v>
      </c>
      <c r="AH127" s="885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90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90">
        <v>44193</v>
      </c>
      <c r="AH128" s="885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90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90">
        <v>44208</v>
      </c>
      <c r="AH129" s="885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90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90">
        <v>44043</v>
      </c>
      <c r="AH130" s="885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90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90">
        <v>44055</v>
      </c>
      <c r="AH131" s="885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90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90">
        <v>44088</v>
      </c>
      <c r="AH132" s="885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90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90">
        <v>44117</v>
      </c>
      <c r="AH133" s="885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90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90">
        <v>44147</v>
      </c>
      <c r="AH134" s="885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90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90">
        <v>44179</v>
      </c>
      <c r="AH135" s="885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90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90">
        <v>44193</v>
      </c>
      <c r="AH136" s="885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90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90">
        <v>44208</v>
      </c>
      <c r="AH137" s="885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90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90">
        <v>44043</v>
      </c>
      <c r="AH138" s="885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90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90">
        <v>44055</v>
      </c>
      <c r="AH139" s="885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90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90">
        <v>44088</v>
      </c>
      <c r="AH140" s="885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90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90">
        <v>44117</v>
      </c>
      <c r="AH141" s="885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90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90">
        <v>44147</v>
      </c>
      <c r="AH142" s="885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90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90">
        <v>44179</v>
      </c>
      <c r="AH143" s="885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90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90">
        <v>44193</v>
      </c>
      <c r="AH144" s="885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90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90">
        <v>44208</v>
      </c>
      <c r="AH145" s="885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90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90">
        <v>44043</v>
      </c>
      <c r="AH146" s="885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90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90">
        <v>44055</v>
      </c>
      <c r="AH147" s="885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90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90">
        <v>44088</v>
      </c>
      <c r="AH148" s="885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90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90">
        <v>44117</v>
      </c>
      <c r="AH149" s="885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90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90">
        <v>44147</v>
      </c>
      <c r="AH150" s="885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90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90">
        <v>44179</v>
      </c>
      <c r="AH151" s="885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90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90">
        <v>44193</v>
      </c>
      <c r="AH152" s="885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90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90">
        <v>44208</v>
      </c>
      <c r="AH153" s="885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90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90">
        <v>44043</v>
      </c>
      <c r="AH154" s="885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90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90">
        <v>44055</v>
      </c>
      <c r="AH155" s="885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90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90">
        <v>44088</v>
      </c>
      <c r="AH156" s="885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90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90">
        <v>44117</v>
      </c>
      <c r="AH157" s="885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90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90">
        <v>44147</v>
      </c>
      <c r="AH158" s="885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90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90">
        <v>44179</v>
      </c>
      <c r="AH159" s="885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90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90">
        <v>44193</v>
      </c>
      <c r="AH160" s="885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90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90">
        <v>44208</v>
      </c>
      <c r="AH161" s="885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90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90">
        <v>44043</v>
      </c>
      <c r="AH162" s="885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90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90">
        <v>44055</v>
      </c>
      <c r="AH163" s="885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90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90">
        <v>44088</v>
      </c>
      <c r="AH164" s="885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90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90">
        <v>44117</v>
      </c>
      <c r="AH165" s="885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90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90">
        <v>44147</v>
      </c>
      <c r="AH166" s="885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90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90">
        <v>44179</v>
      </c>
      <c r="AH167" s="885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90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90">
        <v>44193</v>
      </c>
      <c r="AH168" s="885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90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90">
        <v>44208</v>
      </c>
      <c r="AH169" s="885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90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90">
        <v>44043</v>
      </c>
      <c r="AH170" s="885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90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90">
        <v>44055</v>
      </c>
      <c r="AH171" s="885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90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90">
        <v>44088</v>
      </c>
      <c r="AH172" s="885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90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90">
        <v>44117</v>
      </c>
      <c r="AH173" s="885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90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90">
        <v>44147</v>
      </c>
      <c r="AH174" s="885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90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90">
        <v>44179</v>
      </c>
      <c r="AH175" s="885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90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90">
        <v>44193</v>
      </c>
      <c r="AH176" s="885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90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90">
        <v>44208</v>
      </c>
      <c r="AH177" s="885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90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90">
        <v>44043</v>
      </c>
      <c r="AH178" s="885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90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90">
        <v>44055</v>
      </c>
      <c r="AH179" s="885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90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90">
        <v>44088</v>
      </c>
      <c r="AH180" s="885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90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90">
        <v>44117</v>
      </c>
      <c r="AH181" s="885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90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90">
        <v>44147</v>
      </c>
      <c r="AH182" s="885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90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90">
        <v>44179</v>
      </c>
      <c r="AH183" s="885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90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90">
        <v>44193</v>
      </c>
      <c r="AH184" s="885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90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90">
        <v>44208</v>
      </c>
      <c r="AH185" s="885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90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90">
        <v>44043</v>
      </c>
      <c r="AH186" s="885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90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90">
        <v>44055</v>
      </c>
      <c r="AH187" s="885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90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90">
        <v>44088</v>
      </c>
      <c r="AH188" s="885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90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90">
        <v>44117</v>
      </c>
      <c r="AH189" s="885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90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90">
        <v>44147</v>
      </c>
      <c r="AH190" s="885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90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90">
        <v>44179</v>
      </c>
      <c r="AH191" s="885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90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90">
        <v>44193</v>
      </c>
      <c r="AH192" s="885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90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90">
        <v>44208</v>
      </c>
      <c r="AH193" s="885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90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90">
        <v>44043</v>
      </c>
      <c r="AH194" s="885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90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90">
        <v>44055</v>
      </c>
      <c r="AH195" s="885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90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90">
        <v>44088</v>
      </c>
      <c r="AH196" s="885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90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90">
        <v>44117</v>
      </c>
      <c r="AH197" s="885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90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90">
        <v>44147</v>
      </c>
      <c r="AH198" s="885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90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90">
        <v>44179</v>
      </c>
      <c r="AH199" s="885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90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90">
        <v>44193</v>
      </c>
      <c r="AH200" s="885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90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90">
        <v>44208</v>
      </c>
      <c r="AH201" s="885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90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90">
        <v>44043</v>
      </c>
      <c r="AH202" s="885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90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90">
        <v>44055</v>
      </c>
      <c r="AH203" s="885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90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90">
        <v>44088</v>
      </c>
      <c r="AH204" s="885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90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90">
        <v>44117</v>
      </c>
      <c r="AH205" s="885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90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90">
        <v>44147</v>
      </c>
      <c r="AH206" s="885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90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90">
        <v>44179</v>
      </c>
      <c r="AH207" s="885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90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90">
        <v>44193</v>
      </c>
      <c r="AH208" s="885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90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90">
        <v>44208</v>
      </c>
      <c r="AH209" s="885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90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90">
        <v>44043</v>
      </c>
      <c r="AH210" s="885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90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90">
        <v>44055</v>
      </c>
      <c r="AH211" s="885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90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90">
        <v>44088</v>
      </c>
      <c r="AH212" s="885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90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90">
        <v>44117</v>
      </c>
      <c r="AH213" s="885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90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90">
        <v>44147</v>
      </c>
      <c r="AH214" s="885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90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90">
        <v>44179</v>
      </c>
      <c r="AH215" s="885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90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90">
        <v>44193</v>
      </c>
      <c r="AH216" s="885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90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90">
        <v>44208</v>
      </c>
      <c r="AH217" s="885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90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90">
        <v>44043</v>
      </c>
      <c r="AH218" s="885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90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90">
        <v>44055</v>
      </c>
      <c r="AH219" s="885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90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90">
        <v>44088</v>
      </c>
      <c r="AH220" s="885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90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90">
        <v>44117</v>
      </c>
      <c r="AH221" s="885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90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90">
        <v>44147</v>
      </c>
      <c r="AH222" s="885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90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90">
        <v>44179</v>
      </c>
      <c r="AH223" s="885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90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90">
        <v>44193</v>
      </c>
      <c r="AH224" s="885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90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90">
        <v>44208</v>
      </c>
      <c r="AH225" s="885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90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90">
        <v>44043</v>
      </c>
      <c r="AH226" s="885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90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90">
        <v>44055</v>
      </c>
      <c r="AH227" s="885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90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90">
        <v>44088</v>
      </c>
      <c r="AH228" s="885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90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90">
        <v>44117</v>
      </c>
      <c r="AH229" s="885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90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90">
        <v>44147</v>
      </c>
      <c r="AH230" s="885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90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90">
        <v>44179</v>
      </c>
      <c r="AH231" s="885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90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90">
        <v>44193</v>
      </c>
      <c r="AH232" s="885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90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90">
        <v>44208</v>
      </c>
      <c r="AH233" s="885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90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90">
        <v>44043</v>
      </c>
      <c r="AH234" s="885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90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90">
        <v>44055</v>
      </c>
      <c r="AH235" s="885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90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90">
        <v>44088</v>
      </c>
      <c r="AH236" s="885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90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90">
        <v>44117</v>
      </c>
      <c r="AH237" s="885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90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90">
        <v>44147</v>
      </c>
      <c r="AH238" s="885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90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90">
        <v>44179</v>
      </c>
      <c r="AH239" s="885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90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90">
        <v>44193</v>
      </c>
      <c r="AH240" s="885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90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90">
        <v>44208</v>
      </c>
      <c r="AH241" s="885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90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90">
        <v>44043</v>
      </c>
      <c r="AH242" s="885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90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90">
        <v>44055</v>
      </c>
      <c r="AH243" s="885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90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90">
        <v>44088</v>
      </c>
      <c r="AH244" s="885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90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90">
        <v>44117</v>
      </c>
      <c r="AH245" s="885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90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90">
        <v>44147</v>
      </c>
      <c r="AH246" s="885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90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90">
        <v>44179</v>
      </c>
      <c r="AH247" s="885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90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90">
        <v>44193</v>
      </c>
      <c r="AH248" s="885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90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90">
        <v>44208</v>
      </c>
      <c r="AH249" s="885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90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90">
        <v>44043</v>
      </c>
      <c r="AH250" s="885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90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90">
        <v>44055</v>
      </c>
      <c r="AH251" s="885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90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90">
        <v>44088</v>
      </c>
      <c r="AH252" s="885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90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90">
        <v>44117</v>
      </c>
      <c r="AH253" s="885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90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90">
        <v>44147</v>
      </c>
      <c r="AH254" s="885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90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90">
        <v>44179</v>
      </c>
      <c r="AH255" s="885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90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90">
        <v>44193</v>
      </c>
      <c r="AH256" s="885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90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90">
        <v>44208</v>
      </c>
      <c r="AH257" s="885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90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90">
        <v>44043</v>
      </c>
      <c r="AH258" s="885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90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90">
        <v>44055</v>
      </c>
      <c r="AH259" s="885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90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90">
        <v>44088</v>
      </c>
      <c r="AH260" s="885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90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90">
        <v>44117</v>
      </c>
      <c r="AH261" s="885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90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90">
        <v>44147</v>
      </c>
      <c r="AH262" s="885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90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90">
        <v>44179</v>
      </c>
      <c r="AH263" s="885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90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90">
        <v>44193</v>
      </c>
      <c r="AH264" s="885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90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90">
        <v>44208</v>
      </c>
      <c r="AH265" s="885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90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90">
        <v>44043</v>
      </c>
      <c r="AH266" s="885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90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90">
        <v>44055</v>
      </c>
      <c r="AH267" s="885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90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90">
        <v>44088</v>
      </c>
      <c r="AH268" s="885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90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90">
        <v>44117</v>
      </c>
      <c r="AH269" s="885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90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90">
        <v>44147</v>
      </c>
      <c r="AH270" s="885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90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90">
        <v>44179</v>
      </c>
      <c r="AH271" s="885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90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90">
        <v>44193</v>
      </c>
      <c r="AH272" s="885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90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90">
        <v>44208</v>
      </c>
      <c r="AH273" s="885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90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5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90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5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90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5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90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5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90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5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90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5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90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5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90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5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90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5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90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5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90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5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90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5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90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5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90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5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90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5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90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5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90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90">
        <v>44043</v>
      </c>
      <c r="AH290" s="885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90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90">
        <v>44055</v>
      </c>
      <c r="AH291" s="885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90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90">
        <v>44088</v>
      </c>
      <c r="AH292" s="885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90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90">
        <v>44117</v>
      </c>
      <c r="AH293" s="885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90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90">
        <v>44147</v>
      </c>
      <c r="AH294" s="885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90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90">
        <v>44179</v>
      </c>
      <c r="AH295" s="885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90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90">
        <v>44193</v>
      </c>
      <c r="AH296" s="885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90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90">
        <v>44208</v>
      </c>
      <c r="AH297" s="885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90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90">
        <v>44043</v>
      </c>
      <c r="AH298" s="885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90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90">
        <v>44055</v>
      </c>
      <c r="AH299" s="885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90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90">
        <v>44088</v>
      </c>
      <c r="AH300" s="885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90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90">
        <v>44117</v>
      </c>
      <c r="AH301" s="885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90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90">
        <v>44147</v>
      </c>
      <c r="AH302" s="885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90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90">
        <v>44179</v>
      </c>
      <c r="AH303" s="885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90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90">
        <v>44193</v>
      </c>
      <c r="AH304" s="885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90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90">
        <v>44208</v>
      </c>
      <c r="AH305" s="885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90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90">
        <v>44043</v>
      </c>
      <c r="AH306" s="885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90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90">
        <v>44055</v>
      </c>
      <c r="AH307" s="885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90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90">
        <v>44088</v>
      </c>
      <c r="AH308" s="885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90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90">
        <v>44117</v>
      </c>
      <c r="AH309" s="885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90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90">
        <v>44147</v>
      </c>
      <c r="AH310" s="885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90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90">
        <v>44179</v>
      </c>
      <c r="AH311" s="885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90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90">
        <v>44193</v>
      </c>
      <c r="AH312" s="885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90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90">
        <v>44208</v>
      </c>
      <c r="AH313" s="885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90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90">
        <v>44043</v>
      </c>
      <c r="AH314" s="885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90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90">
        <v>44055</v>
      </c>
      <c r="AH315" s="885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90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90">
        <v>44088</v>
      </c>
      <c r="AH316" s="885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90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90">
        <v>44117</v>
      </c>
      <c r="AH317" s="885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90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90">
        <v>44147</v>
      </c>
      <c r="AH318" s="885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90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90">
        <v>44179</v>
      </c>
      <c r="AH319" s="885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90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90">
        <v>44193</v>
      </c>
      <c r="AH320" s="885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90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90">
        <v>44208</v>
      </c>
      <c r="AH321" s="885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90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5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90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5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90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5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90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5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90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5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90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5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90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5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90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5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90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5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90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5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90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5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90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5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90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5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90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5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90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5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90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5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90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5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90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5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90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5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90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5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90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5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90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5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90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5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90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5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90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5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90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5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982">
        <v>-3012884.08</v>
      </c>
      <c r="H348" s="234" t="s">
        <v>138</v>
      </c>
      <c r="I348" s="890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5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90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5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90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5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90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5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90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5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90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5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90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5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90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5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90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5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90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5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90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5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90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5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90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5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90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5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90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5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90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5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90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5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90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5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90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5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90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5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90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5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90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5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90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5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90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5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90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5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90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5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90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5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90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5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90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5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90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5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90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90">
        <v>44043</v>
      </c>
      <c r="AH378" s="885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90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90">
        <v>44055</v>
      </c>
      <c r="AH379" s="885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90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90">
        <v>44088</v>
      </c>
      <c r="AH380" s="885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90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90">
        <v>44117</v>
      </c>
      <c r="AH381" s="885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90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90">
        <v>44147</v>
      </c>
      <c r="AH382" s="885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90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90">
        <v>44179</v>
      </c>
      <c r="AH383" s="885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90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90">
        <v>44193</v>
      </c>
      <c r="AH384" s="885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90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90">
        <v>44208</v>
      </c>
      <c r="AH385" s="885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90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90">
        <v>44043</v>
      </c>
      <c r="AH386" s="885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90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90">
        <v>44055</v>
      </c>
      <c r="AH387" s="885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90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90">
        <v>44088</v>
      </c>
      <c r="AH388" s="885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90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90">
        <v>44117</v>
      </c>
      <c r="AH389" s="885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90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90">
        <v>44147</v>
      </c>
      <c r="AH390" s="885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90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90">
        <v>44179</v>
      </c>
      <c r="AH391" s="885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90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90">
        <v>44193</v>
      </c>
      <c r="AH392" s="885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90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90">
        <v>44208</v>
      </c>
      <c r="AH393" s="885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90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90">
        <v>44043</v>
      </c>
      <c r="AH394" s="885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90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90">
        <v>44055</v>
      </c>
      <c r="AH395" s="885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90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90">
        <v>44088</v>
      </c>
      <c r="AH396" s="885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90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90">
        <v>44117</v>
      </c>
      <c r="AH397" s="885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90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90">
        <v>44147</v>
      </c>
      <c r="AH398" s="885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90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90">
        <v>44179</v>
      </c>
      <c r="AH399" s="885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90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90">
        <v>44193</v>
      </c>
      <c r="AH400" s="885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90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90">
        <v>44208</v>
      </c>
      <c r="AH401" s="885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90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90">
        <v>44043</v>
      </c>
      <c r="AH402" s="885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90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90">
        <v>44055</v>
      </c>
      <c r="AH403" s="885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90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90">
        <v>44088</v>
      </c>
      <c r="AH404" s="885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90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90">
        <v>44117</v>
      </c>
      <c r="AH405" s="885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90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90">
        <v>44147</v>
      </c>
      <c r="AH406" s="885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90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90">
        <v>44179</v>
      </c>
      <c r="AH407" s="885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90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90">
        <v>44193</v>
      </c>
      <c r="AH408" s="885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90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90">
        <v>44208</v>
      </c>
      <c r="AH409" s="885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90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90">
        <v>44043</v>
      </c>
      <c r="AH410" s="885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90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90">
        <v>44055</v>
      </c>
      <c r="AH411" s="885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90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90">
        <v>44088</v>
      </c>
      <c r="AH412" s="885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90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90">
        <v>44117</v>
      </c>
      <c r="AH413" s="885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90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90">
        <v>44147</v>
      </c>
      <c r="AH414" s="885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90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90">
        <v>44179</v>
      </c>
      <c r="AH415" s="885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90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90">
        <v>44193</v>
      </c>
      <c r="AH416" s="885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90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90">
        <v>44208</v>
      </c>
      <c r="AH417" s="885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90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90">
        <v>44043</v>
      </c>
      <c r="AH418" s="885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90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90">
        <v>44055</v>
      </c>
      <c r="AH419" s="885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90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90">
        <v>44088</v>
      </c>
      <c r="AH420" s="885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90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90">
        <v>44117</v>
      </c>
      <c r="AH421" s="885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90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90">
        <v>44147</v>
      </c>
      <c r="AH422" s="885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90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90">
        <v>44179</v>
      </c>
      <c r="AH423" s="885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90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90">
        <v>44193</v>
      </c>
      <c r="AH424" s="885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90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90">
        <v>44208</v>
      </c>
      <c r="AH425" s="885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90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5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90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5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90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5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90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5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90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5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90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5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90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5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90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5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90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90">
        <v>44043</v>
      </c>
      <c r="AH434" s="885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90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90">
        <v>44055</v>
      </c>
      <c r="AH435" s="885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90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90">
        <v>44088</v>
      </c>
      <c r="AH436" s="885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90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90">
        <v>44117</v>
      </c>
      <c r="AH437" s="885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90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90">
        <v>44147</v>
      </c>
      <c r="AH438" s="885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90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90">
        <v>44179</v>
      </c>
      <c r="AH439" s="885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90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90">
        <v>44193</v>
      </c>
      <c r="AH440" s="885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90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90">
        <v>44208</v>
      </c>
      <c r="AH441" s="885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90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90">
        <v>44043</v>
      </c>
      <c r="AH442" s="885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90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90">
        <v>44055</v>
      </c>
      <c r="AH443" s="885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90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90">
        <v>44088</v>
      </c>
      <c r="AH444" s="885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90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90">
        <v>44117</v>
      </c>
      <c r="AH445" s="885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90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90">
        <v>44147</v>
      </c>
      <c r="AH446" s="885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90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90">
        <v>44179</v>
      </c>
      <c r="AH447" s="885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90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90">
        <v>44193</v>
      </c>
      <c r="AH448" s="885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90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90">
        <v>44208</v>
      </c>
      <c r="AH449" s="885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90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90">
        <v>44043</v>
      </c>
      <c r="AH450" s="885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90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90">
        <v>44055</v>
      </c>
      <c r="AH451" s="885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90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90">
        <v>44088</v>
      </c>
      <c r="AH452" s="885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90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90">
        <v>44117</v>
      </c>
      <c r="AH453" s="885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90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90">
        <v>44147</v>
      </c>
      <c r="AH454" s="885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90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90">
        <v>44179</v>
      </c>
      <c r="AH455" s="885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90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90">
        <v>44193</v>
      </c>
      <c r="AH456" s="885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90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90">
        <v>44208</v>
      </c>
      <c r="AH457" s="885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90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90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90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90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90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90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90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90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90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90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90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90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90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90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90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90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90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90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90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90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90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90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90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90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90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90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90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90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90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90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90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90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90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90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90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90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90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90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90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90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90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90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90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90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90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90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90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90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90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90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90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90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90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90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90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90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90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90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90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90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90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90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90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90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70"/>
  <sheetViews>
    <sheetView topLeftCell="O1" zoomScale="70" zoomScaleNormal="70" workbookViewId="0">
      <selection activeCell="O1" sqref="O1:V1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52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2" t="s">
        <v>208</v>
      </c>
      <c r="K1" s="752" t="s">
        <v>214</v>
      </c>
      <c r="L1" s="752" t="s">
        <v>213</v>
      </c>
      <c r="M1" s="752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2317</v>
      </c>
      <c r="B2" t="s">
        <v>2318</v>
      </c>
      <c r="C2" t="s">
        <v>2319</v>
      </c>
      <c r="D2" t="s">
        <v>2320</v>
      </c>
      <c r="E2" t="s">
        <v>2177</v>
      </c>
      <c r="F2">
        <v>202104</v>
      </c>
      <c r="G2" t="s">
        <v>215</v>
      </c>
      <c r="H2">
        <v>0</v>
      </c>
      <c r="J2" s="753">
        <f>CAPA!K12</f>
        <v>3223</v>
      </c>
      <c r="K2" s="753" t="s">
        <v>216</v>
      </c>
      <c r="L2" s="753" t="str">
        <f>"&gt;="&amp;K6</f>
        <v>&gt;=202107</v>
      </c>
      <c r="M2" s="753" t="str">
        <f>"&lt;="&amp;K7</f>
        <v>&lt;=202206</v>
      </c>
      <c r="O2" t="s">
        <v>2317</v>
      </c>
      <c r="P2" t="s">
        <v>2318</v>
      </c>
      <c r="Q2" t="s">
        <v>2319</v>
      </c>
      <c r="R2" t="s">
        <v>2320</v>
      </c>
      <c r="S2" t="s">
        <v>2177</v>
      </c>
      <c r="T2">
        <v>202107</v>
      </c>
      <c r="U2" t="s">
        <v>217</v>
      </c>
      <c r="V2">
        <v>5520</v>
      </c>
      <c r="X2" t="s">
        <v>2319</v>
      </c>
      <c r="Y2" t="s">
        <v>2320</v>
      </c>
      <c r="Z2" t="s">
        <v>2177</v>
      </c>
      <c r="AB2" t="s">
        <v>2319</v>
      </c>
      <c r="AC2" t="s">
        <v>2320</v>
      </c>
      <c r="AD2" t="s">
        <v>2177</v>
      </c>
      <c r="AE2" t="s">
        <v>217</v>
      </c>
      <c r="AH2" t="s">
        <v>2319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2317</v>
      </c>
      <c r="B3" t="s">
        <v>2318</v>
      </c>
      <c r="C3" t="s">
        <v>2319</v>
      </c>
      <c r="D3" t="s">
        <v>2320</v>
      </c>
      <c r="E3" t="s">
        <v>2177</v>
      </c>
      <c r="F3">
        <v>202105</v>
      </c>
      <c r="G3" t="s">
        <v>215</v>
      </c>
      <c r="H3">
        <v>0</v>
      </c>
      <c r="J3" s="753">
        <f>J2</f>
        <v>3223</v>
      </c>
      <c r="K3" s="753" t="s">
        <v>218</v>
      </c>
      <c r="L3" s="753" t="str">
        <f>L2</f>
        <v>&gt;=202107</v>
      </c>
      <c r="M3" s="753" t="str">
        <f>M2</f>
        <v>&lt;=202206</v>
      </c>
      <c r="O3" t="s">
        <v>2317</v>
      </c>
      <c r="P3" t="s">
        <v>2318</v>
      </c>
      <c r="Q3" t="s">
        <v>2319</v>
      </c>
      <c r="R3" t="s">
        <v>2320</v>
      </c>
      <c r="S3" t="s">
        <v>2177</v>
      </c>
      <c r="T3">
        <v>202107</v>
      </c>
      <c r="U3" t="s">
        <v>219</v>
      </c>
      <c r="V3">
        <v>5200</v>
      </c>
      <c r="X3" t="s">
        <v>2321</v>
      </c>
      <c r="Y3" t="s">
        <v>2322</v>
      </c>
      <c r="Z3" t="s">
        <v>2177</v>
      </c>
      <c r="AB3" t="s">
        <v>2319</v>
      </c>
      <c r="AC3" t="s">
        <v>2320</v>
      </c>
      <c r="AD3" t="s">
        <v>2177</v>
      </c>
      <c r="AE3" t="s">
        <v>219</v>
      </c>
      <c r="AH3" t="s">
        <v>2321</v>
      </c>
      <c r="AI3">
        <f t="shared" ref="AI3:AI8" si="0">_xlfn.MAXIFS(F:F,C:C,AH3)</f>
        <v>202206</v>
      </c>
      <c r="AJ3">
        <f>IFERROR(ROUND((DATE(ROUND($K$7/100,0),$K$7-ROUND($K$7/100,0)*100,1)-DATE(ROUND(AI3/100,0),AI3-ROUND(AI3/100,0)*100,1))/30,0),"Nada")</f>
        <v>0</v>
      </c>
    </row>
    <row r="4" spans="1:36">
      <c r="A4" t="s">
        <v>2317</v>
      </c>
      <c r="B4" t="s">
        <v>2318</v>
      </c>
      <c r="C4" t="s">
        <v>2319</v>
      </c>
      <c r="D4" t="s">
        <v>2320</v>
      </c>
      <c r="E4" t="s">
        <v>2177</v>
      </c>
      <c r="F4">
        <v>202106</v>
      </c>
      <c r="G4" t="s">
        <v>215</v>
      </c>
      <c r="H4">
        <v>0</v>
      </c>
      <c r="J4" s="755">
        <f>J3</f>
        <v>3223</v>
      </c>
      <c r="K4" s="753" t="s">
        <v>220</v>
      </c>
      <c r="L4" s="754" t="str">
        <f>L2</f>
        <v>&gt;=202107</v>
      </c>
      <c r="M4" s="754" t="str">
        <f>M2</f>
        <v>&lt;=202206</v>
      </c>
      <c r="O4" t="s">
        <v>2317</v>
      </c>
      <c r="P4" t="s">
        <v>2318</v>
      </c>
      <c r="Q4" t="s">
        <v>2319</v>
      </c>
      <c r="R4" t="s">
        <v>2320</v>
      </c>
      <c r="S4" t="s">
        <v>2177</v>
      </c>
      <c r="T4">
        <v>202108</v>
      </c>
      <c r="U4" t="s">
        <v>217</v>
      </c>
      <c r="V4">
        <v>5520</v>
      </c>
      <c r="AB4" t="s">
        <v>2321</v>
      </c>
      <c r="AC4" t="s">
        <v>2322</v>
      </c>
      <c r="AD4" t="s">
        <v>2177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2317</v>
      </c>
      <c r="B5" t="s">
        <v>2318</v>
      </c>
      <c r="C5" t="s">
        <v>2319</v>
      </c>
      <c r="D5" t="s">
        <v>2320</v>
      </c>
      <c r="E5" t="s">
        <v>2177</v>
      </c>
      <c r="F5">
        <v>202107</v>
      </c>
      <c r="G5" t="s">
        <v>215</v>
      </c>
      <c r="H5">
        <v>0</v>
      </c>
      <c r="J5" s="755">
        <f>J4</f>
        <v>3223</v>
      </c>
      <c r="K5" s="965" t="s">
        <v>222</v>
      </c>
      <c r="L5" s="754" t="str">
        <f>L3</f>
        <v>&gt;=202107</v>
      </c>
      <c r="M5" s="754" t="str">
        <f>M3</f>
        <v>&lt;=202206</v>
      </c>
      <c r="O5" t="s">
        <v>2317</v>
      </c>
      <c r="P5" t="s">
        <v>2318</v>
      </c>
      <c r="Q5" t="s">
        <v>2319</v>
      </c>
      <c r="R5" t="s">
        <v>2320</v>
      </c>
      <c r="S5" t="s">
        <v>2177</v>
      </c>
      <c r="T5">
        <v>202108</v>
      </c>
      <c r="U5" t="s">
        <v>219</v>
      </c>
      <c r="V5">
        <v>5200</v>
      </c>
      <c r="AB5" t="s">
        <v>2321</v>
      </c>
      <c r="AC5" t="s">
        <v>2322</v>
      </c>
      <c r="AD5" t="s">
        <v>2177</v>
      </c>
      <c r="AE5" t="s">
        <v>219</v>
      </c>
      <c r="AI5">
        <f t="shared" si="0"/>
        <v>0</v>
      </c>
      <c r="AJ5" t="str">
        <f t="shared" si="1"/>
        <v>Nada</v>
      </c>
    </row>
    <row r="6" spans="1:36">
      <c r="A6" t="s">
        <v>2317</v>
      </c>
      <c r="B6" t="s">
        <v>2318</v>
      </c>
      <c r="C6" t="s">
        <v>2319</v>
      </c>
      <c r="D6" t="s">
        <v>2320</v>
      </c>
      <c r="E6" t="s">
        <v>2177</v>
      </c>
      <c r="F6">
        <v>202108</v>
      </c>
      <c r="G6" t="s">
        <v>215</v>
      </c>
      <c r="H6">
        <v>0</v>
      </c>
      <c r="J6" t="s">
        <v>224</v>
      </c>
      <c r="K6">
        <f>(YEAR(SAS_RA0_DataInicio)*100+MONTH(SAS_RA0_DataInicio))</f>
        <v>202107</v>
      </c>
      <c r="O6" t="s">
        <v>2317</v>
      </c>
      <c r="P6" t="s">
        <v>2318</v>
      </c>
      <c r="Q6" t="s">
        <v>2319</v>
      </c>
      <c r="R6" t="s">
        <v>2320</v>
      </c>
      <c r="S6" t="s">
        <v>2177</v>
      </c>
      <c r="T6">
        <v>202109</v>
      </c>
      <c r="U6" t="s">
        <v>217</v>
      </c>
      <c r="V6">
        <v>5520</v>
      </c>
      <c r="AB6" t="s">
        <v>2319</v>
      </c>
      <c r="AC6" t="s">
        <v>2320</v>
      </c>
      <c r="AD6" t="s">
        <v>2177</v>
      </c>
      <c r="AE6" t="s">
        <v>221</v>
      </c>
      <c r="AI6">
        <f t="shared" si="0"/>
        <v>0</v>
      </c>
      <c r="AJ6" t="str">
        <f t="shared" si="1"/>
        <v>Nada</v>
      </c>
    </row>
    <row r="7" spans="1:36">
      <c r="A7" t="s">
        <v>2317</v>
      </c>
      <c r="B7" t="s">
        <v>2318</v>
      </c>
      <c r="C7" t="s">
        <v>2319</v>
      </c>
      <c r="D7" t="s">
        <v>2320</v>
      </c>
      <c r="E7" t="s">
        <v>2177</v>
      </c>
      <c r="F7">
        <v>202109</v>
      </c>
      <c r="G7" t="s">
        <v>215</v>
      </c>
      <c r="H7">
        <v>0</v>
      </c>
      <c r="J7" t="s">
        <v>226</v>
      </c>
      <c r="K7">
        <f>YEAR(SAS_RA0_DataFim)*100+MONTH(SAS_RA0_DataFim)</f>
        <v>202206</v>
      </c>
      <c r="O7" t="s">
        <v>2317</v>
      </c>
      <c r="P7" t="s">
        <v>2318</v>
      </c>
      <c r="Q7" t="s">
        <v>2319</v>
      </c>
      <c r="R7" t="s">
        <v>2320</v>
      </c>
      <c r="S7" t="s">
        <v>2177</v>
      </c>
      <c r="T7">
        <v>202109</v>
      </c>
      <c r="U7" t="s">
        <v>219</v>
      </c>
      <c r="V7">
        <v>5483.77</v>
      </c>
      <c r="AB7" t="s">
        <v>2319</v>
      </c>
      <c r="AC7" t="s">
        <v>2320</v>
      </c>
      <c r="AD7" t="s">
        <v>2177</v>
      </c>
      <c r="AE7" t="s">
        <v>223</v>
      </c>
      <c r="AI7">
        <f t="shared" si="0"/>
        <v>0</v>
      </c>
      <c r="AJ7" t="str">
        <f t="shared" si="1"/>
        <v>Nada</v>
      </c>
    </row>
    <row r="8" spans="1:36">
      <c r="A8" t="s">
        <v>2317</v>
      </c>
      <c r="B8" t="s">
        <v>2318</v>
      </c>
      <c r="C8" t="s">
        <v>2319</v>
      </c>
      <c r="D8" t="s">
        <v>2320</v>
      </c>
      <c r="E8" t="s">
        <v>2177</v>
      </c>
      <c r="F8">
        <v>202110</v>
      </c>
      <c r="G8" t="s">
        <v>215</v>
      </c>
      <c r="H8">
        <v>0</v>
      </c>
      <c r="J8" t="s">
        <v>227</v>
      </c>
      <c r="K8" s="660">
        <f>MAX(AI:AI)</f>
        <v>202206</v>
      </c>
      <c r="O8" t="s">
        <v>2317</v>
      </c>
      <c r="P8" t="s">
        <v>2318</v>
      </c>
      <c r="Q8" t="s">
        <v>2319</v>
      </c>
      <c r="R8" t="s">
        <v>2320</v>
      </c>
      <c r="S8" t="s">
        <v>2177</v>
      </c>
      <c r="T8">
        <v>202110</v>
      </c>
      <c r="U8" t="s">
        <v>217</v>
      </c>
      <c r="V8">
        <v>5520</v>
      </c>
      <c r="AB8" t="s">
        <v>2319</v>
      </c>
      <c r="AC8" t="s">
        <v>2320</v>
      </c>
      <c r="AD8" t="s">
        <v>2177</v>
      </c>
      <c r="AE8" t="s">
        <v>225</v>
      </c>
      <c r="AI8">
        <f t="shared" si="0"/>
        <v>0</v>
      </c>
      <c r="AJ8" t="str">
        <f t="shared" si="1"/>
        <v>Nada</v>
      </c>
    </row>
    <row r="9" spans="1:36">
      <c r="A9" t="s">
        <v>2317</v>
      </c>
      <c r="B9" t="s">
        <v>2318</v>
      </c>
      <c r="C9" t="s">
        <v>2319</v>
      </c>
      <c r="D9" t="s">
        <v>2320</v>
      </c>
      <c r="E9" t="s">
        <v>2177</v>
      </c>
      <c r="F9">
        <v>202111</v>
      </c>
      <c r="G9" t="s">
        <v>215</v>
      </c>
      <c r="H9">
        <v>0</v>
      </c>
      <c r="J9" t="s">
        <v>229</v>
      </c>
      <c r="K9" s="660">
        <f>MAX(AJ:AJ)</f>
        <v>1</v>
      </c>
      <c r="O9" t="s">
        <v>2317</v>
      </c>
      <c r="P9" t="s">
        <v>2318</v>
      </c>
      <c r="Q9" t="s">
        <v>2319</v>
      </c>
      <c r="R9" t="s">
        <v>2320</v>
      </c>
      <c r="S9" t="s">
        <v>2177</v>
      </c>
      <c r="T9">
        <v>202110</v>
      </c>
      <c r="U9" t="s">
        <v>219</v>
      </c>
      <c r="V9">
        <v>5280.83</v>
      </c>
      <c r="AB9" t="s">
        <v>2321</v>
      </c>
      <c r="AC9" t="s">
        <v>2322</v>
      </c>
      <c r="AD9" t="s">
        <v>2177</v>
      </c>
      <c r="AE9" t="s">
        <v>221</v>
      </c>
    </row>
    <row r="10" spans="1:36">
      <c r="A10" t="s">
        <v>2317</v>
      </c>
      <c r="B10" t="s">
        <v>2318</v>
      </c>
      <c r="C10" t="s">
        <v>2319</v>
      </c>
      <c r="D10" t="s">
        <v>2320</v>
      </c>
      <c r="E10" t="s">
        <v>2177</v>
      </c>
      <c r="F10">
        <v>202112</v>
      </c>
      <c r="G10" t="s">
        <v>215</v>
      </c>
      <c r="H10">
        <v>0</v>
      </c>
      <c r="O10" t="s">
        <v>2317</v>
      </c>
      <c r="P10" t="s">
        <v>2318</v>
      </c>
      <c r="Q10" t="s">
        <v>2319</v>
      </c>
      <c r="R10" t="s">
        <v>2320</v>
      </c>
      <c r="S10" t="s">
        <v>2177</v>
      </c>
      <c r="T10">
        <v>202111</v>
      </c>
      <c r="U10" t="s">
        <v>217</v>
      </c>
      <c r="V10">
        <v>5520</v>
      </c>
      <c r="AB10" t="s">
        <v>2321</v>
      </c>
      <c r="AC10" t="s">
        <v>2322</v>
      </c>
      <c r="AD10" t="s">
        <v>2177</v>
      </c>
      <c r="AE10" t="s">
        <v>223</v>
      </c>
    </row>
    <row r="11" spans="1:36">
      <c r="A11" t="s">
        <v>2317</v>
      </c>
      <c r="B11" t="s">
        <v>2318</v>
      </c>
      <c r="C11" t="s">
        <v>2319</v>
      </c>
      <c r="D11" t="s">
        <v>2320</v>
      </c>
      <c r="E11" t="s">
        <v>2177</v>
      </c>
      <c r="F11">
        <v>202201</v>
      </c>
      <c r="G11" t="s">
        <v>215</v>
      </c>
      <c r="H11">
        <v>0</v>
      </c>
      <c r="J11" s="818">
        <f>VALUE(A2)</f>
        <v>3223</v>
      </c>
      <c r="O11" t="s">
        <v>2317</v>
      </c>
      <c r="P11" t="s">
        <v>2318</v>
      </c>
      <c r="Q11" t="s">
        <v>2319</v>
      </c>
      <c r="R11" t="s">
        <v>2320</v>
      </c>
      <c r="S11" t="s">
        <v>2177</v>
      </c>
      <c r="T11">
        <v>202111</v>
      </c>
      <c r="U11" t="s">
        <v>219</v>
      </c>
      <c r="V11">
        <v>5331.91</v>
      </c>
      <c r="AB11" t="s">
        <v>2321</v>
      </c>
      <c r="AC11" t="s">
        <v>2322</v>
      </c>
      <c r="AD11" t="s">
        <v>2177</v>
      </c>
      <c r="AE11" t="s">
        <v>225</v>
      </c>
    </row>
    <row r="12" spans="1:36">
      <c r="A12" t="s">
        <v>2317</v>
      </c>
      <c r="B12" t="s">
        <v>2318</v>
      </c>
      <c r="C12" t="s">
        <v>2319</v>
      </c>
      <c r="D12" t="s">
        <v>2320</v>
      </c>
      <c r="E12" t="s">
        <v>2177</v>
      </c>
      <c r="F12">
        <v>202202</v>
      </c>
      <c r="G12" t="s">
        <v>215</v>
      </c>
      <c r="H12">
        <v>0</v>
      </c>
      <c r="K12" s="8"/>
      <c r="O12" t="s">
        <v>2317</v>
      </c>
      <c r="P12" t="s">
        <v>2318</v>
      </c>
      <c r="Q12" t="s">
        <v>2319</v>
      </c>
      <c r="R12" t="s">
        <v>2320</v>
      </c>
      <c r="S12" t="s">
        <v>2177</v>
      </c>
      <c r="T12">
        <v>202112</v>
      </c>
      <c r="U12" t="s">
        <v>217</v>
      </c>
      <c r="V12">
        <v>5520</v>
      </c>
    </row>
    <row r="13" spans="1:36">
      <c r="A13" t="s">
        <v>2317</v>
      </c>
      <c r="B13" t="s">
        <v>2318</v>
      </c>
      <c r="C13" t="s">
        <v>2319</v>
      </c>
      <c r="D13" t="s">
        <v>2320</v>
      </c>
      <c r="E13" t="s">
        <v>2177</v>
      </c>
      <c r="F13">
        <v>202203</v>
      </c>
      <c r="G13" t="s">
        <v>215</v>
      </c>
      <c r="H13">
        <v>0</v>
      </c>
      <c r="O13" t="s">
        <v>2317</v>
      </c>
      <c r="P13" t="s">
        <v>2318</v>
      </c>
      <c r="Q13" t="s">
        <v>2319</v>
      </c>
      <c r="R13" t="s">
        <v>2320</v>
      </c>
      <c r="S13" t="s">
        <v>2177</v>
      </c>
      <c r="T13">
        <v>202112</v>
      </c>
      <c r="U13" t="s">
        <v>219</v>
      </c>
      <c r="V13">
        <v>5353.4</v>
      </c>
    </row>
    <row r="14" spans="1:36">
      <c r="A14" t="s">
        <v>2317</v>
      </c>
      <c r="B14" t="s">
        <v>2318</v>
      </c>
      <c r="C14" t="s">
        <v>2319</v>
      </c>
      <c r="D14" t="s">
        <v>2320</v>
      </c>
      <c r="E14" t="s">
        <v>2177</v>
      </c>
      <c r="F14">
        <v>202204</v>
      </c>
      <c r="G14" t="s">
        <v>215</v>
      </c>
      <c r="H14">
        <v>0</v>
      </c>
      <c r="O14" t="s">
        <v>2317</v>
      </c>
      <c r="P14" t="s">
        <v>2318</v>
      </c>
      <c r="Q14" t="s">
        <v>2319</v>
      </c>
      <c r="R14" t="s">
        <v>2320</v>
      </c>
      <c r="S14" t="s">
        <v>2177</v>
      </c>
      <c r="T14">
        <v>202201</v>
      </c>
      <c r="U14" t="s">
        <v>217</v>
      </c>
      <c r="V14">
        <v>5604.82</v>
      </c>
    </row>
    <row r="15" spans="1:36">
      <c r="A15" t="s">
        <v>2317</v>
      </c>
      <c r="B15" t="s">
        <v>2318</v>
      </c>
      <c r="C15" t="s">
        <v>2319</v>
      </c>
      <c r="D15" t="s">
        <v>2320</v>
      </c>
      <c r="E15" t="s">
        <v>2177</v>
      </c>
      <c r="F15">
        <v>202205</v>
      </c>
      <c r="G15" t="s">
        <v>215</v>
      </c>
      <c r="H15">
        <v>-10384.02</v>
      </c>
      <c r="O15" t="s">
        <v>2317</v>
      </c>
      <c r="P15" t="s">
        <v>2318</v>
      </c>
      <c r="Q15" t="s">
        <v>2319</v>
      </c>
      <c r="R15" t="s">
        <v>2320</v>
      </c>
      <c r="S15" t="s">
        <v>2177</v>
      </c>
      <c r="T15">
        <v>202201</v>
      </c>
      <c r="U15" t="s">
        <v>219</v>
      </c>
      <c r="V15">
        <v>5373.73</v>
      </c>
    </row>
    <row r="16" spans="1:36">
      <c r="A16" t="s">
        <v>2317</v>
      </c>
      <c r="B16" t="s">
        <v>2318</v>
      </c>
      <c r="C16" t="s">
        <v>2321</v>
      </c>
      <c r="D16" t="s">
        <v>2322</v>
      </c>
      <c r="E16" t="s">
        <v>2177</v>
      </c>
      <c r="F16">
        <v>202104</v>
      </c>
      <c r="G16" t="s">
        <v>215</v>
      </c>
      <c r="H16">
        <v>0</v>
      </c>
      <c r="O16" t="s">
        <v>2317</v>
      </c>
      <c r="P16" t="s">
        <v>2318</v>
      </c>
      <c r="Q16" t="s">
        <v>2319</v>
      </c>
      <c r="R16" t="s">
        <v>2320</v>
      </c>
      <c r="S16" t="s">
        <v>2177</v>
      </c>
      <c r="T16">
        <v>202202</v>
      </c>
      <c r="U16" t="s">
        <v>217</v>
      </c>
      <c r="V16">
        <v>5520</v>
      </c>
    </row>
    <row r="17" spans="1:22">
      <c r="A17" t="s">
        <v>2317</v>
      </c>
      <c r="B17" t="s">
        <v>2318</v>
      </c>
      <c r="C17" t="s">
        <v>2321</v>
      </c>
      <c r="D17" t="s">
        <v>2322</v>
      </c>
      <c r="E17" t="s">
        <v>2177</v>
      </c>
      <c r="F17">
        <v>202105</v>
      </c>
      <c r="G17" t="s">
        <v>215</v>
      </c>
      <c r="H17">
        <v>0</v>
      </c>
      <c r="O17" t="s">
        <v>2317</v>
      </c>
      <c r="P17" t="s">
        <v>2318</v>
      </c>
      <c r="Q17" t="s">
        <v>2319</v>
      </c>
      <c r="R17" t="s">
        <v>2320</v>
      </c>
      <c r="S17" t="s">
        <v>2177</v>
      </c>
      <c r="T17">
        <v>202202</v>
      </c>
      <c r="U17" t="s">
        <v>219</v>
      </c>
      <c r="V17">
        <v>5200</v>
      </c>
    </row>
    <row r="18" spans="1:22">
      <c r="A18" t="s">
        <v>2317</v>
      </c>
      <c r="B18" t="s">
        <v>2318</v>
      </c>
      <c r="C18" t="s">
        <v>2321</v>
      </c>
      <c r="D18" t="s">
        <v>2322</v>
      </c>
      <c r="E18" t="s">
        <v>2177</v>
      </c>
      <c r="F18">
        <v>202106</v>
      </c>
      <c r="G18" t="s">
        <v>215</v>
      </c>
      <c r="H18">
        <v>-4155.32</v>
      </c>
      <c r="O18" t="s">
        <v>2317</v>
      </c>
      <c r="P18" t="s">
        <v>2318</v>
      </c>
      <c r="Q18" t="s">
        <v>2319</v>
      </c>
      <c r="R18" t="s">
        <v>2320</v>
      </c>
      <c r="S18" t="s">
        <v>2177</v>
      </c>
      <c r="T18">
        <v>202203</v>
      </c>
      <c r="U18" t="s">
        <v>217</v>
      </c>
      <c r="V18">
        <v>5520</v>
      </c>
    </row>
    <row r="19" spans="1:22">
      <c r="A19" t="s">
        <v>2317</v>
      </c>
      <c r="B19" t="s">
        <v>2318</v>
      </c>
      <c r="C19" t="s">
        <v>2321</v>
      </c>
      <c r="D19" t="s">
        <v>2322</v>
      </c>
      <c r="E19" t="s">
        <v>2177</v>
      </c>
      <c r="F19">
        <v>202107</v>
      </c>
      <c r="G19" t="s">
        <v>215</v>
      </c>
      <c r="H19">
        <v>-81916.289999999994</v>
      </c>
      <c r="O19" t="s">
        <v>2317</v>
      </c>
      <c r="P19" t="s">
        <v>2318</v>
      </c>
      <c r="Q19" t="s">
        <v>2319</v>
      </c>
      <c r="R19" t="s">
        <v>2320</v>
      </c>
      <c r="S19" t="s">
        <v>2177</v>
      </c>
      <c r="T19">
        <v>202203</v>
      </c>
      <c r="U19" t="s">
        <v>219</v>
      </c>
      <c r="V19">
        <v>5200</v>
      </c>
    </row>
    <row r="20" spans="1:22">
      <c r="A20" t="s">
        <v>2317</v>
      </c>
      <c r="B20" t="s">
        <v>2318</v>
      </c>
      <c r="C20" t="s">
        <v>2321</v>
      </c>
      <c r="D20" t="s">
        <v>2322</v>
      </c>
      <c r="E20" t="s">
        <v>2177</v>
      </c>
      <c r="F20">
        <v>202108</v>
      </c>
      <c r="G20" t="s">
        <v>215</v>
      </c>
      <c r="H20">
        <v>0</v>
      </c>
      <c r="O20" t="s">
        <v>2317</v>
      </c>
      <c r="P20" t="s">
        <v>2318</v>
      </c>
      <c r="Q20" t="s">
        <v>2319</v>
      </c>
      <c r="R20" t="s">
        <v>2320</v>
      </c>
      <c r="S20" t="s">
        <v>2177</v>
      </c>
      <c r="T20">
        <v>202204</v>
      </c>
      <c r="U20" t="s">
        <v>217</v>
      </c>
      <c r="V20">
        <v>5520</v>
      </c>
    </row>
    <row r="21" spans="1:22">
      <c r="A21" t="s">
        <v>2317</v>
      </c>
      <c r="B21" t="s">
        <v>2318</v>
      </c>
      <c r="C21" t="s">
        <v>2321</v>
      </c>
      <c r="D21" t="s">
        <v>2322</v>
      </c>
      <c r="E21" t="s">
        <v>2177</v>
      </c>
      <c r="F21">
        <v>202109</v>
      </c>
      <c r="G21" t="s">
        <v>215</v>
      </c>
      <c r="H21">
        <v>0</v>
      </c>
      <c r="O21" t="s">
        <v>2317</v>
      </c>
      <c r="P21" t="s">
        <v>2318</v>
      </c>
      <c r="Q21" t="s">
        <v>2319</v>
      </c>
      <c r="R21" t="s">
        <v>2320</v>
      </c>
      <c r="S21" t="s">
        <v>2177</v>
      </c>
      <c r="T21">
        <v>202204</v>
      </c>
      <c r="U21" t="s">
        <v>219</v>
      </c>
      <c r="V21">
        <v>5200</v>
      </c>
    </row>
    <row r="22" spans="1:22">
      <c r="A22" t="s">
        <v>2317</v>
      </c>
      <c r="B22" t="s">
        <v>2318</v>
      </c>
      <c r="C22" t="s">
        <v>2321</v>
      </c>
      <c r="D22" t="s">
        <v>2322</v>
      </c>
      <c r="E22" t="s">
        <v>2177</v>
      </c>
      <c r="F22">
        <v>202110</v>
      </c>
      <c r="G22" t="s">
        <v>215</v>
      </c>
      <c r="H22">
        <v>0</v>
      </c>
      <c r="O22" t="s">
        <v>2317</v>
      </c>
      <c r="P22" t="s">
        <v>2318</v>
      </c>
      <c r="Q22" t="s">
        <v>2319</v>
      </c>
      <c r="R22" t="s">
        <v>2320</v>
      </c>
      <c r="S22" t="s">
        <v>2177</v>
      </c>
      <c r="T22">
        <v>202205</v>
      </c>
      <c r="U22" t="s">
        <v>217</v>
      </c>
      <c r="V22">
        <v>5520</v>
      </c>
    </row>
    <row r="23" spans="1:22">
      <c r="A23" t="s">
        <v>2317</v>
      </c>
      <c r="B23" t="s">
        <v>2318</v>
      </c>
      <c r="C23" t="s">
        <v>2321</v>
      </c>
      <c r="D23" t="s">
        <v>2322</v>
      </c>
      <c r="E23" t="s">
        <v>2177</v>
      </c>
      <c r="F23">
        <v>202111</v>
      </c>
      <c r="G23" t="s">
        <v>215</v>
      </c>
      <c r="H23">
        <v>-22161.13</v>
      </c>
      <c r="O23" t="s">
        <v>2317</v>
      </c>
      <c r="P23" t="s">
        <v>2318</v>
      </c>
      <c r="Q23" t="s">
        <v>2319</v>
      </c>
      <c r="R23" t="s">
        <v>2320</v>
      </c>
      <c r="S23" t="s">
        <v>2177</v>
      </c>
      <c r="T23">
        <v>202205</v>
      </c>
      <c r="U23" t="s">
        <v>219</v>
      </c>
      <c r="V23">
        <v>5200</v>
      </c>
    </row>
    <row r="24" spans="1:22">
      <c r="A24" t="s">
        <v>2317</v>
      </c>
      <c r="B24" t="s">
        <v>2318</v>
      </c>
      <c r="C24" t="s">
        <v>2321</v>
      </c>
      <c r="D24" t="s">
        <v>2322</v>
      </c>
      <c r="E24" t="s">
        <v>2177</v>
      </c>
      <c r="F24">
        <v>202112</v>
      </c>
      <c r="G24" t="s">
        <v>215</v>
      </c>
      <c r="H24">
        <v>0</v>
      </c>
      <c r="O24" t="s">
        <v>2317</v>
      </c>
      <c r="P24" t="s">
        <v>2318</v>
      </c>
      <c r="Q24" t="s">
        <v>2321</v>
      </c>
      <c r="R24" t="s">
        <v>2322</v>
      </c>
      <c r="S24" t="s">
        <v>2177</v>
      </c>
      <c r="T24">
        <v>202107</v>
      </c>
      <c r="U24" t="s">
        <v>217</v>
      </c>
      <c r="V24">
        <v>2150</v>
      </c>
    </row>
    <row r="25" spans="1:22">
      <c r="A25" t="s">
        <v>2317</v>
      </c>
      <c r="B25" t="s">
        <v>2318</v>
      </c>
      <c r="C25" t="s">
        <v>2321</v>
      </c>
      <c r="D25" t="s">
        <v>2322</v>
      </c>
      <c r="E25" t="s">
        <v>2177</v>
      </c>
      <c r="F25">
        <v>202201</v>
      </c>
      <c r="G25" t="s">
        <v>215</v>
      </c>
      <c r="H25">
        <v>-23575.19</v>
      </c>
      <c r="O25" t="s">
        <v>2317</v>
      </c>
      <c r="P25" t="s">
        <v>2318</v>
      </c>
      <c r="Q25" t="s">
        <v>2321</v>
      </c>
      <c r="R25" t="s">
        <v>2322</v>
      </c>
      <c r="S25" t="s">
        <v>2177</v>
      </c>
      <c r="T25">
        <v>202107</v>
      </c>
      <c r="U25" t="s">
        <v>219</v>
      </c>
      <c r="V25">
        <v>2200</v>
      </c>
    </row>
    <row r="26" spans="1:22">
      <c r="A26" t="s">
        <v>2317</v>
      </c>
      <c r="B26" t="s">
        <v>2318</v>
      </c>
      <c r="C26" t="s">
        <v>2321</v>
      </c>
      <c r="D26" t="s">
        <v>2322</v>
      </c>
      <c r="E26" t="s">
        <v>2177</v>
      </c>
      <c r="F26">
        <v>202202</v>
      </c>
      <c r="G26" t="s">
        <v>215</v>
      </c>
      <c r="H26">
        <v>-67698.44</v>
      </c>
      <c r="O26" t="s">
        <v>2317</v>
      </c>
      <c r="P26" t="s">
        <v>2318</v>
      </c>
      <c r="Q26" t="s">
        <v>2321</v>
      </c>
      <c r="R26" t="s">
        <v>2322</v>
      </c>
      <c r="S26" t="s">
        <v>2177</v>
      </c>
      <c r="T26">
        <v>202108</v>
      </c>
      <c r="U26" t="s">
        <v>217</v>
      </c>
      <c r="V26">
        <v>2150</v>
      </c>
    </row>
    <row r="27" spans="1:22">
      <c r="A27" t="s">
        <v>2317</v>
      </c>
      <c r="B27" t="s">
        <v>2318</v>
      </c>
      <c r="C27" t="s">
        <v>2321</v>
      </c>
      <c r="D27" t="s">
        <v>2322</v>
      </c>
      <c r="E27" t="s">
        <v>2177</v>
      </c>
      <c r="F27">
        <v>202203</v>
      </c>
      <c r="G27" t="s">
        <v>215</v>
      </c>
      <c r="H27">
        <v>0</v>
      </c>
      <c r="O27" t="s">
        <v>2317</v>
      </c>
      <c r="P27" t="s">
        <v>2318</v>
      </c>
      <c r="Q27" t="s">
        <v>2321</v>
      </c>
      <c r="R27" t="s">
        <v>2322</v>
      </c>
      <c r="S27" t="s">
        <v>2177</v>
      </c>
      <c r="T27">
        <v>202108</v>
      </c>
      <c r="U27" t="s">
        <v>219</v>
      </c>
      <c r="V27">
        <v>2200</v>
      </c>
    </row>
    <row r="28" spans="1:22">
      <c r="A28" t="s">
        <v>2317</v>
      </c>
      <c r="B28" t="s">
        <v>2318</v>
      </c>
      <c r="C28" t="s">
        <v>2321</v>
      </c>
      <c r="D28" t="s">
        <v>2322</v>
      </c>
      <c r="E28" t="s">
        <v>2177</v>
      </c>
      <c r="F28">
        <v>202204</v>
      </c>
      <c r="G28" t="s">
        <v>215</v>
      </c>
      <c r="H28">
        <v>-5027.68</v>
      </c>
      <c r="O28" t="s">
        <v>2317</v>
      </c>
      <c r="P28" t="s">
        <v>2318</v>
      </c>
      <c r="Q28" t="s">
        <v>2321</v>
      </c>
      <c r="R28" t="s">
        <v>2322</v>
      </c>
      <c r="S28" t="s">
        <v>2177</v>
      </c>
      <c r="T28">
        <v>202109</v>
      </c>
      <c r="U28" t="s">
        <v>217</v>
      </c>
      <c r="V28">
        <v>2150</v>
      </c>
    </row>
    <row r="29" spans="1:22">
      <c r="A29" t="s">
        <v>2317</v>
      </c>
      <c r="B29" t="s">
        <v>2318</v>
      </c>
      <c r="C29" t="s">
        <v>2321</v>
      </c>
      <c r="D29" t="s">
        <v>2322</v>
      </c>
      <c r="E29" t="s">
        <v>2177</v>
      </c>
      <c r="F29">
        <v>202205</v>
      </c>
      <c r="G29" t="s">
        <v>215</v>
      </c>
      <c r="H29">
        <v>-5182.08</v>
      </c>
      <c r="O29" t="s">
        <v>2317</v>
      </c>
      <c r="P29" t="s">
        <v>2318</v>
      </c>
      <c r="Q29" t="s">
        <v>2321</v>
      </c>
      <c r="R29" t="s">
        <v>2322</v>
      </c>
      <c r="S29" t="s">
        <v>2177</v>
      </c>
      <c r="T29">
        <v>202109</v>
      </c>
      <c r="U29" t="s">
        <v>219</v>
      </c>
      <c r="V29">
        <v>2200</v>
      </c>
    </row>
    <row r="30" spans="1:22">
      <c r="A30" t="s">
        <v>2317</v>
      </c>
      <c r="B30" t="s">
        <v>2318</v>
      </c>
      <c r="C30" t="s">
        <v>2321</v>
      </c>
      <c r="D30" t="s">
        <v>2322</v>
      </c>
      <c r="E30" t="s">
        <v>2177</v>
      </c>
      <c r="F30">
        <v>202206</v>
      </c>
      <c r="G30" t="s">
        <v>215</v>
      </c>
      <c r="H30">
        <v>0</v>
      </c>
      <c r="O30" t="s">
        <v>2317</v>
      </c>
      <c r="P30" t="s">
        <v>2318</v>
      </c>
      <c r="Q30" t="s">
        <v>2321</v>
      </c>
      <c r="R30" t="s">
        <v>2322</v>
      </c>
      <c r="S30" t="s">
        <v>2177</v>
      </c>
      <c r="T30">
        <v>202110</v>
      </c>
      <c r="U30" t="s">
        <v>217</v>
      </c>
      <c r="V30">
        <v>2150</v>
      </c>
    </row>
    <row r="31" spans="1:22">
      <c r="A31" t="s">
        <v>2317</v>
      </c>
      <c r="B31" t="s">
        <v>2318</v>
      </c>
      <c r="C31" t="s">
        <v>2319</v>
      </c>
      <c r="D31" t="s">
        <v>2320</v>
      </c>
      <c r="E31" t="s">
        <v>2177</v>
      </c>
      <c r="F31">
        <v>202104</v>
      </c>
      <c r="G31" t="s">
        <v>228</v>
      </c>
      <c r="H31">
        <v>15096.97</v>
      </c>
      <c r="O31" t="s">
        <v>2317</v>
      </c>
      <c r="P31" t="s">
        <v>2318</v>
      </c>
      <c r="Q31" t="s">
        <v>2321</v>
      </c>
      <c r="R31" t="s">
        <v>2322</v>
      </c>
      <c r="S31" t="s">
        <v>2177</v>
      </c>
      <c r="T31">
        <v>202110</v>
      </c>
      <c r="U31" t="s">
        <v>219</v>
      </c>
      <c r="V31">
        <v>2200</v>
      </c>
    </row>
    <row r="32" spans="1:22">
      <c r="A32" t="s">
        <v>2317</v>
      </c>
      <c r="B32" t="s">
        <v>2318</v>
      </c>
      <c r="C32" t="s">
        <v>2319</v>
      </c>
      <c r="D32" t="s">
        <v>2320</v>
      </c>
      <c r="E32" t="s">
        <v>2177</v>
      </c>
      <c r="F32">
        <v>202105</v>
      </c>
      <c r="G32" t="s">
        <v>228</v>
      </c>
      <c r="H32">
        <v>18143.02</v>
      </c>
      <c r="O32" t="s">
        <v>2317</v>
      </c>
      <c r="P32" t="s">
        <v>2318</v>
      </c>
      <c r="Q32" t="s">
        <v>2321</v>
      </c>
      <c r="R32" t="s">
        <v>2322</v>
      </c>
      <c r="S32" t="s">
        <v>2177</v>
      </c>
      <c r="T32">
        <v>202111</v>
      </c>
      <c r="U32" t="s">
        <v>217</v>
      </c>
      <c r="V32">
        <v>2150</v>
      </c>
    </row>
    <row r="33" spans="1:22">
      <c r="A33" t="s">
        <v>2317</v>
      </c>
      <c r="B33" t="s">
        <v>2318</v>
      </c>
      <c r="C33" t="s">
        <v>2319</v>
      </c>
      <c r="D33" t="s">
        <v>2320</v>
      </c>
      <c r="E33" t="s">
        <v>2177</v>
      </c>
      <c r="F33">
        <v>202106</v>
      </c>
      <c r="G33" t="s">
        <v>228</v>
      </c>
      <c r="H33">
        <v>18408.919999999998</v>
      </c>
      <c r="O33" t="s">
        <v>2317</v>
      </c>
      <c r="P33" t="s">
        <v>2318</v>
      </c>
      <c r="Q33" t="s">
        <v>2321</v>
      </c>
      <c r="R33" t="s">
        <v>2322</v>
      </c>
      <c r="S33" t="s">
        <v>2177</v>
      </c>
      <c r="T33">
        <v>202111</v>
      </c>
      <c r="U33" t="s">
        <v>219</v>
      </c>
      <c r="V33">
        <v>2200</v>
      </c>
    </row>
    <row r="34" spans="1:22">
      <c r="A34" t="s">
        <v>2317</v>
      </c>
      <c r="B34" t="s">
        <v>2318</v>
      </c>
      <c r="C34" t="s">
        <v>2319</v>
      </c>
      <c r="D34" t="s">
        <v>2320</v>
      </c>
      <c r="E34" t="s">
        <v>2177</v>
      </c>
      <c r="F34">
        <v>202107</v>
      </c>
      <c r="G34" t="s">
        <v>228</v>
      </c>
      <c r="H34">
        <v>21096.35</v>
      </c>
      <c r="O34" t="s">
        <v>2317</v>
      </c>
      <c r="P34" t="s">
        <v>2318</v>
      </c>
      <c r="Q34" t="s">
        <v>2321</v>
      </c>
      <c r="R34" t="s">
        <v>2322</v>
      </c>
      <c r="S34" t="s">
        <v>2177</v>
      </c>
      <c r="T34">
        <v>202112</v>
      </c>
      <c r="U34" t="s">
        <v>217</v>
      </c>
      <c r="V34">
        <v>2150</v>
      </c>
    </row>
    <row r="35" spans="1:22">
      <c r="A35" t="s">
        <v>2317</v>
      </c>
      <c r="B35" t="s">
        <v>2318</v>
      </c>
      <c r="C35" t="s">
        <v>2319</v>
      </c>
      <c r="D35" t="s">
        <v>2320</v>
      </c>
      <c r="E35" t="s">
        <v>2177</v>
      </c>
      <c r="F35">
        <v>202108</v>
      </c>
      <c r="G35" t="s">
        <v>228</v>
      </c>
      <c r="H35">
        <v>23744.3</v>
      </c>
      <c r="O35" t="s">
        <v>2317</v>
      </c>
      <c r="P35" t="s">
        <v>2318</v>
      </c>
      <c r="Q35" t="s">
        <v>2321</v>
      </c>
      <c r="R35" t="s">
        <v>2322</v>
      </c>
      <c r="S35" t="s">
        <v>2177</v>
      </c>
      <c r="T35">
        <v>202112</v>
      </c>
      <c r="U35" t="s">
        <v>219</v>
      </c>
      <c r="V35">
        <v>2200</v>
      </c>
    </row>
    <row r="36" spans="1:22">
      <c r="A36" t="s">
        <v>2317</v>
      </c>
      <c r="B36" t="s">
        <v>2318</v>
      </c>
      <c r="C36" t="s">
        <v>2319</v>
      </c>
      <c r="D36" t="s">
        <v>2320</v>
      </c>
      <c r="E36" t="s">
        <v>2177</v>
      </c>
      <c r="F36">
        <v>202109</v>
      </c>
      <c r="G36" t="s">
        <v>228</v>
      </c>
      <c r="H36">
        <v>25443.9</v>
      </c>
      <c r="O36" t="s">
        <v>2317</v>
      </c>
      <c r="P36" t="s">
        <v>2318</v>
      </c>
      <c r="Q36" t="s">
        <v>2321</v>
      </c>
      <c r="R36" t="s">
        <v>2322</v>
      </c>
      <c r="S36" t="s">
        <v>2177</v>
      </c>
      <c r="T36">
        <v>202201</v>
      </c>
      <c r="U36" t="s">
        <v>217</v>
      </c>
      <c r="V36">
        <v>2150</v>
      </c>
    </row>
    <row r="37" spans="1:22">
      <c r="A37" t="s">
        <v>2317</v>
      </c>
      <c r="B37" t="s">
        <v>2318</v>
      </c>
      <c r="C37" t="s">
        <v>2319</v>
      </c>
      <c r="D37" t="s">
        <v>2320</v>
      </c>
      <c r="E37" t="s">
        <v>2177</v>
      </c>
      <c r="F37">
        <v>202110</v>
      </c>
      <c r="G37" t="s">
        <v>228</v>
      </c>
      <c r="H37">
        <v>22564.7</v>
      </c>
      <c r="O37" t="s">
        <v>2317</v>
      </c>
      <c r="P37" t="s">
        <v>2318</v>
      </c>
      <c r="Q37" t="s">
        <v>2321</v>
      </c>
      <c r="R37" t="s">
        <v>2322</v>
      </c>
      <c r="S37" t="s">
        <v>2177</v>
      </c>
      <c r="T37">
        <v>202201</v>
      </c>
      <c r="U37" t="s">
        <v>219</v>
      </c>
      <c r="V37">
        <v>2200</v>
      </c>
    </row>
    <row r="38" spans="1:22">
      <c r="A38" t="s">
        <v>2317</v>
      </c>
      <c r="B38" t="s">
        <v>2318</v>
      </c>
      <c r="C38" t="s">
        <v>2319</v>
      </c>
      <c r="D38" t="s">
        <v>2320</v>
      </c>
      <c r="E38" t="s">
        <v>2177</v>
      </c>
      <c r="F38">
        <v>202111</v>
      </c>
      <c r="G38" t="s">
        <v>228</v>
      </c>
      <c r="H38">
        <v>19176.82</v>
      </c>
      <c r="O38" t="s">
        <v>2317</v>
      </c>
      <c r="P38" t="s">
        <v>2318</v>
      </c>
      <c r="Q38" t="s">
        <v>2321</v>
      </c>
      <c r="R38" t="s">
        <v>2322</v>
      </c>
      <c r="S38" t="s">
        <v>2177</v>
      </c>
      <c r="T38">
        <v>202202</v>
      </c>
      <c r="U38" t="s">
        <v>217</v>
      </c>
      <c r="V38">
        <v>2483.4699999999998</v>
      </c>
    </row>
    <row r="39" spans="1:22">
      <c r="A39" t="s">
        <v>2317</v>
      </c>
      <c r="B39" t="s">
        <v>2318</v>
      </c>
      <c r="C39" t="s">
        <v>2319</v>
      </c>
      <c r="D39" t="s">
        <v>2320</v>
      </c>
      <c r="E39" t="s">
        <v>2177</v>
      </c>
      <c r="F39">
        <v>202112</v>
      </c>
      <c r="G39" t="s">
        <v>228</v>
      </c>
      <c r="H39">
        <v>10248.44</v>
      </c>
      <c r="O39" t="s">
        <v>2317</v>
      </c>
      <c r="P39" t="s">
        <v>2318</v>
      </c>
      <c r="Q39" t="s">
        <v>2321</v>
      </c>
      <c r="R39" t="s">
        <v>2322</v>
      </c>
      <c r="S39" t="s">
        <v>2177</v>
      </c>
      <c r="T39">
        <v>202202</v>
      </c>
      <c r="U39" t="s">
        <v>219</v>
      </c>
      <c r="V39">
        <v>2426.2199999999998</v>
      </c>
    </row>
    <row r="40" spans="1:22">
      <c r="A40" t="s">
        <v>2317</v>
      </c>
      <c r="B40" t="s">
        <v>2318</v>
      </c>
      <c r="C40" t="s">
        <v>2319</v>
      </c>
      <c r="D40" t="s">
        <v>2320</v>
      </c>
      <c r="E40" t="s">
        <v>2177</v>
      </c>
      <c r="F40">
        <v>202201</v>
      </c>
      <c r="G40" t="s">
        <v>228</v>
      </c>
      <c r="H40">
        <v>1034.01</v>
      </c>
      <c r="O40" t="s">
        <v>2317</v>
      </c>
      <c r="P40" t="s">
        <v>2318</v>
      </c>
      <c r="Q40" t="s">
        <v>2321</v>
      </c>
      <c r="R40" t="s">
        <v>2322</v>
      </c>
      <c r="S40" t="s">
        <v>2177</v>
      </c>
      <c r="T40">
        <v>202203</v>
      </c>
      <c r="U40" t="s">
        <v>217</v>
      </c>
      <c r="V40">
        <v>2237.09</v>
      </c>
    </row>
    <row r="41" spans="1:22">
      <c r="A41" t="s">
        <v>2317</v>
      </c>
      <c r="B41" t="s">
        <v>2318</v>
      </c>
      <c r="C41" t="s">
        <v>2319</v>
      </c>
      <c r="D41" t="s">
        <v>2320</v>
      </c>
      <c r="E41" t="s">
        <v>2177</v>
      </c>
      <c r="F41">
        <v>202202</v>
      </c>
      <c r="G41" t="s">
        <v>228</v>
      </c>
      <c r="H41">
        <v>5510.04</v>
      </c>
      <c r="O41" t="s">
        <v>2317</v>
      </c>
      <c r="P41" t="s">
        <v>2318</v>
      </c>
      <c r="Q41" t="s">
        <v>2321</v>
      </c>
      <c r="R41" t="s">
        <v>2322</v>
      </c>
      <c r="S41" t="s">
        <v>2177</v>
      </c>
      <c r="T41">
        <v>202203</v>
      </c>
      <c r="U41" t="s">
        <v>219</v>
      </c>
      <c r="V41">
        <v>2391.5500000000002</v>
      </c>
    </row>
    <row r="42" spans="1:22">
      <c r="A42" t="s">
        <v>2317</v>
      </c>
      <c r="B42" t="s">
        <v>2318</v>
      </c>
      <c r="C42" t="s">
        <v>2319</v>
      </c>
      <c r="D42" t="s">
        <v>2320</v>
      </c>
      <c r="E42" t="s">
        <v>2177</v>
      </c>
      <c r="F42">
        <v>202203</v>
      </c>
      <c r="G42" t="s">
        <v>228</v>
      </c>
      <c r="H42">
        <v>22729.33</v>
      </c>
      <c r="O42" t="s">
        <v>2317</v>
      </c>
      <c r="P42" t="s">
        <v>2318</v>
      </c>
      <c r="Q42" t="s">
        <v>2321</v>
      </c>
      <c r="R42" t="s">
        <v>2322</v>
      </c>
      <c r="S42" t="s">
        <v>2177</v>
      </c>
      <c r="T42">
        <v>202204</v>
      </c>
      <c r="U42" t="s">
        <v>217</v>
      </c>
      <c r="V42">
        <v>2150</v>
      </c>
    </row>
    <row r="43" spans="1:22">
      <c r="A43" t="s">
        <v>2317</v>
      </c>
      <c r="B43" t="s">
        <v>2318</v>
      </c>
      <c r="C43" t="s">
        <v>2319</v>
      </c>
      <c r="D43" t="s">
        <v>2320</v>
      </c>
      <c r="E43" t="s">
        <v>2177</v>
      </c>
      <c r="F43">
        <v>202204</v>
      </c>
      <c r="G43" t="s">
        <v>228</v>
      </c>
      <c r="H43">
        <v>19852.97</v>
      </c>
      <c r="O43" t="s">
        <v>2317</v>
      </c>
      <c r="P43" t="s">
        <v>2318</v>
      </c>
      <c r="Q43" t="s">
        <v>2321</v>
      </c>
      <c r="R43" t="s">
        <v>2322</v>
      </c>
      <c r="S43" t="s">
        <v>2177</v>
      </c>
      <c r="T43">
        <v>202204</v>
      </c>
      <c r="U43" t="s">
        <v>219</v>
      </c>
      <c r="V43">
        <v>2200</v>
      </c>
    </row>
    <row r="44" spans="1:22">
      <c r="A44" t="s">
        <v>2317</v>
      </c>
      <c r="B44" t="s">
        <v>2318</v>
      </c>
      <c r="C44" t="s">
        <v>2319</v>
      </c>
      <c r="D44" t="s">
        <v>2320</v>
      </c>
      <c r="E44" t="s">
        <v>2177</v>
      </c>
      <c r="F44">
        <v>202205</v>
      </c>
      <c r="G44" t="s">
        <v>228</v>
      </c>
      <c r="H44">
        <v>13561.64</v>
      </c>
      <c r="O44" t="s">
        <v>2317</v>
      </c>
      <c r="P44" t="s">
        <v>2318</v>
      </c>
      <c r="Q44" t="s">
        <v>2321</v>
      </c>
      <c r="R44" t="s">
        <v>2322</v>
      </c>
      <c r="S44" t="s">
        <v>2177</v>
      </c>
      <c r="T44">
        <v>202205</v>
      </c>
      <c r="U44" t="s">
        <v>217</v>
      </c>
      <c r="V44">
        <v>2150</v>
      </c>
    </row>
    <row r="45" spans="1:22">
      <c r="A45" t="s">
        <v>2317</v>
      </c>
      <c r="B45" t="s">
        <v>2318</v>
      </c>
      <c r="C45" t="s">
        <v>2321</v>
      </c>
      <c r="D45" t="s">
        <v>2322</v>
      </c>
      <c r="E45" t="s">
        <v>2177</v>
      </c>
      <c r="F45">
        <v>202104</v>
      </c>
      <c r="G45" t="s">
        <v>228</v>
      </c>
      <c r="H45">
        <v>3480.63</v>
      </c>
      <c r="O45" t="s">
        <v>2317</v>
      </c>
      <c r="P45" t="s">
        <v>2318</v>
      </c>
      <c r="Q45" t="s">
        <v>2321</v>
      </c>
      <c r="R45" t="s">
        <v>2322</v>
      </c>
      <c r="S45" t="s">
        <v>2177</v>
      </c>
      <c r="T45">
        <v>202205</v>
      </c>
      <c r="U45" t="s">
        <v>219</v>
      </c>
      <c r="V45">
        <v>2200</v>
      </c>
    </row>
    <row r="46" spans="1:22">
      <c r="A46" t="s">
        <v>2317</v>
      </c>
      <c r="B46" t="s">
        <v>2318</v>
      </c>
      <c r="C46" t="s">
        <v>2321</v>
      </c>
      <c r="D46" t="s">
        <v>2322</v>
      </c>
      <c r="E46" t="s">
        <v>2177</v>
      </c>
      <c r="F46">
        <v>202105</v>
      </c>
      <c r="G46" t="s">
        <v>228</v>
      </c>
      <c r="H46">
        <v>2095.2600000000002</v>
      </c>
      <c r="O46" t="s">
        <v>2317</v>
      </c>
      <c r="P46" t="s">
        <v>2318</v>
      </c>
      <c r="Q46" t="s">
        <v>2321</v>
      </c>
      <c r="R46" t="s">
        <v>2322</v>
      </c>
      <c r="S46" t="s">
        <v>2177</v>
      </c>
      <c r="T46">
        <v>202206</v>
      </c>
      <c r="U46" t="s">
        <v>217</v>
      </c>
      <c r="V46">
        <v>2150</v>
      </c>
    </row>
    <row r="47" spans="1:22">
      <c r="A47" t="s">
        <v>2317</v>
      </c>
      <c r="B47" t="s">
        <v>2318</v>
      </c>
      <c r="C47" t="s">
        <v>2321</v>
      </c>
      <c r="D47" t="s">
        <v>2322</v>
      </c>
      <c r="E47" t="s">
        <v>2177</v>
      </c>
      <c r="F47">
        <v>202106</v>
      </c>
      <c r="G47" t="s">
        <v>228</v>
      </c>
      <c r="H47">
        <v>1619.64</v>
      </c>
      <c r="O47" t="s">
        <v>2317</v>
      </c>
      <c r="P47" t="s">
        <v>2318</v>
      </c>
      <c r="Q47" t="s">
        <v>2321</v>
      </c>
      <c r="R47" t="s">
        <v>2322</v>
      </c>
      <c r="S47" t="s">
        <v>2177</v>
      </c>
      <c r="T47">
        <v>202206</v>
      </c>
      <c r="U47" t="s">
        <v>219</v>
      </c>
      <c r="V47">
        <v>2200</v>
      </c>
    </row>
    <row r="48" spans="1:22">
      <c r="A48" t="s">
        <v>2317</v>
      </c>
      <c r="B48" t="s">
        <v>2318</v>
      </c>
      <c r="C48" t="s">
        <v>2321</v>
      </c>
      <c r="D48" t="s">
        <v>2322</v>
      </c>
      <c r="E48" t="s">
        <v>2177</v>
      </c>
      <c r="F48">
        <v>202107</v>
      </c>
      <c r="G48" t="s">
        <v>228</v>
      </c>
      <c r="H48">
        <v>787.93</v>
      </c>
      <c r="O48" t="s">
        <v>2317</v>
      </c>
      <c r="P48" t="s">
        <v>2318</v>
      </c>
      <c r="Q48" t="s">
        <v>2319</v>
      </c>
      <c r="R48" t="s">
        <v>2320</v>
      </c>
      <c r="S48" t="s">
        <v>2177</v>
      </c>
      <c r="T48">
        <v>202107</v>
      </c>
      <c r="U48" t="s">
        <v>230</v>
      </c>
      <c r="V48">
        <v>420000</v>
      </c>
    </row>
    <row r="49" spans="1:22">
      <c r="A49" t="s">
        <v>2317</v>
      </c>
      <c r="B49" t="s">
        <v>2318</v>
      </c>
      <c r="C49" t="s">
        <v>2321</v>
      </c>
      <c r="D49" t="s">
        <v>2322</v>
      </c>
      <c r="E49" t="s">
        <v>2177</v>
      </c>
      <c r="F49">
        <v>202108</v>
      </c>
      <c r="G49" t="s">
        <v>228</v>
      </c>
      <c r="H49">
        <v>3390.1</v>
      </c>
      <c r="O49" t="s">
        <v>2317</v>
      </c>
      <c r="P49" t="s">
        <v>2318</v>
      </c>
      <c r="Q49" t="s">
        <v>2319</v>
      </c>
      <c r="R49" t="s">
        <v>2320</v>
      </c>
      <c r="S49" t="s">
        <v>2177</v>
      </c>
      <c r="T49">
        <v>202107</v>
      </c>
      <c r="U49" t="s">
        <v>231</v>
      </c>
      <c r="V49">
        <v>0</v>
      </c>
    </row>
    <row r="50" spans="1:22">
      <c r="A50" t="s">
        <v>2317</v>
      </c>
      <c r="B50" t="s">
        <v>2318</v>
      </c>
      <c r="C50" t="s">
        <v>2321</v>
      </c>
      <c r="D50" t="s">
        <v>2322</v>
      </c>
      <c r="E50" t="s">
        <v>2177</v>
      </c>
      <c r="F50">
        <v>202109</v>
      </c>
      <c r="G50" t="s">
        <v>228</v>
      </c>
      <c r="H50">
        <v>6878.07</v>
      </c>
      <c r="O50" t="s">
        <v>2317</v>
      </c>
      <c r="P50" t="s">
        <v>2318</v>
      </c>
      <c r="Q50" t="s">
        <v>2319</v>
      </c>
      <c r="R50" t="s">
        <v>2320</v>
      </c>
      <c r="S50" t="s">
        <v>2177</v>
      </c>
      <c r="T50">
        <v>202107</v>
      </c>
      <c r="U50" t="s">
        <v>221</v>
      </c>
      <c r="V50">
        <v>1598416.54</v>
      </c>
    </row>
    <row r="51" spans="1:22">
      <c r="A51" t="s">
        <v>2317</v>
      </c>
      <c r="B51" t="s">
        <v>2318</v>
      </c>
      <c r="C51" t="s">
        <v>2321</v>
      </c>
      <c r="D51" t="s">
        <v>2322</v>
      </c>
      <c r="E51" t="s">
        <v>2177</v>
      </c>
      <c r="F51">
        <v>202110</v>
      </c>
      <c r="G51" t="s">
        <v>228</v>
      </c>
      <c r="H51">
        <v>7936.94</v>
      </c>
      <c r="O51" t="s">
        <v>2317</v>
      </c>
      <c r="P51" t="s">
        <v>2318</v>
      </c>
      <c r="Q51" t="s">
        <v>2319</v>
      </c>
      <c r="R51" t="s">
        <v>2320</v>
      </c>
      <c r="S51" t="s">
        <v>2177</v>
      </c>
      <c r="T51">
        <v>202107</v>
      </c>
      <c r="U51" t="s">
        <v>223</v>
      </c>
      <c r="V51">
        <v>232109.22</v>
      </c>
    </row>
    <row r="52" spans="1:22">
      <c r="A52" t="s">
        <v>2317</v>
      </c>
      <c r="B52" t="s">
        <v>2318</v>
      </c>
      <c r="C52" t="s">
        <v>2321</v>
      </c>
      <c r="D52" t="s">
        <v>2322</v>
      </c>
      <c r="E52" t="s">
        <v>2177</v>
      </c>
      <c r="F52">
        <v>202111</v>
      </c>
      <c r="G52" t="s">
        <v>228</v>
      </c>
      <c r="H52">
        <v>4535.3500000000004</v>
      </c>
      <c r="O52" t="s">
        <v>2317</v>
      </c>
      <c r="P52" t="s">
        <v>2318</v>
      </c>
      <c r="Q52" t="s">
        <v>2319</v>
      </c>
      <c r="R52" t="s">
        <v>2320</v>
      </c>
      <c r="S52" t="s">
        <v>2177</v>
      </c>
      <c r="T52">
        <v>202107</v>
      </c>
      <c r="U52" t="s">
        <v>225</v>
      </c>
      <c r="V52">
        <v>0</v>
      </c>
    </row>
    <row r="53" spans="1:22">
      <c r="A53" t="s">
        <v>2317</v>
      </c>
      <c r="B53" t="s">
        <v>2318</v>
      </c>
      <c r="C53" t="s">
        <v>2321</v>
      </c>
      <c r="D53" t="s">
        <v>2322</v>
      </c>
      <c r="E53" t="s">
        <v>2177</v>
      </c>
      <c r="F53">
        <v>202112</v>
      </c>
      <c r="G53" t="s">
        <v>228</v>
      </c>
      <c r="H53">
        <v>7627.37</v>
      </c>
      <c r="O53" t="s">
        <v>2317</v>
      </c>
      <c r="P53" t="s">
        <v>2318</v>
      </c>
      <c r="Q53" t="s">
        <v>2319</v>
      </c>
      <c r="R53" t="s">
        <v>2320</v>
      </c>
      <c r="S53" t="s">
        <v>2177</v>
      </c>
      <c r="T53">
        <v>202108</v>
      </c>
      <c r="U53" t="s">
        <v>230</v>
      </c>
      <c r="V53">
        <v>418000</v>
      </c>
    </row>
    <row r="54" spans="1:22">
      <c r="A54" t="s">
        <v>2317</v>
      </c>
      <c r="B54" t="s">
        <v>2318</v>
      </c>
      <c r="C54" t="s">
        <v>2321</v>
      </c>
      <c r="D54" t="s">
        <v>2322</v>
      </c>
      <c r="E54" t="s">
        <v>2177</v>
      </c>
      <c r="F54">
        <v>202201</v>
      </c>
      <c r="G54" t="s">
        <v>228</v>
      </c>
      <c r="H54">
        <v>7428.8</v>
      </c>
      <c r="O54" t="s">
        <v>2317</v>
      </c>
      <c r="P54" t="s">
        <v>2318</v>
      </c>
      <c r="Q54" t="s">
        <v>2319</v>
      </c>
      <c r="R54" t="s">
        <v>2320</v>
      </c>
      <c r="S54" t="s">
        <v>2177</v>
      </c>
      <c r="T54">
        <v>202108</v>
      </c>
      <c r="U54" t="s">
        <v>231</v>
      </c>
      <c r="V54">
        <v>0</v>
      </c>
    </row>
    <row r="55" spans="1:22">
      <c r="A55" t="s">
        <v>2317</v>
      </c>
      <c r="B55" t="s">
        <v>2318</v>
      </c>
      <c r="C55" t="s">
        <v>2321</v>
      </c>
      <c r="D55" t="s">
        <v>2322</v>
      </c>
      <c r="E55" t="s">
        <v>2177</v>
      </c>
      <c r="F55">
        <v>202202</v>
      </c>
      <c r="G55" t="s">
        <v>228</v>
      </c>
      <c r="H55">
        <v>10415.82</v>
      </c>
      <c r="O55" t="s">
        <v>2317</v>
      </c>
      <c r="P55" t="s">
        <v>2318</v>
      </c>
      <c r="Q55" t="s">
        <v>2319</v>
      </c>
      <c r="R55" t="s">
        <v>2320</v>
      </c>
      <c r="S55" t="s">
        <v>2177</v>
      </c>
      <c r="T55">
        <v>202108</v>
      </c>
      <c r="U55" t="s">
        <v>221</v>
      </c>
      <c r="V55">
        <v>1560576.52</v>
      </c>
    </row>
    <row r="56" spans="1:22">
      <c r="A56" t="s">
        <v>2317</v>
      </c>
      <c r="B56" t="s">
        <v>2318</v>
      </c>
      <c r="C56" t="s">
        <v>2321</v>
      </c>
      <c r="D56" t="s">
        <v>2322</v>
      </c>
      <c r="E56" t="s">
        <v>2177</v>
      </c>
      <c r="F56">
        <v>202203</v>
      </c>
      <c r="G56" t="s">
        <v>228</v>
      </c>
      <c r="H56">
        <v>8543.2199999999993</v>
      </c>
      <c r="O56" t="s">
        <v>2317</v>
      </c>
      <c r="P56" t="s">
        <v>2318</v>
      </c>
      <c r="Q56" t="s">
        <v>2319</v>
      </c>
      <c r="R56" t="s">
        <v>2320</v>
      </c>
      <c r="S56" t="s">
        <v>2177</v>
      </c>
      <c r="T56">
        <v>202108</v>
      </c>
      <c r="U56" t="s">
        <v>223</v>
      </c>
      <c r="V56">
        <v>229910.43</v>
      </c>
    </row>
    <row r="57" spans="1:22">
      <c r="A57" t="s">
        <v>2317</v>
      </c>
      <c r="B57" t="s">
        <v>2318</v>
      </c>
      <c r="C57" t="s">
        <v>2321</v>
      </c>
      <c r="D57" t="s">
        <v>2322</v>
      </c>
      <c r="E57" t="s">
        <v>2177</v>
      </c>
      <c r="F57">
        <v>202204</v>
      </c>
      <c r="G57" t="s">
        <v>228</v>
      </c>
      <c r="H57">
        <v>7100.36</v>
      </c>
      <c r="O57" t="s">
        <v>2317</v>
      </c>
      <c r="P57" t="s">
        <v>2318</v>
      </c>
      <c r="Q57" t="s">
        <v>2319</v>
      </c>
      <c r="R57" t="s">
        <v>2320</v>
      </c>
      <c r="S57" t="s">
        <v>2177</v>
      </c>
      <c r="T57">
        <v>202109</v>
      </c>
      <c r="U57" t="s">
        <v>230</v>
      </c>
      <c r="V57">
        <v>398000</v>
      </c>
    </row>
    <row r="58" spans="1:22">
      <c r="A58" t="s">
        <v>2317</v>
      </c>
      <c r="B58" t="s">
        <v>2318</v>
      </c>
      <c r="C58" t="s">
        <v>2321</v>
      </c>
      <c r="D58" t="s">
        <v>2322</v>
      </c>
      <c r="E58" t="s">
        <v>2177</v>
      </c>
      <c r="F58">
        <v>202205</v>
      </c>
      <c r="G58" t="s">
        <v>228</v>
      </c>
      <c r="H58">
        <v>6785.51</v>
      </c>
      <c r="O58" t="s">
        <v>2317</v>
      </c>
      <c r="P58" t="s">
        <v>2318</v>
      </c>
      <c r="Q58" t="s">
        <v>2319</v>
      </c>
      <c r="R58" t="s">
        <v>2320</v>
      </c>
      <c r="S58" t="s">
        <v>2177</v>
      </c>
      <c r="T58">
        <v>202109</v>
      </c>
      <c r="U58" t="s">
        <v>231</v>
      </c>
      <c r="V58">
        <v>0</v>
      </c>
    </row>
    <row r="59" spans="1:22">
      <c r="A59" t="s">
        <v>2317</v>
      </c>
      <c r="B59" t="s">
        <v>2318</v>
      </c>
      <c r="C59" t="s">
        <v>2321</v>
      </c>
      <c r="D59" t="s">
        <v>2322</v>
      </c>
      <c r="E59" t="s">
        <v>2177</v>
      </c>
      <c r="F59">
        <v>202206</v>
      </c>
      <c r="G59" t="s">
        <v>228</v>
      </c>
      <c r="H59">
        <v>6822.81</v>
      </c>
      <c r="O59" t="s">
        <v>2317</v>
      </c>
      <c r="P59" t="s">
        <v>2318</v>
      </c>
      <c r="Q59" t="s">
        <v>2319</v>
      </c>
      <c r="R59" t="s">
        <v>2320</v>
      </c>
      <c r="S59" t="s">
        <v>2177</v>
      </c>
      <c r="T59">
        <v>202109</v>
      </c>
      <c r="U59" t="s">
        <v>221</v>
      </c>
      <c r="V59">
        <v>1365093.99</v>
      </c>
    </row>
    <row r="60" spans="1:22">
      <c r="A60" t="s">
        <v>2317</v>
      </c>
      <c r="B60" t="s">
        <v>2318</v>
      </c>
      <c r="C60" t="s">
        <v>2319</v>
      </c>
      <c r="D60" t="s">
        <v>2320</v>
      </c>
      <c r="E60" t="s">
        <v>2177</v>
      </c>
      <c r="F60">
        <v>202104</v>
      </c>
      <c r="G60" t="s">
        <v>232</v>
      </c>
      <c r="H60">
        <v>0</v>
      </c>
      <c r="O60" t="s">
        <v>2317</v>
      </c>
      <c r="P60" t="s">
        <v>2318</v>
      </c>
      <c r="Q60" t="s">
        <v>2319</v>
      </c>
      <c r="R60" t="s">
        <v>2320</v>
      </c>
      <c r="S60" t="s">
        <v>2177</v>
      </c>
      <c r="T60">
        <v>202109</v>
      </c>
      <c r="U60" t="s">
        <v>223</v>
      </c>
      <c r="V60">
        <v>200041.29</v>
      </c>
    </row>
    <row r="61" spans="1:22">
      <c r="A61" t="s">
        <v>2317</v>
      </c>
      <c r="B61" t="s">
        <v>2318</v>
      </c>
      <c r="C61" t="s">
        <v>2319</v>
      </c>
      <c r="D61" t="s">
        <v>2320</v>
      </c>
      <c r="E61" t="s">
        <v>2177</v>
      </c>
      <c r="F61">
        <v>202105</v>
      </c>
      <c r="G61" t="s">
        <v>232</v>
      </c>
      <c r="H61">
        <v>0</v>
      </c>
      <c r="O61" t="s">
        <v>2317</v>
      </c>
      <c r="P61" t="s">
        <v>2318</v>
      </c>
      <c r="Q61" t="s">
        <v>2319</v>
      </c>
      <c r="R61" t="s">
        <v>2320</v>
      </c>
      <c r="S61" t="s">
        <v>2177</v>
      </c>
      <c r="T61">
        <v>202110</v>
      </c>
      <c r="U61" t="s">
        <v>230</v>
      </c>
      <c r="V61">
        <v>390000</v>
      </c>
    </row>
    <row r="62" spans="1:22">
      <c r="A62" t="s">
        <v>2317</v>
      </c>
      <c r="B62" t="s">
        <v>2318</v>
      </c>
      <c r="C62" t="s">
        <v>2319</v>
      </c>
      <c r="D62" t="s">
        <v>2320</v>
      </c>
      <c r="E62" t="s">
        <v>2177</v>
      </c>
      <c r="F62">
        <v>202106</v>
      </c>
      <c r="G62" t="s">
        <v>232</v>
      </c>
      <c r="H62">
        <v>0</v>
      </c>
      <c r="O62" t="s">
        <v>2317</v>
      </c>
      <c r="P62" t="s">
        <v>2318</v>
      </c>
      <c r="Q62" t="s">
        <v>2319</v>
      </c>
      <c r="R62" t="s">
        <v>2320</v>
      </c>
      <c r="S62" t="s">
        <v>2177</v>
      </c>
      <c r="T62">
        <v>202110</v>
      </c>
      <c r="U62" t="s">
        <v>231</v>
      </c>
      <c r="V62">
        <v>0</v>
      </c>
    </row>
    <row r="63" spans="1:22">
      <c r="A63" t="s">
        <v>2317</v>
      </c>
      <c r="B63" t="s">
        <v>2318</v>
      </c>
      <c r="C63" t="s">
        <v>2319</v>
      </c>
      <c r="D63" t="s">
        <v>2320</v>
      </c>
      <c r="E63" t="s">
        <v>2177</v>
      </c>
      <c r="F63">
        <v>202107</v>
      </c>
      <c r="G63" t="s">
        <v>232</v>
      </c>
      <c r="H63">
        <v>0</v>
      </c>
      <c r="O63" t="s">
        <v>2317</v>
      </c>
      <c r="P63" t="s">
        <v>2318</v>
      </c>
      <c r="Q63" t="s">
        <v>2319</v>
      </c>
      <c r="R63" t="s">
        <v>2320</v>
      </c>
      <c r="S63" t="s">
        <v>2177</v>
      </c>
      <c r="T63">
        <v>202110</v>
      </c>
      <c r="U63" t="s">
        <v>221</v>
      </c>
      <c r="V63">
        <v>1784524.56</v>
      </c>
    </row>
    <row r="64" spans="1:22">
      <c r="A64" t="s">
        <v>2317</v>
      </c>
      <c r="B64" t="s">
        <v>2318</v>
      </c>
      <c r="C64" t="s">
        <v>2319</v>
      </c>
      <c r="D64" t="s">
        <v>2320</v>
      </c>
      <c r="E64" t="s">
        <v>2177</v>
      </c>
      <c r="F64">
        <v>202108</v>
      </c>
      <c r="G64" t="s">
        <v>232</v>
      </c>
      <c r="H64">
        <v>0</v>
      </c>
      <c r="O64" t="s">
        <v>2317</v>
      </c>
      <c r="P64" t="s">
        <v>2318</v>
      </c>
      <c r="Q64" t="s">
        <v>2319</v>
      </c>
      <c r="R64" t="s">
        <v>2320</v>
      </c>
      <c r="S64" t="s">
        <v>2177</v>
      </c>
      <c r="T64">
        <v>202110</v>
      </c>
      <c r="U64" t="s">
        <v>223</v>
      </c>
      <c r="V64">
        <v>222955.48</v>
      </c>
    </row>
    <row r="65" spans="1:22">
      <c r="A65" t="s">
        <v>2317</v>
      </c>
      <c r="B65" t="s">
        <v>2318</v>
      </c>
      <c r="C65" t="s">
        <v>2319</v>
      </c>
      <c r="D65" t="s">
        <v>2320</v>
      </c>
      <c r="E65" t="s">
        <v>2177</v>
      </c>
      <c r="F65">
        <v>202109</v>
      </c>
      <c r="G65" t="s">
        <v>232</v>
      </c>
      <c r="H65">
        <v>0</v>
      </c>
      <c r="O65" t="s">
        <v>2317</v>
      </c>
      <c r="P65" t="s">
        <v>2318</v>
      </c>
      <c r="Q65" t="s">
        <v>2319</v>
      </c>
      <c r="R65" t="s">
        <v>2320</v>
      </c>
      <c r="S65" t="s">
        <v>2177</v>
      </c>
      <c r="T65">
        <v>202111</v>
      </c>
      <c r="U65" t="s">
        <v>230</v>
      </c>
      <c r="V65">
        <v>415000</v>
      </c>
    </row>
    <row r="66" spans="1:22">
      <c r="A66" t="s">
        <v>2317</v>
      </c>
      <c r="B66" t="s">
        <v>2318</v>
      </c>
      <c r="C66" t="s">
        <v>2319</v>
      </c>
      <c r="D66" t="s">
        <v>2320</v>
      </c>
      <c r="E66" t="s">
        <v>2177</v>
      </c>
      <c r="F66">
        <v>202110</v>
      </c>
      <c r="G66" t="s">
        <v>232</v>
      </c>
      <c r="H66">
        <v>0</v>
      </c>
      <c r="O66" t="s">
        <v>2317</v>
      </c>
      <c r="P66" t="s">
        <v>2318</v>
      </c>
      <c r="Q66" t="s">
        <v>2319</v>
      </c>
      <c r="R66" t="s">
        <v>2320</v>
      </c>
      <c r="S66" t="s">
        <v>2177</v>
      </c>
      <c r="T66">
        <v>202111</v>
      </c>
      <c r="U66" t="s">
        <v>231</v>
      </c>
      <c r="V66">
        <v>0</v>
      </c>
    </row>
    <row r="67" spans="1:22">
      <c r="A67" t="s">
        <v>2317</v>
      </c>
      <c r="B67" t="s">
        <v>2318</v>
      </c>
      <c r="C67" t="s">
        <v>2319</v>
      </c>
      <c r="D67" t="s">
        <v>2320</v>
      </c>
      <c r="E67" t="s">
        <v>2177</v>
      </c>
      <c r="F67">
        <v>202111</v>
      </c>
      <c r="G67" t="s">
        <v>232</v>
      </c>
      <c r="H67">
        <v>0</v>
      </c>
      <c r="O67" t="s">
        <v>2317</v>
      </c>
      <c r="P67" t="s">
        <v>2318</v>
      </c>
      <c r="Q67" t="s">
        <v>2319</v>
      </c>
      <c r="R67" t="s">
        <v>2320</v>
      </c>
      <c r="S67" t="s">
        <v>2177</v>
      </c>
      <c r="T67">
        <v>202111</v>
      </c>
      <c r="U67" t="s">
        <v>221</v>
      </c>
      <c r="V67">
        <v>1928765.26</v>
      </c>
    </row>
    <row r="68" spans="1:22">
      <c r="A68" t="s">
        <v>2317</v>
      </c>
      <c r="B68" t="s">
        <v>2318</v>
      </c>
      <c r="C68" t="s">
        <v>2319</v>
      </c>
      <c r="D68" t="s">
        <v>2320</v>
      </c>
      <c r="E68" t="s">
        <v>2177</v>
      </c>
      <c r="F68">
        <v>202112</v>
      </c>
      <c r="G68" t="s">
        <v>232</v>
      </c>
      <c r="H68">
        <v>0</v>
      </c>
      <c r="O68" t="s">
        <v>2317</v>
      </c>
      <c r="P68" t="s">
        <v>2318</v>
      </c>
      <c r="Q68" t="s">
        <v>2319</v>
      </c>
      <c r="R68" t="s">
        <v>2320</v>
      </c>
      <c r="S68" t="s">
        <v>2177</v>
      </c>
      <c r="T68">
        <v>202111</v>
      </c>
      <c r="U68" t="s">
        <v>223</v>
      </c>
      <c r="V68">
        <v>224834.66</v>
      </c>
    </row>
    <row r="69" spans="1:22">
      <c r="A69" t="s">
        <v>2317</v>
      </c>
      <c r="B69" t="s">
        <v>2318</v>
      </c>
      <c r="C69" t="s">
        <v>2319</v>
      </c>
      <c r="D69" t="s">
        <v>2320</v>
      </c>
      <c r="E69" t="s">
        <v>2177</v>
      </c>
      <c r="F69">
        <v>202201</v>
      </c>
      <c r="G69" t="s">
        <v>232</v>
      </c>
      <c r="H69">
        <v>0</v>
      </c>
      <c r="O69" t="s">
        <v>2317</v>
      </c>
      <c r="P69" t="s">
        <v>2318</v>
      </c>
      <c r="Q69" t="s">
        <v>2319</v>
      </c>
      <c r="R69" t="s">
        <v>2320</v>
      </c>
      <c r="S69" t="s">
        <v>2177</v>
      </c>
      <c r="T69">
        <v>202112</v>
      </c>
      <c r="U69" t="s">
        <v>230</v>
      </c>
      <c r="V69">
        <v>462000</v>
      </c>
    </row>
    <row r="70" spans="1:22">
      <c r="A70" t="s">
        <v>2317</v>
      </c>
      <c r="B70" t="s">
        <v>2318</v>
      </c>
      <c r="C70" t="s">
        <v>2319</v>
      </c>
      <c r="D70" t="s">
        <v>2320</v>
      </c>
      <c r="E70" t="s">
        <v>2177</v>
      </c>
      <c r="F70">
        <v>202202</v>
      </c>
      <c r="G70" t="s">
        <v>232</v>
      </c>
      <c r="H70">
        <v>0</v>
      </c>
      <c r="O70" t="s">
        <v>2317</v>
      </c>
      <c r="P70" t="s">
        <v>2318</v>
      </c>
      <c r="Q70" t="s">
        <v>2319</v>
      </c>
      <c r="R70" t="s">
        <v>2320</v>
      </c>
      <c r="S70" t="s">
        <v>2177</v>
      </c>
      <c r="T70">
        <v>202112</v>
      </c>
      <c r="U70" t="s">
        <v>231</v>
      </c>
      <c r="V70">
        <v>0</v>
      </c>
    </row>
    <row r="71" spans="1:22">
      <c r="A71" t="s">
        <v>2317</v>
      </c>
      <c r="B71" t="s">
        <v>2318</v>
      </c>
      <c r="C71" t="s">
        <v>2319</v>
      </c>
      <c r="D71" t="s">
        <v>2320</v>
      </c>
      <c r="E71" t="s">
        <v>2177</v>
      </c>
      <c r="F71">
        <v>202203</v>
      </c>
      <c r="G71" t="s">
        <v>232</v>
      </c>
      <c r="H71">
        <v>0</v>
      </c>
      <c r="O71" t="s">
        <v>2317</v>
      </c>
      <c r="P71" t="s">
        <v>2318</v>
      </c>
      <c r="Q71" t="s">
        <v>2319</v>
      </c>
      <c r="R71" t="s">
        <v>2320</v>
      </c>
      <c r="S71" t="s">
        <v>2177</v>
      </c>
      <c r="T71">
        <v>202112</v>
      </c>
      <c r="U71" t="s">
        <v>221</v>
      </c>
      <c r="V71">
        <v>2130035.96</v>
      </c>
    </row>
    <row r="72" spans="1:22">
      <c r="A72" t="s">
        <v>2317</v>
      </c>
      <c r="B72" t="s">
        <v>2318</v>
      </c>
      <c r="C72" t="s">
        <v>2319</v>
      </c>
      <c r="D72" t="s">
        <v>2320</v>
      </c>
      <c r="E72" t="s">
        <v>2177</v>
      </c>
      <c r="F72">
        <v>202204</v>
      </c>
      <c r="G72" t="s">
        <v>232</v>
      </c>
      <c r="H72">
        <v>0</v>
      </c>
      <c r="O72" t="s">
        <v>2317</v>
      </c>
      <c r="P72" t="s">
        <v>2318</v>
      </c>
      <c r="Q72" t="s">
        <v>2319</v>
      </c>
      <c r="R72" t="s">
        <v>2320</v>
      </c>
      <c r="S72" t="s">
        <v>2177</v>
      </c>
      <c r="T72">
        <v>202112</v>
      </c>
      <c r="U72" t="s">
        <v>223</v>
      </c>
      <c r="V72">
        <v>266994.25</v>
      </c>
    </row>
    <row r="73" spans="1:22">
      <c r="A73" t="s">
        <v>2317</v>
      </c>
      <c r="B73" t="s">
        <v>2318</v>
      </c>
      <c r="C73" t="s">
        <v>2319</v>
      </c>
      <c r="D73" t="s">
        <v>2320</v>
      </c>
      <c r="E73" t="s">
        <v>2177</v>
      </c>
      <c r="F73">
        <v>202205</v>
      </c>
      <c r="G73" t="s">
        <v>232</v>
      </c>
      <c r="H73">
        <v>0</v>
      </c>
      <c r="O73" t="s">
        <v>2317</v>
      </c>
      <c r="P73" t="s">
        <v>2318</v>
      </c>
      <c r="Q73" t="s">
        <v>2319</v>
      </c>
      <c r="R73" t="s">
        <v>2320</v>
      </c>
      <c r="S73" t="s">
        <v>2177</v>
      </c>
      <c r="T73">
        <v>202201</v>
      </c>
      <c r="U73" t="s">
        <v>230</v>
      </c>
      <c r="V73">
        <v>860559</v>
      </c>
    </row>
    <row r="74" spans="1:22">
      <c r="A74" t="s">
        <v>2317</v>
      </c>
      <c r="B74" t="s">
        <v>2318</v>
      </c>
      <c r="C74" t="s">
        <v>2321</v>
      </c>
      <c r="D74" t="s">
        <v>2322</v>
      </c>
      <c r="E74" t="s">
        <v>2177</v>
      </c>
      <c r="F74">
        <v>202104</v>
      </c>
      <c r="G74" t="s">
        <v>232</v>
      </c>
      <c r="H74">
        <v>0</v>
      </c>
      <c r="O74" t="s">
        <v>2317</v>
      </c>
      <c r="P74" t="s">
        <v>2318</v>
      </c>
      <c r="Q74" t="s">
        <v>2319</v>
      </c>
      <c r="R74" t="s">
        <v>2320</v>
      </c>
      <c r="S74" t="s">
        <v>2177</v>
      </c>
      <c r="T74">
        <v>202201</v>
      </c>
      <c r="U74" t="s">
        <v>231</v>
      </c>
      <c r="V74">
        <v>84441</v>
      </c>
    </row>
    <row r="75" spans="1:22">
      <c r="A75" t="s">
        <v>2317</v>
      </c>
      <c r="B75" t="s">
        <v>2318</v>
      </c>
      <c r="C75" t="s">
        <v>2321</v>
      </c>
      <c r="D75" t="s">
        <v>2322</v>
      </c>
      <c r="E75" t="s">
        <v>2177</v>
      </c>
      <c r="F75">
        <v>202105</v>
      </c>
      <c r="G75" t="s">
        <v>232</v>
      </c>
      <c r="H75">
        <v>0</v>
      </c>
      <c r="O75" t="s">
        <v>2317</v>
      </c>
      <c r="P75" t="s">
        <v>2318</v>
      </c>
      <c r="Q75" t="s">
        <v>2319</v>
      </c>
      <c r="R75" t="s">
        <v>2320</v>
      </c>
      <c r="S75" t="s">
        <v>2177</v>
      </c>
      <c r="T75">
        <v>202201</v>
      </c>
      <c r="U75" t="s">
        <v>221</v>
      </c>
      <c r="V75">
        <v>2294765.59</v>
      </c>
    </row>
    <row r="76" spans="1:22">
      <c r="A76" t="s">
        <v>2317</v>
      </c>
      <c r="B76" t="s">
        <v>2318</v>
      </c>
      <c r="C76" t="s">
        <v>2321</v>
      </c>
      <c r="D76" t="s">
        <v>2322</v>
      </c>
      <c r="E76" t="s">
        <v>2177</v>
      </c>
      <c r="F76">
        <v>202106</v>
      </c>
      <c r="G76" t="s">
        <v>232</v>
      </c>
      <c r="H76">
        <v>0</v>
      </c>
      <c r="O76" t="s">
        <v>2317</v>
      </c>
      <c r="P76" t="s">
        <v>2318</v>
      </c>
      <c r="Q76" t="s">
        <v>2319</v>
      </c>
      <c r="R76" t="s">
        <v>2320</v>
      </c>
      <c r="S76" t="s">
        <v>2177</v>
      </c>
      <c r="T76">
        <v>202201</v>
      </c>
      <c r="U76" t="s">
        <v>223</v>
      </c>
      <c r="V76">
        <v>244565.84</v>
      </c>
    </row>
    <row r="77" spans="1:22">
      <c r="A77" t="s">
        <v>2317</v>
      </c>
      <c r="B77" t="s">
        <v>2318</v>
      </c>
      <c r="C77" t="s">
        <v>2321</v>
      </c>
      <c r="D77" t="s">
        <v>2322</v>
      </c>
      <c r="E77" t="s">
        <v>2177</v>
      </c>
      <c r="F77">
        <v>202107</v>
      </c>
      <c r="G77" t="s">
        <v>232</v>
      </c>
      <c r="H77">
        <v>0</v>
      </c>
      <c r="O77" t="s">
        <v>2317</v>
      </c>
      <c r="P77" t="s">
        <v>2318</v>
      </c>
      <c r="Q77" t="s">
        <v>2319</v>
      </c>
      <c r="R77" t="s">
        <v>2320</v>
      </c>
      <c r="S77" t="s">
        <v>2177</v>
      </c>
      <c r="T77">
        <v>202202</v>
      </c>
      <c r="U77" t="s">
        <v>230</v>
      </c>
      <c r="V77">
        <v>568963.5</v>
      </c>
    </row>
    <row r="78" spans="1:22">
      <c r="A78" t="s">
        <v>2317</v>
      </c>
      <c r="B78" t="s">
        <v>2318</v>
      </c>
      <c r="C78" t="s">
        <v>2321</v>
      </c>
      <c r="D78" t="s">
        <v>2322</v>
      </c>
      <c r="E78" t="s">
        <v>2177</v>
      </c>
      <c r="F78">
        <v>202108</v>
      </c>
      <c r="G78" t="s">
        <v>232</v>
      </c>
      <c r="H78">
        <v>0</v>
      </c>
      <c r="O78" t="s">
        <v>2317</v>
      </c>
      <c r="P78" t="s">
        <v>2318</v>
      </c>
      <c r="Q78" t="s">
        <v>2319</v>
      </c>
      <c r="R78" t="s">
        <v>2320</v>
      </c>
      <c r="S78" t="s">
        <v>2177</v>
      </c>
      <c r="T78">
        <v>202202</v>
      </c>
      <c r="U78" t="s">
        <v>231</v>
      </c>
      <c r="V78">
        <v>61036.5</v>
      </c>
    </row>
    <row r="79" spans="1:22">
      <c r="A79" t="s">
        <v>2317</v>
      </c>
      <c r="B79" t="s">
        <v>2318</v>
      </c>
      <c r="C79" t="s">
        <v>2321</v>
      </c>
      <c r="D79" t="s">
        <v>2322</v>
      </c>
      <c r="E79" t="s">
        <v>2177</v>
      </c>
      <c r="F79">
        <v>202109</v>
      </c>
      <c r="G79" t="s">
        <v>232</v>
      </c>
      <c r="H79">
        <v>0</v>
      </c>
      <c r="O79" t="s">
        <v>2317</v>
      </c>
      <c r="P79" t="s">
        <v>2318</v>
      </c>
      <c r="Q79" t="s">
        <v>2319</v>
      </c>
      <c r="R79" t="s">
        <v>2320</v>
      </c>
      <c r="S79" t="s">
        <v>2177</v>
      </c>
      <c r="T79">
        <v>202202</v>
      </c>
      <c r="U79" t="s">
        <v>221</v>
      </c>
      <c r="V79">
        <v>1569430.8</v>
      </c>
    </row>
    <row r="80" spans="1:22">
      <c r="A80" t="s">
        <v>2317</v>
      </c>
      <c r="B80" t="s">
        <v>2318</v>
      </c>
      <c r="C80" t="s">
        <v>2321</v>
      </c>
      <c r="D80" t="s">
        <v>2322</v>
      </c>
      <c r="E80" t="s">
        <v>2177</v>
      </c>
      <c r="F80">
        <v>202110</v>
      </c>
      <c r="G80" t="s">
        <v>232</v>
      </c>
      <c r="H80">
        <v>0</v>
      </c>
      <c r="O80" t="s">
        <v>2317</v>
      </c>
      <c r="P80" t="s">
        <v>2318</v>
      </c>
      <c r="Q80" t="s">
        <v>2319</v>
      </c>
      <c r="R80" t="s">
        <v>2320</v>
      </c>
      <c r="S80" t="s">
        <v>2177</v>
      </c>
      <c r="T80">
        <v>202202</v>
      </c>
      <c r="U80" t="s">
        <v>223</v>
      </c>
      <c r="V80">
        <v>193883.51</v>
      </c>
    </row>
    <row r="81" spans="1:22">
      <c r="A81" t="s">
        <v>2317</v>
      </c>
      <c r="B81" t="s">
        <v>2318</v>
      </c>
      <c r="C81" t="s">
        <v>2321</v>
      </c>
      <c r="D81" t="s">
        <v>2322</v>
      </c>
      <c r="E81" t="s">
        <v>2177</v>
      </c>
      <c r="F81">
        <v>202111</v>
      </c>
      <c r="G81" t="s">
        <v>232</v>
      </c>
      <c r="H81">
        <v>0</v>
      </c>
      <c r="O81" t="s">
        <v>2317</v>
      </c>
      <c r="P81" t="s">
        <v>2318</v>
      </c>
      <c r="Q81" t="s">
        <v>2319</v>
      </c>
      <c r="R81" t="s">
        <v>2320</v>
      </c>
      <c r="S81" t="s">
        <v>2177</v>
      </c>
      <c r="T81">
        <v>202203</v>
      </c>
      <c r="U81" t="s">
        <v>230</v>
      </c>
      <c r="V81">
        <v>485000</v>
      </c>
    </row>
    <row r="82" spans="1:22">
      <c r="A82" t="s">
        <v>2317</v>
      </c>
      <c r="B82" t="s">
        <v>2318</v>
      </c>
      <c r="C82" t="s">
        <v>2321</v>
      </c>
      <c r="D82" t="s">
        <v>2322</v>
      </c>
      <c r="E82" t="s">
        <v>2177</v>
      </c>
      <c r="F82">
        <v>202112</v>
      </c>
      <c r="G82" t="s">
        <v>232</v>
      </c>
      <c r="H82">
        <v>0</v>
      </c>
      <c r="O82" t="s">
        <v>2317</v>
      </c>
      <c r="P82" t="s">
        <v>2318</v>
      </c>
      <c r="Q82" t="s">
        <v>2319</v>
      </c>
      <c r="R82" t="s">
        <v>2320</v>
      </c>
      <c r="S82" t="s">
        <v>2177</v>
      </c>
      <c r="T82">
        <v>202203</v>
      </c>
      <c r="U82" t="s">
        <v>231</v>
      </c>
      <c r="V82">
        <v>0</v>
      </c>
    </row>
    <row r="83" spans="1:22">
      <c r="A83" t="s">
        <v>2317</v>
      </c>
      <c r="B83" t="s">
        <v>2318</v>
      </c>
      <c r="C83" t="s">
        <v>2321</v>
      </c>
      <c r="D83" t="s">
        <v>2322</v>
      </c>
      <c r="E83" t="s">
        <v>2177</v>
      </c>
      <c r="F83">
        <v>202201</v>
      </c>
      <c r="G83" t="s">
        <v>232</v>
      </c>
      <c r="H83">
        <v>0</v>
      </c>
      <c r="O83" t="s">
        <v>2317</v>
      </c>
      <c r="P83" t="s">
        <v>2318</v>
      </c>
      <c r="Q83" t="s">
        <v>2319</v>
      </c>
      <c r="R83" t="s">
        <v>2320</v>
      </c>
      <c r="S83" t="s">
        <v>2177</v>
      </c>
      <c r="T83">
        <v>202203</v>
      </c>
      <c r="U83" t="s">
        <v>221</v>
      </c>
      <c r="V83">
        <v>1582591.48</v>
      </c>
    </row>
    <row r="84" spans="1:22">
      <c r="A84" t="s">
        <v>2317</v>
      </c>
      <c r="B84" t="s">
        <v>2318</v>
      </c>
      <c r="C84" t="s">
        <v>2321</v>
      </c>
      <c r="D84" t="s">
        <v>2322</v>
      </c>
      <c r="E84" t="s">
        <v>2177</v>
      </c>
      <c r="F84">
        <v>202202</v>
      </c>
      <c r="G84" t="s">
        <v>232</v>
      </c>
      <c r="H84">
        <v>0</v>
      </c>
      <c r="O84" t="s">
        <v>2317</v>
      </c>
      <c r="P84" t="s">
        <v>2318</v>
      </c>
      <c r="Q84" t="s">
        <v>2319</v>
      </c>
      <c r="R84" t="s">
        <v>2320</v>
      </c>
      <c r="S84" t="s">
        <v>2177</v>
      </c>
      <c r="T84">
        <v>202203</v>
      </c>
      <c r="U84" t="s">
        <v>223</v>
      </c>
      <c r="V84">
        <v>213316.57</v>
      </c>
    </row>
    <row r="85" spans="1:22">
      <c r="A85" t="s">
        <v>2317</v>
      </c>
      <c r="B85" t="s">
        <v>2318</v>
      </c>
      <c r="C85" t="s">
        <v>2321</v>
      </c>
      <c r="D85" t="s">
        <v>2322</v>
      </c>
      <c r="E85" t="s">
        <v>2177</v>
      </c>
      <c r="F85">
        <v>202203</v>
      </c>
      <c r="G85" t="s">
        <v>232</v>
      </c>
      <c r="H85">
        <v>0</v>
      </c>
      <c r="O85" t="s">
        <v>2317</v>
      </c>
      <c r="P85" t="s">
        <v>2318</v>
      </c>
      <c r="Q85" t="s">
        <v>2319</v>
      </c>
      <c r="R85" t="s">
        <v>2320</v>
      </c>
      <c r="S85" t="s">
        <v>2177</v>
      </c>
      <c r="T85">
        <v>202204</v>
      </c>
      <c r="U85" t="s">
        <v>230</v>
      </c>
      <c r="V85">
        <v>262000</v>
      </c>
    </row>
    <row r="86" spans="1:22">
      <c r="A86" t="s">
        <v>2317</v>
      </c>
      <c r="B86" t="s">
        <v>2318</v>
      </c>
      <c r="C86" t="s">
        <v>2321</v>
      </c>
      <c r="D86" t="s">
        <v>2322</v>
      </c>
      <c r="E86" t="s">
        <v>2177</v>
      </c>
      <c r="F86">
        <v>202204</v>
      </c>
      <c r="G86" t="s">
        <v>232</v>
      </c>
      <c r="H86">
        <v>0</v>
      </c>
      <c r="O86" t="s">
        <v>2317</v>
      </c>
      <c r="P86" t="s">
        <v>2318</v>
      </c>
      <c r="Q86" t="s">
        <v>2319</v>
      </c>
      <c r="R86" t="s">
        <v>2320</v>
      </c>
      <c r="S86" t="s">
        <v>2177</v>
      </c>
      <c r="T86">
        <v>202204</v>
      </c>
      <c r="U86" t="s">
        <v>231</v>
      </c>
      <c r="V86">
        <v>0</v>
      </c>
    </row>
    <row r="87" spans="1:22">
      <c r="A87" t="s">
        <v>2317</v>
      </c>
      <c r="B87" t="s">
        <v>2318</v>
      </c>
      <c r="C87" t="s">
        <v>2321</v>
      </c>
      <c r="D87" t="s">
        <v>2322</v>
      </c>
      <c r="E87" t="s">
        <v>2177</v>
      </c>
      <c r="F87">
        <v>202205</v>
      </c>
      <c r="G87" t="s">
        <v>232</v>
      </c>
      <c r="H87">
        <v>0</v>
      </c>
      <c r="O87" t="s">
        <v>2317</v>
      </c>
      <c r="P87" t="s">
        <v>2318</v>
      </c>
      <c r="Q87" t="s">
        <v>2319</v>
      </c>
      <c r="R87" t="s">
        <v>2320</v>
      </c>
      <c r="S87" t="s">
        <v>2177</v>
      </c>
      <c r="T87">
        <v>202204</v>
      </c>
      <c r="U87" t="s">
        <v>221</v>
      </c>
      <c r="V87">
        <v>1457148.67</v>
      </c>
    </row>
    <row r="88" spans="1:22">
      <c r="A88" t="s">
        <v>2317</v>
      </c>
      <c r="B88" t="s">
        <v>2318</v>
      </c>
      <c r="C88" t="s">
        <v>2321</v>
      </c>
      <c r="D88" t="s">
        <v>2322</v>
      </c>
      <c r="E88" t="s">
        <v>2177</v>
      </c>
      <c r="F88">
        <v>202206</v>
      </c>
      <c r="G88" t="s">
        <v>232</v>
      </c>
      <c r="H88">
        <v>0</v>
      </c>
      <c r="O88" t="s">
        <v>2317</v>
      </c>
      <c r="P88" t="s">
        <v>2318</v>
      </c>
      <c r="Q88" t="s">
        <v>2319</v>
      </c>
      <c r="R88" t="s">
        <v>2320</v>
      </c>
      <c r="S88" t="s">
        <v>2177</v>
      </c>
      <c r="T88">
        <v>202204</v>
      </c>
      <c r="U88" t="s">
        <v>223</v>
      </c>
      <c r="V88">
        <v>175430.9</v>
      </c>
    </row>
    <row r="89" spans="1:22">
      <c r="A89" t="s">
        <v>2317</v>
      </c>
      <c r="B89" t="s">
        <v>2318</v>
      </c>
      <c r="C89" t="s">
        <v>2319</v>
      </c>
      <c r="D89" t="s">
        <v>2320</v>
      </c>
      <c r="E89" t="s">
        <v>2177</v>
      </c>
      <c r="F89">
        <v>202104</v>
      </c>
      <c r="G89" t="s">
        <v>217</v>
      </c>
      <c r="H89">
        <v>5520</v>
      </c>
      <c r="O89" t="s">
        <v>2317</v>
      </c>
      <c r="P89" t="s">
        <v>2318</v>
      </c>
      <c r="Q89" t="s">
        <v>2319</v>
      </c>
      <c r="R89" t="s">
        <v>2320</v>
      </c>
      <c r="S89" t="s">
        <v>2177</v>
      </c>
      <c r="T89">
        <v>202205</v>
      </c>
      <c r="U89" t="s">
        <v>230</v>
      </c>
      <c r="V89">
        <v>110000</v>
      </c>
    </row>
    <row r="90" spans="1:22">
      <c r="A90" t="s">
        <v>2317</v>
      </c>
      <c r="B90" t="s">
        <v>2318</v>
      </c>
      <c r="C90" t="s">
        <v>2319</v>
      </c>
      <c r="D90" t="s">
        <v>2320</v>
      </c>
      <c r="E90" t="s">
        <v>2177</v>
      </c>
      <c r="F90">
        <v>202104</v>
      </c>
      <c r="G90" t="s">
        <v>219</v>
      </c>
      <c r="H90">
        <v>5200</v>
      </c>
      <c r="O90" t="s">
        <v>2317</v>
      </c>
      <c r="P90" t="s">
        <v>2318</v>
      </c>
      <c r="Q90" t="s">
        <v>2319</v>
      </c>
      <c r="R90" t="s">
        <v>2320</v>
      </c>
      <c r="S90" t="s">
        <v>2177</v>
      </c>
      <c r="T90">
        <v>202205</v>
      </c>
      <c r="U90" t="s">
        <v>231</v>
      </c>
      <c r="V90">
        <v>0</v>
      </c>
    </row>
    <row r="91" spans="1:22">
      <c r="A91" t="s">
        <v>2317</v>
      </c>
      <c r="B91" t="s">
        <v>2318</v>
      </c>
      <c r="C91" t="s">
        <v>2319</v>
      </c>
      <c r="D91" t="s">
        <v>2320</v>
      </c>
      <c r="E91" t="s">
        <v>2177</v>
      </c>
      <c r="F91">
        <v>202105</v>
      </c>
      <c r="G91" t="s">
        <v>217</v>
      </c>
      <c r="H91">
        <v>5520</v>
      </c>
      <c r="O91" t="s">
        <v>2317</v>
      </c>
      <c r="P91" t="s">
        <v>2318</v>
      </c>
      <c r="Q91" t="s">
        <v>2319</v>
      </c>
      <c r="R91" t="s">
        <v>2320</v>
      </c>
      <c r="S91" t="s">
        <v>2177</v>
      </c>
      <c r="T91">
        <v>202205</v>
      </c>
      <c r="U91" t="s">
        <v>221</v>
      </c>
      <c r="V91">
        <v>1496135</v>
      </c>
    </row>
    <row r="92" spans="1:22">
      <c r="A92" t="s">
        <v>2317</v>
      </c>
      <c r="B92" t="s">
        <v>2318</v>
      </c>
      <c r="C92" t="s">
        <v>2319</v>
      </c>
      <c r="D92" t="s">
        <v>2320</v>
      </c>
      <c r="E92" t="s">
        <v>2177</v>
      </c>
      <c r="F92">
        <v>202105</v>
      </c>
      <c r="G92" t="s">
        <v>219</v>
      </c>
      <c r="H92">
        <v>5200</v>
      </c>
      <c r="O92" t="s">
        <v>2317</v>
      </c>
      <c r="P92" t="s">
        <v>2318</v>
      </c>
      <c r="Q92" t="s">
        <v>2319</v>
      </c>
      <c r="R92" t="s">
        <v>2320</v>
      </c>
      <c r="S92" t="s">
        <v>2177</v>
      </c>
      <c r="T92">
        <v>202205</v>
      </c>
      <c r="U92" t="s">
        <v>223</v>
      </c>
      <c r="V92">
        <v>206322.9</v>
      </c>
    </row>
    <row r="93" spans="1:22">
      <c r="A93" t="s">
        <v>2317</v>
      </c>
      <c r="B93" t="s">
        <v>2318</v>
      </c>
      <c r="C93" t="s">
        <v>2319</v>
      </c>
      <c r="D93" t="s">
        <v>2320</v>
      </c>
      <c r="E93" t="s">
        <v>2177</v>
      </c>
      <c r="F93">
        <v>202106</v>
      </c>
      <c r="G93" t="s">
        <v>217</v>
      </c>
      <c r="H93">
        <v>5520</v>
      </c>
      <c r="O93" t="s">
        <v>2317</v>
      </c>
      <c r="P93" t="s">
        <v>2318</v>
      </c>
      <c r="Q93" t="s">
        <v>2321</v>
      </c>
      <c r="R93" t="s">
        <v>2322</v>
      </c>
      <c r="S93" t="s">
        <v>2177</v>
      </c>
      <c r="T93">
        <v>202107</v>
      </c>
      <c r="U93" t="s">
        <v>230</v>
      </c>
      <c r="V93">
        <v>0</v>
      </c>
    </row>
    <row r="94" spans="1:22">
      <c r="A94" t="s">
        <v>2317</v>
      </c>
      <c r="B94" t="s">
        <v>2318</v>
      </c>
      <c r="C94" t="s">
        <v>2319</v>
      </c>
      <c r="D94" t="s">
        <v>2320</v>
      </c>
      <c r="E94" t="s">
        <v>2177</v>
      </c>
      <c r="F94">
        <v>202106</v>
      </c>
      <c r="G94" t="s">
        <v>219</v>
      </c>
      <c r="H94">
        <v>5200</v>
      </c>
      <c r="O94" t="s">
        <v>2317</v>
      </c>
      <c r="P94" t="s">
        <v>2318</v>
      </c>
      <c r="Q94" t="s">
        <v>2321</v>
      </c>
      <c r="R94" t="s">
        <v>2322</v>
      </c>
      <c r="S94" t="s">
        <v>2177</v>
      </c>
      <c r="T94">
        <v>202107</v>
      </c>
      <c r="U94" t="s">
        <v>231</v>
      </c>
      <c r="V94">
        <v>0</v>
      </c>
    </row>
    <row r="95" spans="1:22">
      <c r="A95" t="s">
        <v>2317</v>
      </c>
      <c r="B95" t="s">
        <v>2318</v>
      </c>
      <c r="C95" t="s">
        <v>2319</v>
      </c>
      <c r="D95" t="s">
        <v>2320</v>
      </c>
      <c r="E95" t="s">
        <v>2177</v>
      </c>
      <c r="F95">
        <v>202107</v>
      </c>
      <c r="G95" t="s">
        <v>217</v>
      </c>
      <c r="H95">
        <v>5520</v>
      </c>
      <c r="O95" t="s">
        <v>2317</v>
      </c>
      <c r="P95" t="s">
        <v>2318</v>
      </c>
      <c r="Q95" t="s">
        <v>2321</v>
      </c>
      <c r="R95" t="s">
        <v>2322</v>
      </c>
      <c r="S95" t="s">
        <v>2177</v>
      </c>
      <c r="T95">
        <v>202107</v>
      </c>
      <c r="U95" t="s">
        <v>221</v>
      </c>
      <c r="V95">
        <v>0</v>
      </c>
    </row>
    <row r="96" spans="1:22">
      <c r="A96" t="s">
        <v>2317</v>
      </c>
      <c r="B96" t="s">
        <v>2318</v>
      </c>
      <c r="C96" t="s">
        <v>2319</v>
      </c>
      <c r="D96" t="s">
        <v>2320</v>
      </c>
      <c r="E96" t="s">
        <v>2177</v>
      </c>
      <c r="F96">
        <v>202107</v>
      </c>
      <c r="G96" t="s">
        <v>219</v>
      </c>
      <c r="H96">
        <v>5200</v>
      </c>
      <c r="O96" t="s">
        <v>2317</v>
      </c>
      <c r="P96" t="s">
        <v>2318</v>
      </c>
      <c r="Q96" t="s">
        <v>2321</v>
      </c>
      <c r="R96" t="s">
        <v>2322</v>
      </c>
      <c r="S96" t="s">
        <v>2177</v>
      </c>
      <c r="T96">
        <v>202107</v>
      </c>
      <c r="U96" t="s">
        <v>223</v>
      </c>
      <c r="V96">
        <v>9659</v>
      </c>
    </row>
    <row r="97" spans="1:22">
      <c r="A97" t="s">
        <v>2317</v>
      </c>
      <c r="B97" t="s">
        <v>2318</v>
      </c>
      <c r="C97" t="s">
        <v>2319</v>
      </c>
      <c r="D97" t="s">
        <v>2320</v>
      </c>
      <c r="E97" t="s">
        <v>2177</v>
      </c>
      <c r="F97">
        <v>202108</v>
      </c>
      <c r="G97" t="s">
        <v>217</v>
      </c>
      <c r="H97">
        <v>5520</v>
      </c>
      <c r="O97" t="s">
        <v>2317</v>
      </c>
      <c r="P97" t="s">
        <v>2318</v>
      </c>
      <c r="Q97" t="s">
        <v>2321</v>
      </c>
      <c r="R97" t="s">
        <v>2322</v>
      </c>
      <c r="S97" t="s">
        <v>2177</v>
      </c>
      <c r="T97">
        <v>202107</v>
      </c>
      <c r="U97" t="s">
        <v>225</v>
      </c>
      <c r="V97">
        <v>0</v>
      </c>
    </row>
    <row r="98" spans="1:22">
      <c r="A98" t="s">
        <v>2317</v>
      </c>
      <c r="B98" t="s">
        <v>2318</v>
      </c>
      <c r="C98" t="s">
        <v>2319</v>
      </c>
      <c r="D98" t="s">
        <v>2320</v>
      </c>
      <c r="E98" t="s">
        <v>2177</v>
      </c>
      <c r="F98">
        <v>202108</v>
      </c>
      <c r="G98" t="s">
        <v>219</v>
      </c>
      <c r="H98">
        <v>5200</v>
      </c>
      <c r="O98" t="s">
        <v>2317</v>
      </c>
      <c r="P98" t="s">
        <v>2318</v>
      </c>
      <c r="Q98" t="s">
        <v>2321</v>
      </c>
      <c r="R98" t="s">
        <v>2322</v>
      </c>
      <c r="S98" t="s">
        <v>2177</v>
      </c>
      <c r="T98">
        <v>202108</v>
      </c>
      <c r="U98" t="s">
        <v>230</v>
      </c>
      <c r="V98">
        <v>0</v>
      </c>
    </row>
    <row r="99" spans="1:22">
      <c r="A99" t="s">
        <v>2317</v>
      </c>
      <c r="B99" t="s">
        <v>2318</v>
      </c>
      <c r="C99" t="s">
        <v>2319</v>
      </c>
      <c r="D99" t="s">
        <v>2320</v>
      </c>
      <c r="E99" t="s">
        <v>2177</v>
      </c>
      <c r="F99">
        <v>202109</v>
      </c>
      <c r="G99" t="s">
        <v>217</v>
      </c>
      <c r="H99">
        <v>5520</v>
      </c>
      <c r="O99" t="s">
        <v>2317</v>
      </c>
      <c r="P99" t="s">
        <v>2318</v>
      </c>
      <c r="Q99" t="s">
        <v>2321</v>
      </c>
      <c r="R99" t="s">
        <v>2322</v>
      </c>
      <c r="S99" t="s">
        <v>2177</v>
      </c>
      <c r="T99">
        <v>202108</v>
      </c>
      <c r="U99" t="s">
        <v>231</v>
      </c>
      <c r="V99">
        <v>0</v>
      </c>
    </row>
    <row r="100" spans="1:22">
      <c r="A100" t="s">
        <v>2317</v>
      </c>
      <c r="B100" t="s">
        <v>2318</v>
      </c>
      <c r="C100" t="s">
        <v>2319</v>
      </c>
      <c r="D100" t="s">
        <v>2320</v>
      </c>
      <c r="E100" t="s">
        <v>2177</v>
      </c>
      <c r="F100">
        <v>202109</v>
      </c>
      <c r="G100" t="s">
        <v>219</v>
      </c>
      <c r="H100">
        <v>5483.77</v>
      </c>
      <c r="O100" t="s">
        <v>2317</v>
      </c>
      <c r="P100" t="s">
        <v>2318</v>
      </c>
      <c r="Q100" t="s">
        <v>2321</v>
      </c>
      <c r="R100" t="s">
        <v>2322</v>
      </c>
      <c r="S100" t="s">
        <v>2177</v>
      </c>
      <c r="T100">
        <v>202108</v>
      </c>
      <c r="U100" t="s">
        <v>221</v>
      </c>
      <c r="V100">
        <v>0</v>
      </c>
    </row>
    <row r="101" spans="1:22">
      <c r="A101" t="s">
        <v>2317</v>
      </c>
      <c r="B101" t="s">
        <v>2318</v>
      </c>
      <c r="C101" t="s">
        <v>2319</v>
      </c>
      <c r="D101" t="s">
        <v>2320</v>
      </c>
      <c r="E101" t="s">
        <v>2177</v>
      </c>
      <c r="F101">
        <v>202110</v>
      </c>
      <c r="G101" t="s">
        <v>217</v>
      </c>
      <c r="H101">
        <v>5520</v>
      </c>
      <c r="O101" t="s">
        <v>2317</v>
      </c>
      <c r="P101" t="s">
        <v>2318</v>
      </c>
      <c r="Q101" t="s">
        <v>2321</v>
      </c>
      <c r="R101" t="s">
        <v>2322</v>
      </c>
      <c r="S101" t="s">
        <v>2177</v>
      </c>
      <c r="T101">
        <v>202108</v>
      </c>
      <c r="U101" t="s">
        <v>223</v>
      </c>
      <c r="V101">
        <v>16415</v>
      </c>
    </row>
    <row r="102" spans="1:22">
      <c r="A102" t="s">
        <v>2317</v>
      </c>
      <c r="B102" t="s">
        <v>2318</v>
      </c>
      <c r="C102" t="s">
        <v>2319</v>
      </c>
      <c r="D102" t="s">
        <v>2320</v>
      </c>
      <c r="E102" t="s">
        <v>2177</v>
      </c>
      <c r="F102">
        <v>202110</v>
      </c>
      <c r="G102" t="s">
        <v>219</v>
      </c>
      <c r="H102">
        <v>5280.83</v>
      </c>
      <c r="O102" t="s">
        <v>2317</v>
      </c>
      <c r="P102" t="s">
        <v>2318</v>
      </c>
      <c r="Q102" t="s">
        <v>2321</v>
      </c>
      <c r="R102" t="s">
        <v>2322</v>
      </c>
      <c r="S102" t="s">
        <v>2177</v>
      </c>
      <c r="T102">
        <v>202109</v>
      </c>
      <c r="U102" t="s">
        <v>230</v>
      </c>
      <c r="V102">
        <v>0</v>
      </c>
    </row>
    <row r="103" spans="1:22">
      <c r="A103" t="s">
        <v>2317</v>
      </c>
      <c r="B103" t="s">
        <v>2318</v>
      </c>
      <c r="C103" t="s">
        <v>2319</v>
      </c>
      <c r="D103" t="s">
        <v>2320</v>
      </c>
      <c r="E103" t="s">
        <v>2177</v>
      </c>
      <c r="F103">
        <v>202111</v>
      </c>
      <c r="G103" t="s">
        <v>217</v>
      </c>
      <c r="H103">
        <v>5520</v>
      </c>
      <c r="O103" t="s">
        <v>2317</v>
      </c>
      <c r="P103" t="s">
        <v>2318</v>
      </c>
      <c r="Q103" t="s">
        <v>2321</v>
      </c>
      <c r="R103" t="s">
        <v>2322</v>
      </c>
      <c r="S103" t="s">
        <v>2177</v>
      </c>
      <c r="T103">
        <v>202109</v>
      </c>
      <c r="U103" t="s">
        <v>231</v>
      </c>
      <c r="V103">
        <v>0</v>
      </c>
    </row>
    <row r="104" spans="1:22">
      <c r="A104" t="s">
        <v>2317</v>
      </c>
      <c r="B104" t="s">
        <v>2318</v>
      </c>
      <c r="C104" t="s">
        <v>2319</v>
      </c>
      <c r="D104" t="s">
        <v>2320</v>
      </c>
      <c r="E104" t="s">
        <v>2177</v>
      </c>
      <c r="F104">
        <v>202111</v>
      </c>
      <c r="G104" t="s">
        <v>219</v>
      </c>
      <c r="H104">
        <v>5331.91</v>
      </c>
      <c r="O104" t="s">
        <v>2317</v>
      </c>
      <c r="P104" t="s">
        <v>2318</v>
      </c>
      <c r="Q104" t="s">
        <v>2321</v>
      </c>
      <c r="R104" t="s">
        <v>2322</v>
      </c>
      <c r="S104" t="s">
        <v>2177</v>
      </c>
      <c r="T104">
        <v>202109</v>
      </c>
      <c r="U104" t="s">
        <v>221</v>
      </c>
      <c r="V104">
        <v>0</v>
      </c>
    </row>
    <row r="105" spans="1:22">
      <c r="A105" t="s">
        <v>2317</v>
      </c>
      <c r="B105" t="s">
        <v>2318</v>
      </c>
      <c r="C105" t="s">
        <v>2319</v>
      </c>
      <c r="D105" t="s">
        <v>2320</v>
      </c>
      <c r="E105" t="s">
        <v>2177</v>
      </c>
      <c r="F105">
        <v>202112</v>
      </c>
      <c r="G105" t="s">
        <v>217</v>
      </c>
      <c r="H105">
        <v>5520</v>
      </c>
      <c r="O105" t="s">
        <v>2317</v>
      </c>
      <c r="P105" t="s">
        <v>2318</v>
      </c>
      <c r="Q105" t="s">
        <v>2321</v>
      </c>
      <c r="R105" t="s">
        <v>2322</v>
      </c>
      <c r="S105" t="s">
        <v>2177</v>
      </c>
      <c r="T105">
        <v>202109</v>
      </c>
      <c r="U105" t="s">
        <v>223</v>
      </c>
      <c r="V105">
        <v>19190</v>
      </c>
    </row>
    <row r="106" spans="1:22">
      <c r="A106" t="s">
        <v>2317</v>
      </c>
      <c r="B106" t="s">
        <v>2318</v>
      </c>
      <c r="C106" t="s">
        <v>2319</v>
      </c>
      <c r="D106" t="s">
        <v>2320</v>
      </c>
      <c r="E106" t="s">
        <v>2177</v>
      </c>
      <c r="F106">
        <v>202112</v>
      </c>
      <c r="G106" t="s">
        <v>219</v>
      </c>
      <c r="H106">
        <v>5353.4</v>
      </c>
      <c r="O106" t="s">
        <v>2317</v>
      </c>
      <c r="P106" t="s">
        <v>2318</v>
      </c>
      <c r="Q106" t="s">
        <v>2321</v>
      </c>
      <c r="R106" t="s">
        <v>2322</v>
      </c>
      <c r="S106" t="s">
        <v>2177</v>
      </c>
      <c r="T106">
        <v>202110</v>
      </c>
      <c r="U106" t="s">
        <v>230</v>
      </c>
      <c r="V106">
        <v>0</v>
      </c>
    </row>
    <row r="107" spans="1:22">
      <c r="A107" t="s">
        <v>2317</v>
      </c>
      <c r="B107" t="s">
        <v>2318</v>
      </c>
      <c r="C107" t="s">
        <v>2319</v>
      </c>
      <c r="D107" t="s">
        <v>2320</v>
      </c>
      <c r="E107" t="s">
        <v>2177</v>
      </c>
      <c r="F107">
        <v>202201</v>
      </c>
      <c r="G107" t="s">
        <v>217</v>
      </c>
      <c r="H107">
        <v>5604.82</v>
      </c>
      <c r="O107" t="s">
        <v>2317</v>
      </c>
      <c r="P107" t="s">
        <v>2318</v>
      </c>
      <c r="Q107" t="s">
        <v>2321</v>
      </c>
      <c r="R107" t="s">
        <v>2322</v>
      </c>
      <c r="S107" t="s">
        <v>2177</v>
      </c>
      <c r="T107">
        <v>202110</v>
      </c>
      <c r="U107" t="s">
        <v>231</v>
      </c>
      <c r="V107">
        <v>0</v>
      </c>
    </row>
    <row r="108" spans="1:22">
      <c r="A108" t="s">
        <v>2317</v>
      </c>
      <c r="B108" t="s">
        <v>2318</v>
      </c>
      <c r="C108" t="s">
        <v>2319</v>
      </c>
      <c r="D108" t="s">
        <v>2320</v>
      </c>
      <c r="E108" t="s">
        <v>2177</v>
      </c>
      <c r="F108">
        <v>202201</v>
      </c>
      <c r="G108" t="s">
        <v>219</v>
      </c>
      <c r="H108">
        <v>5373.73</v>
      </c>
      <c r="O108" t="s">
        <v>2317</v>
      </c>
      <c r="P108" t="s">
        <v>2318</v>
      </c>
      <c r="Q108" t="s">
        <v>2321</v>
      </c>
      <c r="R108" t="s">
        <v>2322</v>
      </c>
      <c r="S108" t="s">
        <v>2177</v>
      </c>
      <c r="T108">
        <v>202110</v>
      </c>
      <c r="U108" t="s">
        <v>221</v>
      </c>
      <c r="V108">
        <v>0</v>
      </c>
    </row>
    <row r="109" spans="1:22">
      <c r="A109" t="s">
        <v>2317</v>
      </c>
      <c r="B109" t="s">
        <v>2318</v>
      </c>
      <c r="C109" t="s">
        <v>2319</v>
      </c>
      <c r="D109" t="s">
        <v>2320</v>
      </c>
      <c r="E109" t="s">
        <v>2177</v>
      </c>
      <c r="F109">
        <v>202202</v>
      </c>
      <c r="G109" t="s">
        <v>217</v>
      </c>
      <c r="H109">
        <v>5520</v>
      </c>
      <c r="O109" t="s">
        <v>2317</v>
      </c>
      <c r="P109" t="s">
        <v>2318</v>
      </c>
      <c r="Q109" t="s">
        <v>2321</v>
      </c>
      <c r="R109" t="s">
        <v>2322</v>
      </c>
      <c r="S109" t="s">
        <v>2177</v>
      </c>
      <c r="T109">
        <v>202110</v>
      </c>
      <c r="U109" t="s">
        <v>223</v>
      </c>
      <c r="V109">
        <v>0</v>
      </c>
    </row>
    <row r="110" spans="1:22">
      <c r="A110" t="s">
        <v>2317</v>
      </c>
      <c r="B110" t="s">
        <v>2318</v>
      </c>
      <c r="C110" t="s">
        <v>2319</v>
      </c>
      <c r="D110" t="s">
        <v>2320</v>
      </c>
      <c r="E110" t="s">
        <v>2177</v>
      </c>
      <c r="F110">
        <v>202202</v>
      </c>
      <c r="G110" t="s">
        <v>219</v>
      </c>
      <c r="H110">
        <v>5200</v>
      </c>
      <c r="O110" t="s">
        <v>2317</v>
      </c>
      <c r="P110" t="s">
        <v>2318</v>
      </c>
      <c r="Q110" t="s">
        <v>2321</v>
      </c>
      <c r="R110" t="s">
        <v>2322</v>
      </c>
      <c r="S110" t="s">
        <v>2177</v>
      </c>
      <c r="T110">
        <v>202111</v>
      </c>
      <c r="U110" t="s">
        <v>230</v>
      </c>
      <c r="V110">
        <v>0</v>
      </c>
    </row>
    <row r="111" spans="1:22">
      <c r="A111" t="s">
        <v>2317</v>
      </c>
      <c r="B111" t="s">
        <v>2318</v>
      </c>
      <c r="C111" t="s">
        <v>2319</v>
      </c>
      <c r="D111" t="s">
        <v>2320</v>
      </c>
      <c r="E111" t="s">
        <v>2177</v>
      </c>
      <c r="F111">
        <v>202203</v>
      </c>
      <c r="G111" t="s">
        <v>217</v>
      </c>
      <c r="H111">
        <v>5520</v>
      </c>
      <c r="O111" t="s">
        <v>2317</v>
      </c>
      <c r="P111" t="s">
        <v>2318</v>
      </c>
      <c r="Q111" t="s">
        <v>2321</v>
      </c>
      <c r="R111" t="s">
        <v>2322</v>
      </c>
      <c r="S111" t="s">
        <v>2177</v>
      </c>
      <c r="T111">
        <v>202111</v>
      </c>
      <c r="U111" t="s">
        <v>231</v>
      </c>
      <c r="V111">
        <v>0</v>
      </c>
    </row>
    <row r="112" spans="1:22">
      <c r="A112" t="s">
        <v>2317</v>
      </c>
      <c r="B112" t="s">
        <v>2318</v>
      </c>
      <c r="C112" t="s">
        <v>2319</v>
      </c>
      <c r="D112" t="s">
        <v>2320</v>
      </c>
      <c r="E112" t="s">
        <v>2177</v>
      </c>
      <c r="F112">
        <v>202203</v>
      </c>
      <c r="G112" t="s">
        <v>219</v>
      </c>
      <c r="H112">
        <v>5200</v>
      </c>
      <c r="O112" t="s">
        <v>2317</v>
      </c>
      <c r="P112" t="s">
        <v>2318</v>
      </c>
      <c r="Q112" t="s">
        <v>2321</v>
      </c>
      <c r="R112" t="s">
        <v>2322</v>
      </c>
      <c r="S112" t="s">
        <v>2177</v>
      </c>
      <c r="T112">
        <v>202111</v>
      </c>
      <c r="U112" t="s">
        <v>221</v>
      </c>
      <c r="V112">
        <v>0</v>
      </c>
    </row>
    <row r="113" spans="1:22">
      <c r="A113" t="s">
        <v>2317</v>
      </c>
      <c r="B113" t="s">
        <v>2318</v>
      </c>
      <c r="C113" t="s">
        <v>2319</v>
      </c>
      <c r="D113" t="s">
        <v>2320</v>
      </c>
      <c r="E113" t="s">
        <v>2177</v>
      </c>
      <c r="F113">
        <v>202204</v>
      </c>
      <c r="G113" t="s">
        <v>217</v>
      </c>
      <c r="H113">
        <v>5520</v>
      </c>
      <c r="O113" t="s">
        <v>2317</v>
      </c>
      <c r="P113" t="s">
        <v>2318</v>
      </c>
      <c r="Q113" t="s">
        <v>2321</v>
      </c>
      <c r="R113" t="s">
        <v>2322</v>
      </c>
      <c r="S113" t="s">
        <v>2177</v>
      </c>
      <c r="T113">
        <v>202111</v>
      </c>
      <c r="U113" t="s">
        <v>223</v>
      </c>
      <c r="V113">
        <v>26894</v>
      </c>
    </row>
    <row r="114" spans="1:22">
      <c r="A114" t="s">
        <v>2317</v>
      </c>
      <c r="B114" t="s">
        <v>2318</v>
      </c>
      <c r="C114" t="s">
        <v>2319</v>
      </c>
      <c r="D114" t="s">
        <v>2320</v>
      </c>
      <c r="E114" t="s">
        <v>2177</v>
      </c>
      <c r="F114">
        <v>202204</v>
      </c>
      <c r="G114" t="s">
        <v>219</v>
      </c>
      <c r="H114">
        <v>5200</v>
      </c>
      <c r="O114" t="s">
        <v>2317</v>
      </c>
      <c r="P114" t="s">
        <v>2318</v>
      </c>
      <c r="Q114" t="s">
        <v>2321</v>
      </c>
      <c r="R114" t="s">
        <v>2322</v>
      </c>
      <c r="S114" t="s">
        <v>2177</v>
      </c>
      <c r="T114">
        <v>202112</v>
      </c>
      <c r="U114" t="s">
        <v>230</v>
      </c>
      <c r="V114">
        <v>0</v>
      </c>
    </row>
    <row r="115" spans="1:22">
      <c r="A115" t="s">
        <v>2317</v>
      </c>
      <c r="B115" t="s">
        <v>2318</v>
      </c>
      <c r="C115" t="s">
        <v>2319</v>
      </c>
      <c r="D115" t="s">
        <v>2320</v>
      </c>
      <c r="E115" t="s">
        <v>2177</v>
      </c>
      <c r="F115">
        <v>202205</v>
      </c>
      <c r="G115" t="s">
        <v>217</v>
      </c>
      <c r="H115">
        <v>5520</v>
      </c>
      <c r="O115" t="s">
        <v>2317</v>
      </c>
      <c r="P115" t="s">
        <v>2318</v>
      </c>
      <c r="Q115" t="s">
        <v>2321</v>
      </c>
      <c r="R115" t="s">
        <v>2322</v>
      </c>
      <c r="S115" t="s">
        <v>2177</v>
      </c>
      <c r="T115">
        <v>202112</v>
      </c>
      <c r="U115" t="s">
        <v>231</v>
      </c>
      <c r="V115">
        <v>0</v>
      </c>
    </row>
    <row r="116" spans="1:22">
      <c r="A116" t="s">
        <v>2317</v>
      </c>
      <c r="B116" t="s">
        <v>2318</v>
      </c>
      <c r="C116" t="s">
        <v>2319</v>
      </c>
      <c r="D116" t="s">
        <v>2320</v>
      </c>
      <c r="E116" t="s">
        <v>2177</v>
      </c>
      <c r="F116">
        <v>202205</v>
      </c>
      <c r="G116" t="s">
        <v>219</v>
      </c>
      <c r="H116">
        <v>5200</v>
      </c>
      <c r="O116" t="s">
        <v>2317</v>
      </c>
      <c r="P116" t="s">
        <v>2318</v>
      </c>
      <c r="Q116" t="s">
        <v>2321</v>
      </c>
      <c r="R116" t="s">
        <v>2322</v>
      </c>
      <c r="S116" t="s">
        <v>2177</v>
      </c>
      <c r="T116">
        <v>202112</v>
      </c>
      <c r="U116" t="s">
        <v>221</v>
      </c>
      <c r="V116">
        <v>407738</v>
      </c>
    </row>
    <row r="117" spans="1:22">
      <c r="A117" t="s">
        <v>2317</v>
      </c>
      <c r="B117" t="s">
        <v>2318</v>
      </c>
      <c r="C117" t="s">
        <v>2321</v>
      </c>
      <c r="D117" t="s">
        <v>2322</v>
      </c>
      <c r="E117" t="s">
        <v>2177</v>
      </c>
      <c r="F117">
        <v>202104</v>
      </c>
      <c r="G117" t="s">
        <v>217</v>
      </c>
      <c r="H117">
        <v>2150</v>
      </c>
      <c r="O117" t="s">
        <v>2317</v>
      </c>
      <c r="P117" t="s">
        <v>2318</v>
      </c>
      <c r="Q117" t="s">
        <v>2321</v>
      </c>
      <c r="R117" t="s">
        <v>2322</v>
      </c>
      <c r="S117" t="s">
        <v>2177</v>
      </c>
      <c r="T117">
        <v>202112</v>
      </c>
      <c r="U117" t="s">
        <v>223</v>
      </c>
      <c r="V117">
        <v>63996</v>
      </c>
    </row>
    <row r="118" spans="1:22">
      <c r="A118" t="s">
        <v>2317</v>
      </c>
      <c r="B118" t="s">
        <v>2318</v>
      </c>
      <c r="C118" t="s">
        <v>2321</v>
      </c>
      <c r="D118" t="s">
        <v>2322</v>
      </c>
      <c r="E118" t="s">
        <v>2177</v>
      </c>
      <c r="F118">
        <v>202104</v>
      </c>
      <c r="G118" t="s">
        <v>219</v>
      </c>
      <c r="H118">
        <v>2200</v>
      </c>
      <c r="O118" t="s">
        <v>2317</v>
      </c>
      <c r="P118" t="s">
        <v>2318</v>
      </c>
      <c r="Q118" t="s">
        <v>2321</v>
      </c>
      <c r="R118" t="s">
        <v>2322</v>
      </c>
      <c r="S118" t="s">
        <v>2177</v>
      </c>
      <c r="T118">
        <v>202201</v>
      </c>
      <c r="U118" t="s">
        <v>230</v>
      </c>
      <c r="V118">
        <v>0</v>
      </c>
    </row>
    <row r="119" spans="1:22">
      <c r="A119" t="s">
        <v>2317</v>
      </c>
      <c r="B119" t="s">
        <v>2318</v>
      </c>
      <c r="C119" t="s">
        <v>2321</v>
      </c>
      <c r="D119" t="s">
        <v>2322</v>
      </c>
      <c r="E119" t="s">
        <v>2177</v>
      </c>
      <c r="F119">
        <v>202105</v>
      </c>
      <c r="G119" t="s">
        <v>217</v>
      </c>
      <c r="H119">
        <v>2150</v>
      </c>
      <c r="O119" t="s">
        <v>2317</v>
      </c>
      <c r="P119" t="s">
        <v>2318</v>
      </c>
      <c r="Q119" t="s">
        <v>2321</v>
      </c>
      <c r="R119" t="s">
        <v>2322</v>
      </c>
      <c r="S119" t="s">
        <v>2177</v>
      </c>
      <c r="T119">
        <v>202201</v>
      </c>
      <c r="U119" t="s">
        <v>231</v>
      </c>
      <c r="V119">
        <v>0</v>
      </c>
    </row>
    <row r="120" spans="1:22">
      <c r="A120" t="s">
        <v>2317</v>
      </c>
      <c r="B120" t="s">
        <v>2318</v>
      </c>
      <c r="C120" t="s">
        <v>2321</v>
      </c>
      <c r="D120" t="s">
        <v>2322</v>
      </c>
      <c r="E120" t="s">
        <v>2177</v>
      </c>
      <c r="F120">
        <v>202105</v>
      </c>
      <c r="G120" t="s">
        <v>219</v>
      </c>
      <c r="H120">
        <v>2200</v>
      </c>
      <c r="O120" t="s">
        <v>2317</v>
      </c>
      <c r="P120" t="s">
        <v>2318</v>
      </c>
      <c r="Q120" t="s">
        <v>2321</v>
      </c>
      <c r="R120" t="s">
        <v>2322</v>
      </c>
      <c r="S120" t="s">
        <v>2177</v>
      </c>
      <c r="T120">
        <v>202201</v>
      </c>
      <c r="U120" t="s">
        <v>221</v>
      </c>
      <c r="V120">
        <v>576109</v>
      </c>
    </row>
    <row r="121" spans="1:22">
      <c r="A121" t="s">
        <v>2317</v>
      </c>
      <c r="B121" t="s">
        <v>2318</v>
      </c>
      <c r="C121" t="s">
        <v>2321</v>
      </c>
      <c r="D121" t="s">
        <v>2322</v>
      </c>
      <c r="E121" t="s">
        <v>2177</v>
      </c>
      <c r="F121">
        <v>202106</v>
      </c>
      <c r="G121" t="s">
        <v>217</v>
      </c>
      <c r="H121">
        <v>2150</v>
      </c>
      <c r="O121" t="s">
        <v>2317</v>
      </c>
      <c r="P121" t="s">
        <v>2318</v>
      </c>
      <c r="Q121" t="s">
        <v>2321</v>
      </c>
      <c r="R121" t="s">
        <v>2322</v>
      </c>
      <c r="S121" t="s">
        <v>2177</v>
      </c>
      <c r="T121">
        <v>202201</v>
      </c>
      <c r="U121" t="s">
        <v>223</v>
      </c>
      <c r="V121">
        <v>87448</v>
      </c>
    </row>
    <row r="122" spans="1:22">
      <c r="A122" t="s">
        <v>2317</v>
      </c>
      <c r="B122" t="s">
        <v>2318</v>
      </c>
      <c r="C122" t="s">
        <v>2321</v>
      </c>
      <c r="D122" t="s">
        <v>2322</v>
      </c>
      <c r="E122" t="s">
        <v>2177</v>
      </c>
      <c r="F122">
        <v>202106</v>
      </c>
      <c r="G122" t="s">
        <v>219</v>
      </c>
      <c r="H122">
        <v>2200</v>
      </c>
      <c r="O122" t="s">
        <v>2317</v>
      </c>
      <c r="P122" t="s">
        <v>2318</v>
      </c>
      <c r="Q122" t="s">
        <v>2321</v>
      </c>
      <c r="R122" t="s">
        <v>2322</v>
      </c>
      <c r="S122" t="s">
        <v>2177</v>
      </c>
      <c r="T122">
        <v>202202</v>
      </c>
      <c r="U122" t="s">
        <v>230</v>
      </c>
      <c r="V122">
        <v>0</v>
      </c>
    </row>
    <row r="123" spans="1:22">
      <c r="A123" t="s">
        <v>2317</v>
      </c>
      <c r="B123" t="s">
        <v>2318</v>
      </c>
      <c r="C123" t="s">
        <v>2321</v>
      </c>
      <c r="D123" t="s">
        <v>2322</v>
      </c>
      <c r="E123" t="s">
        <v>2177</v>
      </c>
      <c r="F123">
        <v>202107</v>
      </c>
      <c r="G123" t="s">
        <v>217</v>
      </c>
      <c r="H123">
        <v>2150</v>
      </c>
      <c r="O123" t="s">
        <v>2317</v>
      </c>
      <c r="P123" t="s">
        <v>2318</v>
      </c>
      <c r="Q123" t="s">
        <v>2321</v>
      </c>
      <c r="R123" t="s">
        <v>2322</v>
      </c>
      <c r="S123" t="s">
        <v>2177</v>
      </c>
      <c r="T123">
        <v>202202</v>
      </c>
      <c r="U123" t="s">
        <v>231</v>
      </c>
      <c r="V123">
        <v>0</v>
      </c>
    </row>
    <row r="124" spans="1:22">
      <c r="A124" t="s">
        <v>2317</v>
      </c>
      <c r="B124" t="s">
        <v>2318</v>
      </c>
      <c r="C124" t="s">
        <v>2321</v>
      </c>
      <c r="D124" t="s">
        <v>2322</v>
      </c>
      <c r="E124" t="s">
        <v>2177</v>
      </c>
      <c r="F124">
        <v>202107</v>
      </c>
      <c r="G124" t="s">
        <v>219</v>
      </c>
      <c r="H124">
        <v>2200</v>
      </c>
      <c r="O124" t="s">
        <v>2317</v>
      </c>
      <c r="P124" t="s">
        <v>2318</v>
      </c>
      <c r="Q124" t="s">
        <v>2321</v>
      </c>
      <c r="R124" t="s">
        <v>2322</v>
      </c>
      <c r="S124" t="s">
        <v>2177</v>
      </c>
      <c r="T124">
        <v>202202</v>
      </c>
      <c r="U124" t="s">
        <v>221</v>
      </c>
      <c r="V124">
        <v>828441</v>
      </c>
    </row>
    <row r="125" spans="1:22">
      <c r="A125" t="s">
        <v>2317</v>
      </c>
      <c r="B125" t="s">
        <v>2318</v>
      </c>
      <c r="C125" t="s">
        <v>2321</v>
      </c>
      <c r="D125" t="s">
        <v>2322</v>
      </c>
      <c r="E125" t="s">
        <v>2177</v>
      </c>
      <c r="F125">
        <v>202108</v>
      </c>
      <c r="G125" t="s">
        <v>217</v>
      </c>
      <c r="H125">
        <v>2150</v>
      </c>
      <c r="O125" t="s">
        <v>2317</v>
      </c>
      <c r="P125" t="s">
        <v>2318</v>
      </c>
      <c r="Q125" t="s">
        <v>2321</v>
      </c>
      <c r="R125" t="s">
        <v>2322</v>
      </c>
      <c r="S125" t="s">
        <v>2177</v>
      </c>
      <c r="T125">
        <v>202202</v>
      </c>
      <c r="U125" t="s">
        <v>223</v>
      </c>
      <c r="V125">
        <v>99044</v>
      </c>
    </row>
    <row r="126" spans="1:22">
      <c r="A126" t="s">
        <v>2317</v>
      </c>
      <c r="B126" t="s">
        <v>2318</v>
      </c>
      <c r="C126" t="s">
        <v>2321</v>
      </c>
      <c r="D126" t="s">
        <v>2322</v>
      </c>
      <c r="E126" t="s">
        <v>2177</v>
      </c>
      <c r="F126">
        <v>202108</v>
      </c>
      <c r="G126" t="s">
        <v>219</v>
      </c>
      <c r="H126">
        <v>2200</v>
      </c>
      <c r="O126" t="s">
        <v>2317</v>
      </c>
      <c r="P126" t="s">
        <v>2318</v>
      </c>
      <c r="Q126" t="s">
        <v>2321</v>
      </c>
      <c r="R126" t="s">
        <v>2322</v>
      </c>
      <c r="S126" t="s">
        <v>2177</v>
      </c>
      <c r="T126">
        <v>202203</v>
      </c>
      <c r="U126" t="s">
        <v>230</v>
      </c>
      <c r="V126">
        <v>0</v>
      </c>
    </row>
    <row r="127" spans="1:22">
      <c r="A127" t="s">
        <v>2317</v>
      </c>
      <c r="B127" t="s">
        <v>2318</v>
      </c>
      <c r="C127" t="s">
        <v>2321</v>
      </c>
      <c r="D127" t="s">
        <v>2322</v>
      </c>
      <c r="E127" t="s">
        <v>2177</v>
      </c>
      <c r="F127">
        <v>202109</v>
      </c>
      <c r="G127" t="s">
        <v>217</v>
      </c>
      <c r="H127">
        <v>2150</v>
      </c>
      <c r="O127" t="s">
        <v>2317</v>
      </c>
      <c r="P127" t="s">
        <v>2318</v>
      </c>
      <c r="Q127" t="s">
        <v>2321</v>
      </c>
      <c r="R127" t="s">
        <v>2322</v>
      </c>
      <c r="S127" t="s">
        <v>2177</v>
      </c>
      <c r="T127">
        <v>202203</v>
      </c>
      <c r="U127" t="s">
        <v>231</v>
      </c>
      <c r="V127">
        <v>0</v>
      </c>
    </row>
    <row r="128" spans="1:22">
      <c r="A128" t="s">
        <v>2317</v>
      </c>
      <c r="B128" t="s">
        <v>2318</v>
      </c>
      <c r="C128" t="s">
        <v>2321</v>
      </c>
      <c r="D128" t="s">
        <v>2322</v>
      </c>
      <c r="E128" t="s">
        <v>2177</v>
      </c>
      <c r="F128">
        <v>202109</v>
      </c>
      <c r="G128" t="s">
        <v>219</v>
      </c>
      <c r="H128">
        <v>2200</v>
      </c>
      <c r="O128" t="s">
        <v>2317</v>
      </c>
      <c r="P128" t="s">
        <v>2318</v>
      </c>
      <c r="Q128" t="s">
        <v>2321</v>
      </c>
      <c r="R128" t="s">
        <v>2322</v>
      </c>
      <c r="S128" t="s">
        <v>2177</v>
      </c>
      <c r="T128">
        <v>202203</v>
      </c>
      <c r="U128" t="s">
        <v>221</v>
      </c>
      <c r="V128">
        <v>688826</v>
      </c>
    </row>
    <row r="129" spans="1:22">
      <c r="A129" t="s">
        <v>2317</v>
      </c>
      <c r="B129" t="s">
        <v>2318</v>
      </c>
      <c r="C129" t="s">
        <v>2321</v>
      </c>
      <c r="D129" t="s">
        <v>2322</v>
      </c>
      <c r="E129" t="s">
        <v>2177</v>
      </c>
      <c r="F129">
        <v>202110</v>
      </c>
      <c r="G129" t="s">
        <v>217</v>
      </c>
      <c r="H129">
        <v>2150</v>
      </c>
      <c r="O129" t="s">
        <v>2317</v>
      </c>
      <c r="P129" t="s">
        <v>2318</v>
      </c>
      <c r="Q129" t="s">
        <v>2321</v>
      </c>
      <c r="R129" t="s">
        <v>2322</v>
      </c>
      <c r="S129" t="s">
        <v>2177</v>
      </c>
      <c r="T129">
        <v>202203</v>
      </c>
      <c r="U129" t="s">
        <v>223</v>
      </c>
      <c r="V129">
        <v>100414</v>
      </c>
    </row>
    <row r="130" spans="1:22">
      <c r="A130" t="s">
        <v>2317</v>
      </c>
      <c r="B130" t="s">
        <v>2318</v>
      </c>
      <c r="C130" t="s">
        <v>2321</v>
      </c>
      <c r="D130" t="s">
        <v>2322</v>
      </c>
      <c r="E130" t="s">
        <v>2177</v>
      </c>
      <c r="F130">
        <v>202110</v>
      </c>
      <c r="G130" t="s">
        <v>219</v>
      </c>
      <c r="H130">
        <v>2200</v>
      </c>
      <c r="O130" t="s">
        <v>2317</v>
      </c>
      <c r="P130" t="s">
        <v>2318</v>
      </c>
      <c r="Q130" t="s">
        <v>2321</v>
      </c>
      <c r="R130" t="s">
        <v>2322</v>
      </c>
      <c r="S130" t="s">
        <v>2177</v>
      </c>
      <c r="T130">
        <v>202204</v>
      </c>
      <c r="U130" t="s">
        <v>230</v>
      </c>
      <c r="V130">
        <v>0</v>
      </c>
    </row>
    <row r="131" spans="1:22">
      <c r="A131" t="s">
        <v>2317</v>
      </c>
      <c r="B131" t="s">
        <v>2318</v>
      </c>
      <c r="C131" t="s">
        <v>2321</v>
      </c>
      <c r="D131" t="s">
        <v>2322</v>
      </c>
      <c r="E131" t="s">
        <v>2177</v>
      </c>
      <c r="F131">
        <v>202111</v>
      </c>
      <c r="G131" t="s">
        <v>217</v>
      </c>
      <c r="H131">
        <v>2150</v>
      </c>
      <c r="O131" t="s">
        <v>2317</v>
      </c>
      <c r="P131" t="s">
        <v>2318</v>
      </c>
      <c r="Q131" t="s">
        <v>2321</v>
      </c>
      <c r="R131" t="s">
        <v>2322</v>
      </c>
      <c r="S131" t="s">
        <v>2177</v>
      </c>
      <c r="T131">
        <v>202204</v>
      </c>
      <c r="U131" t="s">
        <v>231</v>
      </c>
      <c r="V131">
        <v>0</v>
      </c>
    </row>
    <row r="132" spans="1:22">
      <c r="A132" t="s">
        <v>2317</v>
      </c>
      <c r="B132" t="s">
        <v>2318</v>
      </c>
      <c r="C132" t="s">
        <v>2321</v>
      </c>
      <c r="D132" t="s">
        <v>2322</v>
      </c>
      <c r="E132" t="s">
        <v>2177</v>
      </c>
      <c r="F132">
        <v>202111</v>
      </c>
      <c r="G132" t="s">
        <v>219</v>
      </c>
      <c r="H132">
        <v>2200</v>
      </c>
      <c r="O132" t="s">
        <v>2317</v>
      </c>
      <c r="P132" t="s">
        <v>2318</v>
      </c>
      <c r="Q132" t="s">
        <v>2321</v>
      </c>
      <c r="R132" t="s">
        <v>2322</v>
      </c>
      <c r="S132" t="s">
        <v>2177</v>
      </c>
      <c r="T132">
        <v>202204</v>
      </c>
      <c r="U132" t="s">
        <v>221</v>
      </c>
      <c r="V132">
        <v>250505</v>
      </c>
    </row>
    <row r="133" spans="1:22">
      <c r="A133" t="s">
        <v>2317</v>
      </c>
      <c r="B133" t="s">
        <v>2318</v>
      </c>
      <c r="C133" t="s">
        <v>2321</v>
      </c>
      <c r="D133" t="s">
        <v>2322</v>
      </c>
      <c r="E133" t="s">
        <v>2177</v>
      </c>
      <c r="F133">
        <v>202112</v>
      </c>
      <c r="G133" t="s">
        <v>217</v>
      </c>
      <c r="H133">
        <v>2150</v>
      </c>
      <c r="O133" t="s">
        <v>2317</v>
      </c>
      <c r="P133" t="s">
        <v>2318</v>
      </c>
      <c r="Q133" t="s">
        <v>2321</v>
      </c>
      <c r="R133" t="s">
        <v>2322</v>
      </c>
      <c r="S133" t="s">
        <v>2177</v>
      </c>
      <c r="T133">
        <v>202204</v>
      </c>
      <c r="U133" t="s">
        <v>223</v>
      </c>
      <c r="V133">
        <v>56280</v>
      </c>
    </row>
    <row r="134" spans="1:22">
      <c r="A134" t="s">
        <v>2317</v>
      </c>
      <c r="B134" t="s">
        <v>2318</v>
      </c>
      <c r="C134" t="s">
        <v>2321</v>
      </c>
      <c r="D134" t="s">
        <v>2322</v>
      </c>
      <c r="E134" t="s">
        <v>2177</v>
      </c>
      <c r="F134">
        <v>202112</v>
      </c>
      <c r="G134" t="s">
        <v>219</v>
      </c>
      <c r="H134">
        <v>2200</v>
      </c>
      <c r="O134" t="s">
        <v>2317</v>
      </c>
      <c r="P134" t="s">
        <v>2318</v>
      </c>
      <c r="Q134" t="s">
        <v>2321</v>
      </c>
      <c r="R134" t="s">
        <v>2322</v>
      </c>
      <c r="S134" t="s">
        <v>2177</v>
      </c>
      <c r="T134">
        <v>202205</v>
      </c>
      <c r="U134" t="s">
        <v>230</v>
      </c>
      <c r="V134">
        <v>0</v>
      </c>
    </row>
    <row r="135" spans="1:22">
      <c r="A135" t="s">
        <v>2317</v>
      </c>
      <c r="B135" t="s">
        <v>2318</v>
      </c>
      <c r="C135" t="s">
        <v>2321</v>
      </c>
      <c r="D135" t="s">
        <v>2322</v>
      </c>
      <c r="E135" t="s">
        <v>2177</v>
      </c>
      <c r="F135">
        <v>202201</v>
      </c>
      <c r="G135" t="s">
        <v>217</v>
      </c>
      <c r="H135">
        <v>2150</v>
      </c>
      <c r="O135" t="s">
        <v>2317</v>
      </c>
      <c r="P135" t="s">
        <v>2318</v>
      </c>
      <c r="Q135" t="s">
        <v>2321</v>
      </c>
      <c r="R135" t="s">
        <v>2322</v>
      </c>
      <c r="S135" t="s">
        <v>2177</v>
      </c>
      <c r="T135">
        <v>202205</v>
      </c>
      <c r="U135" t="s">
        <v>231</v>
      </c>
      <c r="V135">
        <v>0</v>
      </c>
    </row>
    <row r="136" spans="1:22">
      <c r="A136" t="s">
        <v>2317</v>
      </c>
      <c r="B136" t="s">
        <v>2318</v>
      </c>
      <c r="C136" t="s">
        <v>2321</v>
      </c>
      <c r="D136" t="s">
        <v>2322</v>
      </c>
      <c r="E136" t="s">
        <v>2177</v>
      </c>
      <c r="F136">
        <v>202201</v>
      </c>
      <c r="G136" t="s">
        <v>219</v>
      </c>
      <c r="H136">
        <v>2200</v>
      </c>
      <c r="O136" t="s">
        <v>2317</v>
      </c>
      <c r="P136" t="s">
        <v>2318</v>
      </c>
      <c r="Q136" t="s">
        <v>2321</v>
      </c>
      <c r="R136" t="s">
        <v>2322</v>
      </c>
      <c r="S136" t="s">
        <v>2177</v>
      </c>
      <c r="T136">
        <v>202205</v>
      </c>
      <c r="U136" t="s">
        <v>221</v>
      </c>
      <c r="V136">
        <v>0</v>
      </c>
    </row>
    <row r="137" spans="1:22">
      <c r="A137" t="s">
        <v>2317</v>
      </c>
      <c r="B137" t="s">
        <v>2318</v>
      </c>
      <c r="C137" t="s">
        <v>2321</v>
      </c>
      <c r="D137" t="s">
        <v>2322</v>
      </c>
      <c r="E137" t="s">
        <v>2177</v>
      </c>
      <c r="F137">
        <v>202202</v>
      </c>
      <c r="G137" t="s">
        <v>217</v>
      </c>
      <c r="H137">
        <v>2483.4699999999998</v>
      </c>
      <c r="O137" t="s">
        <v>2317</v>
      </c>
      <c r="P137" t="s">
        <v>2318</v>
      </c>
      <c r="Q137" t="s">
        <v>2321</v>
      </c>
      <c r="R137" t="s">
        <v>2322</v>
      </c>
      <c r="S137" t="s">
        <v>2177</v>
      </c>
      <c r="T137">
        <v>202205</v>
      </c>
      <c r="U137" t="s">
        <v>223</v>
      </c>
      <c r="V137">
        <v>10473</v>
      </c>
    </row>
    <row r="138" spans="1:22">
      <c r="A138" t="s">
        <v>2317</v>
      </c>
      <c r="B138" t="s">
        <v>2318</v>
      </c>
      <c r="C138" t="s">
        <v>2321</v>
      </c>
      <c r="D138" t="s">
        <v>2322</v>
      </c>
      <c r="E138" t="s">
        <v>2177</v>
      </c>
      <c r="F138">
        <v>202202</v>
      </c>
      <c r="G138" t="s">
        <v>219</v>
      </c>
      <c r="H138">
        <v>2426.2199999999998</v>
      </c>
      <c r="O138" t="s">
        <v>2317</v>
      </c>
      <c r="P138" t="s">
        <v>2318</v>
      </c>
      <c r="Q138" t="s">
        <v>2321</v>
      </c>
      <c r="R138" t="s">
        <v>2322</v>
      </c>
      <c r="S138" t="s">
        <v>2177</v>
      </c>
      <c r="T138">
        <v>202206</v>
      </c>
      <c r="U138" t="s">
        <v>230</v>
      </c>
      <c r="V138">
        <v>0</v>
      </c>
    </row>
    <row r="139" spans="1:22">
      <c r="A139" t="s">
        <v>2317</v>
      </c>
      <c r="B139" t="s">
        <v>2318</v>
      </c>
      <c r="C139" t="s">
        <v>2321</v>
      </c>
      <c r="D139" t="s">
        <v>2322</v>
      </c>
      <c r="E139" t="s">
        <v>2177</v>
      </c>
      <c r="F139">
        <v>202203</v>
      </c>
      <c r="G139" t="s">
        <v>217</v>
      </c>
      <c r="H139">
        <v>2237.09</v>
      </c>
      <c r="O139" t="s">
        <v>2317</v>
      </c>
      <c r="P139" t="s">
        <v>2318</v>
      </c>
      <c r="Q139" t="s">
        <v>2321</v>
      </c>
      <c r="R139" t="s">
        <v>2322</v>
      </c>
      <c r="S139" t="s">
        <v>2177</v>
      </c>
      <c r="T139">
        <v>202206</v>
      </c>
      <c r="U139" t="s">
        <v>231</v>
      </c>
      <c r="V139">
        <v>0</v>
      </c>
    </row>
    <row r="140" spans="1:22">
      <c r="A140" t="s">
        <v>2317</v>
      </c>
      <c r="B140" t="s">
        <v>2318</v>
      </c>
      <c r="C140" t="s">
        <v>2321</v>
      </c>
      <c r="D140" t="s">
        <v>2322</v>
      </c>
      <c r="E140" t="s">
        <v>2177</v>
      </c>
      <c r="F140">
        <v>202203</v>
      </c>
      <c r="G140" t="s">
        <v>219</v>
      </c>
      <c r="H140">
        <v>2391.5500000000002</v>
      </c>
      <c r="O140" t="s">
        <v>2317</v>
      </c>
      <c r="P140" t="s">
        <v>2318</v>
      </c>
      <c r="Q140" t="s">
        <v>2321</v>
      </c>
      <c r="R140" t="s">
        <v>2322</v>
      </c>
      <c r="S140" t="s">
        <v>2177</v>
      </c>
      <c r="T140">
        <v>202206</v>
      </c>
      <c r="U140" t="s">
        <v>221</v>
      </c>
      <c r="V140">
        <v>0</v>
      </c>
    </row>
    <row r="141" spans="1:22">
      <c r="A141" t="s">
        <v>2317</v>
      </c>
      <c r="B141" t="s">
        <v>2318</v>
      </c>
      <c r="C141" t="s">
        <v>2321</v>
      </c>
      <c r="D141" t="s">
        <v>2322</v>
      </c>
      <c r="E141" t="s">
        <v>2177</v>
      </c>
      <c r="F141">
        <v>202204</v>
      </c>
      <c r="G141" t="s">
        <v>217</v>
      </c>
      <c r="H141">
        <v>2150</v>
      </c>
      <c r="O141" t="s">
        <v>2317</v>
      </c>
      <c r="P141" t="s">
        <v>2318</v>
      </c>
      <c r="Q141" t="s">
        <v>2321</v>
      </c>
      <c r="R141" t="s">
        <v>2322</v>
      </c>
      <c r="S141" t="s">
        <v>2177</v>
      </c>
      <c r="T141">
        <v>202206</v>
      </c>
      <c r="U141" t="s">
        <v>223</v>
      </c>
      <c r="V141">
        <v>0</v>
      </c>
    </row>
    <row r="142" spans="1:22">
      <c r="A142" t="s">
        <v>2317</v>
      </c>
      <c r="B142" t="s">
        <v>2318</v>
      </c>
      <c r="C142" t="s">
        <v>2321</v>
      </c>
      <c r="D142" t="s">
        <v>2322</v>
      </c>
      <c r="E142" t="s">
        <v>2177</v>
      </c>
      <c r="F142">
        <v>202204</v>
      </c>
      <c r="G142" t="s">
        <v>219</v>
      </c>
      <c r="H142">
        <v>2200</v>
      </c>
    </row>
    <row r="143" spans="1:22">
      <c r="A143" t="s">
        <v>2317</v>
      </c>
      <c r="B143" t="s">
        <v>2318</v>
      </c>
      <c r="C143" t="s">
        <v>2321</v>
      </c>
      <c r="D143" t="s">
        <v>2322</v>
      </c>
      <c r="E143" t="s">
        <v>2177</v>
      </c>
      <c r="F143">
        <v>202205</v>
      </c>
      <c r="G143" t="s">
        <v>217</v>
      </c>
      <c r="H143">
        <v>2150</v>
      </c>
      <c r="O143" t="s">
        <v>2317</v>
      </c>
      <c r="P143" t="s">
        <v>2318</v>
      </c>
      <c r="Q143" t="s">
        <v>2319</v>
      </c>
      <c r="R143" t="s">
        <v>2320</v>
      </c>
      <c r="S143" t="s">
        <v>2177</v>
      </c>
      <c r="T143">
        <v>202205</v>
      </c>
      <c r="U143" t="s">
        <v>217</v>
      </c>
      <c r="V143">
        <v>5520</v>
      </c>
    </row>
    <row r="144" spans="1:22">
      <c r="A144" t="s">
        <v>2317</v>
      </c>
      <c r="B144" t="s">
        <v>2318</v>
      </c>
      <c r="C144" t="s">
        <v>2321</v>
      </c>
      <c r="D144" t="s">
        <v>2322</v>
      </c>
      <c r="E144" t="s">
        <v>2177</v>
      </c>
      <c r="F144">
        <v>202205</v>
      </c>
      <c r="G144" t="s">
        <v>219</v>
      </c>
      <c r="H144">
        <v>2200</v>
      </c>
      <c r="O144" t="s">
        <v>2317</v>
      </c>
      <c r="P144" t="s">
        <v>2318</v>
      </c>
      <c r="Q144" t="s">
        <v>2319</v>
      </c>
      <c r="R144" t="s">
        <v>2320</v>
      </c>
      <c r="S144" t="s">
        <v>2177</v>
      </c>
      <c r="T144">
        <v>202205</v>
      </c>
      <c r="U144" t="s">
        <v>219</v>
      </c>
      <c r="V144">
        <v>5200</v>
      </c>
    </row>
    <row r="145" spans="1:22">
      <c r="A145" t="s">
        <v>2317</v>
      </c>
      <c r="B145" t="s">
        <v>2318</v>
      </c>
      <c r="C145" t="s">
        <v>2321</v>
      </c>
      <c r="D145" t="s">
        <v>2322</v>
      </c>
      <c r="E145" t="s">
        <v>2177</v>
      </c>
      <c r="F145">
        <v>202206</v>
      </c>
      <c r="G145" t="s">
        <v>217</v>
      </c>
      <c r="H145">
        <v>2150</v>
      </c>
      <c r="O145" t="s">
        <v>2317</v>
      </c>
      <c r="P145" t="s">
        <v>2318</v>
      </c>
      <c r="Q145" t="s">
        <v>2319</v>
      </c>
      <c r="R145" t="s">
        <v>2320</v>
      </c>
      <c r="S145" t="s">
        <v>2177</v>
      </c>
      <c r="T145">
        <v>202205</v>
      </c>
      <c r="U145" t="s">
        <v>230</v>
      </c>
      <c r="V145">
        <v>110000</v>
      </c>
    </row>
    <row r="146" spans="1:22">
      <c r="A146" t="s">
        <v>2317</v>
      </c>
      <c r="B146" t="s">
        <v>2318</v>
      </c>
      <c r="C146" t="s">
        <v>2321</v>
      </c>
      <c r="D146" t="s">
        <v>2322</v>
      </c>
      <c r="E146" t="s">
        <v>2177</v>
      </c>
      <c r="F146">
        <v>202206</v>
      </c>
      <c r="G146" t="s">
        <v>219</v>
      </c>
      <c r="H146">
        <v>2200</v>
      </c>
      <c r="O146" t="s">
        <v>2317</v>
      </c>
      <c r="P146" t="s">
        <v>2318</v>
      </c>
      <c r="Q146" t="s">
        <v>2319</v>
      </c>
      <c r="R146" t="s">
        <v>2320</v>
      </c>
      <c r="S146" t="s">
        <v>2177</v>
      </c>
      <c r="T146">
        <v>202205</v>
      </c>
      <c r="U146" t="s">
        <v>231</v>
      </c>
      <c r="V146">
        <v>0</v>
      </c>
    </row>
    <row r="147" spans="1:22">
      <c r="A147" t="s">
        <v>2317</v>
      </c>
      <c r="B147" t="s">
        <v>2318</v>
      </c>
      <c r="C147" t="s">
        <v>2319</v>
      </c>
      <c r="D147" t="s">
        <v>2320</v>
      </c>
      <c r="E147" t="s">
        <v>2177</v>
      </c>
      <c r="F147">
        <v>202104</v>
      </c>
      <c r="G147" t="s">
        <v>230</v>
      </c>
      <c r="H147">
        <v>436000</v>
      </c>
      <c r="O147" t="s">
        <v>2317</v>
      </c>
      <c r="P147" t="s">
        <v>2318</v>
      </c>
      <c r="Q147" t="s">
        <v>2319</v>
      </c>
      <c r="R147" t="s">
        <v>2320</v>
      </c>
      <c r="S147" t="s">
        <v>2177</v>
      </c>
      <c r="T147">
        <v>202205</v>
      </c>
      <c r="U147" t="s">
        <v>221</v>
      </c>
      <c r="V147">
        <v>1496135</v>
      </c>
    </row>
    <row r="148" spans="1:22">
      <c r="A148" t="s">
        <v>2317</v>
      </c>
      <c r="B148" t="s">
        <v>2318</v>
      </c>
      <c r="C148" t="s">
        <v>2319</v>
      </c>
      <c r="D148" t="s">
        <v>2320</v>
      </c>
      <c r="E148" t="s">
        <v>2177</v>
      </c>
      <c r="F148">
        <v>202104</v>
      </c>
      <c r="G148" t="s">
        <v>231</v>
      </c>
      <c r="H148">
        <v>0</v>
      </c>
      <c r="O148" t="s">
        <v>2317</v>
      </c>
      <c r="P148" t="s">
        <v>2318</v>
      </c>
      <c r="Q148" t="s">
        <v>2319</v>
      </c>
      <c r="R148" t="s">
        <v>2320</v>
      </c>
      <c r="S148" t="s">
        <v>2177</v>
      </c>
      <c r="T148">
        <v>202205</v>
      </c>
      <c r="U148" t="s">
        <v>223</v>
      </c>
      <c r="V148">
        <v>206322.9</v>
      </c>
    </row>
    <row r="149" spans="1:22">
      <c r="A149" t="s">
        <v>2317</v>
      </c>
      <c r="B149" t="s">
        <v>2318</v>
      </c>
      <c r="C149" t="s">
        <v>2319</v>
      </c>
      <c r="D149" t="s">
        <v>2320</v>
      </c>
      <c r="E149" t="s">
        <v>2177</v>
      </c>
      <c r="F149">
        <v>202104</v>
      </c>
      <c r="G149" t="s">
        <v>221</v>
      </c>
      <c r="H149">
        <v>1861544.66</v>
      </c>
    </row>
    <row r="150" spans="1:22">
      <c r="A150" t="s">
        <v>2317</v>
      </c>
      <c r="B150" t="s">
        <v>2318</v>
      </c>
      <c r="C150" t="s">
        <v>2319</v>
      </c>
      <c r="D150" t="s">
        <v>2320</v>
      </c>
      <c r="E150" t="s">
        <v>2177</v>
      </c>
      <c r="F150">
        <v>202104</v>
      </c>
      <c r="G150" t="s">
        <v>223</v>
      </c>
      <c r="H150">
        <v>225172.08</v>
      </c>
    </row>
    <row r="151" spans="1:22">
      <c r="A151" t="s">
        <v>2317</v>
      </c>
      <c r="B151" t="s">
        <v>2318</v>
      </c>
      <c r="C151" t="s">
        <v>2319</v>
      </c>
      <c r="D151" t="s">
        <v>2320</v>
      </c>
      <c r="E151" t="s">
        <v>2177</v>
      </c>
      <c r="F151">
        <v>202104</v>
      </c>
      <c r="G151" t="s">
        <v>225</v>
      </c>
      <c r="H151">
        <v>0</v>
      </c>
    </row>
    <row r="152" spans="1:22">
      <c r="A152" t="s">
        <v>2317</v>
      </c>
      <c r="B152" t="s">
        <v>2318</v>
      </c>
      <c r="C152" t="s">
        <v>2319</v>
      </c>
      <c r="D152" t="s">
        <v>2320</v>
      </c>
      <c r="E152" t="s">
        <v>2177</v>
      </c>
      <c r="F152">
        <v>202105</v>
      </c>
      <c r="G152" t="s">
        <v>230</v>
      </c>
      <c r="H152">
        <v>436000</v>
      </c>
    </row>
    <row r="153" spans="1:22">
      <c r="A153" t="s">
        <v>2317</v>
      </c>
      <c r="B153" t="s">
        <v>2318</v>
      </c>
      <c r="C153" t="s">
        <v>2319</v>
      </c>
      <c r="D153" t="s">
        <v>2320</v>
      </c>
      <c r="E153" t="s">
        <v>2177</v>
      </c>
      <c r="F153">
        <v>202105</v>
      </c>
      <c r="G153" t="s">
        <v>231</v>
      </c>
      <c r="H153">
        <v>0</v>
      </c>
    </row>
    <row r="154" spans="1:22">
      <c r="A154" t="s">
        <v>2317</v>
      </c>
      <c r="B154" t="s">
        <v>2318</v>
      </c>
      <c r="C154" t="s">
        <v>2319</v>
      </c>
      <c r="D154" t="s">
        <v>2320</v>
      </c>
      <c r="E154" t="s">
        <v>2177</v>
      </c>
      <c r="F154">
        <v>202105</v>
      </c>
      <c r="G154" t="s">
        <v>221</v>
      </c>
      <c r="H154">
        <v>1695279.85</v>
      </c>
    </row>
    <row r="155" spans="1:22">
      <c r="A155" t="s">
        <v>2317</v>
      </c>
      <c r="B155" t="s">
        <v>2318</v>
      </c>
      <c r="C155" t="s">
        <v>2319</v>
      </c>
      <c r="D155" t="s">
        <v>2320</v>
      </c>
      <c r="E155" t="s">
        <v>2177</v>
      </c>
      <c r="F155">
        <v>202105</v>
      </c>
      <c r="G155" t="s">
        <v>223</v>
      </c>
      <c r="H155">
        <v>217467.26</v>
      </c>
    </row>
    <row r="156" spans="1:22">
      <c r="A156" t="s">
        <v>2317</v>
      </c>
      <c r="B156" t="s">
        <v>2318</v>
      </c>
      <c r="C156" t="s">
        <v>2319</v>
      </c>
      <c r="D156" t="s">
        <v>2320</v>
      </c>
      <c r="E156" t="s">
        <v>2177</v>
      </c>
      <c r="F156">
        <v>202105</v>
      </c>
      <c r="G156" t="s">
        <v>225</v>
      </c>
      <c r="H156">
        <v>0</v>
      </c>
    </row>
    <row r="157" spans="1:22">
      <c r="A157" t="s">
        <v>2317</v>
      </c>
      <c r="B157" t="s">
        <v>2318</v>
      </c>
      <c r="C157" t="s">
        <v>2319</v>
      </c>
      <c r="D157" t="s">
        <v>2320</v>
      </c>
      <c r="E157" t="s">
        <v>2177</v>
      </c>
      <c r="F157">
        <v>202106</v>
      </c>
      <c r="G157" t="s">
        <v>230</v>
      </c>
      <c r="H157">
        <v>407000</v>
      </c>
    </row>
    <row r="158" spans="1:22">
      <c r="A158" t="s">
        <v>2317</v>
      </c>
      <c r="B158" t="s">
        <v>2318</v>
      </c>
      <c r="C158" t="s">
        <v>2319</v>
      </c>
      <c r="D158" t="s">
        <v>2320</v>
      </c>
      <c r="E158" t="s">
        <v>2177</v>
      </c>
      <c r="F158">
        <v>202106</v>
      </c>
      <c r="G158" t="s">
        <v>231</v>
      </c>
      <c r="H158">
        <v>0</v>
      </c>
    </row>
    <row r="159" spans="1:22">
      <c r="A159" t="s">
        <v>2317</v>
      </c>
      <c r="B159" t="s">
        <v>2318</v>
      </c>
      <c r="C159" t="s">
        <v>2319</v>
      </c>
      <c r="D159" t="s">
        <v>2320</v>
      </c>
      <c r="E159" t="s">
        <v>2177</v>
      </c>
      <c r="F159">
        <v>202106</v>
      </c>
      <c r="G159" t="s">
        <v>221</v>
      </c>
      <c r="H159">
        <v>1468495.64</v>
      </c>
    </row>
    <row r="160" spans="1:22">
      <c r="A160" t="s">
        <v>2317</v>
      </c>
      <c r="B160" t="s">
        <v>2318</v>
      </c>
      <c r="C160" t="s">
        <v>2319</v>
      </c>
      <c r="D160" t="s">
        <v>2320</v>
      </c>
      <c r="E160" t="s">
        <v>2177</v>
      </c>
      <c r="F160">
        <v>202106</v>
      </c>
      <c r="G160" t="s">
        <v>223</v>
      </c>
      <c r="H160">
        <v>208272.96</v>
      </c>
    </row>
    <row r="161" spans="1:8">
      <c r="A161" t="s">
        <v>2317</v>
      </c>
      <c r="B161" t="s">
        <v>2318</v>
      </c>
      <c r="C161" t="s">
        <v>2319</v>
      </c>
      <c r="D161" t="s">
        <v>2320</v>
      </c>
      <c r="E161" t="s">
        <v>2177</v>
      </c>
      <c r="F161">
        <v>202106</v>
      </c>
      <c r="G161" t="s">
        <v>225</v>
      </c>
      <c r="H161">
        <v>0</v>
      </c>
    </row>
    <row r="162" spans="1:8">
      <c r="A162" t="s">
        <v>2317</v>
      </c>
      <c r="B162" t="s">
        <v>2318</v>
      </c>
      <c r="C162" t="s">
        <v>2319</v>
      </c>
      <c r="D162" t="s">
        <v>2320</v>
      </c>
      <c r="E162" t="s">
        <v>2177</v>
      </c>
      <c r="F162">
        <v>202107</v>
      </c>
      <c r="G162" t="s">
        <v>230</v>
      </c>
      <c r="H162">
        <v>420000</v>
      </c>
    </row>
    <row r="163" spans="1:8">
      <c r="A163" t="s">
        <v>2317</v>
      </c>
      <c r="B163" t="s">
        <v>2318</v>
      </c>
      <c r="C163" t="s">
        <v>2319</v>
      </c>
      <c r="D163" t="s">
        <v>2320</v>
      </c>
      <c r="E163" t="s">
        <v>2177</v>
      </c>
      <c r="F163">
        <v>202107</v>
      </c>
      <c r="G163" t="s">
        <v>231</v>
      </c>
      <c r="H163">
        <v>0</v>
      </c>
    </row>
    <row r="164" spans="1:8">
      <c r="A164" t="s">
        <v>2317</v>
      </c>
      <c r="B164" t="s">
        <v>2318</v>
      </c>
      <c r="C164" t="s">
        <v>2319</v>
      </c>
      <c r="D164" t="s">
        <v>2320</v>
      </c>
      <c r="E164" t="s">
        <v>2177</v>
      </c>
      <c r="F164">
        <v>202107</v>
      </c>
      <c r="G164" t="s">
        <v>221</v>
      </c>
      <c r="H164">
        <v>1598416.54</v>
      </c>
    </row>
    <row r="165" spans="1:8">
      <c r="A165" t="s">
        <v>2317</v>
      </c>
      <c r="B165" t="s">
        <v>2318</v>
      </c>
      <c r="C165" t="s">
        <v>2319</v>
      </c>
      <c r="D165" t="s">
        <v>2320</v>
      </c>
      <c r="E165" t="s">
        <v>2177</v>
      </c>
      <c r="F165">
        <v>202107</v>
      </c>
      <c r="G165" t="s">
        <v>223</v>
      </c>
      <c r="H165">
        <v>232109.22</v>
      </c>
    </row>
    <row r="166" spans="1:8">
      <c r="A166" t="s">
        <v>2317</v>
      </c>
      <c r="B166" t="s">
        <v>2318</v>
      </c>
      <c r="C166" t="s">
        <v>2319</v>
      </c>
      <c r="D166" t="s">
        <v>2320</v>
      </c>
      <c r="E166" t="s">
        <v>2177</v>
      </c>
      <c r="F166">
        <v>202107</v>
      </c>
      <c r="G166" t="s">
        <v>225</v>
      </c>
      <c r="H166">
        <v>0</v>
      </c>
    </row>
    <row r="167" spans="1:8">
      <c r="A167" t="s">
        <v>2317</v>
      </c>
      <c r="B167" t="s">
        <v>2318</v>
      </c>
      <c r="C167" t="s">
        <v>2319</v>
      </c>
      <c r="D167" t="s">
        <v>2320</v>
      </c>
      <c r="E167" t="s">
        <v>2177</v>
      </c>
      <c r="F167">
        <v>202108</v>
      </c>
      <c r="G167" t="s">
        <v>230</v>
      </c>
      <c r="H167">
        <v>418000</v>
      </c>
    </row>
    <row r="168" spans="1:8">
      <c r="A168" t="s">
        <v>2317</v>
      </c>
      <c r="B168" t="s">
        <v>2318</v>
      </c>
      <c r="C168" t="s">
        <v>2319</v>
      </c>
      <c r="D168" t="s">
        <v>2320</v>
      </c>
      <c r="E168" t="s">
        <v>2177</v>
      </c>
      <c r="F168">
        <v>202108</v>
      </c>
      <c r="G168" t="s">
        <v>231</v>
      </c>
      <c r="H168">
        <v>0</v>
      </c>
    </row>
    <row r="169" spans="1:8">
      <c r="A169" t="s">
        <v>2317</v>
      </c>
      <c r="B169" t="s">
        <v>2318</v>
      </c>
      <c r="C169" t="s">
        <v>2319</v>
      </c>
      <c r="D169" t="s">
        <v>2320</v>
      </c>
      <c r="E169" t="s">
        <v>2177</v>
      </c>
      <c r="F169">
        <v>202108</v>
      </c>
      <c r="G169" t="s">
        <v>221</v>
      </c>
      <c r="H169">
        <v>1560576.52</v>
      </c>
    </row>
    <row r="170" spans="1:8">
      <c r="A170" t="s">
        <v>2317</v>
      </c>
      <c r="B170" t="s">
        <v>2318</v>
      </c>
      <c r="C170" t="s">
        <v>2319</v>
      </c>
      <c r="D170" t="s">
        <v>2320</v>
      </c>
      <c r="E170" t="s">
        <v>2177</v>
      </c>
      <c r="F170">
        <v>202108</v>
      </c>
      <c r="G170" t="s">
        <v>223</v>
      </c>
      <c r="H170">
        <v>229910.43</v>
      </c>
    </row>
    <row r="171" spans="1:8">
      <c r="A171" t="s">
        <v>2317</v>
      </c>
      <c r="B171" t="s">
        <v>2318</v>
      </c>
      <c r="C171" t="s">
        <v>2319</v>
      </c>
      <c r="D171" t="s">
        <v>2320</v>
      </c>
      <c r="E171" t="s">
        <v>2177</v>
      </c>
      <c r="F171">
        <v>202109</v>
      </c>
      <c r="G171" t="s">
        <v>230</v>
      </c>
      <c r="H171">
        <v>398000</v>
      </c>
    </row>
    <row r="172" spans="1:8">
      <c r="A172" t="s">
        <v>2317</v>
      </c>
      <c r="B172" t="s">
        <v>2318</v>
      </c>
      <c r="C172" t="s">
        <v>2319</v>
      </c>
      <c r="D172" t="s">
        <v>2320</v>
      </c>
      <c r="E172" t="s">
        <v>2177</v>
      </c>
      <c r="F172">
        <v>202109</v>
      </c>
      <c r="G172" t="s">
        <v>231</v>
      </c>
      <c r="H172">
        <v>0</v>
      </c>
    </row>
    <row r="173" spans="1:8">
      <c r="A173" t="s">
        <v>2317</v>
      </c>
      <c r="B173" t="s">
        <v>2318</v>
      </c>
      <c r="C173" t="s">
        <v>2319</v>
      </c>
      <c r="D173" t="s">
        <v>2320</v>
      </c>
      <c r="E173" t="s">
        <v>2177</v>
      </c>
      <c r="F173">
        <v>202109</v>
      </c>
      <c r="G173" t="s">
        <v>221</v>
      </c>
      <c r="H173">
        <v>1365093.99</v>
      </c>
    </row>
    <row r="174" spans="1:8">
      <c r="A174" t="s">
        <v>2317</v>
      </c>
      <c r="B174" t="s">
        <v>2318</v>
      </c>
      <c r="C174" t="s">
        <v>2319</v>
      </c>
      <c r="D174" t="s">
        <v>2320</v>
      </c>
      <c r="E174" t="s">
        <v>2177</v>
      </c>
      <c r="F174">
        <v>202109</v>
      </c>
      <c r="G174" t="s">
        <v>223</v>
      </c>
      <c r="H174">
        <v>200041.29</v>
      </c>
    </row>
    <row r="175" spans="1:8">
      <c r="A175" t="s">
        <v>2317</v>
      </c>
      <c r="B175" t="s">
        <v>2318</v>
      </c>
      <c r="C175" t="s">
        <v>2319</v>
      </c>
      <c r="D175" t="s">
        <v>2320</v>
      </c>
      <c r="E175" t="s">
        <v>2177</v>
      </c>
      <c r="F175">
        <v>202110</v>
      </c>
      <c r="G175" t="s">
        <v>230</v>
      </c>
      <c r="H175">
        <v>390000</v>
      </c>
    </row>
    <row r="176" spans="1:8">
      <c r="A176" t="s">
        <v>2317</v>
      </c>
      <c r="B176" t="s">
        <v>2318</v>
      </c>
      <c r="C176" t="s">
        <v>2319</v>
      </c>
      <c r="D176" t="s">
        <v>2320</v>
      </c>
      <c r="E176" t="s">
        <v>2177</v>
      </c>
      <c r="F176">
        <v>202110</v>
      </c>
      <c r="G176" t="s">
        <v>231</v>
      </c>
      <c r="H176">
        <v>0</v>
      </c>
    </row>
    <row r="177" spans="1:8">
      <c r="A177" t="s">
        <v>2317</v>
      </c>
      <c r="B177" t="s">
        <v>2318</v>
      </c>
      <c r="C177" t="s">
        <v>2319</v>
      </c>
      <c r="D177" t="s">
        <v>2320</v>
      </c>
      <c r="E177" t="s">
        <v>2177</v>
      </c>
      <c r="F177">
        <v>202110</v>
      </c>
      <c r="G177" t="s">
        <v>221</v>
      </c>
      <c r="H177">
        <v>1784524.56</v>
      </c>
    </row>
    <row r="178" spans="1:8">
      <c r="A178" t="s">
        <v>2317</v>
      </c>
      <c r="B178" t="s">
        <v>2318</v>
      </c>
      <c r="C178" t="s">
        <v>2319</v>
      </c>
      <c r="D178" t="s">
        <v>2320</v>
      </c>
      <c r="E178" t="s">
        <v>2177</v>
      </c>
      <c r="F178">
        <v>202110</v>
      </c>
      <c r="G178" t="s">
        <v>223</v>
      </c>
      <c r="H178">
        <v>222955.48</v>
      </c>
    </row>
    <row r="179" spans="1:8">
      <c r="A179" t="s">
        <v>2317</v>
      </c>
      <c r="B179" t="s">
        <v>2318</v>
      </c>
      <c r="C179" t="s">
        <v>2319</v>
      </c>
      <c r="D179" t="s">
        <v>2320</v>
      </c>
      <c r="E179" t="s">
        <v>2177</v>
      </c>
      <c r="F179">
        <v>202111</v>
      </c>
      <c r="G179" t="s">
        <v>230</v>
      </c>
      <c r="H179">
        <v>415000</v>
      </c>
    </row>
    <row r="180" spans="1:8">
      <c r="A180" t="s">
        <v>2317</v>
      </c>
      <c r="B180" t="s">
        <v>2318</v>
      </c>
      <c r="C180" t="s">
        <v>2319</v>
      </c>
      <c r="D180" t="s">
        <v>2320</v>
      </c>
      <c r="E180" t="s">
        <v>2177</v>
      </c>
      <c r="F180">
        <v>202111</v>
      </c>
      <c r="G180" t="s">
        <v>231</v>
      </c>
      <c r="H180">
        <v>0</v>
      </c>
    </row>
    <row r="181" spans="1:8">
      <c r="A181" t="s">
        <v>2317</v>
      </c>
      <c r="B181" t="s">
        <v>2318</v>
      </c>
      <c r="C181" t="s">
        <v>2319</v>
      </c>
      <c r="D181" t="s">
        <v>2320</v>
      </c>
      <c r="E181" t="s">
        <v>2177</v>
      </c>
      <c r="F181">
        <v>202111</v>
      </c>
      <c r="G181" t="s">
        <v>221</v>
      </c>
      <c r="H181">
        <v>1928765.26</v>
      </c>
    </row>
    <row r="182" spans="1:8">
      <c r="A182" t="s">
        <v>2317</v>
      </c>
      <c r="B182" t="s">
        <v>2318</v>
      </c>
      <c r="C182" t="s">
        <v>2319</v>
      </c>
      <c r="D182" t="s">
        <v>2320</v>
      </c>
      <c r="E182" t="s">
        <v>2177</v>
      </c>
      <c r="F182">
        <v>202111</v>
      </c>
      <c r="G182" t="s">
        <v>223</v>
      </c>
      <c r="H182">
        <v>224834.66</v>
      </c>
    </row>
    <row r="183" spans="1:8">
      <c r="A183" t="s">
        <v>2317</v>
      </c>
      <c r="B183" t="s">
        <v>2318</v>
      </c>
      <c r="C183" t="s">
        <v>2319</v>
      </c>
      <c r="D183" t="s">
        <v>2320</v>
      </c>
      <c r="E183" t="s">
        <v>2177</v>
      </c>
      <c r="F183">
        <v>202112</v>
      </c>
      <c r="G183" t="s">
        <v>230</v>
      </c>
      <c r="H183">
        <v>462000</v>
      </c>
    </row>
    <row r="184" spans="1:8">
      <c r="A184" t="s">
        <v>2317</v>
      </c>
      <c r="B184" t="s">
        <v>2318</v>
      </c>
      <c r="C184" t="s">
        <v>2319</v>
      </c>
      <c r="D184" t="s">
        <v>2320</v>
      </c>
      <c r="E184" t="s">
        <v>2177</v>
      </c>
      <c r="F184">
        <v>202112</v>
      </c>
      <c r="G184" t="s">
        <v>231</v>
      </c>
      <c r="H184">
        <v>0</v>
      </c>
    </row>
    <row r="185" spans="1:8">
      <c r="A185" t="s">
        <v>2317</v>
      </c>
      <c r="B185" t="s">
        <v>2318</v>
      </c>
      <c r="C185" t="s">
        <v>2319</v>
      </c>
      <c r="D185" t="s">
        <v>2320</v>
      </c>
      <c r="E185" t="s">
        <v>2177</v>
      </c>
      <c r="F185">
        <v>202112</v>
      </c>
      <c r="G185" t="s">
        <v>221</v>
      </c>
      <c r="H185">
        <v>2130035.96</v>
      </c>
    </row>
    <row r="186" spans="1:8">
      <c r="A186" t="s">
        <v>2317</v>
      </c>
      <c r="B186" t="s">
        <v>2318</v>
      </c>
      <c r="C186" t="s">
        <v>2319</v>
      </c>
      <c r="D186" t="s">
        <v>2320</v>
      </c>
      <c r="E186" t="s">
        <v>2177</v>
      </c>
      <c r="F186">
        <v>202112</v>
      </c>
      <c r="G186" t="s">
        <v>223</v>
      </c>
      <c r="H186">
        <v>266994.25</v>
      </c>
    </row>
    <row r="187" spans="1:8">
      <c r="A187" t="s">
        <v>2317</v>
      </c>
      <c r="B187" t="s">
        <v>2318</v>
      </c>
      <c r="C187" t="s">
        <v>2319</v>
      </c>
      <c r="D187" t="s">
        <v>2320</v>
      </c>
      <c r="E187" t="s">
        <v>2177</v>
      </c>
      <c r="F187">
        <v>202201</v>
      </c>
      <c r="G187" t="s">
        <v>230</v>
      </c>
      <c r="H187">
        <v>860559</v>
      </c>
    </row>
    <row r="188" spans="1:8">
      <c r="A188" t="s">
        <v>2317</v>
      </c>
      <c r="B188" t="s">
        <v>2318</v>
      </c>
      <c r="C188" t="s">
        <v>2319</v>
      </c>
      <c r="D188" t="s">
        <v>2320</v>
      </c>
      <c r="E188" t="s">
        <v>2177</v>
      </c>
      <c r="F188">
        <v>202201</v>
      </c>
      <c r="G188" t="s">
        <v>231</v>
      </c>
      <c r="H188">
        <v>84441</v>
      </c>
    </row>
    <row r="189" spans="1:8">
      <c r="A189" t="s">
        <v>2317</v>
      </c>
      <c r="B189" t="s">
        <v>2318</v>
      </c>
      <c r="C189" t="s">
        <v>2319</v>
      </c>
      <c r="D189" t="s">
        <v>2320</v>
      </c>
      <c r="E189" t="s">
        <v>2177</v>
      </c>
      <c r="F189">
        <v>202201</v>
      </c>
      <c r="G189" t="s">
        <v>221</v>
      </c>
      <c r="H189">
        <v>2294765.59</v>
      </c>
    </row>
    <row r="190" spans="1:8">
      <c r="A190" t="s">
        <v>2317</v>
      </c>
      <c r="B190" t="s">
        <v>2318</v>
      </c>
      <c r="C190" t="s">
        <v>2319</v>
      </c>
      <c r="D190" t="s">
        <v>2320</v>
      </c>
      <c r="E190" t="s">
        <v>2177</v>
      </c>
      <c r="F190">
        <v>202201</v>
      </c>
      <c r="G190" t="s">
        <v>223</v>
      </c>
      <c r="H190">
        <v>244565.84</v>
      </c>
    </row>
    <row r="191" spans="1:8">
      <c r="A191" t="s">
        <v>2317</v>
      </c>
      <c r="B191" t="s">
        <v>2318</v>
      </c>
      <c r="C191" t="s">
        <v>2319</v>
      </c>
      <c r="D191" t="s">
        <v>2320</v>
      </c>
      <c r="E191" t="s">
        <v>2177</v>
      </c>
      <c r="F191">
        <v>202202</v>
      </c>
      <c r="G191" t="s">
        <v>230</v>
      </c>
      <c r="H191">
        <v>568963.5</v>
      </c>
    </row>
    <row r="192" spans="1:8">
      <c r="A192" t="s">
        <v>2317</v>
      </c>
      <c r="B192" t="s">
        <v>2318</v>
      </c>
      <c r="C192" t="s">
        <v>2319</v>
      </c>
      <c r="D192" t="s">
        <v>2320</v>
      </c>
      <c r="E192" t="s">
        <v>2177</v>
      </c>
      <c r="F192">
        <v>202202</v>
      </c>
      <c r="G192" t="s">
        <v>231</v>
      </c>
      <c r="H192">
        <v>61036.5</v>
      </c>
    </row>
    <row r="193" spans="1:8">
      <c r="A193" t="s">
        <v>2317</v>
      </c>
      <c r="B193" t="s">
        <v>2318</v>
      </c>
      <c r="C193" t="s">
        <v>2319</v>
      </c>
      <c r="D193" t="s">
        <v>2320</v>
      </c>
      <c r="E193" t="s">
        <v>2177</v>
      </c>
      <c r="F193">
        <v>202202</v>
      </c>
      <c r="G193" t="s">
        <v>221</v>
      </c>
      <c r="H193">
        <v>1569430.8</v>
      </c>
    </row>
    <row r="194" spans="1:8">
      <c r="A194" t="s">
        <v>2317</v>
      </c>
      <c r="B194" t="s">
        <v>2318</v>
      </c>
      <c r="C194" t="s">
        <v>2319</v>
      </c>
      <c r="D194" t="s">
        <v>2320</v>
      </c>
      <c r="E194" t="s">
        <v>2177</v>
      </c>
      <c r="F194">
        <v>202202</v>
      </c>
      <c r="G194" t="s">
        <v>223</v>
      </c>
      <c r="H194">
        <v>193883.51</v>
      </c>
    </row>
    <row r="195" spans="1:8">
      <c r="A195" t="s">
        <v>2317</v>
      </c>
      <c r="B195" t="s">
        <v>2318</v>
      </c>
      <c r="C195" t="s">
        <v>2319</v>
      </c>
      <c r="D195" t="s">
        <v>2320</v>
      </c>
      <c r="E195" t="s">
        <v>2177</v>
      </c>
      <c r="F195">
        <v>202203</v>
      </c>
      <c r="G195" t="s">
        <v>230</v>
      </c>
      <c r="H195">
        <v>485000</v>
      </c>
    </row>
    <row r="196" spans="1:8">
      <c r="A196" t="s">
        <v>2317</v>
      </c>
      <c r="B196" t="s">
        <v>2318</v>
      </c>
      <c r="C196" t="s">
        <v>2319</v>
      </c>
      <c r="D196" t="s">
        <v>2320</v>
      </c>
      <c r="E196" t="s">
        <v>2177</v>
      </c>
      <c r="F196">
        <v>202203</v>
      </c>
      <c r="G196" t="s">
        <v>231</v>
      </c>
      <c r="H196">
        <v>0</v>
      </c>
    </row>
    <row r="197" spans="1:8">
      <c r="A197" t="s">
        <v>2317</v>
      </c>
      <c r="B197" t="s">
        <v>2318</v>
      </c>
      <c r="C197" t="s">
        <v>2319</v>
      </c>
      <c r="D197" t="s">
        <v>2320</v>
      </c>
      <c r="E197" t="s">
        <v>2177</v>
      </c>
      <c r="F197">
        <v>202203</v>
      </c>
      <c r="G197" t="s">
        <v>221</v>
      </c>
      <c r="H197">
        <v>1582591.48</v>
      </c>
    </row>
    <row r="198" spans="1:8">
      <c r="A198" t="s">
        <v>2317</v>
      </c>
      <c r="B198" t="s">
        <v>2318</v>
      </c>
      <c r="C198" t="s">
        <v>2319</v>
      </c>
      <c r="D198" t="s">
        <v>2320</v>
      </c>
      <c r="E198" t="s">
        <v>2177</v>
      </c>
      <c r="F198">
        <v>202203</v>
      </c>
      <c r="G198" t="s">
        <v>223</v>
      </c>
      <c r="H198">
        <v>213316.57</v>
      </c>
    </row>
    <row r="199" spans="1:8">
      <c r="A199" t="s">
        <v>2317</v>
      </c>
      <c r="B199" t="s">
        <v>2318</v>
      </c>
      <c r="C199" t="s">
        <v>2319</v>
      </c>
      <c r="D199" t="s">
        <v>2320</v>
      </c>
      <c r="E199" t="s">
        <v>2177</v>
      </c>
      <c r="F199">
        <v>202204</v>
      </c>
      <c r="G199" t="s">
        <v>230</v>
      </c>
      <c r="H199">
        <v>262000</v>
      </c>
    </row>
    <row r="200" spans="1:8">
      <c r="A200" t="s">
        <v>2317</v>
      </c>
      <c r="B200" t="s">
        <v>2318</v>
      </c>
      <c r="C200" t="s">
        <v>2319</v>
      </c>
      <c r="D200" t="s">
        <v>2320</v>
      </c>
      <c r="E200" t="s">
        <v>2177</v>
      </c>
      <c r="F200">
        <v>202204</v>
      </c>
      <c r="G200" t="s">
        <v>231</v>
      </c>
      <c r="H200">
        <v>0</v>
      </c>
    </row>
    <row r="201" spans="1:8">
      <c r="A201" t="s">
        <v>2317</v>
      </c>
      <c r="B201" t="s">
        <v>2318</v>
      </c>
      <c r="C201" t="s">
        <v>2319</v>
      </c>
      <c r="D201" t="s">
        <v>2320</v>
      </c>
      <c r="E201" t="s">
        <v>2177</v>
      </c>
      <c r="F201">
        <v>202204</v>
      </c>
      <c r="G201" t="s">
        <v>221</v>
      </c>
      <c r="H201">
        <v>1457148.67</v>
      </c>
    </row>
    <row r="202" spans="1:8">
      <c r="A202" t="s">
        <v>2317</v>
      </c>
      <c r="B202" t="s">
        <v>2318</v>
      </c>
      <c r="C202" t="s">
        <v>2319</v>
      </c>
      <c r="D202" t="s">
        <v>2320</v>
      </c>
      <c r="E202" t="s">
        <v>2177</v>
      </c>
      <c r="F202">
        <v>202204</v>
      </c>
      <c r="G202" t="s">
        <v>223</v>
      </c>
      <c r="H202">
        <v>175430.9</v>
      </c>
    </row>
    <row r="203" spans="1:8">
      <c r="A203" t="s">
        <v>2317</v>
      </c>
      <c r="B203" t="s">
        <v>2318</v>
      </c>
      <c r="C203" t="s">
        <v>2319</v>
      </c>
      <c r="D203" t="s">
        <v>2320</v>
      </c>
      <c r="E203" t="s">
        <v>2177</v>
      </c>
      <c r="F203">
        <v>202205</v>
      </c>
      <c r="G203" t="s">
        <v>230</v>
      </c>
      <c r="H203">
        <v>110000</v>
      </c>
    </row>
    <row r="204" spans="1:8">
      <c r="A204" t="s">
        <v>2317</v>
      </c>
      <c r="B204" t="s">
        <v>2318</v>
      </c>
      <c r="C204" t="s">
        <v>2319</v>
      </c>
      <c r="D204" t="s">
        <v>2320</v>
      </c>
      <c r="E204" t="s">
        <v>2177</v>
      </c>
      <c r="F204">
        <v>202205</v>
      </c>
      <c r="G204" t="s">
        <v>231</v>
      </c>
      <c r="H204">
        <v>0</v>
      </c>
    </row>
    <row r="205" spans="1:8">
      <c r="A205" t="s">
        <v>2317</v>
      </c>
      <c r="B205" t="s">
        <v>2318</v>
      </c>
      <c r="C205" t="s">
        <v>2319</v>
      </c>
      <c r="D205" t="s">
        <v>2320</v>
      </c>
      <c r="E205" t="s">
        <v>2177</v>
      </c>
      <c r="F205">
        <v>202205</v>
      </c>
      <c r="G205" t="s">
        <v>221</v>
      </c>
      <c r="H205">
        <v>1496135</v>
      </c>
    </row>
    <row r="206" spans="1:8">
      <c r="A206" t="s">
        <v>2317</v>
      </c>
      <c r="B206" t="s">
        <v>2318</v>
      </c>
      <c r="C206" t="s">
        <v>2319</v>
      </c>
      <c r="D206" t="s">
        <v>2320</v>
      </c>
      <c r="E206" t="s">
        <v>2177</v>
      </c>
      <c r="F206">
        <v>202205</v>
      </c>
      <c r="G206" t="s">
        <v>223</v>
      </c>
      <c r="H206">
        <v>206322.9</v>
      </c>
    </row>
    <row r="207" spans="1:8">
      <c r="A207" t="s">
        <v>2317</v>
      </c>
      <c r="B207" t="s">
        <v>2318</v>
      </c>
      <c r="C207" t="s">
        <v>2321</v>
      </c>
      <c r="D207" t="s">
        <v>2322</v>
      </c>
      <c r="E207" t="s">
        <v>2177</v>
      </c>
      <c r="F207">
        <v>202104</v>
      </c>
      <c r="G207" t="s">
        <v>230</v>
      </c>
      <c r="H207">
        <v>0</v>
      </c>
    </row>
    <row r="208" spans="1:8">
      <c r="A208" t="s">
        <v>2317</v>
      </c>
      <c r="B208" t="s">
        <v>2318</v>
      </c>
      <c r="C208" t="s">
        <v>2321</v>
      </c>
      <c r="D208" t="s">
        <v>2322</v>
      </c>
      <c r="E208" t="s">
        <v>2177</v>
      </c>
      <c r="F208">
        <v>202104</v>
      </c>
      <c r="G208" t="s">
        <v>231</v>
      </c>
      <c r="H208">
        <v>0</v>
      </c>
    </row>
    <row r="209" spans="1:8">
      <c r="A209" t="s">
        <v>2317</v>
      </c>
      <c r="B209" t="s">
        <v>2318</v>
      </c>
      <c r="C209" t="s">
        <v>2321</v>
      </c>
      <c r="D209" t="s">
        <v>2322</v>
      </c>
      <c r="E209" t="s">
        <v>2177</v>
      </c>
      <c r="F209">
        <v>202104</v>
      </c>
      <c r="G209" t="s">
        <v>221</v>
      </c>
      <c r="H209">
        <v>213690</v>
      </c>
    </row>
    <row r="210" spans="1:8">
      <c r="A210" t="s">
        <v>2317</v>
      </c>
      <c r="B210" t="s">
        <v>2318</v>
      </c>
      <c r="C210" t="s">
        <v>2321</v>
      </c>
      <c r="D210" t="s">
        <v>2322</v>
      </c>
      <c r="E210" t="s">
        <v>2177</v>
      </c>
      <c r="F210">
        <v>202104</v>
      </c>
      <c r="G210" t="s">
        <v>223</v>
      </c>
      <c r="H210">
        <v>58093</v>
      </c>
    </row>
    <row r="211" spans="1:8">
      <c r="A211" t="s">
        <v>2317</v>
      </c>
      <c r="B211" t="s">
        <v>2318</v>
      </c>
      <c r="C211" t="s">
        <v>2321</v>
      </c>
      <c r="D211" t="s">
        <v>2322</v>
      </c>
      <c r="E211" t="s">
        <v>2177</v>
      </c>
      <c r="F211">
        <v>202104</v>
      </c>
      <c r="G211" t="s">
        <v>225</v>
      </c>
      <c r="H211">
        <v>0</v>
      </c>
    </row>
    <row r="212" spans="1:8">
      <c r="A212" t="s">
        <v>2317</v>
      </c>
      <c r="B212" t="s">
        <v>2318</v>
      </c>
      <c r="C212" t="s">
        <v>2321</v>
      </c>
      <c r="D212" t="s">
        <v>2322</v>
      </c>
      <c r="E212" t="s">
        <v>2177</v>
      </c>
      <c r="F212">
        <v>202105</v>
      </c>
      <c r="G212" t="s">
        <v>230</v>
      </c>
      <c r="H212">
        <v>0</v>
      </c>
    </row>
    <row r="213" spans="1:8">
      <c r="A213" t="s">
        <v>2317</v>
      </c>
      <c r="B213" t="s">
        <v>2318</v>
      </c>
      <c r="C213" t="s">
        <v>2321</v>
      </c>
      <c r="D213" t="s">
        <v>2322</v>
      </c>
      <c r="E213" t="s">
        <v>2177</v>
      </c>
      <c r="F213">
        <v>202105</v>
      </c>
      <c r="G213" t="s">
        <v>231</v>
      </c>
      <c r="H213">
        <v>0</v>
      </c>
    </row>
    <row r="214" spans="1:8">
      <c r="A214" t="s">
        <v>2317</v>
      </c>
      <c r="B214" t="s">
        <v>2318</v>
      </c>
      <c r="C214" t="s">
        <v>2321</v>
      </c>
      <c r="D214" t="s">
        <v>2322</v>
      </c>
      <c r="E214" t="s">
        <v>2177</v>
      </c>
      <c r="F214">
        <v>202105</v>
      </c>
      <c r="G214" t="s">
        <v>221</v>
      </c>
      <c r="H214">
        <v>314356</v>
      </c>
    </row>
    <row r="215" spans="1:8">
      <c r="A215" t="s">
        <v>2317</v>
      </c>
      <c r="B215" t="s">
        <v>2318</v>
      </c>
      <c r="C215" t="s">
        <v>2321</v>
      </c>
      <c r="D215" t="s">
        <v>2322</v>
      </c>
      <c r="E215" t="s">
        <v>2177</v>
      </c>
      <c r="F215">
        <v>202105</v>
      </c>
      <c r="G215" t="s">
        <v>223</v>
      </c>
      <c r="H215">
        <v>53470</v>
      </c>
    </row>
    <row r="216" spans="1:8">
      <c r="A216" t="s">
        <v>2317</v>
      </c>
      <c r="B216" t="s">
        <v>2318</v>
      </c>
      <c r="C216" t="s">
        <v>2321</v>
      </c>
      <c r="D216" t="s">
        <v>2322</v>
      </c>
      <c r="E216" t="s">
        <v>2177</v>
      </c>
      <c r="F216">
        <v>202105</v>
      </c>
      <c r="G216" t="s">
        <v>225</v>
      </c>
      <c r="H216">
        <v>0</v>
      </c>
    </row>
    <row r="217" spans="1:8">
      <c r="A217" t="s">
        <v>2317</v>
      </c>
      <c r="B217" t="s">
        <v>2318</v>
      </c>
      <c r="C217" t="s">
        <v>2321</v>
      </c>
      <c r="D217" t="s">
        <v>2322</v>
      </c>
      <c r="E217" t="s">
        <v>2177</v>
      </c>
      <c r="F217">
        <v>202106</v>
      </c>
      <c r="G217" t="s">
        <v>230</v>
      </c>
      <c r="H217">
        <v>0</v>
      </c>
    </row>
    <row r="218" spans="1:8">
      <c r="A218" t="s">
        <v>2317</v>
      </c>
      <c r="B218" t="s">
        <v>2318</v>
      </c>
      <c r="C218" t="s">
        <v>2321</v>
      </c>
      <c r="D218" t="s">
        <v>2322</v>
      </c>
      <c r="E218" t="s">
        <v>2177</v>
      </c>
      <c r="F218">
        <v>202106</v>
      </c>
      <c r="G218" t="s">
        <v>231</v>
      </c>
      <c r="H218">
        <v>0</v>
      </c>
    </row>
    <row r="219" spans="1:8">
      <c r="A219" t="s">
        <v>2317</v>
      </c>
      <c r="B219" t="s">
        <v>2318</v>
      </c>
      <c r="C219" t="s">
        <v>2321</v>
      </c>
      <c r="D219" t="s">
        <v>2322</v>
      </c>
      <c r="E219" t="s">
        <v>2177</v>
      </c>
      <c r="F219">
        <v>202106</v>
      </c>
      <c r="G219" t="s">
        <v>221</v>
      </c>
      <c r="H219">
        <v>182823</v>
      </c>
    </row>
    <row r="220" spans="1:8">
      <c r="A220" t="s">
        <v>2317</v>
      </c>
      <c r="B220" t="s">
        <v>2318</v>
      </c>
      <c r="C220" t="s">
        <v>2321</v>
      </c>
      <c r="D220" t="s">
        <v>2322</v>
      </c>
      <c r="E220" t="s">
        <v>2177</v>
      </c>
      <c r="F220">
        <v>202106</v>
      </c>
      <c r="G220" t="s">
        <v>223</v>
      </c>
      <c r="H220">
        <v>39469</v>
      </c>
    </row>
    <row r="221" spans="1:8">
      <c r="A221" t="s">
        <v>2317</v>
      </c>
      <c r="B221" t="s">
        <v>2318</v>
      </c>
      <c r="C221" t="s">
        <v>2321</v>
      </c>
      <c r="D221" t="s">
        <v>2322</v>
      </c>
      <c r="E221" t="s">
        <v>2177</v>
      </c>
      <c r="F221">
        <v>202106</v>
      </c>
      <c r="G221" t="s">
        <v>225</v>
      </c>
      <c r="H221">
        <v>0</v>
      </c>
    </row>
    <row r="222" spans="1:8">
      <c r="A222" t="s">
        <v>2317</v>
      </c>
      <c r="B222" t="s">
        <v>2318</v>
      </c>
      <c r="C222" t="s">
        <v>2321</v>
      </c>
      <c r="D222" t="s">
        <v>2322</v>
      </c>
      <c r="E222" t="s">
        <v>2177</v>
      </c>
      <c r="F222">
        <v>202107</v>
      </c>
      <c r="G222" t="s">
        <v>230</v>
      </c>
      <c r="H222">
        <v>0</v>
      </c>
    </row>
    <row r="223" spans="1:8">
      <c r="A223" t="s">
        <v>2317</v>
      </c>
      <c r="B223" t="s">
        <v>2318</v>
      </c>
      <c r="C223" t="s">
        <v>2321</v>
      </c>
      <c r="D223" t="s">
        <v>2322</v>
      </c>
      <c r="E223" t="s">
        <v>2177</v>
      </c>
      <c r="F223">
        <v>202107</v>
      </c>
      <c r="G223" t="s">
        <v>231</v>
      </c>
      <c r="H223">
        <v>0</v>
      </c>
    </row>
    <row r="224" spans="1:8">
      <c r="A224" t="s">
        <v>2317</v>
      </c>
      <c r="B224" t="s">
        <v>2318</v>
      </c>
      <c r="C224" t="s">
        <v>2321</v>
      </c>
      <c r="D224" t="s">
        <v>2322</v>
      </c>
      <c r="E224" t="s">
        <v>2177</v>
      </c>
      <c r="F224">
        <v>202107</v>
      </c>
      <c r="G224" t="s">
        <v>221</v>
      </c>
      <c r="H224">
        <v>0</v>
      </c>
    </row>
    <row r="225" spans="1:8">
      <c r="A225" t="s">
        <v>2317</v>
      </c>
      <c r="B225" t="s">
        <v>2318</v>
      </c>
      <c r="C225" t="s">
        <v>2321</v>
      </c>
      <c r="D225" t="s">
        <v>2322</v>
      </c>
      <c r="E225" t="s">
        <v>2177</v>
      </c>
      <c r="F225">
        <v>202107</v>
      </c>
      <c r="G225" t="s">
        <v>223</v>
      </c>
      <c r="H225">
        <v>9659</v>
      </c>
    </row>
    <row r="226" spans="1:8">
      <c r="A226" t="s">
        <v>2317</v>
      </c>
      <c r="B226" t="s">
        <v>2318</v>
      </c>
      <c r="C226" t="s">
        <v>2321</v>
      </c>
      <c r="D226" t="s">
        <v>2322</v>
      </c>
      <c r="E226" t="s">
        <v>2177</v>
      </c>
      <c r="F226">
        <v>202107</v>
      </c>
      <c r="G226" t="s">
        <v>225</v>
      </c>
      <c r="H226">
        <v>0</v>
      </c>
    </row>
    <row r="227" spans="1:8">
      <c r="A227" t="s">
        <v>2317</v>
      </c>
      <c r="B227" t="s">
        <v>2318</v>
      </c>
      <c r="C227" t="s">
        <v>2321</v>
      </c>
      <c r="D227" t="s">
        <v>2322</v>
      </c>
      <c r="E227" t="s">
        <v>2177</v>
      </c>
      <c r="F227">
        <v>202108</v>
      </c>
      <c r="G227" t="s">
        <v>230</v>
      </c>
      <c r="H227">
        <v>0</v>
      </c>
    </row>
    <row r="228" spans="1:8">
      <c r="A228" t="s">
        <v>2317</v>
      </c>
      <c r="B228" t="s">
        <v>2318</v>
      </c>
      <c r="C228" t="s">
        <v>2321</v>
      </c>
      <c r="D228" t="s">
        <v>2322</v>
      </c>
      <c r="E228" t="s">
        <v>2177</v>
      </c>
      <c r="F228">
        <v>202108</v>
      </c>
      <c r="G228" t="s">
        <v>231</v>
      </c>
      <c r="H228">
        <v>0</v>
      </c>
    </row>
    <row r="229" spans="1:8">
      <c r="A229" t="s">
        <v>2317</v>
      </c>
      <c r="B229" t="s">
        <v>2318</v>
      </c>
      <c r="C229" t="s">
        <v>2321</v>
      </c>
      <c r="D229" t="s">
        <v>2322</v>
      </c>
      <c r="E229" t="s">
        <v>2177</v>
      </c>
      <c r="F229">
        <v>202108</v>
      </c>
      <c r="G229" t="s">
        <v>221</v>
      </c>
      <c r="H229">
        <v>0</v>
      </c>
    </row>
    <row r="230" spans="1:8">
      <c r="A230" t="s">
        <v>2317</v>
      </c>
      <c r="B230" t="s">
        <v>2318</v>
      </c>
      <c r="C230" t="s">
        <v>2321</v>
      </c>
      <c r="D230" t="s">
        <v>2322</v>
      </c>
      <c r="E230" t="s">
        <v>2177</v>
      </c>
      <c r="F230">
        <v>202108</v>
      </c>
      <c r="G230" t="s">
        <v>223</v>
      </c>
      <c r="H230">
        <v>16415</v>
      </c>
    </row>
    <row r="231" spans="1:8">
      <c r="A231" t="s">
        <v>2317</v>
      </c>
      <c r="B231" t="s">
        <v>2318</v>
      </c>
      <c r="C231" t="s">
        <v>2321</v>
      </c>
      <c r="D231" t="s">
        <v>2322</v>
      </c>
      <c r="E231" t="s">
        <v>2177</v>
      </c>
      <c r="F231">
        <v>202109</v>
      </c>
      <c r="G231" t="s">
        <v>230</v>
      </c>
      <c r="H231">
        <v>0</v>
      </c>
    </row>
    <row r="232" spans="1:8">
      <c r="A232" t="s">
        <v>2317</v>
      </c>
      <c r="B232" t="s">
        <v>2318</v>
      </c>
      <c r="C232" t="s">
        <v>2321</v>
      </c>
      <c r="D232" t="s">
        <v>2322</v>
      </c>
      <c r="E232" t="s">
        <v>2177</v>
      </c>
      <c r="F232">
        <v>202109</v>
      </c>
      <c r="G232" t="s">
        <v>231</v>
      </c>
      <c r="H232">
        <v>0</v>
      </c>
    </row>
    <row r="233" spans="1:8">
      <c r="A233" t="s">
        <v>2317</v>
      </c>
      <c r="B233" t="s">
        <v>2318</v>
      </c>
      <c r="C233" t="s">
        <v>2321</v>
      </c>
      <c r="D233" t="s">
        <v>2322</v>
      </c>
      <c r="E233" t="s">
        <v>2177</v>
      </c>
      <c r="F233">
        <v>202109</v>
      </c>
      <c r="G233" t="s">
        <v>221</v>
      </c>
      <c r="H233">
        <v>0</v>
      </c>
    </row>
    <row r="234" spans="1:8">
      <c r="A234" t="s">
        <v>2317</v>
      </c>
      <c r="B234" t="s">
        <v>2318</v>
      </c>
      <c r="C234" t="s">
        <v>2321</v>
      </c>
      <c r="D234" t="s">
        <v>2322</v>
      </c>
      <c r="E234" t="s">
        <v>2177</v>
      </c>
      <c r="F234">
        <v>202109</v>
      </c>
      <c r="G234" t="s">
        <v>223</v>
      </c>
      <c r="H234">
        <v>19190</v>
      </c>
    </row>
    <row r="235" spans="1:8">
      <c r="A235" t="s">
        <v>2317</v>
      </c>
      <c r="B235" t="s">
        <v>2318</v>
      </c>
      <c r="C235" t="s">
        <v>2321</v>
      </c>
      <c r="D235" t="s">
        <v>2322</v>
      </c>
      <c r="E235" t="s">
        <v>2177</v>
      </c>
      <c r="F235">
        <v>202110</v>
      </c>
      <c r="G235" t="s">
        <v>230</v>
      </c>
      <c r="H235">
        <v>0</v>
      </c>
    </row>
    <row r="236" spans="1:8">
      <c r="A236" t="s">
        <v>2317</v>
      </c>
      <c r="B236" t="s">
        <v>2318</v>
      </c>
      <c r="C236" t="s">
        <v>2321</v>
      </c>
      <c r="D236" t="s">
        <v>2322</v>
      </c>
      <c r="E236" t="s">
        <v>2177</v>
      </c>
      <c r="F236">
        <v>202110</v>
      </c>
      <c r="G236" t="s">
        <v>231</v>
      </c>
      <c r="H236">
        <v>0</v>
      </c>
    </row>
    <row r="237" spans="1:8">
      <c r="A237" t="s">
        <v>2317</v>
      </c>
      <c r="B237" t="s">
        <v>2318</v>
      </c>
      <c r="C237" t="s">
        <v>2321</v>
      </c>
      <c r="D237" t="s">
        <v>2322</v>
      </c>
      <c r="E237" t="s">
        <v>2177</v>
      </c>
      <c r="F237">
        <v>202110</v>
      </c>
      <c r="G237" t="s">
        <v>221</v>
      </c>
      <c r="H237">
        <v>0</v>
      </c>
    </row>
    <row r="238" spans="1:8">
      <c r="A238" t="s">
        <v>2317</v>
      </c>
      <c r="B238" t="s">
        <v>2318</v>
      </c>
      <c r="C238" t="s">
        <v>2321</v>
      </c>
      <c r="D238" t="s">
        <v>2322</v>
      </c>
      <c r="E238" t="s">
        <v>2177</v>
      </c>
      <c r="F238">
        <v>202110</v>
      </c>
      <c r="G238" t="s">
        <v>223</v>
      </c>
      <c r="H238">
        <v>0</v>
      </c>
    </row>
    <row r="239" spans="1:8">
      <c r="A239" t="s">
        <v>2317</v>
      </c>
      <c r="B239" t="s">
        <v>2318</v>
      </c>
      <c r="C239" t="s">
        <v>2321</v>
      </c>
      <c r="D239" t="s">
        <v>2322</v>
      </c>
      <c r="E239" t="s">
        <v>2177</v>
      </c>
      <c r="F239">
        <v>202111</v>
      </c>
      <c r="G239" t="s">
        <v>230</v>
      </c>
      <c r="H239">
        <v>0</v>
      </c>
    </row>
    <row r="240" spans="1:8">
      <c r="A240" t="s">
        <v>2317</v>
      </c>
      <c r="B240" t="s">
        <v>2318</v>
      </c>
      <c r="C240" t="s">
        <v>2321</v>
      </c>
      <c r="D240" t="s">
        <v>2322</v>
      </c>
      <c r="E240" t="s">
        <v>2177</v>
      </c>
      <c r="F240">
        <v>202111</v>
      </c>
      <c r="G240" t="s">
        <v>231</v>
      </c>
      <c r="H240">
        <v>0</v>
      </c>
    </row>
    <row r="241" spans="1:8">
      <c r="A241" t="s">
        <v>2317</v>
      </c>
      <c r="B241" t="s">
        <v>2318</v>
      </c>
      <c r="C241" t="s">
        <v>2321</v>
      </c>
      <c r="D241" t="s">
        <v>2322</v>
      </c>
      <c r="E241" t="s">
        <v>2177</v>
      </c>
      <c r="F241">
        <v>202111</v>
      </c>
      <c r="G241" t="s">
        <v>221</v>
      </c>
      <c r="H241">
        <v>0</v>
      </c>
    </row>
    <row r="242" spans="1:8">
      <c r="A242" t="s">
        <v>2317</v>
      </c>
      <c r="B242" t="s">
        <v>2318</v>
      </c>
      <c r="C242" t="s">
        <v>2321</v>
      </c>
      <c r="D242" t="s">
        <v>2322</v>
      </c>
      <c r="E242" t="s">
        <v>2177</v>
      </c>
      <c r="F242">
        <v>202111</v>
      </c>
      <c r="G242" t="s">
        <v>223</v>
      </c>
      <c r="H242">
        <v>26894</v>
      </c>
    </row>
    <row r="243" spans="1:8">
      <c r="A243" t="s">
        <v>2317</v>
      </c>
      <c r="B243" t="s">
        <v>2318</v>
      </c>
      <c r="C243" t="s">
        <v>2321</v>
      </c>
      <c r="D243" t="s">
        <v>2322</v>
      </c>
      <c r="E243" t="s">
        <v>2177</v>
      </c>
      <c r="F243">
        <v>202112</v>
      </c>
      <c r="G243" t="s">
        <v>230</v>
      </c>
      <c r="H243">
        <v>0</v>
      </c>
    </row>
    <row r="244" spans="1:8">
      <c r="A244" t="s">
        <v>2317</v>
      </c>
      <c r="B244" t="s">
        <v>2318</v>
      </c>
      <c r="C244" t="s">
        <v>2321</v>
      </c>
      <c r="D244" t="s">
        <v>2322</v>
      </c>
      <c r="E244" t="s">
        <v>2177</v>
      </c>
      <c r="F244">
        <v>202112</v>
      </c>
      <c r="G244" t="s">
        <v>231</v>
      </c>
      <c r="H244">
        <v>0</v>
      </c>
    </row>
    <row r="245" spans="1:8">
      <c r="A245" t="s">
        <v>2317</v>
      </c>
      <c r="B245" t="s">
        <v>2318</v>
      </c>
      <c r="C245" t="s">
        <v>2321</v>
      </c>
      <c r="D245" t="s">
        <v>2322</v>
      </c>
      <c r="E245" t="s">
        <v>2177</v>
      </c>
      <c r="F245">
        <v>202112</v>
      </c>
      <c r="G245" t="s">
        <v>221</v>
      </c>
      <c r="H245">
        <v>407738</v>
      </c>
    </row>
    <row r="246" spans="1:8">
      <c r="A246" t="s">
        <v>2317</v>
      </c>
      <c r="B246" t="s">
        <v>2318</v>
      </c>
      <c r="C246" t="s">
        <v>2321</v>
      </c>
      <c r="D246" t="s">
        <v>2322</v>
      </c>
      <c r="E246" t="s">
        <v>2177</v>
      </c>
      <c r="F246">
        <v>202112</v>
      </c>
      <c r="G246" t="s">
        <v>223</v>
      </c>
      <c r="H246">
        <v>63996</v>
      </c>
    </row>
    <row r="247" spans="1:8">
      <c r="A247" t="s">
        <v>2317</v>
      </c>
      <c r="B247" t="s">
        <v>2318</v>
      </c>
      <c r="C247" t="s">
        <v>2321</v>
      </c>
      <c r="D247" t="s">
        <v>2322</v>
      </c>
      <c r="E247" t="s">
        <v>2177</v>
      </c>
      <c r="F247">
        <v>202201</v>
      </c>
      <c r="G247" t="s">
        <v>230</v>
      </c>
      <c r="H247">
        <v>0</v>
      </c>
    </row>
    <row r="248" spans="1:8">
      <c r="A248" t="s">
        <v>2317</v>
      </c>
      <c r="B248" t="s">
        <v>2318</v>
      </c>
      <c r="C248" t="s">
        <v>2321</v>
      </c>
      <c r="D248" t="s">
        <v>2322</v>
      </c>
      <c r="E248" t="s">
        <v>2177</v>
      </c>
      <c r="F248">
        <v>202201</v>
      </c>
      <c r="G248" t="s">
        <v>231</v>
      </c>
      <c r="H248">
        <v>0</v>
      </c>
    </row>
    <row r="249" spans="1:8">
      <c r="A249" t="s">
        <v>2317</v>
      </c>
      <c r="B249" t="s">
        <v>2318</v>
      </c>
      <c r="C249" t="s">
        <v>2321</v>
      </c>
      <c r="D249" t="s">
        <v>2322</v>
      </c>
      <c r="E249" t="s">
        <v>2177</v>
      </c>
      <c r="F249">
        <v>202201</v>
      </c>
      <c r="G249" t="s">
        <v>221</v>
      </c>
      <c r="H249">
        <v>576109</v>
      </c>
    </row>
    <row r="250" spans="1:8">
      <c r="A250" t="s">
        <v>2317</v>
      </c>
      <c r="B250" t="s">
        <v>2318</v>
      </c>
      <c r="C250" t="s">
        <v>2321</v>
      </c>
      <c r="D250" t="s">
        <v>2322</v>
      </c>
      <c r="E250" t="s">
        <v>2177</v>
      </c>
      <c r="F250">
        <v>202201</v>
      </c>
      <c r="G250" t="s">
        <v>223</v>
      </c>
      <c r="H250">
        <v>87448</v>
      </c>
    </row>
    <row r="251" spans="1:8">
      <c r="A251" t="s">
        <v>2317</v>
      </c>
      <c r="B251" t="s">
        <v>2318</v>
      </c>
      <c r="C251" t="s">
        <v>2321</v>
      </c>
      <c r="D251" t="s">
        <v>2322</v>
      </c>
      <c r="E251" t="s">
        <v>2177</v>
      </c>
      <c r="F251">
        <v>202202</v>
      </c>
      <c r="G251" t="s">
        <v>230</v>
      </c>
      <c r="H251">
        <v>0</v>
      </c>
    </row>
    <row r="252" spans="1:8">
      <c r="A252" t="s">
        <v>2317</v>
      </c>
      <c r="B252" t="s">
        <v>2318</v>
      </c>
      <c r="C252" t="s">
        <v>2321</v>
      </c>
      <c r="D252" t="s">
        <v>2322</v>
      </c>
      <c r="E252" t="s">
        <v>2177</v>
      </c>
      <c r="F252">
        <v>202202</v>
      </c>
      <c r="G252" t="s">
        <v>231</v>
      </c>
      <c r="H252">
        <v>0</v>
      </c>
    </row>
    <row r="253" spans="1:8">
      <c r="A253" t="s">
        <v>2317</v>
      </c>
      <c r="B253" t="s">
        <v>2318</v>
      </c>
      <c r="C253" t="s">
        <v>2321</v>
      </c>
      <c r="D253" t="s">
        <v>2322</v>
      </c>
      <c r="E253" t="s">
        <v>2177</v>
      </c>
      <c r="F253">
        <v>202202</v>
      </c>
      <c r="G253" t="s">
        <v>221</v>
      </c>
      <c r="H253">
        <v>828441</v>
      </c>
    </row>
    <row r="254" spans="1:8">
      <c r="A254" t="s">
        <v>2317</v>
      </c>
      <c r="B254" t="s">
        <v>2318</v>
      </c>
      <c r="C254" t="s">
        <v>2321</v>
      </c>
      <c r="D254" t="s">
        <v>2322</v>
      </c>
      <c r="E254" t="s">
        <v>2177</v>
      </c>
      <c r="F254">
        <v>202202</v>
      </c>
      <c r="G254" t="s">
        <v>223</v>
      </c>
      <c r="H254">
        <v>99044</v>
      </c>
    </row>
    <row r="255" spans="1:8">
      <c r="A255" t="s">
        <v>2317</v>
      </c>
      <c r="B255" t="s">
        <v>2318</v>
      </c>
      <c r="C255" t="s">
        <v>2321</v>
      </c>
      <c r="D255" t="s">
        <v>2322</v>
      </c>
      <c r="E255" t="s">
        <v>2177</v>
      </c>
      <c r="F255">
        <v>202203</v>
      </c>
      <c r="G255" t="s">
        <v>230</v>
      </c>
      <c r="H255">
        <v>0</v>
      </c>
    </row>
    <row r="256" spans="1:8">
      <c r="A256" t="s">
        <v>2317</v>
      </c>
      <c r="B256" t="s">
        <v>2318</v>
      </c>
      <c r="C256" t="s">
        <v>2321</v>
      </c>
      <c r="D256" t="s">
        <v>2322</v>
      </c>
      <c r="E256" t="s">
        <v>2177</v>
      </c>
      <c r="F256">
        <v>202203</v>
      </c>
      <c r="G256" t="s">
        <v>231</v>
      </c>
      <c r="H256">
        <v>0</v>
      </c>
    </row>
    <row r="257" spans="1:8">
      <c r="A257" t="s">
        <v>2317</v>
      </c>
      <c r="B257" t="s">
        <v>2318</v>
      </c>
      <c r="C257" t="s">
        <v>2321</v>
      </c>
      <c r="D257" t="s">
        <v>2322</v>
      </c>
      <c r="E257" t="s">
        <v>2177</v>
      </c>
      <c r="F257">
        <v>202203</v>
      </c>
      <c r="G257" t="s">
        <v>221</v>
      </c>
      <c r="H257">
        <v>688826</v>
      </c>
    </row>
    <row r="258" spans="1:8">
      <c r="A258" t="s">
        <v>2317</v>
      </c>
      <c r="B258" t="s">
        <v>2318</v>
      </c>
      <c r="C258" t="s">
        <v>2321</v>
      </c>
      <c r="D258" t="s">
        <v>2322</v>
      </c>
      <c r="E258" t="s">
        <v>2177</v>
      </c>
      <c r="F258">
        <v>202203</v>
      </c>
      <c r="G258" t="s">
        <v>223</v>
      </c>
      <c r="H258">
        <v>100414</v>
      </c>
    </row>
    <row r="259" spans="1:8">
      <c r="A259" t="s">
        <v>2317</v>
      </c>
      <c r="B259" t="s">
        <v>2318</v>
      </c>
      <c r="C259" t="s">
        <v>2321</v>
      </c>
      <c r="D259" t="s">
        <v>2322</v>
      </c>
      <c r="E259" t="s">
        <v>2177</v>
      </c>
      <c r="F259">
        <v>202204</v>
      </c>
      <c r="G259" t="s">
        <v>230</v>
      </c>
      <c r="H259">
        <v>0</v>
      </c>
    </row>
    <row r="260" spans="1:8">
      <c r="A260" t="s">
        <v>2317</v>
      </c>
      <c r="B260" t="s">
        <v>2318</v>
      </c>
      <c r="C260" t="s">
        <v>2321</v>
      </c>
      <c r="D260" t="s">
        <v>2322</v>
      </c>
      <c r="E260" t="s">
        <v>2177</v>
      </c>
      <c r="F260">
        <v>202204</v>
      </c>
      <c r="G260" t="s">
        <v>231</v>
      </c>
      <c r="H260">
        <v>0</v>
      </c>
    </row>
    <row r="261" spans="1:8">
      <c r="A261" t="s">
        <v>2317</v>
      </c>
      <c r="B261" t="s">
        <v>2318</v>
      </c>
      <c r="C261" t="s">
        <v>2321</v>
      </c>
      <c r="D261" t="s">
        <v>2322</v>
      </c>
      <c r="E261" t="s">
        <v>2177</v>
      </c>
      <c r="F261">
        <v>202204</v>
      </c>
      <c r="G261" t="s">
        <v>221</v>
      </c>
      <c r="H261">
        <v>250505</v>
      </c>
    </row>
    <row r="262" spans="1:8">
      <c r="A262" t="s">
        <v>2317</v>
      </c>
      <c r="B262" t="s">
        <v>2318</v>
      </c>
      <c r="C262" t="s">
        <v>2321</v>
      </c>
      <c r="D262" t="s">
        <v>2322</v>
      </c>
      <c r="E262" t="s">
        <v>2177</v>
      </c>
      <c r="F262">
        <v>202204</v>
      </c>
      <c r="G262" t="s">
        <v>223</v>
      </c>
      <c r="H262">
        <v>56280</v>
      </c>
    </row>
    <row r="263" spans="1:8">
      <c r="A263" t="s">
        <v>2317</v>
      </c>
      <c r="B263" t="s">
        <v>2318</v>
      </c>
      <c r="C263" t="s">
        <v>2321</v>
      </c>
      <c r="D263" t="s">
        <v>2322</v>
      </c>
      <c r="E263" t="s">
        <v>2177</v>
      </c>
      <c r="F263">
        <v>202205</v>
      </c>
      <c r="G263" t="s">
        <v>230</v>
      </c>
      <c r="H263">
        <v>0</v>
      </c>
    </row>
    <row r="264" spans="1:8">
      <c r="A264" t="s">
        <v>2317</v>
      </c>
      <c r="B264" t="s">
        <v>2318</v>
      </c>
      <c r="C264" t="s">
        <v>2321</v>
      </c>
      <c r="D264" t="s">
        <v>2322</v>
      </c>
      <c r="E264" t="s">
        <v>2177</v>
      </c>
      <c r="F264">
        <v>202205</v>
      </c>
      <c r="G264" t="s">
        <v>231</v>
      </c>
      <c r="H264">
        <v>0</v>
      </c>
    </row>
    <row r="265" spans="1:8">
      <c r="A265" t="s">
        <v>2317</v>
      </c>
      <c r="B265" t="s">
        <v>2318</v>
      </c>
      <c r="C265" t="s">
        <v>2321</v>
      </c>
      <c r="D265" t="s">
        <v>2322</v>
      </c>
      <c r="E265" t="s">
        <v>2177</v>
      </c>
      <c r="F265">
        <v>202205</v>
      </c>
      <c r="G265" t="s">
        <v>221</v>
      </c>
      <c r="H265">
        <v>0</v>
      </c>
    </row>
    <row r="266" spans="1:8">
      <c r="A266" t="s">
        <v>2317</v>
      </c>
      <c r="B266" t="s">
        <v>2318</v>
      </c>
      <c r="C266" t="s">
        <v>2321</v>
      </c>
      <c r="D266" t="s">
        <v>2322</v>
      </c>
      <c r="E266" t="s">
        <v>2177</v>
      </c>
      <c r="F266">
        <v>202205</v>
      </c>
      <c r="G266" t="s">
        <v>223</v>
      </c>
      <c r="H266">
        <v>10473</v>
      </c>
    </row>
    <row r="267" spans="1:8">
      <c r="A267" t="s">
        <v>2317</v>
      </c>
      <c r="B267" t="s">
        <v>2318</v>
      </c>
      <c r="C267" t="s">
        <v>2321</v>
      </c>
      <c r="D267" t="s">
        <v>2322</v>
      </c>
      <c r="E267" t="s">
        <v>2177</v>
      </c>
      <c r="F267">
        <v>202206</v>
      </c>
      <c r="G267" t="s">
        <v>230</v>
      </c>
      <c r="H267">
        <v>0</v>
      </c>
    </row>
    <row r="268" spans="1:8">
      <c r="A268" t="s">
        <v>2317</v>
      </c>
      <c r="B268" t="s">
        <v>2318</v>
      </c>
      <c r="C268" t="s">
        <v>2321</v>
      </c>
      <c r="D268" t="s">
        <v>2322</v>
      </c>
      <c r="E268" t="s">
        <v>2177</v>
      </c>
      <c r="F268">
        <v>202206</v>
      </c>
      <c r="G268" t="s">
        <v>231</v>
      </c>
      <c r="H268">
        <v>0</v>
      </c>
    </row>
    <row r="269" spans="1:8">
      <c r="A269" t="s">
        <v>2317</v>
      </c>
      <c r="B269" t="s">
        <v>2318</v>
      </c>
      <c r="C269" t="s">
        <v>2321</v>
      </c>
      <c r="D269" t="s">
        <v>2322</v>
      </c>
      <c r="E269" t="s">
        <v>2177</v>
      </c>
      <c r="F269">
        <v>202206</v>
      </c>
      <c r="G269" t="s">
        <v>221</v>
      </c>
      <c r="H269">
        <v>0</v>
      </c>
    </row>
    <row r="270" spans="1:8">
      <c r="A270" t="s">
        <v>2317</v>
      </c>
      <c r="B270" t="s">
        <v>2318</v>
      </c>
      <c r="C270" t="s">
        <v>2321</v>
      </c>
      <c r="D270" t="s">
        <v>2322</v>
      </c>
      <c r="E270" t="s">
        <v>2177</v>
      </c>
      <c r="F270">
        <v>202206</v>
      </c>
      <c r="G270" t="s">
        <v>223</v>
      </c>
      <c r="H270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B1" activePane="topRight" state="frozen"/>
      <selection activeCell="A7" sqref="A7"/>
      <selection pane="topRight" activeCell="R11" sqref="R1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2161</v>
      </c>
    </row>
    <row r="3" spans="1:50">
      <c r="A3" s="63" t="s">
        <v>235</v>
      </c>
      <c r="AI3" t="s">
        <v>2162</v>
      </c>
    </row>
    <row r="4" spans="1:50">
      <c r="A4" s="63" t="s">
        <v>236</v>
      </c>
    </row>
    <row r="7" spans="1:50">
      <c r="A7" s="655" t="s">
        <v>237</v>
      </c>
      <c r="M7" t="s">
        <v>2153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3" t="s">
        <v>238</v>
      </c>
      <c r="B9" s="513" t="s">
        <v>239</v>
      </c>
      <c r="C9" s="513" t="s">
        <v>240</v>
      </c>
      <c r="D9" s="513" t="s">
        <v>241</v>
      </c>
      <c r="E9" s="513" t="s">
        <v>242</v>
      </c>
      <c r="F9" s="513" t="s">
        <v>243</v>
      </c>
      <c r="G9" s="513" t="s">
        <v>244</v>
      </c>
      <c r="H9" s="513" t="s">
        <v>245</v>
      </c>
      <c r="I9" s="513" t="s">
        <v>246</v>
      </c>
      <c r="J9" s="513" t="s">
        <v>247</v>
      </c>
      <c r="K9" s="513" t="s">
        <v>248</v>
      </c>
      <c r="L9" s="513" t="s">
        <v>249</v>
      </c>
      <c r="M9" s="513" t="s">
        <v>250</v>
      </c>
      <c r="N9" s="513" t="s">
        <v>251</v>
      </c>
      <c r="O9" s="513" t="s">
        <v>252</v>
      </c>
      <c r="P9" s="513" t="s">
        <v>253</v>
      </c>
      <c r="Q9" s="513" t="s">
        <v>254</v>
      </c>
      <c r="R9" s="513" t="s">
        <v>255</v>
      </c>
      <c r="S9" s="513" t="s">
        <v>256</v>
      </c>
      <c r="T9" s="513" t="s">
        <v>257</v>
      </c>
      <c r="U9" s="514" t="s">
        <v>258</v>
      </c>
      <c r="V9" s="513" t="s">
        <v>259</v>
      </c>
      <c r="W9" s="513" t="s">
        <v>260</v>
      </c>
      <c r="X9" s="514" t="s">
        <v>261</v>
      </c>
      <c r="Y9" s="514" t="s">
        <v>262</v>
      </c>
      <c r="Z9" s="514" t="s">
        <v>263</v>
      </c>
      <c r="AA9" s="514" t="s">
        <v>264</v>
      </c>
      <c r="AB9" s="514" t="s">
        <v>265</v>
      </c>
      <c r="AC9" s="514" t="s">
        <v>266</v>
      </c>
      <c r="AD9" s="514" t="s">
        <v>267</v>
      </c>
      <c r="AE9" s="514" t="s">
        <v>268</v>
      </c>
      <c r="AF9" s="514" t="s">
        <v>269</v>
      </c>
      <c r="AG9" s="514" t="s">
        <v>270</v>
      </c>
      <c r="AH9" s="514" t="s">
        <v>271</v>
      </c>
      <c r="AI9" s="514" t="s">
        <v>272</v>
      </c>
      <c r="AJ9" s="514" t="s">
        <v>273</v>
      </c>
      <c r="AK9" s="514" t="s">
        <v>274</v>
      </c>
      <c r="AL9" s="514" t="s">
        <v>275</v>
      </c>
      <c r="AM9" s="514" t="s">
        <v>276</v>
      </c>
      <c r="AN9" s="514" t="s">
        <v>277</v>
      </c>
      <c r="AR9" s="811" t="s">
        <v>238</v>
      </c>
      <c r="AS9" s="812" t="s">
        <v>278</v>
      </c>
    </row>
    <row r="10" spans="1:50" s="9" customFormat="1" ht="31.5" hidden="1">
      <c r="A10" s="629" t="s">
        <v>279</v>
      </c>
      <c r="B10" s="629" t="s">
        <v>280</v>
      </c>
      <c r="C10" s="629">
        <v>5381</v>
      </c>
      <c r="D10" s="629" t="s">
        <v>281</v>
      </c>
      <c r="E10" s="629" t="s">
        <v>282</v>
      </c>
      <c r="F10" s="629" t="s">
        <v>283</v>
      </c>
      <c r="G10" s="629" t="s">
        <v>284</v>
      </c>
      <c r="H10" s="629">
        <v>3.7699999999999997E-2</v>
      </c>
      <c r="I10" s="629" t="s">
        <v>285</v>
      </c>
      <c r="J10" s="629">
        <v>104</v>
      </c>
      <c r="K10" s="629" t="s">
        <v>164</v>
      </c>
      <c r="L10" s="629">
        <v>145</v>
      </c>
      <c r="M10" s="814">
        <v>0</v>
      </c>
      <c r="N10" s="1592"/>
      <c r="O10" s="1592" t="s">
        <v>2154</v>
      </c>
      <c r="P10" s="1589">
        <v>0.18360000000000001</v>
      </c>
      <c r="Q10" s="1592">
        <v>16758759.762993418</v>
      </c>
      <c r="R10" s="1600">
        <v>44531</v>
      </c>
      <c r="S10" s="1592" t="s">
        <v>2165</v>
      </c>
      <c r="T10" s="629" t="s">
        <v>286</v>
      </c>
      <c r="U10" s="740" t="s">
        <v>287</v>
      </c>
      <c r="V10" s="629">
        <v>2024</v>
      </c>
      <c r="W10" s="1587">
        <v>2974</v>
      </c>
      <c r="X10" s="1588" t="s">
        <v>2156</v>
      </c>
      <c r="Y10" s="1589">
        <v>1.15E-2</v>
      </c>
      <c r="Z10" s="1590">
        <v>0</v>
      </c>
      <c r="AA10" s="1590" t="s">
        <v>288</v>
      </c>
      <c r="AB10" s="490">
        <v>39.72</v>
      </c>
      <c r="AC10" s="490">
        <v>539.16</v>
      </c>
      <c r="AD10" s="490">
        <v>3502812.67</v>
      </c>
      <c r="AE10" s="1591">
        <v>42300</v>
      </c>
      <c r="AF10" s="1591">
        <v>42300</v>
      </c>
      <c r="AG10" s="1592">
        <v>0</v>
      </c>
      <c r="AH10" s="629"/>
      <c r="AI10" s="740">
        <v>41472</v>
      </c>
      <c r="AJ10" s="740">
        <v>42613</v>
      </c>
      <c r="AK10" s="740" t="s">
        <v>289</v>
      </c>
      <c r="AL10" s="740"/>
      <c r="AM10" s="740"/>
      <c r="AN10" s="863"/>
      <c r="AO10" s="235"/>
      <c r="AP10" s="17"/>
      <c r="AR10" s="817" t="s">
        <v>290</v>
      </c>
      <c r="AS10" s="235"/>
      <c r="AT10" s="235"/>
      <c r="AX10" s="235"/>
    </row>
    <row r="11" spans="1:50" s="9" customFormat="1" ht="31.5" hidden="1">
      <c r="A11" s="629" t="s">
        <v>187</v>
      </c>
      <c r="B11" s="629" t="s">
        <v>291</v>
      </c>
      <c r="C11" s="629">
        <v>5366</v>
      </c>
      <c r="D11" s="629" t="s">
        <v>292</v>
      </c>
      <c r="E11" s="629" t="s">
        <v>282</v>
      </c>
      <c r="F11" s="629" t="s">
        <v>293</v>
      </c>
      <c r="G11" s="629" t="s">
        <v>284</v>
      </c>
      <c r="H11" s="629">
        <v>9.9699999999999997E-2</v>
      </c>
      <c r="I11" s="629" t="s">
        <v>164</v>
      </c>
      <c r="J11" s="629">
        <v>145</v>
      </c>
      <c r="K11" s="629"/>
      <c r="L11" s="629"/>
      <c r="M11" s="814">
        <v>0</v>
      </c>
      <c r="N11" s="1592"/>
      <c r="O11" s="1592" t="str">
        <f>O10</f>
        <v>ReH 2.995/2021</v>
      </c>
      <c r="P11" s="1601">
        <v>8.7599999999999997E-2</v>
      </c>
      <c r="Q11" s="1592">
        <v>12051594.579145933</v>
      </c>
      <c r="R11" s="1600">
        <v>44531</v>
      </c>
      <c r="S11" s="1592" t="str">
        <f>S10</f>
        <v>Desp. 521/2022</v>
      </c>
      <c r="T11" s="629" t="s">
        <v>294</v>
      </c>
      <c r="U11" s="740" t="s">
        <v>295</v>
      </c>
      <c r="V11" s="629">
        <v>2024</v>
      </c>
      <c r="W11" s="1587">
        <v>2944</v>
      </c>
      <c r="X11" s="1588" t="s">
        <v>2160</v>
      </c>
      <c r="Y11" s="629"/>
      <c r="AA11" s="1590" t="s">
        <v>164</v>
      </c>
      <c r="AB11" s="1592">
        <v>39.799999999999997</v>
      </c>
      <c r="AC11" s="1593">
        <v>133.91999999999999</v>
      </c>
      <c r="AD11" s="1593">
        <v>2423958.41</v>
      </c>
      <c r="AE11" s="740">
        <v>43678</v>
      </c>
      <c r="AF11" s="740">
        <v>43678</v>
      </c>
      <c r="AG11" s="1592">
        <v>0</v>
      </c>
      <c r="AH11" s="629"/>
      <c r="AI11" s="740">
        <v>41472</v>
      </c>
      <c r="AJ11" s="740">
        <v>42613</v>
      </c>
      <c r="AK11" s="740" t="s">
        <v>289</v>
      </c>
      <c r="AL11" s="740"/>
      <c r="AM11" s="740"/>
      <c r="AN11" s="863"/>
      <c r="AO11" s="235"/>
      <c r="AP11" s="17"/>
      <c r="AR11" s="817" t="s">
        <v>279</v>
      </c>
      <c r="AS11" s="235"/>
      <c r="AT11" s="235"/>
      <c r="AX11" s="235"/>
    </row>
    <row r="12" spans="1:50" s="9" customFormat="1" ht="31.5" hidden="1">
      <c r="A12" s="629" t="s">
        <v>296</v>
      </c>
      <c r="B12" s="629" t="s">
        <v>297</v>
      </c>
      <c r="C12" s="629">
        <v>5386</v>
      </c>
      <c r="D12" s="629" t="s">
        <v>298</v>
      </c>
      <c r="E12" s="629" t="s">
        <v>282</v>
      </c>
      <c r="F12" s="629" t="s">
        <v>299</v>
      </c>
      <c r="G12" s="629" t="s">
        <v>284</v>
      </c>
      <c r="H12" s="629">
        <v>3.7699999999999997E-2</v>
      </c>
      <c r="I12" s="629" t="s">
        <v>178</v>
      </c>
      <c r="J12" s="629">
        <v>135</v>
      </c>
      <c r="K12" s="629"/>
      <c r="L12" s="629"/>
      <c r="M12" s="814">
        <v>0</v>
      </c>
      <c r="N12" s="1592"/>
      <c r="O12" s="1592" t="str">
        <f t="shared" ref="O12:O61" si="9">O11</f>
        <v>ReH 2.995/2021</v>
      </c>
      <c r="P12" s="1601">
        <v>0.1298</v>
      </c>
      <c r="Q12" s="1592">
        <v>17888427.870995689</v>
      </c>
      <c r="R12" s="1600">
        <v>44531</v>
      </c>
      <c r="S12" s="1592" t="str">
        <f t="shared" ref="S12:S61" si="10">S11</f>
        <v>Desp. 521/2022</v>
      </c>
      <c r="T12" s="629" t="s">
        <v>300</v>
      </c>
      <c r="U12" s="740" t="s">
        <v>295</v>
      </c>
      <c r="V12" s="629">
        <v>2024</v>
      </c>
      <c r="W12" s="1587">
        <v>2977</v>
      </c>
      <c r="X12" s="1588" t="s">
        <v>2156</v>
      </c>
      <c r="Y12" s="1589">
        <v>1.15E-2</v>
      </c>
      <c r="Z12" s="1590">
        <v>-0.02</v>
      </c>
      <c r="AA12" s="1590" t="s">
        <v>301</v>
      </c>
      <c r="AB12" s="1592">
        <v>45.63</v>
      </c>
      <c r="AC12" s="1593">
        <v>532.64</v>
      </c>
      <c r="AD12" s="1593">
        <v>5694629.8099999996</v>
      </c>
      <c r="AE12" s="740">
        <v>43739</v>
      </c>
      <c r="AF12" s="740">
        <v>43739</v>
      </c>
      <c r="AG12" s="1592">
        <v>0</v>
      </c>
      <c r="AH12" s="629"/>
      <c r="AI12" s="740">
        <v>41472</v>
      </c>
      <c r="AJ12" s="740">
        <v>42673</v>
      </c>
      <c r="AK12" s="740" t="s">
        <v>289</v>
      </c>
      <c r="AL12" s="740"/>
      <c r="AM12" s="740"/>
      <c r="AN12" s="863"/>
      <c r="AO12" s="235"/>
      <c r="AP12" s="17"/>
      <c r="AR12" s="817" t="s">
        <v>187</v>
      </c>
      <c r="AS12" s="235"/>
      <c r="AT12" s="235"/>
      <c r="AX12" s="235"/>
    </row>
    <row r="13" spans="1:50" s="9" customFormat="1" ht="31.5" hidden="1">
      <c r="A13" s="629" t="s">
        <v>302</v>
      </c>
      <c r="B13" s="629" t="s">
        <v>303</v>
      </c>
      <c r="C13" s="629">
        <v>5378</v>
      </c>
      <c r="D13" s="629" t="s">
        <v>304</v>
      </c>
      <c r="E13" s="629" t="s">
        <v>282</v>
      </c>
      <c r="F13" s="629" t="s">
        <v>305</v>
      </c>
      <c r="G13" s="629" t="s">
        <v>284</v>
      </c>
      <c r="H13" s="629">
        <v>9.9699999999999997E-2</v>
      </c>
      <c r="I13" s="629" t="s">
        <v>204</v>
      </c>
      <c r="J13" s="629">
        <v>166</v>
      </c>
      <c r="K13" s="629" t="s">
        <v>164</v>
      </c>
      <c r="L13" s="629">
        <v>145</v>
      </c>
      <c r="M13" s="814">
        <v>0</v>
      </c>
      <c r="N13" s="1592"/>
      <c r="O13" s="1592" t="str">
        <f t="shared" si="9"/>
        <v>ReH 2.995/2021</v>
      </c>
      <c r="P13" s="1601">
        <v>0.1832</v>
      </c>
      <c r="Q13" s="1592">
        <v>51573900.56414932</v>
      </c>
      <c r="R13" s="1600">
        <v>44531</v>
      </c>
      <c r="S13" s="1592" t="str">
        <f t="shared" si="10"/>
        <v>Desp. 521/2022</v>
      </c>
      <c r="T13" s="629" t="s">
        <v>306</v>
      </c>
      <c r="U13" s="740" t="s">
        <v>295</v>
      </c>
      <c r="V13" s="629">
        <v>2024</v>
      </c>
      <c r="W13" s="1587">
        <v>2863</v>
      </c>
      <c r="X13" s="1588" t="s">
        <v>2159</v>
      </c>
      <c r="Y13" s="629"/>
      <c r="AA13" s="1590" t="s">
        <v>307</v>
      </c>
      <c r="AB13" s="1592">
        <v>60.67</v>
      </c>
      <c r="AC13" s="1593">
        <v>128.56</v>
      </c>
      <c r="AD13" s="1593">
        <v>16751978.699999999</v>
      </c>
      <c r="AE13" s="740">
        <v>44256</v>
      </c>
      <c r="AF13" s="740">
        <v>44277</v>
      </c>
      <c r="AG13" s="1592">
        <v>0</v>
      </c>
      <c r="AH13" s="629"/>
      <c r="AI13" s="740">
        <v>41472</v>
      </c>
      <c r="AJ13" s="740">
        <v>42410</v>
      </c>
      <c r="AK13" s="740" t="s">
        <v>289</v>
      </c>
      <c r="AL13" s="740"/>
      <c r="AM13" s="740"/>
      <c r="AN13" s="863"/>
      <c r="AO13" s="235"/>
      <c r="AP13" s="17"/>
      <c r="AR13" s="817" t="s">
        <v>186</v>
      </c>
      <c r="AS13" s="235"/>
      <c r="AT13" s="235"/>
      <c r="AX13" s="235"/>
    </row>
    <row r="14" spans="1:50" s="9" customFormat="1" ht="31.5" hidden="1">
      <c r="A14" s="629" t="s">
        <v>308</v>
      </c>
      <c r="B14" s="629" t="s">
        <v>309</v>
      </c>
      <c r="C14" s="629">
        <v>5382</v>
      </c>
      <c r="D14" s="629" t="s">
        <v>310</v>
      </c>
      <c r="E14" s="629" t="s">
        <v>282</v>
      </c>
      <c r="F14" s="629" t="s">
        <v>311</v>
      </c>
      <c r="G14" s="629" t="s">
        <v>284</v>
      </c>
      <c r="H14" s="629">
        <v>3.7699999999999997E-2</v>
      </c>
      <c r="I14" s="629" t="s">
        <v>312</v>
      </c>
      <c r="J14" s="629">
        <v>148</v>
      </c>
      <c r="K14" s="629"/>
      <c r="L14" s="629"/>
      <c r="M14" s="814">
        <v>0</v>
      </c>
      <c r="N14" s="1592"/>
      <c r="O14" s="1592" t="str">
        <f t="shared" si="9"/>
        <v>ReH 2.995/2021</v>
      </c>
      <c r="P14" s="1601">
        <v>8.9499999999999996E-2</v>
      </c>
      <c r="Q14" s="1602">
        <v>8419443.0538159572</v>
      </c>
      <c r="R14" s="1600">
        <v>44531</v>
      </c>
      <c r="S14" s="1592" t="str">
        <f t="shared" si="10"/>
        <v>Desp. 521/2022</v>
      </c>
      <c r="T14" s="629" t="s">
        <v>313</v>
      </c>
      <c r="U14" s="740" t="s">
        <v>295</v>
      </c>
      <c r="V14" s="629">
        <v>2024</v>
      </c>
      <c r="W14" s="1587">
        <v>2910</v>
      </c>
      <c r="X14" s="1588" t="s">
        <v>2158</v>
      </c>
      <c r="Y14" s="1589">
        <v>1.15E-2</v>
      </c>
      <c r="Z14" s="1590">
        <v>0</v>
      </c>
      <c r="AA14" s="1590" t="s">
        <v>312</v>
      </c>
      <c r="AB14" s="1592">
        <v>33.24</v>
      </c>
      <c r="AC14" s="1593">
        <v>986.44</v>
      </c>
      <c r="AD14" s="1593">
        <v>2124774.87</v>
      </c>
      <c r="AE14" s="740">
        <v>43647</v>
      </c>
      <c r="AF14" s="740">
        <v>43647</v>
      </c>
      <c r="AG14" s="1592">
        <v>0</v>
      </c>
      <c r="AH14" s="629"/>
      <c r="AI14" s="740">
        <v>41472</v>
      </c>
      <c r="AJ14" s="740">
        <v>42562</v>
      </c>
      <c r="AK14" s="740" t="s">
        <v>289</v>
      </c>
      <c r="AL14" s="740"/>
      <c r="AM14" s="740"/>
      <c r="AN14" s="863"/>
      <c r="AO14" s="235"/>
      <c r="AP14" s="17"/>
      <c r="AR14" s="817" t="s">
        <v>314</v>
      </c>
      <c r="AS14" s="235"/>
      <c r="AT14" s="235"/>
      <c r="AX14" s="235"/>
    </row>
    <row r="15" spans="1:50" s="9" customFormat="1" ht="31.5" hidden="1">
      <c r="A15" s="629" t="s">
        <v>315</v>
      </c>
      <c r="B15" s="629" t="s">
        <v>316</v>
      </c>
      <c r="C15" s="629">
        <v>6610</v>
      </c>
      <c r="D15" s="629" t="s">
        <v>317</v>
      </c>
      <c r="E15" s="629" t="s">
        <v>282</v>
      </c>
      <c r="F15" s="629" t="s">
        <v>318</v>
      </c>
      <c r="G15" s="629" t="s">
        <v>284</v>
      </c>
      <c r="H15" s="629">
        <v>9.9699999999999997E-2</v>
      </c>
      <c r="I15" s="629" t="s">
        <v>285</v>
      </c>
      <c r="J15" s="629">
        <v>104</v>
      </c>
      <c r="K15" s="629"/>
      <c r="L15" s="629"/>
      <c r="M15" s="814">
        <v>0</v>
      </c>
      <c r="N15" s="1592"/>
      <c r="O15" s="1592" t="str">
        <f t="shared" si="9"/>
        <v>ReH 2.995/2021</v>
      </c>
      <c r="P15" s="1601">
        <v>0.14800000000000002</v>
      </c>
      <c r="Q15" s="1602">
        <v>5024282.8201926984</v>
      </c>
      <c r="R15" s="1600">
        <v>44531</v>
      </c>
      <c r="S15" s="1592" t="str">
        <f t="shared" si="10"/>
        <v>Desp. 521/2022</v>
      </c>
      <c r="T15" s="629" t="s">
        <v>319</v>
      </c>
      <c r="U15" s="740" t="s">
        <v>287</v>
      </c>
      <c r="V15" s="629">
        <v>2024</v>
      </c>
      <c r="W15" s="1587">
        <v>2978</v>
      </c>
      <c r="X15" s="1588" t="s">
        <v>2156</v>
      </c>
      <c r="Y15" s="629"/>
      <c r="AA15" s="1590" t="s">
        <v>288</v>
      </c>
      <c r="AB15" s="1592">
        <v>98.54</v>
      </c>
      <c r="AC15" s="1593">
        <v>492.16</v>
      </c>
      <c r="AD15" s="1593">
        <v>607256.85</v>
      </c>
      <c r="AE15" s="740">
        <v>43739</v>
      </c>
      <c r="AF15" s="740">
        <v>43739</v>
      </c>
      <c r="AG15" s="1592">
        <v>0</v>
      </c>
      <c r="AH15" s="629"/>
      <c r="AI15" s="740">
        <v>41472</v>
      </c>
      <c r="AJ15" s="740">
        <v>42673</v>
      </c>
      <c r="AK15" s="740" t="s">
        <v>289</v>
      </c>
      <c r="AL15" s="740"/>
      <c r="AM15" s="740"/>
      <c r="AN15" s="863"/>
      <c r="AO15" s="235"/>
      <c r="AP15" s="17"/>
      <c r="AR15" s="817" t="s">
        <v>320</v>
      </c>
      <c r="AS15" s="235"/>
      <c r="AT15" s="235"/>
      <c r="AX15" s="235"/>
    </row>
    <row r="16" spans="1:50" s="9" customFormat="1" ht="31.5" hidden="1">
      <c r="A16" s="629" t="s">
        <v>321</v>
      </c>
      <c r="B16" s="629" t="s">
        <v>322</v>
      </c>
      <c r="C16" s="629">
        <v>6609</v>
      </c>
      <c r="D16" s="629" t="s">
        <v>323</v>
      </c>
      <c r="E16" s="629" t="s">
        <v>282</v>
      </c>
      <c r="F16" s="629" t="s">
        <v>324</v>
      </c>
      <c r="G16" s="629" t="s">
        <v>284</v>
      </c>
      <c r="H16" s="629">
        <v>3.7699999999999997E-2</v>
      </c>
      <c r="I16" s="629" t="s">
        <v>125</v>
      </c>
      <c r="J16" s="629">
        <v>165</v>
      </c>
      <c r="K16" s="629"/>
      <c r="L16" s="629"/>
      <c r="M16" s="814">
        <v>0</v>
      </c>
      <c r="N16" s="1592"/>
      <c r="O16" s="1592" t="str">
        <f t="shared" si="9"/>
        <v>ReH 2.995/2021</v>
      </c>
      <c r="P16" s="1601">
        <v>0.1585</v>
      </c>
      <c r="Q16" s="1592">
        <v>13523024.849047249</v>
      </c>
      <c r="R16" s="1600">
        <v>44531</v>
      </c>
      <c r="S16" s="1592" t="str">
        <f t="shared" si="10"/>
        <v>Desp. 521/2022</v>
      </c>
      <c r="T16" s="629" t="s">
        <v>325</v>
      </c>
      <c r="U16" s="740" t="s">
        <v>326</v>
      </c>
      <c r="V16" s="629">
        <v>2024</v>
      </c>
      <c r="W16" s="1587">
        <v>2903</v>
      </c>
      <c r="X16" s="1588" t="s">
        <v>2158</v>
      </c>
      <c r="Y16" s="1589">
        <v>1.15E-2</v>
      </c>
      <c r="Z16" s="487">
        <v>0</v>
      </c>
      <c r="AA16" s="487" t="s">
        <v>125</v>
      </c>
      <c r="AB16" s="1592">
        <v>23.817216620837154</v>
      </c>
      <c r="AC16" s="1593">
        <v>102.39004092957872</v>
      </c>
      <c r="AD16" s="1593">
        <v>8424461.6320540309</v>
      </c>
      <c r="AE16" s="740">
        <v>44389</v>
      </c>
      <c r="AF16" s="740">
        <v>44389</v>
      </c>
      <c r="AG16" s="1592">
        <v>0</v>
      </c>
      <c r="AH16" s="629"/>
      <c r="AI16" s="740">
        <v>41472</v>
      </c>
      <c r="AJ16" s="740">
        <v>42507</v>
      </c>
      <c r="AK16" s="740" t="s">
        <v>289</v>
      </c>
      <c r="AL16" s="740"/>
      <c r="AM16" s="740"/>
      <c r="AN16" s="863"/>
      <c r="AO16" s="235"/>
      <c r="AP16" s="17"/>
      <c r="AR16" s="817" t="s">
        <v>327</v>
      </c>
      <c r="AS16" s="235"/>
      <c r="AT16" s="235"/>
      <c r="AX16" s="235"/>
    </row>
    <row r="17" spans="1:50" s="9" customFormat="1" ht="31.5" hidden="1">
      <c r="A17" s="629" t="s">
        <v>328</v>
      </c>
      <c r="B17" s="629" t="s">
        <v>329</v>
      </c>
      <c r="C17" s="629">
        <v>5384</v>
      </c>
      <c r="D17" s="629" t="s">
        <v>330</v>
      </c>
      <c r="E17" s="629" t="s">
        <v>282</v>
      </c>
      <c r="F17" s="629" t="s">
        <v>331</v>
      </c>
      <c r="G17" s="629" t="s">
        <v>284</v>
      </c>
      <c r="H17" s="629">
        <v>9.9699999999999997E-2</v>
      </c>
      <c r="I17" s="629" t="s">
        <v>150</v>
      </c>
      <c r="J17" s="629">
        <v>136</v>
      </c>
      <c r="K17" s="629"/>
      <c r="L17" s="629"/>
      <c r="M17" s="814">
        <v>0</v>
      </c>
      <c r="N17" s="1592"/>
      <c r="O17" s="1592" t="str">
        <f t="shared" si="9"/>
        <v>ReH 2.995/2021</v>
      </c>
      <c r="P17" s="1601">
        <v>0.36620000000000003</v>
      </c>
      <c r="Q17" s="1592">
        <v>10580562.183376934</v>
      </c>
      <c r="R17" s="1600">
        <v>44531</v>
      </c>
      <c r="S17" s="1592" t="str">
        <f t="shared" si="10"/>
        <v>Desp. 521/2022</v>
      </c>
      <c r="T17" s="629" t="s">
        <v>332</v>
      </c>
      <c r="U17" s="740" t="s">
        <v>295</v>
      </c>
      <c r="V17" s="629">
        <v>2024</v>
      </c>
      <c r="W17" s="1587">
        <v>2873</v>
      </c>
      <c r="X17" s="1588" t="s">
        <v>2157</v>
      </c>
      <c r="Y17" s="629"/>
      <c r="AA17" s="1590" t="s">
        <v>150</v>
      </c>
      <c r="AB17" s="1592">
        <v>90.43</v>
      </c>
      <c r="AC17" s="1593">
        <v>237.88</v>
      </c>
      <c r="AD17" s="1593">
        <v>1254128.21</v>
      </c>
      <c r="AE17" s="740">
        <v>43198</v>
      </c>
      <c r="AF17" s="740">
        <v>43198</v>
      </c>
      <c r="AG17" s="1592">
        <v>0</v>
      </c>
      <c r="AH17" s="629"/>
      <c r="AI17" s="740">
        <v>41472</v>
      </c>
      <c r="AJ17" s="740">
        <v>42475</v>
      </c>
      <c r="AK17" s="740" t="s">
        <v>289</v>
      </c>
      <c r="AL17" s="740"/>
      <c r="AM17" s="740"/>
      <c r="AN17" s="863"/>
      <c r="AO17" s="235"/>
      <c r="AP17" s="17"/>
      <c r="AR17" s="817" t="s">
        <v>9</v>
      </c>
      <c r="AS17" s="235"/>
      <c r="AT17" s="235"/>
      <c r="AX17" s="235"/>
    </row>
    <row r="18" spans="1:50" s="9" customFormat="1" ht="31.5" hidden="1">
      <c r="A18" s="629" t="s">
        <v>333</v>
      </c>
      <c r="B18" s="629" t="s">
        <v>334</v>
      </c>
      <c r="C18" s="629">
        <v>5385</v>
      </c>
      <c r="D18" s="629" t="s">
        <v>335</v>
      </c>
      <c r="E18" s="629" t="s">
        <v>282</v>
      </c>
      <c r="F18" s="629" t="s">
        <v>336</v>
      </c>
      <c r="G18" s="629" t="s">
        <v>284</v>
      </c>
      <c r="H18" s="629">
        <v>3.7699999999999997E-2</v>
      </c>
      <c r="I18" s="629" t="s">
        <v>150</v>
      </c>
      <c r="J18" s="629">
        <v>136</v>
      </c>
      <c r="K18" s="629" t="s">
        <v>125</v>
      </c>
      <c r="L18" s="629">
        <v>165</v>
      </c>
      <c r="M18" s="814">
        <v>0</v>
      </c>
      <c r="N18" s="1592"/>
      <c r="O18" s="1592" t="str">
        <f t="shared" si="9"/>
        <v>ReH 2.995/2021</v>
      </c>
      <c r="P18" s="1601">
        <v>0.18079999999999999</v>
      </c>
      <c r="Q18" s="1592">
        <v>19362081.83872563</v>
      </c>
      <c r="R18" s="1600">
        <v>44531</v>
      </c>
      <c r="S18" s="1592" t="str">
        <f t="shared" si="10"/>
        <v>Desp. 521/2022</v>
      </c>
      <c r="T18" s="629" t="s">
        <v>337</v>
      </c>
      <c r="U18" s="740" t="s">
        <v>326</v>
      </c>
      <c r="V18" s="629">
        <v>2024</v>
      </c>
      <c r="W18" s="1587">
        <v>2874</v>
      </c>
      <c r="X18" s="1588" t="s">
        <v>2157</v>
      </c>
      <c r="Y18" s="1589">
        <v>1.15E-2</v>
      </c>
      <c r="Z18" s="487">
        <v>-7.9000000000000008E-3</v>
      </c>
      <c r="AA18" s="487" t="s">
        <v>150</v>
      </c>
      <c r="AB18" s="1592">
        <v>70.27</v>
      </c>
      <c r="AC18" s="1593">
        <v>237.88</v>
      </c>
      <c r="AD18" s="1593">
        <v>3687472.37</v>
      </c>
      <c r="AE18" s="740">
        <v>43198</v>
      </c>
      <c r="AF18" s="740">
        <v>43198</v>
      </c>
      <c r="AG18" s="1592">
        <v>0</v>
      </c>
      <c r="AH18" s="629"/>
      <c r="AI18" s="740">
        <v>41472</v>
      </c>
      <c r="AJ18" s="740">
        <v>42475</v>
      </c>
      <c r="AK18" s="740" t="s">
        <v>289</v>
      </c>
      <c r="AL18" s="740"/>
      <c r="AM18" s="740"/>
      <c r="AN18" s="863"/>
      <c r="AO18" s="235"/>
      <c r="AP18" s="17"/>
      <c r="AR18" s="817" t="s">
        <v>338</v>
      </c>
      <c r="AS18" s="235"/>
      <c r="AT18" s="235"/>
      <c r="AX18" s="235"/>
    </row>
    <row r="19" spans="1:50" s="9" customFormat="1" ht="31.5" hidden="1">
      <c r="A19" s="629" t="s">
        <v>339</v>
      </c>
      <c r="B19" s="629" t="s">
        <v>340</v>
      </c>
      <c r="C19" s="629">
        <v>5379</v>
      </c>
      <c r="D19" s="629" t="s">
        <v>341</v>
      </c>
      <c r="E19" s="629" t="s">
        <v>282</v>
      </c>
      <c r="F19" s="629" t="s">
        <v>342</v>
      </c>
      <c r="G19" s="629" t="s">
        <v>284</v>
      </c>
      <c r="H19" s="629">
        <v>3.7699999999999997E-2</v>
      </c>
      <c r="I19" s="629" t="s">
        <v>178</v>
      </c>
      <c r="J19" s="629">
        <v>135</v>
      </c>
      <c r="K19" s="629" t="s">
        <v>164</v>
      </c>
      <c r="L19" s="629">
        <v>145</v>
      </c>
      <c r="M19" s="814">
        <v>0</v>
      </c>
      <c r="N19" s="1592"/>
      <c r="O19" s="1592" t="str">
        <f t="shared" si="9"/>
        <v>ReH 2.995/2021</v>
      </c>
      <c r="P19" s="1601">
        <v>0.1321</v>
      </c>
      <c r="Q19" s="1592">
        <v>39394175.109390005</v>
      </c>
      <c r="R19" s="1600">
        <v>44531</v>
      </c>
      <c r="S19" s="1592" t="str">
        <f t="shared" si="10"/>
        <v>Desp. 521/2022</v>
      </c>
      <c r="T19" s="629" t="s">
        <v>343</v>
      </c>
      <c r="U19" s="740" t="s">
        <v>295</v>
      </c>
      <c r="V19" s="629">
        <v>2024</v>
      </c>
      <c r="W19" s="1587">
        <v>2975</v>
      </c>
      <c r="X19" s="1588" t="s">
        <v>2156</v>
      </c>
      <c r="Y19" s="1589">
        <v>1.15E-2</v>
      </c>
      <c r="Z19" s="487">
        <v>0</v>
      </c>
      <c r="AA19" s="1590" t="s">
        <v>301</v>
      </c>
      <c r="AB19" s="1594">
        <v>39.53</v>
      </c>
      <c r="AC19" s="1593">
        <v>532.64</v>
      </c>
      <c r="AD19" s="1593">
        <v>12412486.630000001</v>
      </c>
      <c r="AE19" s="740">
        <v>43739</v>
      </c>
      <c r="AF19" s="740">
        <v>43739</v>
      </c>
      <c r="AG19" s="1592">
        <v>0</v>
      </c>
      <c r="AH19" s="629"/>
      <c r="AI19" s="740">
        <v>41472</v>
      </c>
      <c r="AJ19" s="740">
        <v>42673</v>
      </c>
      <c r="AK19" s="740" t="s">
        <v>289</v>
      </c>
      <c r="AL19" s="740"/>
      <c r="AM19" s="740"/>
      <c r="AN19" s="863"/>
      <c r="AO19" s="235"/>
      <c r="AP19" s="17"/>
      <c r="AR19" s="817" t="s">
        <v>184</v>
      </c>
      <c r="AS19" s="235"/>
      <c r="AT19" s="235"/>
      <c r="AX19" s="235"/>
    </row>
    <row r="20" spans="1:50" s="9" customFormat="1" ht="31.5" hidden="1">
      <c r="A20" s="629" t="s">
        <v>314</v>
      </c>
      <c r="B20" s="629" t="s">
        <v>344</v>
      </c>
      <c r="C20" s="629">
        <v>5372</v>
      </c>
      <c r="D20" s="629" t="s">
        <v>345</v>
      </c>
      <c r="E20" s="629" t="s">
        <v>282</v>
      </c>
      <c r="F20" s="629" t="s">
        <v>346</v>
      </c>
      <c r="G20" s="629" t="s">
        <v>347</v>
      </c>
      <c r="H20" s="629">
        <v>9.9699999999999997E-2</v>
      </c>
      <c r="I20" s="629" t="s">
        <v>189</v>
      </c>
      <c r="J20" s="629">
        <v>111</v>
      </c>
      <c r="K20" s="629"/>
      <c r="L20" s="629"/>
      <c r="M20" s="814">
        <v>0</v>
      </c>
      <c r="N20" s="1592"/>
      <c r="O20" s="1592" t="str">
        <f t="shared" si="9"/>
        <v>ReH 2.995/2021</v>
      </c>
      <c r="P20" s="1601">
        <v>0.1079</v>
      </c>
      <c r="Q20" s="1602">
        <v>9742223.1963606756</v>
      </c>
      <c r="R20" s="1600">
        <v>44531</v>
      </c>
      <c r="S20" s="1592" t="str">
        <f t="shared" si="10"/>
        <v>Desp. 521/2022</v>
      </c>
      <c r="T20" s="629" t="s">
        <v>348</v>
      </c>
      <c r="U20" s="740" t="s">
        <v>349</v>
      </c>
      <c r="V20" s="629">
        <v>2024</v>
      </c>
      <c r="W20" s="1587">
        <v>2946</v>
      </c>
      <c r="X20" s="1588" t="s">
        <v>2160</v>
      </c>
      <c r="Y20" s="629"/>
      <c r="AA20" s="1590" t="s">
        <v>189</v>
      </c>
      <c r="AB20" s="1592">
        <v>59.846956156846908</v>
      </c>
      <c r="AC20" s="1593">
        <v>180.36</v>
      </c>
      <c r="AD20" s="1593">
        <v>3290792.2979728933</v>
      </c>
      <c r="AE20" s="740">
        <v>44430</v>
      </c>
      <c r="AF20" s="740">
        <v>44430</v>
      </c>
      <c r="AG20" s="1592">
        <v>0</v>
      </c>
      <c r="AH20" s="629"/>
      <c r="AI20" s="740">
        <v>41472</v>
      </c>
      <c r="AJ20" s="740">
        <v>42641</v>
      </c>
      <c r="AK20" s="740" t="s">
        <v>289</v>
      </c>
      <c r="AL20" s="740"/>
      <c r="AM20" s="740"/>
      <c r="AN20" s="863"/>
      <c r="AO20" s="235"/>
      <c r="AP20" s="17"/>
      <c r="AR20" s="817" t="s">
        <v>196</v>
      </c>
      <c r="AS20" s="235"/>
      <c r="AT20" s="235"/>
      <c r="AX20" s="235"/>
    </row>
    <row r="21" spans="1:50" s="9" customFormat="1" ht="31.5" hidden="1">
      <c r="A21" s="629" t="s">
        <v>9</v>
      </c>
      <c r="B21" s="629" t="s">
        <v>350</v>
      </c>
      <c r="C21" s="629">
        <v>5367</v>
      </c>
      <c r="D21" s="629" t="s">
        <v>351</v>
      </c>
      <c r="E21" s="629" t="s">
        <v>282</v>
      </c>
      <c r="F21" s="629" t="s">
        <v>352</v>
      </c>
      <c r="G21" s="629" t="s">
        <v>347</v>
      </c>
      <c r="H21" s="629">
        <v>9.9699999999999997E-2</v>
      </c>
      <c r="I21" s="629" t="s">
        <v>189</v>
      </c>
      <c r="J21" s="629">
        <v>111</v>
      </c>
      <c r="K21" s="629" t="s">
        <v>353</v>
      </c>
      <c r="L21" s="629">
        <v>110</v>
      </c>
      <c r="M21" s="814">
        <v>0</v>
      </c>
      <c r="N21" s="1592"/>
      <c r="O21" s="1592" t="str">
        <f t="shared" si="9"/>
        <v>ReH 2.995/2021</v>
      </c>
      <c r="P21" s="1601">
        <v>8.7999999999999995E-2</v>
      </c>
      <c r="Q21" s="1592">
        <v>28257854.842311971</v>
      </c>
      <c r="R21" s="1600">
        <v>44531</v>
      </c>
      <c r="S21" s="1592" t="str">
        <f t="shared" si="10"/>
        <v>Desp. 521/2022</v>
      </c>
      <c r="T21" s="629" t="s">
        <v>354</v>
      </c>
      <c r="U21" s="740" t="s">
        <v>355</v>
      </c>
      <c r="V21" s="629">
        <v>2025</v>
      </c>
      <c r="W21" s="1587">
        <v>3000</v>
      </c>
      <c r="X21" s="1588" t="s">
        <v>2155</v>
      </c>
      <c r="Y21" s="629"/>
      <c r="AA21" s="1590" t="s">
        <v>189</v>
      </c>
      <c r="AB21" s="1592">
        <v>46.284812313198138</v>
      </c>
      <c r="AC21" s="1593">
        <v>180.36</v>
      </c>
      <c r="AD21" s="1593">
        <v>11703468.880194727</v>
      </c>
      <c r="AE21" s="740">
        <v>44430</v>
      </c>
      <c r="AF21" s="740">
        <v>44430</v>
      </c>
      <c r="AG21" s="1592">
        <v>0</v>
      </c>
      <c r="AH21" s="629"/>
      <c r="AI21" s="740">
        <v>41365</v>
      </c>
      <c r="AJ21" s="740">
        <v>42641</v>
      </c>
      <c r="AK21" s="740" t="s">
        <v>289</v>
      </c>
      <c r="AL21" s="740"/>
      <c r="AM21" s="740"/>
      <c r="AN21" s="863"/>
      <c r="AO21" s="235"/>
      <c r="AP21" s="17"/>
      <c r="AR21" s="817" t="s">
        <v>356</v>
      </c>
      <c r="AS21" s="235"/>
      <c r="AT21" s="235"/>
      <c r="AX21" s="235"/>
    </row>
    <row r="22" spans="1:50" s="9" customFormat="1" ht="31.5" hidden="1">
      <c r="A22" s="629" t="s">
        <v>338</v>
      </c>
      <c r="B22" s="629" t="s">
        <v>357</v>
      </c>
      <c r="C22" s="629">
        <v>6897</v>
      </c>
      <c r="D22" s="629" t="s">
        <v>358</v>
      </c>
      <c r="E22" s="629" t="s">
        <v>282</v>
      </c>
      <c r="F22" s="629" t="s">
        <v>359</v>
      </c>
      <c r="G22" s="629" t="s">
        <v>347</v>
      </c>
      <c r="H22" s="629">
        <v>9.9699999999999997E-2</v>
      </c>
      <c r="I22" s="629" t="s">
        <v>189</v>
      </c>
      <c r="J22" s="629">
        <v>111</v>
      </c>
      <c r="K22" s="629"/>
      <c r="L22" s="629"/>
      <c r="M22" s="814">
        <v>0</v>
      </c>
      <c r="N22" s="1592"/>
      <c r="O22" s="1592" t="str">
        <f t="shared" si="9"/>
        <v>ReH 2.995/2021</v>
      </c>
      <c r="P22" s="1601">
        <v>0.11210000000000001</v>
      </c>
      <c r="Q22" s="1592">
        <v>25814070.878469311</v>
      </c>
      <c r="R22" s="1600">
        <v>44531</v>
      </c>
      <c r="S22" s="1592" t="str">
        <f t="shared" si="10"/>
        <v>Desp. 521/2022</v>
      </c>
      <c r="T22" s="629" t="s">
        <v>360</v>
      </c>
      <c r="U22" s="740" t="s">
        <v>349</v>
      </c>
      <c r="V22" s="629">
        <v>2024</v>
      </c>
      <c r="W22" s="1587">
        <v>2939</v>
      </c>
      <c r="X22" s="1588" t="s">
        <v>2160</v>
      </c>
      <c r="Y22" s="629"/>
      <c r="AA22" s="1590" t="s">
        <v>189</v>
      </c>
      <c r="AB22" s="1592">
        <v>48.427014093503388</v>
      </c>
      <c r="AC22" s="1593">
        <v>180.36</v>
      </c>
      <c r="AD22" s="1593">
        <v>10692706.342225492</v>
      </c>
      <c r="AE22" s="740">
        <v>44430</v>
      </c>
      <c r="AF22" s="740">
        <v>44430</v>
      </c>
      <c r="AG22" s="1592">
        <v>0</v>
      </c>
      <c r="AH22" s="629"/>
      <c r="AI22" s="740">
        <v>41472</v>
      </c>
      <c r="AJ22" s="740">
        <v>42641</v>
      </c>
      <c r="AK22" s="740" t="s">
        <v>289</v>
      </c>
      <c r="AL22" s="740"/>
      <c r="AM22" s="740"/>
      <c r="AN22" s="863"/>
      <c r="AO22" s="235"/>
      <c r="AP22" s="17"/>
      <c r="AR22" s="817" t="s">
        <v>361</v>
      </c>
      <c r="AS22" s="235"/>
      <c r="AT22" s="235"/>
      <c r="AX22" s="235"/>
    </row>
    <row r="23" spans="1:50" s="9" customFormat="1" ht="31.5" hidden="1">
      <c r="A23" s="629" t="s">
        <v>184</v>
      </c>
      <c r="B23" s="629" t="s">
        <v>362</v>
      </c>
      <c r="C23" s="629">
        <v>5351</v>
      </c>
      <c r="D23" s="629" t="s">
        <v>363</v>
      </c>
      <c r="E23" s="629" t="s">
        <v>282</v>
      </c>
      <c r="F23" s="629" t="s">
        <v>364</v>
      </c>
      <c r="G23" s="629" t="s">
        <v>347</v>
      </c>
      <c r="H23" s="629">
        <v>9.9699999999999997E-2</v>
      </c>
      <c r="I23" s="629" t="s">
        <v>361</v>
      </c>
      <c r="J23" s="629">
        <v>220</v>
      </c>
      <c r="K23" s="629"/>
      <c r="L23" s="629"/>
      <c r="M23" s="814">
        <v>0</v>
      </c>
      <c r="N23" s="1592"/>
      <c r="O23" s="1592" t="str">
        <f t="shared" si="9"/>
        <v>ReH 2.995/2021</v>
      </c>
      <c r="P23" s="1601">
        <v>5.1200000000000002E-2</v>
      </c>
      <c r="Q23" s="1592">
        <v>6592780.5451776758</v>
      </c>
      <c r="R23" s="1600">
        <v>44531</v>
      </c>
      <c r="S23" s="1592" t="str">
        <f t="shared" si="10"/>
        <v>Desp. 521/2022</v>
      </c>
      <c r="T23" s="629" t="s">
        <v>365</v>
      </c>
      <c r="U23" s="740" t="s">
        <v>349</v>
      </c>
      <c r="V23" s="629">
        <v>2024</v>
      </c>
      <c r="W23" s="1587">
        <v>2976</v>
      </c>
      <c r="X23" s="1588" t="s">
        <v>2156</v>
      </c>
      <c r="Y23" s="629"/>
      <c r="AA23" s="1590" t="s">
        <v>189</v>
      </c>
      <c r="AB23" s="1592">
        <v>16.172212694965044</v>
      </c>
      <c r="AC23" s="1593">
        <v>180.36</v>
      </c>
      <c r="AD23" s="1593">
        <v>3766690.3356666476</v>
      </c>
      <c r="AE23" s="740">
        <v>44430</v>
      </c>
      <c r="AF23" s="740">
        <v>44430</v>
      </c>
      <c r="AG23" s="1592">
        <v>0</v>
      </c>
      <c r="AH23" s="629"/>
      <c r="AI23" s="740">
        <v>41472</v>
      </c>
      <c r="AJ23" s="740">
        <v>42641</v>
      </c>
      <c r="AK23" s="740" t="s">
        <v>289</v>
      </c>
      <c r="AL23" s="740"/>
      <c r="AM23" s="740"/>
      <c r="AN23" s="863">
        <v>415113.21</v>
      </c>
      <c r="AO23" s="235"/>
      <c r="AP23" s="17"/>
      <c r="AR23" s="817" t="s">
        <v>366</v>
      </c>
      <c r="AS23" s="235"/>
      <c r="AT23" s="235"/>
      <c r="AX23" s="235"/>
    </row>
    <row r="24" spans="1:50" s="9" customFormat="1" ht="31.5" hidden="1">
      <c r="A24" s="629" t="s">
        <v>361</v>
      </c>
      <c r="B24" s="629" t="s">
        <v>367</v>
      </c>
      <c r="C24" s="629">
        <v>6898</v>
      </c>
      <c r="D24" s="629" t="s">
        <v>368</v>
      </c>
      <c r="E24" s="629" t="s">
        <v>282</v>
      </c>
      <c r="F24" s="629" t="s">
        <v>369</v>
      </c>
      <c r="G24" s="629" t="s">
        <v>347</v>
      </c>
      <c r="H24" s="629">
        <v>9.9699999999999997E-2</v>
      </c>
      <c r="I24" s="629" t="s">
        <v>189</v>
      </c>
      <c r="J24" s="629">
        <v>111</v>
      </c>
      <c r="K24" s="629"/>
      <c r="L24" s="629"/>
      <c r="M24" s="814">
        <v>0</v>
      </c>
      <c r="N24" s="1592"/>
      <c r="O24" s="1592" t="str">
        <f t="shared" si="9"/>
        <v>ReH 2.995/2021</v>
      </c>
      <c r="P24" s="1601">
        <v>7.1800000000000003E-2</v>
      </c>
      <c r="Q24" s="1592">
        <v>32515799.777980469</v>
      </c>
      <c r="R24" s="1600">
        <v>44531</v>
      </c>
      <c r="S24" s="1592" t="str">
        <f t="shared" si="10"/>
        <v>Desp. 521/2022</v>
      </c>
      <c r="T24" s="629" t="s">
        <v>370</v>
      </c>
      <c r="U24" s="740" t="s">
        <v>349</v>
      </c>
      <c r="V24" s="629">
        <v>2024</v>
      </c>
      <c r="W24" s="1587">
        <v>2949</v>
      </c>
      <c r="X24" s="1588" t="s">
        <v>2160</v>
      </c>
      <c r="Y24" s="629"/>
      <c r="AA24" s="1590" t="s">
        <v>189</v>
      </c>
      <c r="AB24" s="1592">
        <v>77.349128723029523</v>
      </c>
      <c r="AC24" s="1593">
        <v>180.36</v>
      </c>
      <c r="AD24" s="1593">
        <v>9354913.9292200413</v>
      </c>
      <c r="AE24" s="740">
        <v>44430</v>
      </c>
      <c r="AF24" s="740">
        <v>44430</v>
      </c>
      <c r="AG24" s="1592">
        <v>0</v>
      </c>
      <c r="AH24" s="629"/>
      <c r="AI24" s="740">
        <v>41472</v>
      </c>
      <c r="AJ24" s="740">
        <v>42641</v>
      </c>
      <c r="AK24" s="740" t="s">
        <v>289</v>
      </c>
      <c r="AL24" s="740"/>
      <c r="AM24" s="740"/>
      <c r="AN24" s="863"/>
      <c r="AO24" s="235"/>
      <c r="AP24" s="17"/>
      <c r="AR24" s="817" t="s">
        <v>371</v>
      </c>
      <c r="AS24" s="235"/>
      <c r="AT24" s="235"/>
      <c r="AX24" s="235"/>
    </row>
    <row r="25" spans="1:50" s="9" customFormat="1" ht="31.5" hidden="1">
      <c r="A25" s="629" t="s">
        <v>372</v>
      </c>
      <c r="B25" s="629" t="s">
        <v>373</v>
      </c>
      <c r="C25" s="629">
        <v>5352</v>
      </c>
      <c r="D25" s="629" t="s">
        <v>374</v>
      </c>
      <c r="E25" s="629" t="s">
        <v>282</v>
      </c>
      <c r="F25" s="629" t="s">
        <v>375</v>
      </c>
      <c r="G25" s="629" t="s">
        <v>347</v>
      </c>
      <c r="H25" s="629">
        <v>9.9699999999999997E-2</v>
      </c>
      <c r="I25" s="629" t="s">
        <v>189</v>
      </c>
      <c r="J25" s="629">
        <v>111</v>
      </c>
      <c r="K25" s="629"/>
      <c r="L25" s="629"/>
      <c r="M25" s="814">
        <v>0</v>
      </c>
      <c r="N25" s="1592"/>
      <c r="O25" s="1592" t="str">
        <f t="shared" si="9"/>
        <v>ReH 2.995/2021</v>
      </c>
      <c r="P25" s="1601">
        <v>8.72E-2</v>
      </c>
      <c r="Q25" s="1592">
        <v>27692113.474028908</v>
      </c>
      <c r="R25" s="1600">
        <v>44531</v>
      </c>
      <c r="S25" s="1592" t="str">
        <f t="shared" si="10"/>
        <v>Desp. 521/2022</v>
      </c>
      <c r="T25" s="629" t="s">
        <v>376</v>
      </c>
      <c r="U25" s="740" t="s">
        <v>377</v>
      </c>
      <c r="V25" s="629">
        <v>2024</v>
      </c>
      <c r="W25" s="1587">
        <v>2940</v>
      </c>
      <c r="X25" s="1588" t="s">
        <v>2160</v>
      </c>
      <c r="Y25" s="629"/>
      <c r="AA25" s="1590" t="s">
        <v>189</v>
      </c>
      <c r="AB25" s="1592">
        <v>22.580552842543515</v>
      </c>
      <c r="AC25" s="1593">
        <v>180.36</v>
      </c>
      <c r="AD25" s="1593">
        <v>16232843.86472071</v>
      </c>
      <c r="AE25" s="740">
        <v>44430</v>
      </c>
      <c r="AF25" s="740">
        <v>44430</v>
      </c>
      <c r="AG25" s="1592">
        <v>0</v>
      </c>
      <c r="AH25" s="629"/>
      <c r="AI25" s="740">
        <v>41472</v>
      </c>
      <c r="AJ25" s="740">
        <v>42641</v>
      </c>
      <c r="AK25" s="740" t="s">
        <v>289</v>
      </c>
      <c r="AL25" s="740"/>
      <c r="AM25" s="740"/>
      <c r="AN25" s="863"/>
      <c r="AO25" s="235"/>
      <c r="AP25" s="17"/>
      <c r="AR25" s="817" t="s">
        <v>372</v>
      </c>
      <c r="AS25" s="235"/>
      <c r="AT25" s="235"/>
      <c r="AX25" s="235"/>
    </row>
    <row r="26" spans="1:50" s="9" customFormat="1" ht="31.5" hidden="1">
      <c r="A26" s="629" t="s">
        <v>185</v>
      </c>
      <c r="B26" s="629" t="s">
        <v>378</v>
      </c>
      <c r="C26" s="629">
        <v>5353</v>
      </c>
      <c r="D26" s="629" t="s">
        <v>379</v>
      </c>
      <c r="E26" s="629" t="s">
        <v>282</v>
      </c>
      <c r="F26" s="629" t="s">
        <v>380</v>
      </c>
      <c r="G26" s="629" t="s">
        <v>347</v>
      </c>
      <c r="H26" s="629">
        <v>9.9699999999999997E-2</v>
      </c>
      <c r="I26" s="629" t="s">
        <v>189</v>
      </c>
      <c r="J26" s="629">
        <v>111</v>
      </c>
      <c r="K26" s="629"/>
      <c r="L26" s="629"/>
      <c r="M26" s="814">
        <v>0</v>
      </c>
      <c r="N26" s="1592"/>
      <c r="O26" s="1592" t="str">
        <f t="shared" si="9"/>
        <v>ReH 2.995/2021</v>
      </c>
      <c r="P26" s="1601">
        <v>5.5899999999999998E-2</v>
      </c>
      <c r="Q26" s="1602">
        <v>21470201.670165978</v>
      </c>
      <c r="R26" s="1600">
        <v>44531</v>
      </c>
      <c r="S26" s="1592" t="str">
        <f t="shared" si="10"/>
        <v>Desp. 521/2022</v>
      </c>
      <c r="T26" s="629" t="s">
        <v>381</v>
      </c>
      <c r="U26" s="740" t="s">
        <v>382</v>
      </c>
      <c r="V26" s="629">
        <v>2024</v>
      </c>
      <c r="W26" s="1587">
        <v>2950</v>
      </c>
      <c r="X26" s="1588" t="s">
        <v>2160</v>
      </c>
      <c r="Y26" s="629"/>
      <c r="AA26" s="1590" t="s">
        <v>189</v>
      </c>
      <c r="AB26" s="1592">
        <v>133.2436333697292</v>
      </c>
      <c r="AC26" s="1593">
        <v>180.36</v>
      </c>
      <c r="AD26" s="1593">
        <v>755772.02907041553</v>
      </c>
      <c r="AE26" s="740">
        <v>44430</v>
      </c>
      <c r="AF26" s="740">
        <v>44430</v>
      </c>
      <c r="AG26" s="1592">
        <v>0</v>
      </c>
      <c r="AH26" s="629"/>
      <c r="AI26" s="740">
        <v>41472</v>
      </c>
      <c r="AJ26" s="740">
        <v>42641</v>
      </c>
      <c r="AK26" s="740" t="s">
        <v>289</v>
      </c>
      <c r="AL26" s="740"/>
      <c r="AM26" s="740"/>
      <c r="AN26" s="863">
        <v>1175911.3899999999</v>
      </c>
      <c r="AO26" s="235"/>
      <c r="AP26" s="17"/>
      <c r="AR26" s="817" t="s">
        <v>182</v>
      </c>
      <c r="AS26" s="235"/>
      <c r="AT26" s="235"/>
      <c r="AX26" s="235"/>
    </row>
    <row r="27" spans="1:50" s="9" customFormat="1" ht="31.5" hidden="1">
      <c r="A27" s="629" t="s">
        <v>383</v>
      </c>
      <c r="B27" s="629" t="s">
        <v>384</v>
      </c>
      <c r="C27" s="629">
        <v>5355</v>
      </c>
      <c r="D27" s="629" t="s">
        <v>385</v>
      </c>
      <c r="E27" s="629" t="s">
        <v>282</v>
      </c>
      <c r="F27" s="629" t="s">
        <v>386</v>
      </c>
      <c r="G27" s="629" t="s">
        <v>347</v>
      </c>
      <c r="H27" s="629">
        <v>9.9699999999999997E-2</v>
      </c>
      <c r="I27" s="629" t="s">
        <v>189</v>
      </c>
      <c r="J27" s="629">
        <v>111</v>
      </c>
      <c r="K27" s="629"/>
      <c r="L27" s="629"/>
      <c r="M27" s="814">
        <v>0</v>
      </c>
      <c r="N27" s="1592"/>
      <c r="O27" s="1592" t="str">
        <f t="shared" si="9"/>
        <v>ReH 2.995/2021</v>
      </c>
      <c r="P27" s="1601">
        <v>9.4600000000000004E-2</v>
      </c>
      <c r="Q27" s="1592">
        <v>8199512.497046981</v>
      </c>
      <c r="R27" s="1600">
        <v>44531</v>
      </c>
      <c r="S27" s="1592" t="str">
        <f t="shared" si="10"/>
        <v>Desp. 521/2022</v>
      </c>
      <c r="T27" s="629" t="s">
        <v>387</v>
      </c>
      <c r="U27" s="740" t="s">
        <v>388</v>
      </c>
      <c r="V27" s="629">
        <v>2025</v>
      </c>
      <c r="W27" s="1587">
        <v>2957</v>
      </c>
      <c r="X27" s="1588" t="s">
        <v>2160</v>
      </c>
      <c r="Y27" s="629"/>
      <c r="AA27" s="1590" t="s">
        <v>189</v>
      </c>
      <c r="AB27" s="1592">
        <v>52.855625463016914</v>
      </c>
      <c r="AC27" s="1593">
        <v>180.36</v>
      </c>
      <c r="AD27" s="1593">
        <v>3264076.527192608</v>
      </c>
      <c r="AE27" s="740">
        <v>44430</v>
      </c>
      <c r="AF27" s="740">
        <v>44430</v>
      </c>
      <c r="AG27" s="1592">
        <v>0</v>
      </c>
      <c r="AH27" s="629"/>
      <c r="AI27" s="740">
        <v>41365</v>
      </c>
      <c r="AJ27" s="740">
        <v>42641</v>
      </c>
      <c r="AK27" s="740" t="s">
        <v>289</v>
      </c>
      <c r="AL27" s="740"/>
      <c r="AM27" s="740"/>
      <c r="AN27" s="863"/>
      <c r="AO27" s="235"/>
      <c r="AP27" s="17"/>
      <c r="AR27" s="817" t="s">
        <v>389</v>
      </c>
      <c r="AS27" s="235"/>
      <c r="AT27" s="235"/>
      <c r="AX27" s="235"/>
    </row>
    <row r="28" spans="1:50" s="9" customFormat="1" ht="31.5" hidden="1">
      <c r="A28" s="629" t="s">
        <v>390</v>
      </c>
      <c r="B28" s="629" t="s">
        <v>391</v>
      </c>
      <c r="C28" s="629">
        <v>5363</v>
      </c>
      <c r="D28" s="629" t="s">
        <v>392</v>
      </c>
      <c r="E28" s="629" t="s">
        <v>282</v>
      </c>
      <c r="F28" s="629" t="s">
        <v>393</v>
      </c>
      <c r="G28" s="629" t="s">
        <v>347</v>
      </c>
      <c r="H28" s="629">
        <v>9.9699999999999997E-2</v>
      </c>
      <c r="I28" s="629" t="s">
        <v>189</v>
      </c>
      <c r="J28" s="629">
        <v>111</v>
      </c>
      <c r="K28" s="629"/>
      <c r="L28" s="629"/>
      <c r="M28" s="814">
        <v>0</v>
      </c>
      <c r="N28" s="1592"/>
      <c r="O28" s="1592" t="str">
        <f t="shared" si="9"/>
        <v>ReH 2.995/2021</v>
      </c>
      <c r="P28" s="1601">
        <v>8.7799999999999989E-2</v>
      </c>
      <c r="Q28" s="1592">
        <v>9453809.4927214365</v>
      </c>
      <c r="R28" s="1600">
        <v>44531</v>
      </c>
      <c r="S28" s="1592" t="str">
        <f t="shared" si="10"/>
        <v>Desp. 521/2022</v>
      </c>
      <c r="T28" s="629" t="s">
        <v>394</v>
      </c>
      <c r="U28" s="740" t="s">
        <v>349</v>
      </c>
      <c r="V28" s="629">
        <v>2024</v>
      </c>
      <c r="W28" s="1587">
        <v>2947</v>
      </c>
      <c r="X28" s="1588" t="s">
        <v>2160</v>
      </c>
      <c r="Y28" s="629"/>
      <c r="AA28" s="1590" t="s">
        <v>189</v>
      </c>
      <c r="AB28" s="1592">
        <v>58.247314361695402</v>
      </c>
      <c r="AC28" s="1593">
        <v>180.36</v>
      </c>
      <c r="AD28" s="1593">
        <v>2499952.1881573107</v>
      </c>
      <c r="AE28" s="740">
        <v>44430</v>
      </c>
      <c r="AF28" s="740">
        <v>44430</v>
      </c>
      <c r="AG28" s="1592">
        <v>0</v>
      </c>
      <c r="AH28" s="629"/>
      <c r="AI28" s="740">
        <v>41472</v>
      </c>
      <c r="AJ28" s="740">
        <v>42641</v>
      </c>
      <c r="AK28" s="740" t="s">
        <v>289</v>
      </c>
      <c r="AL28" s="740"/>
      <c r="AM28" s="740"/>
      <c r="AN28" s="863"/>
      <c r="AO28" s="235"/>
      <c r="AP28" s="17"/>
      <c r="AR28" s="817" t="s">
        <v>185</v>
      </c>
      <c r="AS28" s="235"/>
      <c r="AT28" s="235"/>
      <c r="AX28" s="235"/>
    </row>
    <row r="29" spans="1:50" s="9" customFormat="1" ht="31.5" hidden="1">
      <c r="A29" s="629" t="s">
        <v>395</v>
      </c>
      <c r="B29" s="629" t="s">
        <v>396</v>
      </c>
      <c r="C29" s="629">
        <v>5364</v>
      </c>
      <c r="D29" s="629" t="s">
        <v>397</v>
      </c>
      <c r="E29" s="629" t="s">
        <v>282</v>
      </c>
      <c r="F29" s="629" t="s">
        <v>398</v>
      </c>
      <c r="G29" s="629" t="s">
        <v>347</v>
      </c>
      <c r="H29" s="629">
        <v>9.9699999999999997E-2</v>
      </c>
      <c r="I29" s="629" t="s">
        <v>189</v>
      </c>
      <c r="J29" s="629">
        <v>111</v>
      </c>
      <c r="K29" s="629"/>
      <c r="L29" s="629"/>
      <c r="M29" s="814">
        <v>0</v>
      </c>
      <c r="N29" s="1592"/>
      <c r="O29" s="1592" t="str">
        <f t="shared" si="9"/>
        <v>ReH 2.995/2021</v>
      </c>
      <c r="P29" s="1601">
        <v>8.8100000000000012E-2</v>
      </c>
      <c r="Q29" s="1592">
        <v>28651980.425397582</v>
      </c>
      <c r="R29" s="1600">
        <v>44531</v>
      </c>
      <c r="S29" s="1592" t="str">
        <f t="shared" si="10"/>
        <v>Desp. 521/2022</v>
      </c>
      <c r="T29" s="629" t="s">
        <v>399</v>
      </c>
      <c r="U29" s="740" t="s">
        <v>400</v>
      </c>
      <c r="V29" s="629">
        <v>2022</v>
      </c>
      <c r="W29" s="1587">
        <v>2951</v>
      </c>
      <c r="X29" s="1588" t="s">
        <v>2160</v>
      </c>
      <c r="Y29" s="629"/>
      <c r="AA29" s="1590" t="s">
        <v>189</v>
      </c>
      <c r="AB29" s="1592">
        <v>179.67819908532709</v>
      </c>
      <c r="AC29" s="1593">
        <v>180.36</v>
      </c>
      <c r="AD29" s="1593">
        <v>1205667.8282342954</v>
      </c>
      <c r="AE29" s="740">
        <v>44430</v>
      </c>
      <c r="AF29" s="740">
        <v>44430</v>
      </c>
      <c r="AG29" s="1592">
        <v>0</v>
      </c>
      <c r="AH29" s="629"/>
      <c r="AI29" s="740">
        <v>41365</v>
      </c>
      <c r="AJ29" s="740">
        <v>42641</v>
      </c>
      <c r="AK29" s="740" t="s">
        <v>289</v>
      </c>
      <c r="AL29" s="740"/>
      <c r="AM29" s="740"/>
      <c r="AN29" s="863"/>
      <c r="AO29" s="235"/>
      <c r="AP29" s="17"/>
      <c r="AR29" s="817" t="s">
        <v>383</v>
      </c>
      <c r="AS29" s="235"/>
      <c r="AT29" s="235"/>
      <c r="AX29" s="235"/>
    </row>
    <row r="30" spans="1:50" s="9" customFormat="1" ht="31.5" hidden="1">
      <c r="A30" s="629" t="s">
        <v>401</v>
      </c>
      <c r="B30" s="629" t="s">
        <v>402</v>
      </c>
      <c r="C30" s="629">
        <v>5365</v>
      </c>
      <c r="D30" s="629" t="s">
        <v>403</v>
      </c>
      <c r="E30" s="629" t="s">
        <v>282</v>
      </c>
      <c r="F30" s="629" t="s">
        <v>404</v>
      </c>
      <c r="G30" s="629" t="s">
        <v>347</v>
      </c>
      <c r="H30" s="629">
        <v>9.9699999999999997E-2</v>
      </c>
      <c r="I30" s="629" t="s">
        <v>189</v>
      </c>
      <c r="J30" s="629">
        <v>111</v>
      </c>
      <c r="K30" s="629"/>
      <c r="L30" s="629"/>
      <c r="M30" s="814">
        <v>0</v>
      </c>
      <c r="N30" s="1592"/>
      <c r="O30" s="1592" t="str">
        <f t="shared" si="9"/>
        <v>ReH 2.995/2021</v>
      </c>
      <c r="P30" s="1601">
        <v>8.5999999999999993E-2</v>
      </c>
      <c r="Q30" s="1592">
        <v>22196667.859687008</v>
      </c>
      <c r="R30" s="1600">
        <v>44531</v>
      </c>
      <c r="S30" s="1592" t="str">
        <f t="shared" si="10"/>
        <v>Desp. 521/2022</v>
      </c>
      <c r="T30" s="629" t="s">
        <v>405</v>
      </c>
      <c r="U30" s="740" t="s">
        <v>349</v>
      </c>
      <c r="V30" s="629">
        <v>2024</v>
      </c>
      <c r="W30" s="1587">
        <v>2941</v>
      </c>
      <c r="X30" s="1588" t="s">
        <v>2160</v>
      </c>
      <c r="Y30" s="629"/>
      <c r="AA30" s="1590" t="s">
        <v>189</v>
      </c>
      <c r="AB30" s="1592">
        <v>91.699587599428298</v>
      </c>
      <c r="AC30" s="1593">
        <v>180.36</v>
      </c>
      <c r="AD30" s="1593">
        <v>3495955.8527844017</v>
      </c>
      <c r="AE30" s="740">
        <v>44430</v>
      </c>
      <c r="AF30" s="740">
        <v>44430</v>
      </c>
      <c r="AG30" s="1592">
        <v>0</v>
      </c>
      <c r="AH30" s="629"/>
      <c r="AI30" s="740">
        <v>41472</v>
      </c>
      <c r="AJ30" s="740">
        <v>42641</v>
      </c>
      <c r="AK30" s="740" t="s">
        <v>289</v>
      </c>
      <c r="AL30" s="740"/>
      <c r="AM30" s="740"/>
      <c r="AN30" s="863"/>
      <c r="AO30" s="235"/>
      <c r="AP30" s="17"/>
      <c r="AR30" s="817" t="s">
        <v>390</v>
      </c>
      <c r="AS30" s="235"/>
      <c r="AT30" s="235"/>
      <c r="AX30" s="235"/>
    </row>
    <row r="31" spans="1:50" s="9" customFormat="1" ht="31.5" hidden="1">
      <c r="A31" s="629" t="s">
        <v>406</v>
      </c>
      <c r="B31" s="629" t="s">
        <v>407</v>
      </c>
      <c r="C31" s="629">
        <v>5368</v>
      </c>
      <c r="D31" s="629" t="s">
        <v>408</v>
      </c>
      <c r="E31" s="629" t="s">
        <v>282</v>
      </c>
      <c r="F31" s="629" t="s">
        <v>409</v>
      </c>
      <c r="G31" s="629" t="s">
        <v>347</v>
      </c>
      <c r="H31" s="629">
        <v>9.9699999999999997E-2</v>
      </c>
      <c r="I31" s="629" t="s">
        <v>189</v>
      </c>
      <c r="J31" s="629">
        <v>111</v>
      </c>
      <c r="K31" s="629"/>
      <c r="L31" s="629"/>
      <c r="M31" s="814">
        <v>0</v>
      </c>
      <c r="N31" s="1592"/>
      <c r="O31" s="1592" t="str">
        <f t="shared" si="9"/>
        <v>ReH 2.995/2021</v>
      </c>
      <c r="P31" s="1601">
        <v>0.15049999999999999</v>
      </c>
      <c r="Q31" s="1602">
        <v>35954089.405949146</v>
      </c>
      <c r="R31" s="1600">
        <v>44531</v>
      </c>
      <c r="S31" s="1592" t="str">
        <f t="shared" si="10"/>
        <v>Desp. 521/2022</v>
      </c>
      <c r="T31" s="629" t="s">
        <v>410</v>
      </c>
      <c r="U31" s="740" t="s">
        <v>349</v>
      </c>
      <c r="V31" s="629">
        <v>2024</v>
      </c>
      <c r="W31" s="1587">
        <v>2953</v>
      </c>
      <c r="X31" s="1588" t="s">
        <v>2160</v>
      </c>
      <c r="Y31" s="629"/>
      <c r="AA31" s="1590" t="s">
        <v>189</v>
      </c>
      <c r="AB31" s="1592">
        <v>61.746716264073157</v>
      </c>
      <c r="AC31" s="1593">
        <v>180.36</v>
      </c>
      <c r="AD31" s="1593">
        <v>18151717.219335504</v>
      </c>
      <c r="AE31" s="740">
        <v>44430</v>
      </c>
      <c r="AF31" s="740">
        <v>44430</v>
      </c>
      <c r="AG31" s="1592">
        <v>0</v>
      </c>
      <c r="AH31" s="629"/>
      <c r="AI31" s="740">
        <v>41472</v>
      </c>
      <c r="AJ31" s="740">
        <v>42641</v>
      </c>
      <c r="AK31" s="740" t="s">
        <v>289</v>
      </c>
      <c r="AL31" s="740"/>
      <c r="AM31" s="740"/>
      <c r="AN31" s="863"/>
      <c r="AO31" s="235"/>
      <c r="AP31" s="17"/>
      <c r="AR31" s="817" t="s">
        <v>175</v>
      </c>
      <c r="AS31" s="235"/>
      <c r="AT31" s="235"/>
      <c r="AX31" s="235"/>
    </row>
    <row r="32" spans="1:50" s="9" customFormat="1" ht="31.5" hidden="1">
      <c r="A32" s="629" t="s">
        <v>411</v>
      </c>
      <c r="B32" s="629" t="s">
        <v>412</v>
      </c>
      <c r="C32" s="629">
        <v>5369</v>
      </c>
      <c r="D32" s="629" t="s">
        <v>413</v>
      </c>
      <c r="E32" s="629" t="s">
        <v>282</v>
      </c>
      <c r="F32" s="629" t="s">
        <v>414</v>
      </c>
      <c r="G32" s="629" t="s">
        <v>347</v>
      </c>
      <c r="H32" s="629">
        <v>9.9699999999999997E-2</v>
      </c>
      <c r="I32" s="629" t="s">
        <v>189</v>
      </c>
      <c r="J32" s="629">
        <v>111</v>
      </c>
      <c r="K32" s="629"/>
      <c r="L32" s="629"/>
      <c r="M32" s="814">
        <v>0</v>
      </c>
      <c r="N32" s="1592"/>
      <c r="O32" s="1592" t="str">
        <f t="shared" si="9"/>
        <v>ReH 2.995/2021</v>
      </c>
      <c r="P32" s="1601">
        <v>8.4100000000000008E-2</v>
      </c>
      <c r="Q32" s="1602">
        <v>13590865.443045003</v>
      </c>
      <c r="R32" s="1600">
        <v>44531</v>
      </c>
      <c r="S32" s="1592" t="str">
        <f t="shared" si="10"/>
        <v>Desp. 521/2022</v>
      </c>
      <c r="T32" s="629" t="s">
        <v>415</v>
      </c>
      <c r="U32" s="740" t="s">
        <v>388</v>
      </c>
      <c r="V32" s="629">
        <v>2025</v>
      </c>
      <c r="W32" s="1587">
        <v>2943</v>
      </c>
      <c r="X32" s="1588" t="s">
        <v>2160</v>
      </c>
      <c r="Y32" s="629"/>
      <c r="AA32" s="1590" t="s">
        <v>189</v>
      </c>
      <c r="AB32" s="1592">
        <v>81.509152888329083</v>
      </c>
      <c r="AC32" s="1593">
        <v>180.36</v>
      </c>
      <c r="AD32" s="1593">
        <v>2315515.5721165724</v>
      </c>
      <c r="AE32" s="740">
        <v>44430</v>
      </c>
      <c r="AF32" s="740">
        <v>44430</v>
      </c>
      <c r="AG32" s="1592">
        <v>0</v>
      </c>
      <c r="AH32" s="629"/>
      <c r="AI32" s="740">
        <v>41365</v>
      </c>
      <c r="AJ32" s="740">
        <v>42641</v>
      </c>
      <c r="AK32" s="740" t="s">
        <v>289</v>
      </c>
      <c r="AL32" s="740"/>
      <c r="AM32" s="740"/>
      <c r="AN32" s="863"/>
      <c r="AO32" s="235"/>
      <c r="AP32" s="17"/>
      <c r="AR32" s="817" t="s">
        <v>296</v>
      </c>
      <c r="AS32" s="235"/>
      <c r="AT32" s="235"/>
      <c r="AX32" s="235"/>
    </row>
    <row r="33" spans="1:50" s="9" customFormat="1" ht="31.5" hidden="1">
      <c r="A33" s="629" t="s">
        <v>188</v>
      </c>
      <c r="B33" s="629" t="s">
        <v>416</v>
      </c>
      <c r="C33" s="629">
        <v>5370</v>
      </c>
      <c r="D33" s="629" t="s">
        <v>417</v>
      </c>
      <c r="E33" s="629" t="s">
        <v>282</v>
      </c>
      <c r="F33" s="629" t="s">
        <v>418</v>
      </c>
      <c r="G33" s="629" t="s">
        <v>347</v>
      </c>
      <c r="H33" s="629">
        <v>9.9699999999999997E-2</v>
      </c>
      <c r="I33" s="629" t="s">
        <v>189</v>
      </c>
      <c r="J33" s="629">
        <v>111</v>
      </c>
      <c r="K33" s="629"/>
      <c r="L33" s="629"/>
      <c r="M33" s="814">
        <v>0</v>
      </c>
      <c r="N33" s="1592"/>
      <c r="O33" s="1592" t="str">
        <f t="shared" si="9"/>
        <v>ReH 2.995/2021</v>
      </c>
      <c r="P33" s="1601">
        <v>0.1076</v>
      </c>
      <c r="Q33" s="1602">
        <v>60899756.095931061</v>
      </c>
      <c r="R33" s="1600">
        <v>44531</v>
      </c>
      <c r="S33" s="1592" t="str">
        <f t="shared" si="10"/>
        <v>Desp. 521/2022</v>
      </c>
      <c r="T33" s="629" t="s">
        <v>419</v>
      </c>
      <c r="U33" s="740" t="s">
        <v>349</v>
      </c>
      <c r="V33" s="629">
        <v>2024</v>
      </c>
      <c r="W33" s="1587">
        <v>2937</v>
      </c>
      <c r="X33" s="1588" t="s">
        <v>2160</v>
      </c>
      <c r="Y33" s="629"/>
      <c r="AA33" s="1590" t="s">
        <v>189</v>
      </c>
      <c r="AB33" s="1592">
        <v>214.41662426644362</v>
      </c>
      <c r="AC33" s="1593">
        <v>180.36</v>
      </c>
      <c r="AD33" s="1593">
        <v>0</v>
      </c>
      <c r="AE33" s="740">
        <v>44430</v>
      </c>
      <c r="AF33" s="740">
        <v>44430</v>
      </c>
      <c r="AG33" s="1592">
        <v>0</v>
      </c>
      <c r="AH33" s="629"/>
      <c r="AI33" s="740">
        <v>41472</v>
      </c>
      <c r="AJ33" s="740">
        <v>42641</v>
      </c>
      <c r="AK33" s="740" t="s">
        <v>289</v>
      </c>
      <c r="AL33" s="740"/>
      <c r="AM33" s="740"/>
      <c r="AN33" s="863">
        <v>9419991.3800000008</v>
      </c>
      <c r="AO33" s="235"/>
      <c r="AP33" s="17"/>
      <c r="AR33" s="817" t="s">
        <v>302</v>
      </c>
      <c r="AS33" s="235"/>
      <c r="AT33" s="235"/>
      <c r="AX33" s="235"/>
    </row>
    <row r="34" spans="1:50" s="9" customFormat="1" ht="31.5" hidden="1">
      <c r="A34" s="629" t="s">
        <v>420</v>
      </c>
      <c r="B34" s="629" t="s">
        <v>421</v>
      </c>
      <c r="C34" s="629">
        <v>5371</v>
      </c>
      <c r="D34" s="629" t="s">
        <v>422</v>
      </c>
      <c r="E34" s="629" t="s">
        <v>282</v>
      </c>
      <c r="F34" s="629" t="s">
        <v>423</v>
      </c>
      <c r="G34" s="629" t="s">
        <v>347</v>
      </c>
      <c r="H34" s="629">
        <v>9.9699999999999997E-2</v>
      </c>
      <c r="I34" s="629" t="s">
        <v>189</v>
      </c>
      <c r="J34" s="629">
        <v>111</v>
      </c>
      <c r="K34" s="629" t="s">
        <v>424</v>
      </c>
      <c r="L34" s="629">
        <v>144</v>
      </c>
      <c r="M34" s="814">
        <v>0</v>
      </c>
      <c r="N34" s="1592"/>
      <c r="O34" s="1592" t="str">
        <f t="shared" si="9"/>
        <v>ReH 2.995/2021</v>
      </c>
      <c r="P34" s="1601">
        <v>9.5000000000000001E-2</v>
      </c>
      <c r="Q34" s="1592">
        <v>19126030.720523704</v>
      </c>
      <c r="R34" s="1600">
        <v>44531</v>
      </c>
      <c r="S34" s="1592" t="str">
        <f t="shared" si="10"/>
        <v>Desp. 521/2022</v>
      </c>
      <c r="T34" s="629" t="s">
        <v>425</v>
      </c>
      <c r="U34" s="740" t="s">
        <v>426</v>
      </c>
      <c r="V34" s="629">
        <v>2022</v>
      </c>
      <c r="W34" s="1587">
        <v>2948</v>
      </c>
      <c r="X34" s="1588" t="s">
        <v>2160</v>
      </c>
      <c r="Y34" s="629"/>
      <c r="AA34" s="1590" t="s">
        <v>189</v>
      </c>
      <c r="AB34" s="1592">
        <v>144.17854635765113</v>
      </c>
      <c r="AC34" s="1593">
        <v>180.36</v>
      </c>
      <c r="AD34" s="1593">
        <v>3162343.6648914311</v>
      </c>
      <c r="AE34" s="740">
        <v>44430</v>
      </c>
      <c r="AF34" s="740">
        <v>44430</v>
      </c>
      <c r="AG34" s="1592">
        <v>0</v>
      </c>
      <c r="AH34" s="629"/>
      <c r="AI34" s="740">
        <v>41365</v>
      </c>
      <c r="AJ34" s="740">
        <v>42641</v>
      </c>
      <c r="AK34" s="740" t="s">
        <v>289</v>
      </c>
      <c r="AL34" s="740"/>
      <c r="AM34" s="740"/>
      <c r="AN34" s="863"/>
      <c r="AO34" s="235"/>
      <c r="AP34" s="17"/>
      <c r="AR34" s="817" t="s">
        <v>308</v>
      </c>
      <c r="AS34" s="235"/>
      <c r="AT34" s="235"/>
      <c r="AX34" s="235"/>
    </row>
    <row r="35" spans="1:50" s="9" customFormat="1" ht="31.5" hidden="1">
      <c r="A35" s="629" t="s">
        <v>427</v>
      </c>
      <c r="B35" s="629" t="s">
        <v>428</v>
      </c>
      <c r="C35" s="629">
        <v>5373</v>
      </c>
      <c r="D35" s="629" t="s">
        <v>429</v>
      </c>
      <c r="E35" s="629" t="s">
        <v>282</v>
      </c>
      <c r="F35" s="629" t="s">
        <v>430</v>
      </c>
      <c r="G35" s="629" t="s">
        <v>347</v>
      </c>
      <c r="H35" s="629">
        <v>9.9699999999999997E-2</v>
      </c>
      <c r="I35" s="629" t="s">
        <v>189</v>
      </c>
      <c r="J35" s="629">
        <v>111</v>
      </c>
      <c r="K35" s="629"/>
      <c r="L35" s="629"/>
      <c r="M35" s="814">
        <v>0</v>
      </c>
      <c r="N35" s="1592"/>
      <c r="O35" s="1592" t="str">
        <f t="shared" si="9"/>
        <v>ReH 2.995/2021</v>
      </c>
      <c r="P35" s="1601">
        <v>0.1487</v>
      </c>
      <c r="Q35" s="1592">
        <v>2738505.6826723199</v>
      </c>
      <c r="R35" s="1600">
        <v>44531</v>
      </c>
      <c r="S35" s="1592" t="str">
        <f t="shared" si="10"/>
        <v>Desp. 521/2022</v>
      </c>
      <c r="T35" s="629" t="s">
        <v>431</v>
      </c>
      <c r="U35" s="740" t="s">
        <v>382</v>
      </c>
      <c r="V35" s="629">
        <v>2024</v>
      </c>
      <c r="W35" s="1587">
        <v>2942</v>
      </c>
      <c r="X35" s="1588" t="s">
        <v>2160</v>
      </c>
      <c r="Y35" s="629"/>
      <c r="AA35" s="1590" t="s">
        <v>189</v>
      </c>
      <c r="AB35" s="1592">
        <v>63.276120153090822</v>
      </c>
      <c r="AC35" s="1593">
        <v>180.36</v>
      </c>
      <c r="AD35" s="1593">
        <v>1357439.1316492993</v>
      </c>
      <c r="AE35" s="740">
        <v>44430</v>
      </c>
      <c r="AF35" s="740">
        <v>44430</v>
      </c>
      <c r="AG35" s="1592">
        <v>0</v>
      </c>
      <c r="AH35" s="629"/>
      <c r="AI35" s="740">
        <v>41472</v>
      </c>
      <c r="AJ35" s="740">
        <v>42641</v>
      </c>
      <c r="AK35" s="740" t="s">
        <v>289</v>
      </c>
      <c r="AL35" s="740"/>
      <c r="AM35" s="740"/>
      <c r="AN35" s="863"/>
      <c r="AO35" s="235"/>
      <c r="AP35" s="17"/>
      <c r="AR35" s="817" t="s">
        <v>315</v>
      </c>
      <c r="AS35" s="235"/>
      <c r="AT35" s="235"/>
      <c r="AX35" s="235"/>
    </row>
    <row r="36" spans="1:50" s="9" customFormat="1" ht="31.5" hidden="1">
      <c r="A36" s="629" t="s">
        <v>432</v>
      </c>
      <c r="B36" s="629" t="s">
        <v>433</v>
      </c>
      <c r="C36" s="629">
        <v>7016</v>
      </c>
      <c r="D36" s="629" t="s">
        <v>434</v>
      </c>
      <c r="E36" s="629" t="s">
        <v>282</v>
      </c>
      <c r="F36" s="629" t="s">
        <v>435</v>
      </c>
      <c r="G36" s="629" t="s">
        <v>347</v>
      </c>
      <c r="H36" s="629">
        <v>9.9699999999999997E-2</v>
      </c>
      <c r="I36" s="629" t="s">
        <v>189</v>
      </c>
      <c r="J36" s="629">
        <v>111</v>
      </c>
      <c r="K36" s="629"/>
      <c r="L36" s="629"/>
      <c r="M36" s="814">
        <v>0</v>
      </c>
      <c r="N36" s="1592"/>
      <c r="O36" s="1592" t="str">
        <f t="shared" si="9"/>
        <v>ReH 2.995/2021</v>
      </c>
      <c r="P36" s="1601">
        <v>0.14050000000000001</v>
      </c>
      <c r="Q36" s="1602">
        <v>17300202.805932775</v>
      </c>
      <c r="R36" s="1600">
        <v>44531</v>
      </c>
      <c r="S36" s="1592" t="str">
        <f t="shared" si="10"/>
        <v>Desp. 521/2022</v>
      </c>
      <c r="T36" s="629" t="s">
        <v>436</v>
      </c>
      <c r="U36" s="740" t="s">
        <v>349</v>
      </c>
      <c r="V36" s="629">
        <v>2024</v>
      </c>
      <c r="W36" s="1587">
        <v>2956</v>
      </c>
      <c r="X36" s="1588" t="s">
        <v>2160</v>
      </c>
      <c r="Y36" s="629"/>
      <c r="AA36" s="1590" t="s">
        <v>189</v>
      </c>
      <c r="AB36" s="1592">
        <v>49.410527393388534</v>
      </c>
      <c r="AC36" s="1593">
        <v>180.36</v>
      </c>
      <c r="AD36" s="1593">
        <v>6872759.7273220662</v>
      </c>
      <c r="AE36" s="740">
        <v>44430</v>
      </c>
      <c r="AF36" s="740">
        <v>44430</v>
      </c>
      <c r="AG36" s="1592">
        <v>0</v>
      </c>
      <c r="AH36" s="629"/>
      <c r="AI36" s="740">
        <v>41472</v>
      </c>
      <c r="AJ36" s="740">
        <v>42641</v>
      </c>
      <c r="AK36" s="740" t="s">
        <v>289</v>
      </c>
      <c r="AL36" s="740"/>
      <c r="AM36" s="740"/>
      <c r="AN36" s="863"/>
      <c r="AO36" s="235"/>
      <c r="AP36" s="17"/>
      <c r="AR36" s="817" t="s">
        <v>437</v>
      </c>
      <c r="AS36" s="235"/>
      <c r="AT36" s="235"/>
      <c r="AX36" s="235"/>
    </row>
    <row r="37" spans="1:50" s="9" customFormat="1" ht="31.5" hidden="1">
      <c r="A37" s="629" t="s">
        <v>175</v>
      </c>
      <c r="B37" s="629" t="s">
        <v>438</v>
      </c>
      <c r="C37" s="629">
        <v>2763</v>
      </c>
      <c r="D37" s="629" t="s">
        <v>439</v>
      </c>
      <c r="E37" s="629" t="s">
        <v>282</v>
      </c>
      <c r="F37" s="629" t="s">
        <v>440</v>
      </c>
      <c r="G37" s="629" t="s">
        <v>441</v>
      </c>
      <c r="H37" s="629">
        <v>9.9699999999999997E-2</v>
      </c>
      <c r="I37" s="629" t="s">
        <v>206</v>
      </c>
      <c r="J37" s="629">
        <v>167</v>
      </c>
      <c r="K37" s="629"/>
      <c r="L37" s="629"/>
      <c r="M37" s="814">
        <v>0</v>
      </c>
      <c r="N37" s="1592"/>
      <c r="O37" s="1592" t="str">
        <f t="shared" si="9"/>
        <v>ReH 2.995/2021</v>
      </c>
      <c r="P37" s="1601">
        <v>0.21060000000000001</v>
      </c>
      <c r="Q37" s="1592">
        <v>40296212.128956385</v>
      </c>
      <c r="R37" s="1600">
        <v>44531</v>
      </c>
      <c r="S37" s="1592" t="str">
        <f t="shared" si="10"/>
        <v>Desp. 521/2022</v>
      </c>
      <c r="T37" s="629" t="s">
        <v>442</v>
      </c>
      <c r="U37" s="740" t="s">
        <v>443</v>
      </c>
      <c r="V37" s="629">
        <v>2022</v>
      </c>
      <c r="W37" s="1587">
        <v>2917</v>
      </c>
      <c r="X37" s="1588" t="s">
        <v>2158</v>
      </c>
      <c r="Y37" s="629"/>
      <c r="AA37" s="1590" t="s">
        <v>206</v>
      </c>
      <c r="AB37" s="1592">
        <v>29.55</v>
      </c>
      <c r="AC37" s="1593">
        <v>108.15</v>
      </c>
      <c r="AD37" s="1593">
        <v>14515437.369999999</v>
      </c>
      <c r="AE37" s="740">
        <v>43270</v>
      </c>
      <c r="AF37" s="740">
        <v>43270</v>
      </c>
      <c r="AG37" s="1592">
        <v>0</v>
      </c>
      <c r="AH37" s="629"/>
      <c r="AI37" s="740">
        <v>41365</v>
      </c>
      <c r="AJ37" s="740">
        <v>42551</v>
      </c>
      <c r="AK37" s="740" t="s">
        <v>289</v>
      </c>
      <c r="AL37" s="740"/>
      <c r="AM37" s="740"/>
      <c r="AN37" s="863">
        <v>2202975.46</v>
      </c>
      <c r="AO37" s="235"/>
      <c r="AP37" s="17"/>
      <c r="AR37" s="817" t="s">
        <v>395</v>
      </c>
      <c r="AS37" s="235"/>
      <c r="AT37" s="235"/>
      <c r="AX37" s="235"/>
    </row>
    <row r="38" spans="1:50" s="9" customFormat="1" ht="31.5" hidden="1">
      <c r="A38" s="629" t="s">
        <v>437</v>
      </c>
      <c r="B38" s="629" t="s">
        <v>444</v>
      </c>
      <c r="C38" s="629">
        <v>2381</v>
      </c>
      <c r="D38" s="629" t="s">
        <v>445</v>
      </c>
      <c r="E38" s="629" t="s">
        <v>282</v>
      </c>
      <c r="F38" s="629" t="s">
        <v>446</v>
      </c>
      <c r="G38" s="629" t="s">
        <v>441</v>
      </c>
      <c r="H38" s="629">
        <v>9.9699999999999997E-2</v>
      </c>
      <c r="I38" s="629" t="s">
        <v>206</v>
      </c>
      <c r="J38" s="629">
        <v>167</v>
      </c>
      <c r="K38" s="629"/>
      <c r="L38" s="629"/>
      <c r="M38" s="814">
        <v>0</v>
      </c>
      <c r="N38" s="1592"/>
      <c r="O38" s="1592" t="str">
        <f t="shared" si="9"/>
        <v>ReH 2.995/2021</v>
      </c>
      <c r="P38" s="1601">
        <v>0.1535</v>
      </c>
      <c r="Q38" s="1592">
        <v>57163108.857696883</v>
      </c>
      <c r="R38" s="1600">
        <v>44531</v>
      </c>
      <c r="S38" s="1592" t="str">
        <f t="shared" si="10"/>
        <v>Desp. 521/2022</v>
      </c>
      <c r="T38" s="629" t="s">
        <v>447</v>
      </c>
      <c r="U38" s="740" t="s">
        <v>448</v>
      </c>
      <c r="V38" s="629">
        <v>2025</v>
      </c>
      <c r="W38" s="1587">
        <v>2904</v>
      </c>
      <c r="X38" s="1588" t="s">
        <v>2158</v>
      </c>
      <c r="Y38" s="629"/>
      <c r="AA38" s="1590" t="s">
        <v>206</v>
      </c>
      <c r="AB38" s="1592">
        <v>18.75</v>
      </c>
      <c r="AC38" s="1593">
        <v>108.15</v>
      </c>
      <c r="AD38" s="1593">
        <v>22607799.66</v>
      </c>
      <c r="AE38" s="740">
        <v>43270</v>
      </c>
      <c r="AF38" s="740">
        <v>43270</v>
      </c>
      <c r="AG38" s="1592">
        <v>69.23</v>
      </c>
      <c r="AH38" s="740">
        <v>42917</v>
      </c>
      <c r="AI38" s="740">
        <v>41365</v>
      </c>
      <c r="AJ38" s="740">
        <v>42551</v>
      </c>
      <c r="AK38" s="740" t="s">
        <v>289</v>
      </c>
      <c r="AL38" s="740"/>
      <c r="AM38" s="740"/>
      <c r="AN38" s="863"/>
      <c r="AO38" s="235"/>
      <c r="AP38" s="17"/>
      <c r="AR38" s="817" t="s">
        <v>321</v>
      </c>
      <c r="AS38" s="235"/>
      <c r="AT38" s="235"/>
      <c r="AX38" s="235"/>
    </row>
    <row r="39" spans="1:50" s="9" customFormat="1" ht="31.5">
      <c r="A39" s="629" t="s">
        <v>449</v>
      </c>
      <c r="B39" s="629" t="s">
        <v>450</v>
      </c>
      <c r="C39" s="629">
        <v>3223</v>
      </c>
      <c r="D39" s="629" t="s">
        <v>451</v>
      </c>
      <c r="E39" s="629" t="s">
        <v>282</v>
      </c>
      <c r="F39" s="629" t="s">
        <v>452</v>
      </c>
      <c r="G39" s="629" t="s">
        <v>441</v>
      </c>
      <c r="H39" s="629">
        <v>9.9699999999999997E-2</v>
      </c>
      <c r="I39" s="629" t="s">
        <v>206</v>
      </c>
      <c r="J39" s="629">
        <v>167</v>
      </c>
      <c r="K39" s="629" t="s">
        <v>353</v>
      </c>
      <c r="L39" s="629">
        <v>110</v>
      </c>
      <c r="M39" s="814">
        <v>0</v>
      </c>
      <c r="N39" s="1592"/>
      <c r="O39" s="1592" t="str">
        <f t="shared" si="9"/>
        <v>ReH 2.995/2021</v>
      </c>
      <c r="P39" s="1601">
        <v>0.1507</v>
      </c>
      <c r="Q39" s="1592">
        <v>44907656.56835518</v>
      </c>
      <c r="R39" s="1600">
        <v>44531</v>
      </c>
      <c r="S39" s="1592" t="str">
        <f t="shared" si="10"/>
        <v>Desp. 521/2022</v>
      </c>
      <c r="T39" s="629" t="s">
        <v>453</v>
      </c>
      <c r="U39" s="740" t="s">
        <v>454</v>
      </c>
      <c r="V39" s="629">
        <v>2025</v>
      </c>
      <c r="W39" s="1587">
        <v>2914</v>
      </c>
      <c r="X39" s="1588" t="s">
        <v>2158</v>
      </c>
      <c r="Y39" s="629"/>
      <c r="AA39" s="1590" t="s">
        <v>206</v>
      </c>
      <c r="AB39" s="1592">
        <v>23.94</v>
      </c>
      <c r="AC39" s="1593">
        <v>131.34</v>
      </c>
      <c r="AD39" s="1593">
        <v>17583006.989999998</v>
      </c>
      <c r="AE39" s="740">
        <v>43209</v>
      </c>
      <c r="AF39" s="740">
        <v>43270</v>
      </c>
      <c r="AG39" s="1592">
        <v>0</v>
      </c>
      <c r="AH39" s="629"/>
      <c r="AI39" s="740">
        <v>41472</v>
      </c>
      <c r="AJ39" s="740">
        <v>42486</v>
      </c>
      <c r="AK39" s="740" t="s">
        <v>289</v>
      </c>
      <c r="AL39" s="740"/>
      <c r="AM39" s="740"/>
      <c r="AN39" s="863"/>
      <c r="AO39" s="235"/>
      <c r="AP39" s="17"/>
      <c r="AR39" s="817" t="s">
        <v>401</v>
      </c>
      <c r="AS39" s="235"/>
      <c r="AT39" s="235"/>
      <c r="AX39" s="235"/>
    </row>
    <row r="40" spans="1:50" s="9" customFormat="1" ht="31.5" hidden="1">
      <c r="A40" s="629" t="s">
        <v>201</v>
      </c>
      <c r="B40" s="629" t="s">
        <v>455</v>
      </c>
      <c r="C40" s="629">
        <v>7371</v>
      </c>
      <c r="D40" s="629" t="s">
        <v>456</v>
      </c>
      <c r="E40" s="629" t="s">
        <v>282</v>
      </c>
      <c r="F40" s="629" t="s">
        <v>457</v>
      </c>
      <c r="G40" s="629" t="s">
        <v>441</v>
      </c>
      <c r="H40" s="629">
        <v>9.9699999999999997E-2</v>
      </c>
      <c r="I40" s="629" t="s">
        <v>206</v>
      </c>
      <c r="J40" s="629">
        <v>167</v>
      </c>
      <c r="K40" s="629"/>
      <c r="L40" s="629"/>
      <c r="M40" s="814">
        <v>0</v>
      </c>
      <c r="N40" s="1592"/>
      <c r="O40" s="1592" t="str">
        <f t="shared" si="9"/>
        <v>ReH 2.995/2021</v>
      </c>
      <c r="P40" s="1601">
        <v>0.15609999999999999</v>
      </c>
      <c r="Q40" s="1592">
        <v>93567555.592848957</v>
      </c>
      <c r="R40" s="1600">
        <v>44531</v>
      </c>
      <c r="S40" s="1592" t="str">
        <f t="shared" si="10"/>
        <v>Desp. 521/2022</v>
      </c>
      <c r="T40" s="629" t="s">
        <v>458</v>
      </c>
      <c r="U40" s="740" t="s">
        <v>459</v>
      </c>
      <c r="V40" s="629">
        <v>2022</v>
      </c>
      <c r="W40" s="1587">
        <v>2916</v>
      </c>
      <c r="X40" s="1588" t="s">
        <v>2158</v>
      </c>
      <c r="Y40" s="629"/>
      <c r="AA40" s="1590" t="s">
        <v>206</v>
      </c>
      <c r="AB40" s="1592">
        <v>68.319999999999993</v>
      </c>
      <c r="AC40" s="1593">
        <v>131.34</v>
      </c>
      <c r="AD40" s="1593">
        <v>13728441.029999999</v>
      </c>
      <c r="AE40" s="740">
        <v>43209</v>
      </c>
      <c r="AF40" s="740">
        <v>43270</v>
      </c>
      <c r="AG40" s="1592">
        <v>0</v>
      </c>
      <c r="AH40" s="629"/>
      <c r="AI40" s="740">
        <v>41365</v>
      </c>
      <c r="AJ40" s="740">
        <v>42547</v>
      </c>
      <c r="AK40" s="740" t="s">
        <v>289</v>
      </c>
      <c r="AL40" s="740"/>
      <c r="AM40" s="740"/>
      <c r="AN40" s="863">
        <v>6350526.4100000001</v>
      </c>
      <c r="AO40" s="235"/>
      <c r="AP40" s="17"/>
      <c r="AR40" s="817" t="s">
        <v>328</v>
      </c>
      <c r="AS40" s="235"/>
      <c r="AT40" s="235"/>
      <c r="AX40" s="235"/>
    </row>
    <row r="41" spans="1:50" s="9" customFormat="1" ht="31.5" hidden="1">
      <c r="A41" s="629" t="s">
        <v>460</v>
      </c>
      <c r="B41" s="629" t="s">
        <v>461</v>
      </c>
      <c r="C41" s="629">
        <v>3627</v>
      </c>
      <c r="D41" s="629" t="s">
        <v>462</v>
      </c>
      <c r="E41" s="629" t="s">
        <v>282</v>
      </c>
      <c r="F41" s="629" t="s">
        <v>463</v>
      </c>
      <c r="G41" s="629" t="s">
        <v>441</v>
      </c>
      <c r="H41" s="629">
        <v>9.9699999999999997E-2</v>
      </c>
      <c r="I41" s="629" t="s">
        <v>206</v>
      </c>
      <c r="J41" s="629">
        <v>167</v>
      </c>
      <c r="K41" s="629"/>
      <c r="L41" s="629"/>
      <c r="M41" s="814">
        <v>0</v>
      </c>
      <c r="N41" s="1592"/>
      <c r="O41" s="1592" t="str">
        <f t="shared" si="9"/>
        <v>ReH 2.995/2021</v>
      </c>
      <c r="P41" s="1601">
        <v>0.1338</v>
      </c>
      <c r="Q41" s="1592">
        <v>35123897.452622667</v>
      </c>
      <c r="R41" s="1600">
        <v>44531</v>
      </c>
      <c r="S41" s="1592" t="str">
        <f t="shared" si="10"/>
        <v>Desp. 521/2022</v>
      </c>
      <c r="T41" s="629" t="s">
        <v>464</v>
      </c>
      <c r="U41" s="740" t="s">
        <v>459</v>
      </c>
      <c r="V41" s="629">
        <v>2025</v>
      </c>
      <c r="W41" s="1587">
        <v>2909</v>
      </c>
      <c r="X41" s="1588" t="s">
        <v>2158</v>
      </c>
      <c r="Y41" s="629"/>
      <c r="AA41" s="1590" t="s">
        <v>206</v>
      </c>
      <c r="AB41" s="1592">
        <v>13.93</v>
      </c>
      <c r="AC41" s="1593">
        <v>108.15</v>
      </c>
      <c r="AD41" s="1593">
        <v>18556964.23</v>
      </c>
      <c r="AE41" s="740">
        <v>43270</v>
      </c>
      <c r="AF41" s="740">
        <v>43270</v>
      </c>
      <c r="AG41" s="1592">
        <v>0</v>
      </c>
      <c r="AH41" s="629"/>
      <c r="AI41" s="740">
        <v>41365</v>
      </c>
      <c r="AJ41" s="740">
        <v>42551</v>
      </c>
      <c r="AK41" s="740" t="s">
        <v>289</v>
      </c>
      <c r="AL41" s="740"/>
      <c r="AM41" s="740"/>
      <c r="AN41" s="863"/>
      <c r="AO41" s="235"/>
      <c r="AP41" s="17"/>
      <c r="AR41" s="817" t="s">
        <v>333</v>
      </c>
      <c r="AS41" s="235"/>
      <c r="AT41" s="235"/>
      <c r="AX41" s="235"/>
    </row>
    <row r="42" spans="1:50" s="9" customFormat="1" ht="31.5" hidden="1">
      <c r="A42" s="629" t="s">
        <v>465</v>
      </c>
      <c r="B42" s="629" t="s">
        <v>466</v>
      </c>
      <c r="C42" s="629">
        <v>2351</v>
      </c>
      <c r="D42" s="629" t="s">
        <v>467</v>
      </c>
      <c r="E42" s="629" t="s">
        <v>282</v>
      </c>
      <c r="F42" s="629" t="s">
        <v>468</v>
      </c>
      <c r="G42" s="629" t="s">
        <v>441</v>
      </c>
      <c r="H42" s="629">
        <v>9.9699999999999997E-2</v>
      </c>
      <c r="I42" s="629" t="s">
        <v>206</v>
      </c>
      <c r="J42" s="629">
        <v>167</v>
      </c>
      <c r="K42" s="629"/>
      <c r="L42" s="629"/>
      <c r="M42" s="814">
        <v>0</v>
      </c>
      <c r="N42" s="1592"/>
      <c r="O42" s="1592" t="str">
        <f t="shared" si="9"/>
        <v>ReH 2.995/2021</v>
      </c>
      <c r="P42" s="1601">
        <v>0.1832</v>
      </c>
      <c r="Q42" s="1592">
        <v>118984269.89510354</v>
      </c>
      <c r="R42" s="1600">
        <v>44531</v>
      </c>
      <c r="S42" s="1592" t="str">
        <f t="shared" si="10"/>
        <v>Desp. 521/2022</v>
      </c>
      <c r="T42" s="629" t="s">
        <v>469</v>
      </c>
      <c r="U42" s="740" t="s">
        <v>470</v>
      </c>
      <c r="V42" s="629">
        <v>2025</v>
      </c>
      <c r="W42" s="1587">
        <v>2912</v>
      </c>
      <c r="X42" s="1588" t="s">
        <v>2158</v>
      </c>
      <c r="Y42" s="629"/>
      <c r="AA42" s="1590" t="s">
        <v>206</v>
      </c>
      <c r="AB42" s="1592">
        <v>22.64</v>
      </c>
      <c r="AC42" s="1593">
        <v>108.15</v>
      </c>
      <c r="AD42" s="1593">
        <v>55770868.960000001</v>
      </c>
      <c r="AE42" s="740">
        <v>43270</v>
      </c>
      <c r="AF42" s="740">
        <v>43270</v>
      </c>
      <c r="AG42" s="1592">
        <v>0</v>
      </c>
      <c r="AH42" s="629"/>
      <c r="AI42" s="740">
        <v>41365</v>
      </c>
      <c r="AJ42" s="740">
        <v>42551</v>
      </c>
      <c r="AK42" s="740" t="s">
        <v>289</v>
      </c>
      <c r="AL42" s="740"/>
      <c r="AM42" s="740"/>
      <c r="AN42" s="863"/>
      <c r="AO42" s="235"/>
      <c r="AP42" s="17"/>
      <c r="AR42" s="817" t="s">
        <v>471</v>
      </c>
      <c r="AS42" s="235"/>
      <c r="AT42" s="235"/>
      <c r="AX42" s="235"/>
    </row>
    <row r="43" spans="1:50" s="9" customFormat="1" ht="31.5" hidden="1">
      <c r="A43" s="629" t="s">
        <v>174</v>
      </c>
      <c r="B43" s="629" t="s">
        <v>472</v>
      </c>
      <c r="C43" s="629">
        <v>598</v>
      </c>
      <c r="D43" s="629" t="s">
        <v>473</v>
      </c>
      <c r="E43" s="629" t="s">
        <v>282</v>
      </c>
      <c r="F43" s="629" t="s">
        <v>474</v>
      </c>
      <c r="G43" s="629" t="s">
        <v>441</v>
      </c>
      <c r="H43" s="629">
        <v>9.9699999999999997E-2</v>
      </c>
      <c r="I43" s="629" t="s">
        <v>206</v>
      </c>
      <c r="J43" s="629">
        <v>167</v>
      </c>
      <c r="K43" s="629"/>
      <c r="L43" s="629"/>
      <c r="M43" s="814">
        <v>0</v>
      </c>
      <c r="N43" s="1592"/>
      <c r="O43" s="1592" t="str">
        <f t="shared" si="9"/>
        <v>ReH 2.995/2021</v>
      </c>
      <c r="P43" s="1601">
        <v>0.4078</v>
      </c>
      <c r="Q43" s="1592">
        <v>48668444.767228298</v>
      </c>
      <c r="R43" s="1600">
        <v>44531</v>
      </c>
      <c r="S43" s="1592" t="str">
        <f t="shared" si="10"/>
        <v>Desp. 521/2022</v>
      </c>
      <c r="T43" s="629" t="s">
        <v>475</v>
      </c>
      <c r="U43" s="740" t="s">
        <v>459</v>
      </c>
      <c r="V43" s="629">
        <v>2022</v>
      </c>
      <c r="W43" s="1587">
        <v>2917</v>
      </c>
      <c r="X43" s="1588" t="s">
        <v>2158</v>
      </c>
      <c r="Y43" s="629"/>
      <c r="AA43" s="1590" t="s">
        <v>206</v>
      </c>
      <c r="AB43" s="1592">
        <v>20.55</v>
      </c>
      <c r="AC43" s="1593">
        <v>108.15</v>
      </c>
      <c r="AD43" s="1593">
        <v>16127887.460000001</v>
      </c>
      <c r="AE43" s="740">
        <v>43270</v>
      </c>
      <c r="AF43" s="740">
        <v>43270</v>
      </c>
      <c r="AG43" s="1592">
        <v>0</v>
      </c>
      <c r="AH43" s="629"/>
      <c r="AI43" s="740">
        <v>41365</v>
      </c>
      <c r="AJ43" s="740">
        <v>42551</v>
      </c>
      <c r="AK43" s="740" t="s">
        <v>289</v>
      </c>
      <c r="AL43" s="740"/>
      <c r="AM43" s="740"/>
      <c r="AN43" s="863">
        <v>3110206.14</v>
      </c>
      <c r="AO43" s="235"/>
      <c r="AP43" s="17"/>
      <c r="AR43" s="817" t="s">
        <v>406</v>
      </c>
      <c r="AS43" s="235"/>
      <c r="AT43" s="235"/>
      <c r="AX43" s="235"/>
    </row>
    <row r="44" spans="1:50" s="9" customFormat="1" ht="31.5" hidden="1">
      <c r="A44" s="629" t="s">
        <v>476</v>
      </c>
      <c r="B44" s="629" t="s">
        <v>477</v>
      </c>
      <c r="C44" s="629">
        <v>2783</v>
      </c>
      <c r="D44" s="629" t="s">
        <v>478</v>
      </c>
      <c r="E44" s="629" t="s">
        <v>282</v>
      </c>
      <c r="F44" s="629" t="s">
        <v>479</v>
      </c>
      <c r="G44" s="629" t="s">
        <v>441</v>
      </c>
      <c r="H44" s="629">
        <v>9.9699999999999997E-2</v>
      </c>
      <c r="I44" s="629" t="s">
        <v>206</v>
      </c>
      <c r="J44" s="629">
        <v>167</v>
      </c>
      <c r="K44" s="629"/>
      <c r="L44" s="629"/>
      <c r="M44" s="814">
        <v>0</v>
      </c>
      <c r="N44" s="1592"/>
      <c r="O44" s="1592" t="str">
        <f t="shared" si="9"/>
        <v>ReH 2.995/2021</v>
      </c>
      <c r="P44" s="1601">
        <v>0.17430000000000001</v>
      </c>
      <c r="Q44" s="1592">
        <v>23632870.756335247</v>
      </c>
      <c r="R44" s="1600">
        <v>44531</v>
      </c>
      <c r="S44" s="1592" t="str">
        <f t="shared" si="10"/>
        <v>Desp. 521/2022</v>
      </c>
      <c r="T44" s="629" t="s">
        <v>480</v>
      </c>
      <c r="U44" s="740" t="s">
        <v>459</v>
      </c>
      <c r="V44" s="629">
        <v>2022</v>
      </c>
      <c r="W44" s="1587">
        <v>2911</v>
      </c>
      <c r="X44" s="1588" t="s">
        <v>2158</v>
      </c>
      <c r="Y44" s="629"/>
      <c r="AA44" s="1590" t="s">
        <v>206</v>
      </c>
      <c r="AB44" s="1592">
        <v>26.42</v>
      </c>
      <c r="AC44" s="1593">
        <v>108.15</v>
      </c>
      <c r="AD44" s="1593">
        <v>7627285.8200000003</v>
      </c>
      <c r="AE44" s="740">
        <v>43270</v>
      </c>
      <c r="AF44" s="740">
        <v>43270</v>
      </c>
      <c r="AG44" s="1592">
        <v>0</v>
      </c>
      <c r="AH44" s="629"/>
      <c r="AI44" s="740">
        <v>41365</v>
      </c>
      <c r="AJ44" s="740">
        <v>42551</v>
      </c>
      <c r="AK44" s="740" t="s">
        <v>289</v>
      </c>
      <c r="AL44" s="740"/>
      <c r="AM44" s="740"/>
      <c r="AN44" s="863"/>
      <c r="AO44" s="235"/>
      <c r="AP44" s="17"/>
      <c r="AR44" s="817" t="s">
        <v>449</v>
      </c>
      <c r="AS44" s="235"/>
      <c r="AT44" s="235"/>
      <c r="AX44" s="235"/>
    </row>
    <row r="45" spans="1:50" s="9" customFormat="1" ht="31.5" hidden="1">
      <c r="A45" s="629" t="s">
        <v>356</v>
      </c>
      <c r="B45" s="629" t="s">
        <v>481</v>
      </c>
      <c r="C45" s="629">
        <v>4248</v>
      </c>
      <c r="D45" s="629" t="s">
        <v>482</v>
      </c>
      <c r="E45" s="629" t="s">
        <v>282</v>
      </c>
      <c r="F45" s="629" t="s">
        <v>483</v>
      </c>
      <c r="G45" s="629" t="s">
        <v>484</v>
      </c>
      <c r="H45" s="629">
        <v>9.9699999999999997E-2</v>
      </c>
      <c r="I45" s="629" t="s">
        <v>485</v>
      </c>
      <c r="J45" s="629">
        <v>132</v>
      </c>
      <c r="K45" s="629"/>
      <c r="L45" s="629"/>
      <c r="M45" s="814">
        <v>0</v>
      </c>
      <c r="N45" s="1592"/>
      <c r="O45" s="1592" t="str">
        <f t="shared" si="9"/>
        <v>ReH 2.995/2021</v>
      </c>
      <c r="P45" s="1601">
        <v>0.2072</v>
      </c>
      <c r="Q45" s="1592">
        <v>5741724.6974191396</v>
      </c>
      <c r="R45" s="1600">
        <v>44531</v>
      </c>
      <c r="S45" s="1592" t="str">
        <f t="shared" si="10"/>
        <v>Desp. 521/2022</v>
      </c>
      <c r="T45" s="629" t="s">
        <v>486</v>
      </c>
      <c r="U45" s="740" t="s">
        <v>349</v>
      </c>
      <c r="V45" s="629">
        <v>2024</v>
      </c>
      <c r="W45" s="1587">
        <v>2908</v>
      </c>
      <c r="X45" s="1588" t="s">
        <v>2158</v>
      </c>
      <c r="Y45" s="629"/>
      <c r="AA45" s="1590" t="s">
        <v>485</v>
      </c>
      <c r="AB45" s="1592">
        <v>58.392923981821539</v>
      </c>
      <c r="AC45" s="1593">
        <v>117.43916412021785</v>
      </c>
      <c r="AD45" s="1593">
        <v>1371216.9263933776</v>
      </c>
      <c r="AE45" s="740">
        <v>44371</v>
      </c>
      <c r="AF45" s="740">
        <v>44371</v>
      </c>
      <c r="AG45" s="1592">
        <v>0</v>
      </c>
      <c r="AH45" s="629"/>
      <c r="AI45" s="740">
        <v>41472</v>
      </c>
      <c r="AJ45" s="740">
        <v>42551</v>
      </c>
      <c r="AK45" s="740" t="s">
        <v>289</v>
      </c>
      <c r="AL45" s="740"/>
      <c r="AM45" s="740"/>
      <c r="AN45" s="863"/>
      <c r="AO45" s="235"/>
      <c r="AP45" s="17"/>
      <c r="AR45" s="817" t="s">
        <v>201</v>
      </c>
      <c r="AS45" s="235"/>
      <c r="AT45" s="235"/>
      <c r="AX45" s="235"/>
    </row>
    <row r="46" spans="1:50" s="9" customFormat="1" ht="31.5" hidden="1">
      <c r="A46" s="629" t="s">
        <v>182</v>
      </c>
      <c r="B46" s="629" t="s">
        <v>487</v>
      </c>
      <c r="C46" s="629">
        <v>5274</v>
      </c>
      <c r="D46" s="629" t="s">
        <v>488</v>
      </c>
      <c r="E46" s="629" t="s">
        <v>282</v>
      </c>
      <c r="F46" s="629" t="s">
        <v>489</v>
      </c>
      <c r="G46" s="629" t="s">
        <v>490</v>
      </c>
      <c r="H46" s="629">
        <v>9.9699999999999997E-2</v>
      </c>
      <c r="I46" s="629" t="s">
        <v>163</v>
      </c>
      <c r="J46" s="629">
        <v>103</v>
      </c>
      <c r="K46" s="629"/>
      <c r="L46" s="629"/>
      <c r="M46" s="814">
        <v>0.128</v>
      </c>
      <c r="N46" s="1592"/>
      <c r="O46" s="1592" t="str">
        <f t="shared" si="9"/>
        <v>ReH 2.995/2021</v>
      </c>
      <c r="P46" s="1601">
        <v>7.9699999999999993E-2</v>
      </c>
      <c r="Q46" s="1602">
        <v>9559924.0871568415</v>
      </c>
      <c r="R46" s="1600">
        <v>44531</v>
      </c>
      <c r="S46" s="1592" t="str">
        <f t="shared" si="10"/>
        <v>Desp. 521/2022</v>
      </c>
      <c r="T46" s="629" t="s">
        <v>492</v>
      </c>
      <c r="U46" s="740" t="s">
        <v>287</v>
      </c>
      <c r="V46" s="629">
        <v>2024</v>
      </c>
      <c r="W46" s="1587">
        <v>2865</v>
      </c>
      <c r="X46" s="1588" t="s">
        <v>2159</v>
      </c>
      <c r="Y46" s="629"/>
      <c r="AA46" s="1590" t="s">
        <v>506</v>
      </c>
      <c r="AB46" s="1592">
        <v>49.06</v>
      </c>
      <c r="AC46" s="1593">
        <v>187.05</v>
      </c>
      <c r="AD46" s="1593">
        <v>95315.39</v>
      </c>
      <c r="AE46" s="740">
        <v>43174</v>
      </c>
      <c r="AF46" s="740">
        <v>43174</v>
      </c>
      <c r="AG46" s="1592">
        <v>0</v>
      </c>
      <c r="AH46" s="629"/>
      <c r="AI46" s="740">
        <v>41472</v>
      </c>
      <c r="AJ46" s="740">
        <v>42451</v>
      </c>
      <c r="AK46" s="740" t="s">
        <v>289</v>
      </c>
      <c r="AL46" s="740"/>
      <c r="AM46" s="740"/>
      <c r="AN46" s="863">
        <v>940401.96</v>
      </c>
      <c r="AO46" s="235"/>
      <c r="AP46" s="17"/>
      <c r="AR46" s="817" t="s">
        <v>493</v>
      </c>
      <c r="AS46" s="235"/>
      <c r="AT46" s="235"/>
      <c r="AX46" s="235"/>
    </row>
    <row r="47" spans="1:50" s="9" customFormat="1" ht="31.5" hidden="1">
      <c r="A47" s="629" t="s">
        <v>371</v>
      </c>
      <c r="B47" s="629" t="s">
        <v>494</v>
      </c>
      <c r="C47" s="629">
        <v>5377</v>
      </c>
      <c r="D47" s="629" t="s">
        <v>495</v>
      </c>
      <c r="E47" s="629" t="s">
        <v>282</v>
      </c>
      <c r="F47" s="629" t="s">
        <v>496</v>
      </c>
      <c r="G47" s="629" t="s">
        <v>497</v>
      </c>
      <c r="H47" s="629">
        <v>3.7699999999999997E-2</v>
      </c>
      <c r="I47" s="629" t="s">
        <v>498</v>
      </c>
      <c r="J47" s="629">
        <v>155</v>
      </c>
      <c r="K47" s="629"/>
      <c r="L47" s="629"/>
      <c r="M47" s="814">
        <v>0</v>
      </c>
      <c r="N47" s="1592"/>
      <c r="O47" s="1592" t="str">
        <f t="shared" si="9"/>
        <v>ReH 2.995/2021</v>
      </c>
      <c r="P47" s="1601">
        <v>6.2799999999999995E-2</v>
      </c>
      <c r="Q47" s="1592">
        <v>5170019.3743311316</v>
      </c>
      <c r="R47" s="1600">
        <v>44531</v>
      </c>
      <c r="S47" s="1592" t="str">
        <f t="shared" si="10"/>
        <v>Desp. 521/2022</v>
      </c>
      <c r="T47" s="629" t="s">
        <v>499</v>
      </c>
      <c r="U47" s="740" t="s">
        <v>500</v>
      </c>
      <c r="V47" s="629">
        <v>2024</v>
      </c>
      <c r="W47" s="1587">
        <v>2872</v>
      </c>
      <c r="X47" s="1588" t="s">
        <v>2157</v>
      </c>
      <c r="Y47" s="1589">
        <v>1.15E-2</v>
      </c>
      <c r="Z47" s="1590">
        <v>-0.02</v>
      </c>
      <c r="AA47" s="1590" t="s">
        <v>194</v>
      </c>
      <c r="AB47" s="1592">
        <v>43</v>
      </c>
      <c r="AC47" s="1593">
        <v>122.01</v>
      </c>
      <c r="AD47" s="1593">
        <v>807332.96</v>
      </c>
      <c r="AE47" s="740">
        <v>43212</v>
      </c>
      <c r="AF47" s="740">
        <v>43212</v>
      </c>
      <c r="AG47" s="1592">
        <v>0</v>
      </c>
      <c r="AH47" s="629"/>
      <c r="AI47" s="740">
        <v>41472</v>
      </c>
      <c r="AJ47" s="740">
        <v>42489</v>
      </c>
      <c r="AK47" s="740" t="s">
        <v>289</v>
      </c>
      <c r="AL47" s="740"/>
      <c r="AM47" s="740"/>
      <c r="AN47" s="863"/>
      <c r="AO47" s="235"/>
      <c r="AP47" s="17"/>
      <c r="AR47" s="817" t="s">
        <v>411</v>
      </c>
      <c r="AS47" s="235"/>
      <c r="AT47" s="235"/>
      <c r="AX47" s="235"/>
    </row>
    <row r="48" spans="1:50" s="9" customFormat="1" ht="31.5" hidden="1">
      <c r="A48" s="629" t="s">
        <v>366</v>
      </c>
      <c r="B48" s="629" t="s">
        <v>501</v>
      </c>
      <c r="C48" s="629">
        <v>5279</v>
      </c>
      <c r="D48" s="629" t="s">
        <v>502</v>
      </c>
      <c r="E48" s="629" t="s">
        <v>282</v>
      </c>
      <c r="F48" s="629" t="s">
        <v>503</v>
      </c>
      <c r="G48" s="629" t="s">
        <v>490</v>
      </c>
      <c r="H48" s="629">
        <v>9.9699999999999997E-2</v>
      </c>
      <c r="I48" s="629" t="s">
        <v>163</v>
      </c>
      <c r="J48" s="629">
        <v>103</v>
      </c>
      <c r="K48" s="629"/>
      <c r="L48" s="629"/>
      <c r="M48" s="814">
        <v>0.1166</v>
      </c>
      <c r="N48" s="1592"/>
      <c r="O48" s="1592" t="str">
        <f t="shared" si="9"/>
        <v>ReH 2.995/2021</v>
      </c>
      <c r="P48" s="1589">
        <v>0.4052</v>
      </c>
      <c r="Q48" s="1592">
        <v>25601019.68723011</v>
      </c>
      <c r="R48" s="1600">
        <v>44531</v>
      </c>
      <c r="S48" s="1592" t="str">
        <f t="shared" si="10"/>
        <v>Desp. 521/2022</v>
      </c>
      <c r="T48" s="1603" t="s">
        <v>504</v>
      </c>
      <c r="U48" s="740" t="s">
        <v>505</v>
      </c>
      <c r="V48" s="629">
        <v>2022</v>
      </c>
      <c r="W48" s="1587">
        <v>2866</v>
      </c>
      <c r="X48" s="1588" t="s">
        <v>2159</v>
      </c>
      <c r="Y48" s="1589"/>
      <c r="AA48" s="1590" t="s">
        <v>506</v>
      </c>
      <c r="AB48" s="1594">
        <v>29.23</v>
      </c>
      <c r="AC48" s="1593">
        <v>183.67</v>
      </c>
      <c r="AD48" s="1593">
        <v>3906806.73</v>
      </c>
      <c r="AE48" s="740">
        <v>42809</v>
      </c>
      <c r="AF48" s="740">
        <v>42809</v>
      </c>
      <c r="AG48" s="740" t="s">
        <v>507</v>
      </c>
      <c r="AH48" s="629"/>
      <c r="AI48" s="740"/>
      <c r="AJ48" s="740"/>
      <c r="AK48" s="740" t="s">
        <v>508</v>
      </c>
      <c r="AL48" s="740">
        <v>43374</v>
      </c>
      <c r="AM48" s="1589">
        <v>0.2465</v>
      </c>
      <c r="AN48" s="863">
        <v>939575.3</v>
      </c>
      <c r="AO48" s="235"/>
      <c r="AP48" s="17"/>
      <c r="AR48" s="817" t="s">
        <v>509</v>
      </c>
      <c r="AS48" s="235"/>
      <c r="AT48" s="235"/>
      <c r="AX48" s="235"/>
    </row>
    <row r="49" spans="1:50" s="9" customFormat="1" ht="31.5" hidden="1">
      <c r="A49" s="629" t="s">
        <v>196</v>
      </c>
      <c r="B49" s="629" t="s">
        <v>510</v>
      </c>
      <c r="C49" s="629">
        <v>6603</v>
      </c>
      <c r="D49" s="629" t="s">
        <v>511</v>
      </c>
      <c r="E49" s="629" t="s">
        <v>282</v>
      </c>
      <c r="F49" s="629" t="s">
        <v>512</v>
      </c>
      <c r="G49" s="629" t="s">
        <v>490</v>
      </c>
      <c r="H49" s="629">
        <v>9.9699999999999997E-2</v>
      </c>
      <c r="I49" s="629" t="s">
        <v>163</v>
      </c>
      <c r="J49" s="629">
        <v>103</v>
      </c>
      <c r="K49" s="629"/>
      <c r="L49" s="629"/>
      <c r="M49" s="814">
        <v>0</v>
      </c>
      <c r="N49" s="1592"/>
      <c r="O49" s="1592" t="str">
        <f t="shared" si="9"/>
        <v>ReH 2.995/2021</v>
      </c>
      <c r="P49" s="1589">
        <v>0.4052</v>
      </c>
      <c r="Q49" s="1592">
        <v>10809195.059114244</v>
      </c>
      <c r="R49" s="1600">
        <v>44531</v>
      </c>
      <c r="S49" s="1592" t="str">
        <f t="shared" si="10"/>
        <v>Desp. 521/2022</v>
      </c>
      <c r="T49" s="1603" t="s">
        <v>513</v>
      </c>
      <c r="U49" s="740" t="s">
        <v>514</v>
      </c>
      <c r="V49" s="629">
        <v>2022</v>
      </c>
      <c r="W49" s="1587">
        <v>2867</v>
      </c>
      <c r="X49" s="1588" t="s">
        <v>2159</v>
      </c>
      <c r="Y49" s="1589"/>
      <c r="AA49" s="1590" t="s">
        <v>506</v>
      </c>
      <c r="AB49" s="1594">
        <v>30.78</v>
      </c>
      <c r="AC49" s="1593">
        <v>183.67</v>
      </c>
      <c r="AD49" s="1593">
        <v>1224360.38437886</v>
      </c>
      <c r="AE49" s="740">
        <v>42809</v>
      </c>
      <c r="AF49" s="740">
        <v>42809</v>
      </c>
      <c r="AG49" s="740" t="s">
        <v>507</v>
      </c>
      <c r="AH49" s="629"/>
      <c r="AI49" s="740"/>
      <c r="AJ49" s="740"/>
      <c r="AK49" s="740" t="s">
        <v>508</v>
      </c>
      <c r="AL49" s="740">
        <v>43405</v>
      </c>
      <c r="AM49" s="1595">
        <v>0</v>
      </c>
      <c r="AN49" s="863">
        <v>234949.9</v>
      </c>
      <c r="AO49" s="235"/>
      <c r="AP49" s="17"/>
      <c r="AR49" s="817" t="s">
        <v>339</v>
      </c>
      <c r="AS49" s="235"/>
      <c r="AT49" s="235"/>
      <c r="AX49" s="235"/>
    </row>
    <row r="50" spans="1:50" s="9" customFormat="1" ht="31.5" hidden="1">
      <c r="A50" s="629" t="s">
        <v>389</v>
      </c>
      <c r="B50" s="629" t="s">
        <v>515</v>
      </c>
      <c r="C50" s="629">
        <v>504</v>
      </c>
      <c r="D50" s="629" t="s">
        <v>516</v>
      </c>
      <c r="E50" s="629" t="s">
        <v>282</v>
      </c>
      <c r="F50" s="629" t="s">
        <v>517</v>
      </c>
      <c r="G50" s="629" t="s">
        <v>441</v>
      </c>
      <c r="H50" s="629">
        <v>9.9699999999999997E-2</v>
      </c>
      <c r="I50" s="629" t="s">
        <v>206</v>
      </c>
      <c r="J50" s="629">
        <v>167</v>
      </c>
      <c r="K50" s="629"/>
      <c r="L50" s="629"/>
      <c r="M50" s="814">
        <v>0</v>
      </c>
      <c r="N50" s="1592"/>
      <c r="O50" s="1592" t="str">
        <f t="shared" si="9"/>
        <v>ReH 2.995/2021</v>
      </c>
      <c r="P50" s="1589">
        <v>0.36820000000000003</v>
      </c>
      <c r="Q50" s="1592">
        <v>34114621.739632338</v>
      </c>
      <c r="R50" s="1600">
        <v>44531</v>
      </c>
      <c r="S50" s="1592" t="str">
        <f t="shared" si="10"/>
        <v>Desp. 521/2022</v>
      </c>
      <c r="T50" s="1603" t="s">
        <v>518</v>
      </c>
      <c r="U50" s="740" t="s">
        <v>519</v>
      </c>
      <c r="V50" s="629">
        <v>2022</v>
      </c>
      <c r="W50" s="1587">
        <v>2906</v>
      </c>
      <c r="X50" s="1588" t="s">
        <v>2158</v>
      </c>
      <c r="Y50" s="1589"/>
      <c r="AA50" s="1590" t="s">
        <v>206</v>
      </c>
      <c r="AB50" s="1594">
        <v>13.9</v>
      </c>
      <c r="AC50" s="1593">
        <v>108.15</v>
      </c>
      <c r="AD50" s="1593">
        <v>16697250.359999999</v>
      </c>
      <c r="AE50" s="740">
        <v>43270</v>
      </c>
      <c r="AF50" s="740">
        <v>43270</v>
      </c>
      <c r="AG50" s="740" t="s">
        <v>507</v>
      </c>
      <c r="AH50" s="629"/>
      <c r="AI50" s="740"/>
      <c r="AJ50" s="740"/>
      <c r="AK50" s="740" t="s">
        <v>508</v>
      </c>
      <c r="AL50" s="740">
        <v>43405</v>
      </c>
      <c r="AM50" s="740"/>
      <c r="AN50" s="863"/>
      <c r="AO50" s="235"/>
      <c r="AP50" s="17"/>
      <c r="AR50" s="817" t="s">
        <v>520</v>
      </c>
      <c r="AS50" s="235"/>
      <c r="AT50" s="235"/>
      <c r="AX50" s="235"/>
    </row>
    <row r="51" spans="1:50" s="9" customFormat="1" ht="31.5" hidden="1">
      <c r="A51" s="629" t="s">
        <v>493</v>
      </c>
      <c r="B51" s="629" t="s">
        <v>521</v>
      </c>
      <c r="C51" s="629">
        <v>527</v>
      </c>
      <c r="D51" s="629" t="s">
        <v>522</v>
      </c>
      <c r="E51" s="629" t="s">
        <v>282</v>
      </c>
      <c r="F51" s="629" t="s">
        <v>523</v>
      </c>
      <c r="G51" s="629" t="s">
        <v>441</v>
      </c>
      <c r="H51" s="629">
        <v>3.7699999999999997E-2</v>
      </c>
      <c r="I51" s="629" t="s">
        <v>206</v>
      </c>
      <c r="J51" s="629">
        <v>167</v>
      </c>
      <c r="K51" s="629"/>
      <c r="L51" s="629"/>
      <c r="M51" s="814">
        <v>0</v>
      </c>
      <c r="N51" s="1592"/>
      <c r="O51" s="1592" t="str">
        <f t="shared" si="9"/>
        <v>ReH 2.995/2021</v>
      </c>
      <c r="P51" s="1589">
        <v>0.36820000000000003</v>
      </c>
      <c r="Q51" s="1592">
        <v>19676334.273381419</v>
      </c>
      <c r="R51" s="1600">
        <v>44531</v>
      </c>
      <c r="S51" s="1592" t="str">
        <f t="shared" si="10"/>
        <v>Desp. 521/2022</v>
      </c>
      <c r="T51" s="1603" t="s">
        <v>524</v>
      </c>
      <c r="U51" s="740" t="s">
        <v>525</v>
      </c>
      <c r="V51" s="629">
        <v>2022</v>
      </c>
      <c r="W51" s="1587">
        <v>2907</v>
      </c>
      <c r="X51" s="1588" t="s">
        <v>2158</v>
      </c>
      <c r="Y51" s="1589"/>
      <c r="AA51" s="1590" t="s">
        <v>206</v>
      </c>
      <c r="AB51" s="1594">
        <v>17.5</v>
      </c>
      <c r="AC51" s="1593">
        <v>108.15</v>
      </c>
      <c r="AD51" s="1593">
        <v>8473358.1899999995</v>
      </c>
      <c r="AE51" s="740">
        <v>43270</v>
      </c>
      <c r="AF51" s="740">
        <v>43270</v>
      </c>
      <c r="AG51" s="740" t="s">
        <v>507</v>
      </c>
      <c r="AH51" s="629"/>
      <c r="AI51" s="740"/>
      <c r="AJ51" s="740"/>
      <c r="AK51" s="740" t="s">
        <v>508</v>
      </c>
      <c r="AL51" s="740">
        <v>43405</v>
      </c>
      <c r="AM51" s="740"/>
      <c r="AN51" s="863"/>
      <c r="AO51" s="235"/>
      <c r="AP51" s="17"/>
      <c r="AR51" s="817" t="s">
        <v>188</v>
      </c>
      <c r="AS51" s="235"/>
      <c r="AT51" s="235"/>
      <c r="AX51" s="235"/>
    </row>
    <row r="52" spans="1:50" s="9" customFormat="1" ht="31.5" hidden="1">
      <c r="A52" s="629" t="s">
        <v>290</v>
      </c>
      <c r="B52" s="629" t="s">
        <v>526</v>
      </c>
      <c r="C52" s="629">
        <v>11825</v>
      </c>
      <c r="D52" s="629" t="s">
        <v>527</v>
      </c>
      <c r="E52" s="629" t="s">
        <v>282</v>
      </c>
      <c r="F52" s="629" t="s">
        <v>528</v>
      </c>
      <c r="G52" s="629" t="s">
        <v>484</v>
      </c>
      <c r="H52" s="629">
        <v>9.9699999999999997E-2</v>
      </c>
      <c r="I52" s="629" t="s">
        <v>529</v>
      </c>
      <c r="J52" s="629">
        <v>132</v>
      </c>
      <c r="K52" s="629"/>
      <c r="L52" s="629"/>
      <c r="M52" s="816">
        <v>0</v>
      </c>
      <c r="N52" s="1592"/>
      <c r="O52" s="1592" t="str">
        <f t="shared" si="9"/>
        <v>ReH 2.995/2021</v>
      </c>
      <c r="P52" s="1589">
        <v>0.30030000000000001</v>
      </c>
      <c r="Q52" s="1592">
        <v>3990174.7268110593</v>
      </c>
      <c r="R52" s="1600">
        <v>44531</v>
      </c>
      <c r="S52" s="1592" t="str">
        <f t="shared" si="10"/>
        <v>Desp. 521/2022</v>
      </c>
      <c r="T52" s="1603" t="s">
        <v>530</v>
      </c>
      <c r="U52" s="740" t="s">
        <v>531</v>
      </c>
      <c r="V52" s="629">
        <v>2022</v>
      </c>
      <c r="W52" s="1587">
        <v>2905</v>
      </c>
      <c r="X52" s="1588" t="s">
        <v>2158</v>
      </c>
      <c r="Y52" s="1589"/>
      <c r="AA52" s="1590" t="s">
        <v>485</v>
      </c>
      <c r="AB52" s="1594">
        <v>108.32837360722637</v>
      </c>
      <c r="AC52" s="1593">
        <v>117.43916412021785</v>
      </c>
      <c r="AD52" s="1593">
        <v>0</v>
      </c>
      <c r="AE52" s="740">
        <v>44371</v>
      </c>
      <c r="AF52" s="740">
        <v>44371</v>
      </c>
      <c r="AG52" s="740" t="s">
        <v>507</v>
      </c>
      <c r="AH52" s="629"/>
      <c r="AI52" s="740"/>
      <c r="AJ52" s="740"/>
      <c r="AK52" s="740" t="s">
        <v>508</v>
      </c>
      <c r="AL52" s="740">
        <v>43405</v>
      </c>
      <c r="AM52" s="740"/>
      <c r="AN52" s="863"/>
      <c r="AO52" s="235"/>
      <c r="AP52" s="17"/>
      <c r="AR52" s="817" t="s">
        <v>420</v>
      </c>
      <c r="AS52" s="235"/>
      <c r="AT52" s="235"/>
      <c r="AX52" s="235"/>
    </row>
    <row r="53" spans="1:50" s="9" customFormat="1" ht="31.5" hidden="1">
      <c r="A53" s="629" t="s">
        <v>509</v>
      </c>
      <c r="B53" s="629" t="s">
        <v>532</v>
      </c>
      <c r="C53" s="629">
        <v>5375</v>
      </c>
      <c r="D53" s="629" t="s">
        <v>533</v>
      </c>
      <c r="E53" s="629" t="s">
        <v>282</v>
      </c>
      <c r="F53" s="629" t="s">
        <v>534</v>
      </c>
      <c r="G53" s="629" t="s">
        <v>284</v>
      </c>
      <c r="H53" s="629">
        <v>9.9699999999999997E-2</v>
      </c>
      <c r="I53" s="629" t="s">
        <v>535</v>
      </c>
      <c r="J53" s="629">
        <v>145</v>
      </c>
      <c r="K53" s="629" t="s">
        <v>536</v>
      </c>
      <c r="L53" s="629">
        <v>136</v>
      </c>
      <c r="M53" s="816">
        <v>0</v>
      </c>
      <c r="N53" s="1592"/>
      <c r="O53" s="1592" t="str">
        <f t="shared" si="9"/>
        <v>ReH 2.995/2021</v>
      </c>
      <c r="P53" s="1589">
        <v>0.26960000000000001</v>
      </c>
      <c r="Q53" s="1592">
        <v>9179104.7891964447</v>
      </c>
      <c r="R53" s="1600">
        <v>44531</v>
      </c>
      <c r="S53" s="1592" t="str">
        <f t="shared" si="10"/>
        <v>Desp. 521/2022</v>
      </c>
      <c r="T53" s="1603" t="s">
        <v>537</v>
      </c>
      <c r="U53" s="740" t="s">
        <v>538</v>
      </c>
      <c r="V53" s="629">
        <v>2022</v>
      </c>
      <c r="W53" s="1587">
        <v>2945</v>
      </c>
      <c r="X53" s="1588" t="s">
        <v>2160</v>
      </c>
      <c r="Y53" s="1589"/>
      <c r="AA53" s="1590" t="s">
        <v>535</v>
      </c>
      <c r="AB53" s="1594">
        <v>56.75</v>
      </c>
      <c r="AC53" s="1593">
        <v>133.91999999999999</v>
      </c>
      <c r="AD53" s="1593">
        <v>1818143.6</v>
      </c>
      <c r="AE53" s="740">
        <v>43678</v>
      </c>
      <c r="AF53" s="740">
        <v>43678</v>
      </c>
      <c r="AG53" s="740" t="s">
        <v>507</v>
      </c>
      <c r="AH53" s="629"/>
      <c r="AI53" s="740"/>
      <c r="AJ53" s="740"/>
      <c r="AK53" s="740" t="s">
        <v>508</v>
      </c>
      <c r="AL53" s="740">
        <v>43466</v>
      </c>
      <c r="AM53" s="740"/>
      <c r="AN53" s="863"/>
      <c r="AO53" s="235"/>
      <c r="AP53" s="17"/>
      <c r="AR53" s="817" t="s">
        <v>460</v>
      </c>
      <c r="AS53" s="235"/>
      <c r="AT53" s="235"/>
      <c r="AX53" s="235"/>
    </row>
    <row r="54" spans="1:50" s="9" customFormat="1" ht="31.5" hidden="1">
      <c r="A54" s="629" t="s">
        <v>186</v>
      </c>
      <c r="B54" s="629" t="s">
        <v>539</v>
      </c>
      <c r="C54" s="629">
        <v>5356</v>
      </c>
      <c r="D54" s="629" t="s">
        <v>540</v>
      </c>
      <c r="E54" s="629" t="s">
        <v>282</v>
      </c>
      <c r="F54" s="629" t="s">
        <v>541</v>
      </c>
      <c r="G54" s="629" t="s">
        <v>347</v>
      </c>
      <c r="H54" s="629">
        <v>9.9699999999999997E-2</v>
      </c>
      <c r="I54" s="629" t="s">
        <v>542</v>
      </c>
      <c r="J54" s="629">
        <v>111</v>
      </c>
      <c r="K54" s="629"/>
      <c r="L54" s="629"/>
      <c r="M54" s="816">
        <v>0</v>
      </c>
      <c r="N54" s="1592"/>
      <c r="O54" s="1592" t="str">
        <f t="shared" si="9"/>
        <v>ReH 2.995/2021</v>
      </c>
      <c r="P54" s="1589">
        <v>0.26719999999999999</v>
      </c>
      <c r="Q54" s="1592">
        <v>12311896.529185077</v>
      </c>
      <c r="R54" s="1600">
        <v>44531</v>
      </c>
      <c r="S54" s="1592" t="str">
        <f t="shared" si="10"/>
        <v>Desp. 521/2022</v>
      </c>
      <c r="T54" s="1603" t="s">
        <v>543</v>
      </c>
      <c r="U54" s="740" t="s">
        <v>544</v>
      </c>
      <c r="V54" s="629">
        <v>2022</v>
      </c>
      <c r="W54" s="1587">
        <v>2938</v>
      </c>
      <c r="X54" s="1588" t="s">
        <v>2160</v>
      </c>
      <c r="Y54" s="1589"/>
      <c r="AA54" s="1590" t="s">
        <v>542</v>
      </c>
      <c r="AB54" s="1594">
        <v>349.3569320960537</v>
      </c>
      <c r="AC54" s="1593">
        <v>180.36</v>
      </c>
      <c r="AD54" s="1593">
        <v>0</v>
      </c>
      <c r="AE54" s="740">
        <v>44430</v>
      </c>
      <c r="AF54" s="740">
        <v>44430</v>
      </c>
      <c r="AG54" s="740" t="s">
        <v>507</v>
      </c>
      <c r="AH54" s="629"/>
      <c r="AI54" s="740"/>
      <c r="AJ54" s="740"/>
      <c r="AK54" s="740" t="s">
        <v>508</v>
      </c>
      <c r="AL54" s="740">
        <v>43435</v>
      </c>
      <c r="AM54" s="740"/>
      <c r="AN54" s="863"/>
      <c r="AO54" s="235"/>
      <c r="AP54" s="17"/>
      <c r="AR54" s="817" t="s">
        <v>427</v>
      </c>
      <c r="AS54" s="235"/>
      <c r="AT54" s="235"/>
      <c r="AX54" s="235"/>
    </row>
    <row r="55" spans="1:50" s="9" customFormat="1" ht="31.5" hidden="1">
      <c r="A55" s="629" t="s">
        <v>471</v>
      </c>
      <c r="B55" s="629" t="s">
        <v>545</v>
      </c>
      <c r="C55" s="629">
        <v>7883</v>
      </c>
      <c r="D55" s="629" t="s">
        <v>546</v>
      </c>
      <c r="E55" s="629" t="s">
        <v>282</v>
      </c>
      <c r="F55" s="629" t="s">
        <v>547</v>
      </c>
      <c r="G55" s="629" t="s">
        <v>347</v>
      </c>
      <c r="H55" s="629">
        <v>9.9699999999999997E-2</v>
      </c>
      <c r="I55" s="629" t="s">
        <v>542</v>
      </c>
      <c r="J55" s="629">
        <v>111</v>
      </c>
      <c r="K55" s="629"/>
      <c r="L55" s="629"/>
      <c r="M55" s="816">
        <v>0</v>
      </c>
      <c r="N55" s="1592"/>
      <c r="O55" s="1592" t="str">
        <f t="shared" si="9"/>
        <v>ReH 2.995/2021</v>
      </c>
      <c r="P55" s="1589">
        <v>0.26719999999999999</v>
      </c>
      <c r="Q55" s="1592">
        <v>2747645.1312338929</v>
      </c>
      <c r="R55" s="1600">
        <v>44531</v>
      </c>
      <c r="S55" s="1592" t="str">
        <f t="shared" si="10"/>
        <v>Desp. 521/2022</v>
      </c>
      <c r="T55" s="1603" t="s">
        <v>548</v>
      </c>
      <c r="U55" s="740" t="s">
        <v>549</v>
      </c>
      <c r="V55" s="629">
        <v>2022</v>
      </c>
      <c r="W55" s="1587">
        <v>2952</v>
      </c>
      <c r="X55" s="1588" t="s">
        <v>2160</v>
      </c>
      <c r="Y55" s="1589"/>
      <c r="AA55" s="1590" t="s">
        <v>542</v>
      </c>
      <c r="AB55" s="1594">
        <v>66.75041888804266</v>
      </c>
      <c r="AC55" s="1593">
        <v>180.36</v>
      </c>
      <c r="AD55" s="1593">
        <v>1128622.9917918474</v>
      </c>
      <c r="AE55" s="740">
        <v>44430</v>
      </c>
      <c r="AF55" s="740">
        <v>44430</v>
      </c>
      <c r="AG55" s="740" t="s">
        <v>507</v>
      </c>
      <c r="AH55" s="629"/>
      <c r="AI55" s="740"/>
      <c r="AJ55" s="740"/>
      <c r="AK55" s="740" t="s">
        <v>508</v>
      </c>
      <c r="AL55" s="740">
        <v>43435</v>
      </c>
      <c r="AM55" s="740"/>
      <c r="AN55" s="863"/>
      <c r="AO55" s="235"/>
      <c r="AP55" s="17"/>
      <c r="AR55" s="817" t="s">
        <v>11</v>
      </c>
      <c r="AS55" s="235"/>
      <c r="AT55" s="235"/>
      <c r="AX55" s="235"/>
    </row>
    <row r="56" spans="1:50" s="9" customFormat="1" ht="31.5" hidden="1">
      <c r="A56" s="629" t="s">
        <v>520</v>
      </c>
      <c r="B56" s="629" t="s">
        <v>550</v>
      </c>
      <c r="C56" s="629">
        <v>11763</v>
      </c>
      <c r="D56" s="629" t="s">
        <v>551</v>
      </c>
      <c r="E56" s="629" t="s">
        <v>282</v>
      </c>
      <c r="F56" s="629" t="s">
        <v>552</v>
      </c>
      <c r="G56" s="629" t="s">
        <v>347</v>
      </c>
      <c r="H56" s="629">
        <v>9.9699999999999997E-2</v>
      </c>
      <c r="I56" s="629" t="s">
        <v>542</v>
      </c>
      <c r="J56" s="629">
        <v>111</v>
      </c>
      <c r="K56" s="629"/>
      <c r="L56" s="629"/>
      <c r="M56" s="816">
        <v>0</v>
      </c>
      <c r="N56" s="1592"/>
      <c r="O56" s="1592" t="str">
        <f t="shared" si="9"/>
        <v>ReH 2.995/2021</v>
      </c>
      <c r="P56" s="1589">
        <v>0.26719999999999999</v>
      </c>
      <c r="Q56" s="1592">
        <v>4273903.2129018996</v>
      </c>
      <c r="R56" s="1600">
        <v>44531</v>
      </c>
      <c r="S56" s="1592" t="str">
        <f t="shared" si="10"/>
        <v>Desp. 521/2022</v>
      </c>
      <c r="T56" s="1603" t="s">
        <v>553</v>
      </c>
      <c r="U56" s="740" t="s">
        <v>554</v>
      </c>
      <c r="V56" s="629">
        <v>2022</v>
      </c>
      <c r="W56" s="1587">
        <v>2954</v>
      </c>
      <c r="X56" s="1588" t="s">
        <v>2160</v>
      </c>
      <c r="Y56" s="1589"/>
      <c r="AA56" s="1590" t="s">
        <v>542</v>
      </c>
      <c r="AB56" s="1594">
        <v>340.16724180581309</v>
      </c>
      <c r="AC56" s="1593">
        <v>180.36</v>
      </c>
      <c r="AD56" s="1593">
        <v>0</v>
      </c>
      <c r="AE56" s="740">
        <v>44430</v>
      </c>
      <c r="AF56" s="740">
        <v>44430</v>
      </c>
      <c r="AG56" s="740" t="s">
        <v>507</v>
      </c>
      <c r="AH56" s="629"/>
      <c r="AI56" s="740"/>
      <c r="AJ56" s="740"/>
      <c r="AK56" s="740" t="s">
        <v>508</v>
      </c>
      <c r="AL56" s="740">
        <v>43466</v>
      </c>
      <c r="AM56" s="740"/>
      <c r="AN56" s="863"/>
      <c r="AO56" s="235"/>
      <c r="AP56" s="17"/>
      <c r="AR56" s="629" t="s">
        <v>10</v>
      </c>
      <c r="AS56" s="235"/>
      <c r="AT56" s="235"/>
      <c r="AX56" s="235"/>
    </row>
    <row r="57" spans="1:50" s="9" customFormat="1" ht="31.5" hidden="1">
      <c r="A57" s="629" t="s">
        <v>555</v>
      </c>
      <c r="B57" s="629" t="s">
        <v>556</v>
      </c>
      <c r="C57" s="629">
        <v>5374</v>
      </c>
      <c r="D57" s="629" t="s">
        <v>557</v>
      </c>
      <c r="E57" s="629" t="s">
        <v>282</v>
      </c>
      <c r="F57" s="629" t="s">
        <v>558</v>
      </c>
      <c r="G57" s="629" t="s">
        <v>347</v>
      </c>
      <c r="H57" s="629">
        <v>9.9699999999999997E-2</v>
      </c>
      <c r="I57" s="629" t="s">
        <v>542</v>
      </c>
      <c r="J57" s="629">
        <v>111</v>
      </c>
      <c r="K57" s="629"/>
      <c r="L57" s="629"/>
      <c r="M57" s="816">
        <v>0</v>
      </c>
      <c r="N57" s="1592"/>
      <c r="O57" s="1592" t="str">
        <f t="shared" si="9"/>
        <v>ReH 2.995/2021</v>
      </c>
      <c r="P57" s="1589">
        <v>0.26719999999999999</v>
      </c>
      <c r="Q57" s="1592">
        <v>14887159.462181535</v>
      </c>
      <c r="R57" s="1600">
        <v>44531</v>
      </c>
      <c r="S57" s="1592" t="str">
        <f t="shared" si="10"/>
        <v>Desp. 521/2022</v>
      </c>
      <c r="T57" s="1603" t="s">
        <v>559</v>
      </c>
      <c r="U57" s="740" t="s">
        <v>560</v>
      </c>
      <c r="V57" s="629">
        <v>2022</v>
      </c>
      <c r="W57" s="1587">
        <v>2955</v>
      </c>
      <c r="X57" s="1588" t="s">
        <v>2160</v>
      </c>
      <c r="Y57" s="1589"/>
      <c r="AA57" s="1590" t="s">
        <v>542</v>
      </c>
      <c r="AB57" s="1594">
        <v>42.479589945809131</v>
      </c>
      <c r="AC57" s="1593">
        <v>180.36</v>
      </c>
      <c r="AD57" s="1593">
        <v>4958818.1676888634</v>
      </c>
      <c r="AE57" s="740">
        <v>44430</v>
      </c>
      <c r="AF57" s="740">
        <v>44430</v>
      </c>
      <c r="AG57" s="740" t="s">
        <v>507</v>
      </c>
      <c r="AH57" s="629"/>
      <c r="AI57" s="740"/>
      <c r="AJ57" s="740"/>
      <c r="AK57" s="740" t="s">
        <v>508</v>
      </c>
      <c r="AL57" s="740">
        <v>43435</v>
      </c>
      <c r="AM57" s="740"/>
      <c r="AN57" s="863"/>
      <c r="AO57" s="235"/>
      <c r="AP57" s="17"/>
      <c r="AR57" s="889" t="s">
        <v>561</v>
      </c>
      <c r="AS57" s="235"/>
      <c r="AT57" s="235"/>
      <c r="AX57" s="235"/>
    </row>
    <row r="58" spans="1:50" s="9" customFormat="1" ht="31.5" hidden="1">
      <c r="A58" s="629" t="s">
        <v>10</v>
      </c>
      <c r="B58" s="629" t="s">
        <v>562</v>
      </c>
      <c r="C58" s="629">
        <v>5346</v>
      </c>
      <c r="D58" s="629" t="s">
        <v>563</v>
      </c>
      <c r="E58" s="629" t="s">
        <v>282</v>
      </c>
      <c r="F58" s="629" t="s">
        <v>564</v>
      </c>
      <c r="G58" s="629" t="s">
        <v>441</v>
      </c>
      <c r="H58" s="629">
        <v>9.9699999999999997E-2</v>
      </c>
      <c r="I58" s="629" t="s">
        <v>353</v>
      </c>
      <c r="J58" s="629">
        <v>110</v>
      </c>
      <c r="K58" s="629"/>
      <c r="L58" s="629"/>
      <c r="M58" s="816">
        <v>0</v>
      </c>
      <c r="N58" s="1592"/>
      <c r="O58" s="1592" t="str">
        <f t="shared" si="9"/>
        <v>ReH 2.995/2021</v>
      </c>
      <c r="P58" s="1589">
        <v>0.29220000000000002</v>
      </c>
      <c r="Q58" s="1592">
        <v>12150493.896013878</v>
      </c>
      <c r="R58" s="1600">
        <v>44531</v>
      </c>
      <c r="S58" s="1592" t="str">
        <f t="shared" si="10"/>
        <v>Desp. 521/2022</v>
      </c>
      <c r="T58" s="629" t="s">
        <v>565</v>
      </c>
      <c r="U58" s="740" t="s">
        <v>566</v>
      </c>
      <c r="V58" s="629">
        <v>2022</v>
      </c>
      <c r="W58" s="1587">
        <v>2993</v>
      </c>
      <c r="X58" s="1588" t="s">
        <v>2155</v>
      </c>
      <c r="Y58" s="629"/>
      <c r="AA58" s="1590" t="s">
        <v>353</v>
      </c>
      <c r="AB58" s="1592">
        <v>12.14</v>
      </c>
      <c r="AC58" s="1593">
        <v>127.47</v>
      </c>
      <c r="AD58" s="1593">
        <v>10002090.66</v>
      </c>
      <c r="AE58" s="740">
        <v>44501</v>
      </c>
      <c r="AF58" s="740">
        <v>44522</v>
      </c>
      <c r="AG58" s="740"/>
      <c r="AH58" s="629"/>
      <c r="AI58" s="740"/>
      <c r="AJ58" s="740"/>
      <c r="AK58" s="740" t="s">
        <v>508</v>
      </c>
      <c r="AL58" s="740">
        <v>43525</v>
      </c>
      <c r="AM58" s="740"/>
      <c r="AN58" s="863"/>
      <c r="AO58" s="235"/>
      <c r="AP58" s="17"/>
      <c r="AR58" s="817" t="s">
        <v>432</v>
      </c>
      <c r="AS58" s="235"/>
      <c r="AT58" s="235"/>
      <c r="AX58" s="235"/>
    </row>
    <row r="59" spans="1:50" s="9" customFormat="1" ht="31.5" hidden="1">
      <c r="A59" s="629" t="s">
        <v>11</v>
      </c>
      <c r="B59" s="629" t="s">
        <v>567</v>
      </c>
      <c r="C59" s="629">
        <v>5345</v>
      </c>
      <c r="D59" s="629" t="s">
        <v>568</v>
      </c>
      <c r="E59" s="629" t="s">
        <v>282</v>
      </c>
      <c r="F59" s="629" t="s">
        <v>569</v>
      </c>
      <c r="G59" s="629" t="s">
        <v>441</v>
      </c>
      <c r="H59" s="629">
        <v>9.9699999999999997E-2</v>
      </c>
      <c r="I59" s="629" t="s">
        <v>353</v>
      </c>
      <c r="J59" s="629">
        <v>110</v>
      </c>
      <c r="K59" s="629"/>
      <c r="L59" s="629"/>
      <c r="M59" s="816">
        <v>0</v>
      </c>
      <c r="N59" s="1592"/>
      <c r="O59" s="1592" t="str">
        <f t="shared" si="9"/>
        <v>ReH 2.995/2021</v>
      </c>
      <c r="P59" s="1589">
        <v>0.29220000000000002</v>
      </c>
      <c r="Q59" s="1592">
        <v>12126674.039789611</v>
      </c>
      <c r="R59" s="1600">
        <v>44531</v>
      </c>
      <c r="S59" s="1592" t="str">
        <f t="shared" si="10"/>
        <v>Desp. 521/2022</v>
      </c>
      <c r="T59" s="629" t="s">
        <v>570</v>
      </c>
      <c r="U59" s="740" t="s">
        <v>571</v>
      </c>
      <c r="V59" s="629">
        <v>2022</v>
      </c>
      <c r="W59" s="1587">
        <v>2999</v>
      </c>
      <c r="X59" s="1588" t="s">
        <v>2155</v>
      </c>
      <c r="Y59" s="629"/>
      <c r="AA59" s="1590" t="s">
        <v>353</v>
      </c>
      <c r="AB59" s="1592">
        <v>24.63</v>
      </c>
      <c r="AC59" s="1593">
        <v>127.47</v>
      </c>
      <c r="AD59" s="1593">
        <v>5510422.0099999998</v>
      </c>
      <c r="AE59" s="740">
        <v>44197</v>
      </c>
      <c r="AF59" s="740">
        <v>44522</v>
      </c>
      <c r="AG59" s="740"/>
      <c r="AH59" s="629"/>
      <c r="AI59" s="740"/>
      <c r="AJ59" s="740"/>
      <c r="AK59" s="740" t="s">
        <v>508</v>
      </c>
      <c r="AL59" s="740">
        <v>43525</v>
      </c>
      <c r="AM59" s="740"/>
      <c r="AN59" s="863"/>
      <c r="AO59" s="235"/>
      <c r="AP59" s="17"/>
      <c r="AR59" s="817" t="s">
        <v>465</v>
      </c>
      <c r="AS59" s="235"/>
      <c r="AT59" s="235"/>
      <c r="AX59" s="235"/>
    </row>
    <row r="60" spans="1:50" s="9" customFormat="1" ht="31.5" hidden="1">
      <c r="A60" s="629" t="s">
        <v>327</v>
      </c>
      <c r="B60" s="629" t="s">
        <v>572</v>
      </c>
      <c r="C60" s="629">
        <v>7467</v>
      </c>
      <c r="D60" s="629" t="s">
        <v>573</v>
      </c>
      <c r="E60" s="629" t="s">
        <v>282</v>
      </c>
      <c r="F60" s="629" t="s">
        <v>574</v>
      </c>
      <c r="G60" s="629" t="s">
        <v>284</v>
      </c>
      <c r="H60" s="629">
        <v>9.9699999999999997E-2</v>
      </c>
      <c r="I60" s="629" t="s">
        <v>150</v>
      </c>
      <c r="J60" s="629">
        <v>136</v>
      </c>
      <c r="K60" s="629" t="s">
        <v>164</v>
      </c>
      <c r="L60" s="629">
        <v>145</v>
      </c>
      <c r="M60" s="816">
        <v>0</v>
      </c>
      <c r="N60" s="1592"/>
      <c r="O60" s="1592" t="str">
        <f t="shared" si="9"/>
        <v>ReH 2.995/2021</v>
      </c>
      <c r="P60" s="1589">
        <v>0.31130000000000002</v>
      </c>
      <c r="Q60" s="1592">
        <v>26138615.684229702</v>
      </c>
      <c r="R60" s="1600">
        <v>44531</v>
      </c>
      <c r="S60" s="1592" t="str">
        <f t="shared" si="10"/>
        <v>Desp. 521/2022</v>
      </c>
      <c r="T60" s="629" t="s">
        <v>575</v>
      </c>
      <c r="U60" s="740" t="s">
        <v>576</v>
      </c>
      <c r="V60" s="629">
        <v>2023</v>
      </c>
      <c r="W60" s="1587">
        <v>2871</v>
      </c>
      <c r="X60" s="1588" t="s">
        <v>2157</v>
      </c>
      <c r="Y60" s="629"/>
      <c r="AA60" s="1590" t="s">
        <v>150</v>
      </c>
      <c r="AB60" s="1592">
        <v>109.7</v>
      </c>
      <c r="AC60" s="1593">
        <v>237.88</v>
      </c>
      <c r="AD60" s="1593">
        <v>7537395.7800000003</v>
      </c>
      <c r="AE60" s="740">
        <v>43198</v>
      </c>
      <c r="AF60" s="740">
        <v>43198</v>
      </c>
      <c r="AG60" s="740"/>
      <c r="AH60" s="629"/>
      <c r="AI60" s="740"/>
      <c r="AJ60" s="740"/>
      <c r="AK60" s="740" t="s">
        <v>508</v>
      </c>
      <c r="AL60" s="740">
        <v>43614</v>
      </c>
      <c r="AM60" s="1596">
        <v>0</v>
      </c>
      <c r="AN60" s="863"/>
      <c r="AR60" s="817" t="s">
        <v>174</v>
      </c>
      <c r="AS60" s="235"/>
      <c r="AT60" s="235"/>
      <c r="AX60" s="235"/>
    </row>
    <row r="61" spans="1:50" ht="31.5" hidden="1">
      <c r="A61" s="508" t="s">
        <v>320</v>
      </c>
      <c r="B61" s="508" t="s">
        <v>577</v>
      </c>
      <c r="C61" s="508">
        <v>5343</v>
      </c>
      <c r="D61" s="629" t="s">
        <v>578</v>
      </c>
      <c r="E61" s="508" t="s">
        <v>282</v>
      </c>
      <c r="F61" s="508" t="s">
        <v>579</v>
      </c>
      <c r="G61" s="508" t="s">
        <v>441</v>
      </c>
      <c r="H61" s="508">
        <v>9.9699999999999997E-2</v>
      </c>
      <c r="I61" s="508" t="s">
        <v>206</v>
      </c>
      <c r="J61" s="508">
        <v>167</v>
      </c>
      <c r="K61" s="508" t="s">
        <v>580</v>
      </c>
      <c r="L61" s="508">
        <v>164</v>
      </c>
      <c r="M61" s="864">
        <v>0</v>
      </c>
      <c r="N61" s="863"/>
      <c r="O61" s="1592" t="str">
        <f t="shared" si="9"/>
        <v>ReH 2.995/2021</v>
      </c>
      <c r="P61" s="1604">
        <v>0.3589</v>
      </c>
      <c r="Q61" s="863">
        <v>45272621.042895459</v>
      </c>
      <c r="R61" s="1600">
        <v>44531</v>
      </c>
      <c r="S61" s="1592" t="str">
        <f t="shared" si="10"/>
        <v>Desp. 521/2022</v>
      </c>
      <c r="T61" s="740">
        <v>43831</v>
      </c>
      <c r="U61" s="865" t="s">
        <v>581</v>
      </c>
      <c r="V61" s="508">
        <v>2022</v>
      </c>
      <c r="W61" s="1597">
        <v>2913</v>
      </c>
      <c r="X61" s="508" t="s">
        <v>2158</v>
      </c>
      <c r="Y61" s="508"/>
      <c r="AA61" s="1598" t="s">
        <v>206</v>
      </c>
      <c r="AB61" s="863">
        <v>16.32</v>
      </c>
      <c r="AC61" s="1599">
        <v>131.34</v>
      </c>
      <c r="AD61" s="1599">
        <v>22619960.88284716</v>
      </c>
      <c r="AE61" s="865">
        <v>43209</v>
      </c>
      <c r="AF61" s="865">
        <v>43270</v>
      </c>
      <c r="AG61" s="508"/>
      <c r="AH61" s="865"/>
      <c r="AI61" s="865"/>
      <c r="AJ61" s="865"/>
      <c r="AK61" s="740" t="s">
        <v>582</v>
      </c>
      <c r="AL61" s="865">
        <v>44105</v>
      </c>
      <c r="AM61" s="865"/>
      <c r="AN61" s="863"/>
      <c r="AR61" s="629" t="s">
        <v>476</v>
      </c>
      <c r="AS61" s="858"/>
      <c r="AX61" s="858"/>
    </row>
    <row r="62" spans="1:50">
      <c r="AD62" s="783"/>
    </row>
    <row r="64" spans="1:50">
      <c r="B64">
        <v>6896</v>
      </c>
    </row>
    <row r="66" spans="1:14">
      <c r="A66" s="655" t="s">
        <v>583</v>
      </c>
    </row>
    <row r="68" spans="1:14">
      <c r="A68" s="509" t="s">
        <v>584</v>
      </c>
      <c r="B68" s="509" t="s">
        <v>27</v>
      </c>
      <c r="C68" s="509" t="s">
        <v>585</v>
      </c>
      <c r="D68" s="509" t="s">
        <v>586</v>
      </c>
      <c r="E68" s="509" t="s">
        <v>587</v>
      </c>
      <c r="F68" s="509" t="s">
        <v>588</v>
      </c>
      <c r="G68" s="509" t="s">
        <v>589</v>
      </c>
      <c r="H68" s="509" t="s">
        <v>590</v>
      </c>
      <c r="I68" s="509" t="s">
        <v>591</v>
      </c>
      <c r="J68" s="509" t="s">
        <v>592</v>
      </c>
      <c r="K68" s="515" t="s">
        <v>593</v>
      </c>
      <c r="L68" s="509" t="s">
        <v>594</v>
      </c>
      <c r="M68" s="515" t="s">
        <v>595</v>
      </c>
      <c r="N68" s="515" t="s">
        <v>2166</v>
      </c>
    </row>
    <row r="69" spans="1:14" hidden="1">
      <c r="A69" s="480" t="s">
        <v>279</v>
      </c>
      <c r="B69" s="629" t="s">
        <v>285</v>
      </c>
      <c r="C69" s="480">
        <v>104</v>
      </c>
      <c r="D69" s="480">
        <v>391</v>
      </c>
      <c r="E69" s="480" t="s">
        <v>596</v>
      </c>
      <c r="F69" s="480" t="str">
        <f>CONCATENATE(DescontosTE[[#This Row],[Permissionária]],DescontosTE[[#This Row],[codsariSUP]],DescontosTE[[#This Row],[Classe]])</f>
        <v>Cedrap391A4</v>
      </c>
      <c r="G69" s="510">
        <v>0.85740000000000005</v>
      </c>
      <c r="H69" s="510">
        <v>0.64305000000000001</v>
      </c>
      <c r="I69" s="510">
        <v>0.33069999999999999</v>
      </c>
      <c r="J69" s="512">
        <v>0.33069999999999999</v>
      </c>
      <c r="K69" s="682">
        <v>0.26350000000000001</v>
      </c>
      <c r="L69" s="866">
        <v>0</v>
      </c>
      <c r="M69" s="866">
        <v>0</v>
      </c>
    </row>
    <row r="70" spans="1:14" hidden="1">
      <c r="A70" s="480" t="s">
        <v>279</v>
      </c>
      <c r="B70" s="480" t="s">
        <v>164</v>
      </c>
      <c r="C70" s="480">
        <v>145</v>
      </c>
      <c r="D70" s="480">
        <v>385</v>
      </c>
      <c r="E70" s="480" t="s">
        <v>596</v>
      </c>
      <c r="F70" s="480" t="str">
        <f>CONCATENATE(DescontosTE[[#This Row],[Permissionária]],DescontosTE[[#This Row],[codsariSUP]],DescontosTE[[#This Row],[Classe]])</f>
        <v>Cedrap385A4</v>
      </c>
      <c r="G70" s="510">
        <v>0.81920000000000004</v>
      </c>
      <c r="H70" s="510">
        <v>0.61440000000000006</v>
      </c>
      <c r="I70" s="510">
        <v>0.33069999999999999</v>
      </c>
      <c r="J70" s="512">
        <v>0.33069999999999999</v>
      </c>
      <c r="K70" s="682">
        <v>0.26350000000000001</v>
      </c>
      <c r="L70" s="866">
        <v>0</v>
      </c>
      <c r="M70" s="866">
        <v>0</v>
      </c>
    </row>
    <row r="71" spans="1:14" hidden="1">
      <c r="A71" s="480" t="s">
        <v>187</v>
      </c>
      <c r="B71" s="480" t="s">
        <v>164</v>
      </c>
      <c r="C71" s="480">
        <v>145</v>
      </c>
      <c r="D71" s="480">
        <v>385</v>
      </c>
      <c r="E71" s="480" t="s">
        <v>596</v>
      </c>
      <c r="F71" s="480" t="str">
        <f>CONCATENATE(DescontosTE[[#This Row],[Permissionária]],DescontosTE[[#This Row],[codsariSUP]],DescontosTE[[#This Row],[Classe]])</f>
        <v>Cedri385A4</v>
      </c>
      <c r="G71" s="510">
        <v>0.62490000000000001</v>
      </c>
      <c r="H71" s="510">
        <v>0.46867500000000001</v>
      </c>
      <c r="I71" s="510">
        <v>0.45379999999999998</v>
      </c>
      <c r="J71" s="512">
        <v>0.45379999999999998</v>
      </c>
      <c r="K71" s="682">
        <v>0</v>
      </c>
      <c r="L71" s="866">
        <v>0</v>
      </c>
      <c r="M71" s="866">
        <v>0</v>
      </c>
    </row>
    <row r="72" spans="1:14" hidden="1">
      <c r="A72" s="480" t="s">
        <v>314</v>
      </c>
      <c r="B72" s="480" t="s">
        <v>189</v>
      </c>
      <c r="C72" s="480">
        <v>111</v>
      </c>
      <c r="D72" s="480">
        <v>5697</v>
      </c>
      <c r="E72" s="480" t="s">
        <v>596</v>
      </c>
      <c r="F72" s="480" t="str">
        <f>CONCATENATE(DescontosTE[[#This Row],[Permissionária]],DescontosTE[[#This Row],[codsariSUP]],DescontosTE[[#This Row],[Classe]])</f>
        <v>Cejama5697A4</v>
      </c>
      <c r="G72" s="510">
        <v>0.53426551936078681</v>
      </c>
      <c r="H72" s="510">
        <v>0.40069913952059011</v>
      </c>
      <c r="I72" s="510">
        <v>0.40069913952059011</v>
      </c>
      <c r="J72" s="512">
        <v>0.4007</v>
      </c>
      <c r="K72" s="682">
        <v>0.22989999999999999</v>
      </c>
      <c r="L72" s="866">
        <v>0</v>
      </c>
      <c r="M72" s="866">
        <v>0</v>
      </c>
    </row>
    <row r="73" spans="1:14" hidden="1">
      <c r="A73" s="480" t="s">
        <v>314</v>
      </c>
      <c r="B73" s="486" t="s">
        <v>406</v>
      </c>
      <c r="C73" s="480">
        <v>228</v>
      </c>
      <c r="D73" s="480">
        <v>5368</v>
      </c>
      <c r="E73" s="480" t="s">
        <v>596</v>
      </c>
      <c r="F73" s="480" t="str">
        <f>CONCATENATE(DescontosTE[[#This Row],[Permissionária]],DescontosTE[[#This Row],[codsariSUP]],DescontosTE[[#This Row],[Classe]])</f>
        <v>Cejama5368A4</v>
      </c>
      <c r="G73" s="682">
        <v>0</v>
      </c>
      <c r="H73" s="682">
        <v>0</v>
      </c>
      <c r="I73" s="682">
        <v>0</v>
      </c>
      <c r="J73" s="511">
        <v>0</v>
      </c>
      <c r="K73" s="682">
        <v>0</v>
      </c>
      <c r="L73" s="866">
        <v>0</v>
      </c>
      <c r="M73" s="866">
        <v>0</v>
      </c>
    </row>
    <row r="74" spans="1:14" hidden="1">
      <c r="A74" s="480" t="s">
        <v>9</v>
      </c>
      <c r="B74" s="480" t="s">
        <v>597</v>
      </c>
      <c r="C74" s="480">
        <v>110</v>
      </c>
      <c r="D74" s="480">
        <v>5707</v>
      </c>
      <c r="E74" s="480" t="s">
        <v>596</v>
      </c>
      <c r="F74" s="480" t="str">
        <f>CONCATENATE(DescontosTE[[#This Row],[Permissionária]],DescontosTE[[#This Row],[codsariSUP]],DescontosTE[[#This Row],[Classe]])</f>
        <v>Ceprag5707A4</v>
      </c>
      <c r="G74" s="510">
        <v>0.57969814099024475</v>
      </c>
      <c r="H74" s="510">
        <v>0.57969814099024475</v>
      </c>
      <c r="I74" s="510">
        <v>0.57969814099024475</v>
      </c>
      <c r="J74" s="510">
        <v>0.57969814099024475</v>
      </c>
      <c r="K74" s="682">
        <v>0.30859999999999999</v>
      </c>
      <c r="L74" s="866">
        <v>0</v>
      </c>
      <c r="M74" s="1563">
        <v>0</v>
      </c>
    </row>
    <row r="75" spans="1:14" hidden="1">
      <c r="A75" s="480" t="s">
        <v>9</v>
      </c>
      <c r="B75" s="480" t="s">
        <v>189</v>
      </c>
      <c r="C75" s="480">
        <v>111</v>
      </c>
      <c r="D75" s="480">
        <v>5697</v>
      </c>
      <c r="E75" s="480" t="s">
        <v>598</v>
      </c>
      <c r="F75" s="480" t="str">
        <f>CONCATENATE(DescontosTE[[#This Row],[Permissionária]],DescontosTE[[#This Row],[codsariSUP]],DescontosTE[[#This Row],[Classe]])</f>
        <v>Ceprag5697A3</v>
      </c>
      <c r="G75" s="510">
        <v>0.54564975934838955</v>
      </c>
      <c r="H75" s="510">
        <v>0.54564975934838955</v>
      </c>
      <c r="I75" s="510">
        <v>0.54564975934838955</v>
      </c>
      <c r="J75" s="510">
        <v>0.54564975934838955</v>
      </c>
      <c r="K75" s="682">
        <v>0.30859999999999999</v>
      </c>
      <c r="L75" s="866">
        <v>0.29099999999999998</v>
      </c>
      <c r="M75" s="1564">
        <v>0</v>
      </c>
    </row>
    <row r="76" spans="1:14" hidden="1">
      <c r="A76" s="480" t="s">
        <v>338</v>
      </c>
      <c r="B76" s="480" t="s">
        <v>189</v>
      </c>
      <c r="C76" s="480">
        <v>111</v>
      </c>
      <c r="D76" s="480">
        <v>5697</v>
      </c>
      <c r="E76" s="480" t="s">
        <v>596</v>
      </c>
      <c r="F76" s="480" t="str">
        <f>CONCATENATE(DescontosTE[[#This Row],[Permissionária]],DescontosTE[[#This Row],[codsariSUP]],DescontosTE[[#This Row],[Classe]])</f>
        <v>Ceraçá5697A4</v>
      </c>
      <c r="G76" s="510">
        <v>0.89512907191149349</v>
      </c>
      <c r="H76" s="510">
        <v>0.67134680393362012</v>
      </c>
      <c r="I76" s="510">
        <v>0.67134680393362012</v>
      </c>
      <c r="J76" s="512">
        <v>0.65039999999999998</v>
      </c>
      <c r="K76" s="682">
        <v>0.57469999999999999</v>
      </c>
      <c r="L76" s="866">
        <v>0.56379999999999997</v>
      </c>
      <c r="M76" s="1564">
        <v>0.54410000000000003</v>
      </c>
    </row>
    <row r="77" spans="1:14" hidden="1">
      <c r="A77" s="480" t="s">
        <v>184</v>
      </c>
      <c r="B77" s="480" t="s">
        <v>361</v>
      </c>
      <c r="C77" s="480">
        <v>220</v>
      </c>
      <c r="D77" s="480">
        <v>6898</v>
      </c>
      <c r="E77" s="480" t="s">
        <v>596</v>
      </c>
      <c r="F77" s="480" t="str">
        <f>CONCATENATE(DescontosTE[[#This Row],[Permissionária]],DescontosTE[[#This Row],[codsariSUP]],DescontosTE[[#This Row],[Classe]])</f>
        <v>Ceral Anitápolis6898A4</v>
      </c>
      <c r="G77" s="510">
        <v>0.90610167159661548</v>
      </c>
      <c r="H77" s="510">
        <v>0.67957625369746166</v>
      </c>
      <c r="I77" s="510">
        <v>0.222</v>
      </c>
      <c r="J77" s="512">
        <v>0.1933</v>
      </c>
      <c r="K77" s="682">
        <v>0.1933</v>
      </c>
      <c r="L77" s="866">
        <v>0</v>
      </c>
      <c r="M77" s="866">
        <v>0</v>
      </c>
    </row>
    <row r="78" spans="1:14" hidden="1">
      <c r="A78" s="480" t="s">
        <v>356</v>
      </c>
      <c r="B78" s="480" t="s">
        <v>599</v>
      </c>
      <c r="C78" s="480">
        <v>132</v>
      </c>
      <c r="D78" s="480">
        <v>2866</v>
      </c>
      <c r="E78" s="480" t="s">
        <v>596</v>
      </c>
      <c r="F78" s="480" t="str">
        <f>CONCATENATE(DescontosTE[[#This Row],[Permissionária]],DescontosTE[[#This Row],[codsariSUP]],DescontosTE[[#This Row],[Classe]])</f>
        <v>Ceral Dis2866A4</v>
      </c>
      <c r="G78" s="510">
        <v>0.73094654242275625</v>
      </c>
      <c r="H78" s="510">
        <v>0.54820990681706716</v>
      </c>
      <c r="I78" s="510">
        <v>0.40820000000000001</v>
      </c>
      <c r="J78" s="512">
        <v>0.40816629218792566</v>
      </c>
      <c r="K78" s="682">
        <v>0.38150000000000001</v>
      </c>
      <c r="L78" s="866">
        <v>0.2326</v>
      </c>
      <c r="M78" s="1564">
        <v>0.2326</v>
      </c>
    </row>
    <row r="79" spans="1:14" hidden="1">
      <c r="A79" s="480" t="s">
        <v>356</v>
      </c>
      <c r="B79" s="480" t="s">
        <v>599</v>
      </c>
      <c r="C79" s="480">
        <v>132</v>
      </c>
      <c r="D79" s="480">
        <v>2866</v>
      </c>
      <c r="E79" s="480" t="s">
        <v>600</v>
      </c>
      <c r="F79" s="480" t="str">
        <f>CONCATENATE(DescontosTE[[#This Row],[Permissionária]],DescontosTE[[#This Row],[codsariSUP]],DescontosTE[[#This Row],[Classe]])</f>
        <v>Ceral Dis2866A3a</v>
      </c>
      <c r="G79" s="510">
        <v>0.73094654242275625</v>
      </c>
      <c r="H79" s="510">
        <v>0.54820990681706716</v>
      </c>
      <c r="I79" s="510">
        <v>0.40820000000000001</v>
      </c>
      <c r="J79" s="512">
        <v>0.40816629218792566</v>
      </c>
      <c r="K79" s="682">
        <v>0.38150000000000001</v>
      </c>
      <c r="L79" s="866">
        <v>0.2326</v>
      </c>
      <c r="M79" s="1564">
        <v>0.2326</v>
      </c>
    </row>
    <row r="80" spans="1:14" hidden="1">
      <c r="A80" s="480" t="s">
        <v>361</v>
      </c>
      <c r="B80" s="480" t="s">
        <v>189</v>
      </c>
      <c r="C80" s="480">
        <v>111</v>
      </c>
      <c r="D80" s="480">
        <v>5697</v>
      </c>
      <c r="E80" s="480" t="s">
        <v>601</v>
      </c>
      <c r="F80" s="480" t="str">
        <f>CONCATENATE(DescontosTE[[#This Row],[Permissionária]],DescontosTE[[#This Row],[codsariSUP]],DescontosTE[[#This Row],[Classe]])</f>
        <v>Cerbranorte5697A2</v>
      </c>
      <c r="G80" s="510">
        <v>0.47579901659496004</v>
      </c>
      <c r="H80" s="510">
        <v>0.35684926244622006</v>
      </c>
      <c r="I80" s="510">
        <v>0.35684926244622006</v>
      </c>
      <c r="J80" s="512">
        <v>0.34470000000000001</v>
      </c>
      <c r="K80" s="682">
        <v>0.1027</v>
      </c>
      <c r="L80" s="866">
        <v>9.9400000000000002E-2</v>
      </c>
      <c r="M80" s="1564">
        <v>0</v>
      </c>
    </row>
    <row r="81" spans="1:14" hidden="1">
      <c r="A81" s="480" t="s">
        <v>361</v>
      </c>
      <c r="B81" s="480" t="s">
        <v>189</v>
      </c>
      <c r="C81" s="480">
        <v>111</v>
      </c>
      <c r="D81" s="480">
        <v>5697</v>
      </c>
      <c r="E81" s="480" t="s">
        <v>596</v>
      </c>
      <c r="F81" s="480" t="str">
        <f>CONCATENATE(DescontosTE[[#This Row],[Permissionária]],DescontosTE[[#This Row],[codsariSUP]],DescontosTE[[#This Row],[Classe]])</f>
        <v>Cerbranorte5697A4</v>
      </c>
      <c r="G81" s="510">
        <v>0.47579901659496004</v>
      </c>
      <c r="H81" s="510">
        <v>0.35684926244622006</v>
      </c>
      <c r="I81" s="510">
        <v>0.35684926244622006</v>
      </c>
      <c r="J81" s="512">
        <v>0.34470000000000001</v>
      </c>
      <c r="K81" s="682">
        <v>0.1027</v>
      </c>
      <c r="L81" s="866">
        <v>9.9400000000000002E-2</v>
      </c>
      <c r="M81" s="1564">
        <v>0</v>
      </c>
    </row>
    <row r="82" spans="1:14" hidden="1">
      <c r="A82" s="480" t="s">
        <v>371</v>
      </c>
      <c r="B82" s="480" t="s">
        <v>602</v>
      </c>
      <c r="C82" s="480">
        <v>155</v>
      </c>
      <c r="D82" s="480">
        <v>6587</v>
      </c>
      <c r="E82" s="480" t="s">
        <v>596</v>
      </c>
      <c r="F82" s="480" t="str">
        <f>CONCATENATE(DescontosTE[[#This Row],[Permissionária]],DescontosTE[[#This Row],[codsariSUP]],DescontosTE[[#This Row],[Classe]])</f>
        <v>Cercos6587A4</v>
      </c>
      <c r="G82" s="510">
        <v>0.71649852236828693</v>
      </c>
      <c r="H82" s="510">
        <v>0.5373738917762152</v>
      </c>
      <c r="I82" s="510">
        <v>0.35820000000000002</v>
      </c>
      <c r="J82" s="512">
        <v>0</v>
      </c>
      <c r="K82" s="682">
        <v>0</v>
      </c>
      <c r="L82" s="866">
        <v>0</v>
      </c>
      <c r="M82" s="866">
        <v>0</v>
      </c>
    </row>
    <row r="83" spans="1:14" hidden="1">
      <c r="A83" s="480" t="s">
        <v>372</v>
      </c>
      <c r="B83" s="480" t="s">
        <v>189</v>
      </c>
      <c r="C83" s="480">
        <v>111</v>
      </c>
      <c r="D83" s="480">
        <v>5697</v>
      </c>
      <c r="E83" s="480" t="s">
        <v>596</v>
      </c>
      <c r="F83" s="480" t="str">
        <f>CONCATENATE(DescontosTE[[#This Row],[Permissionária]],DescontosTE[[#This Row],[codsariSUP]],DescontosTE[[#This Row],[Classe]])</f>
        <v>Cerej5697A4</v>
      </c>
      <c r="G83" s="510">
        <v>0.89474492931776273</v>
      </c>
      <c r="H83" s="510">
        <v>0.6710586969883221</v>
      </c>
      <c r="I83" s="510">
        <v>0.6710586969883221</v>
      </c>
      <c r="J83" s="512">
        <v>0.67110000000000003</v>
      </c>
      <c r="K83" s="682">
        <v>0.67110000000000003</v>
      </c>
      <c r="L83" s="866">
        <v>0.63749999999999996</v>
      </c>
      <c r="M83" s="1564">
        <v>0.41699999999999998</v>
      </c>
    </row>
    <row r="84" spans="1:14" hidden="1">
      <c r="A84" s="480" t="s">
        <v>182</v>
      </c>
      <c r="B84" s="486" t="s">
        <v>163</v>
      </c>
      <c r="C84" s="480">
        <v>103</v>
      </c>
      <c r="D84" s="480">
        <v>383</v>
      </c>
      <c r="E84" s="480" t="s">
        <v>596</v>
      </c>
      <c r="F84" s="480" t="str">
        <f>CONCATENATE(DescontosTE[[#This Row],[Permissionária]],DescontosTE[[#This Row],[codsariSUP]],DescontosTE[[#This Row],[Classe]])</f>
        <v>Ceres383A4</v>
      </c>
      <c r="G84" s="510">
        <v>0.87464280342908707</v>
      </c>
      <c r="H84" s="510">
        <v>0.65598210257181533</v>
      </c>
      <c r="I84" s="510">
        <v>0.43730000000000002</v>
      </c>
      <c r="J84" s="510">
        <v>0.43730000000000002</v>
      </c>
      <c r="K84" s="682">
        <v>0.43730000000000002</v>
      </c>
      <c r="L84" s="866">
        <f>DescontosTE[[#This Row],[2019]]</f>
        <v>0.43730000000000002</v>
      </c>
      <c r="M84" s="1565">
        <f>DescontosTE[[#This Row],[2020]]</f>
        <v>0.43730000000000002</v>
      </c>
      <c r="N84" s="1565">
        <f>DescontosTE[[#This Row],[2020]]</f>
        <v>0.43730000000000002</v>
      </c>
    </row>
    <row r="85" spans="1:14" hidden="1">
      <c r="A85" s="480" t="s">
        <v>185</v>
      </c>
      <c r="B85" s="480" t="s">
        <v>189</v>
      </c>
      <c r="C85" s="480">
        <v>111</v>
      </c>
      <c r="D85" s="480">
        <v>5697</v>
      </c>
      <c r="E85" s="480" t="s">
        <v>596</v>
      </c>
      <c r="F85" s="480" t="str">
        <f>CONCATENATE(DescontosTE[[#This Row],[Permissionária]],DescontosTE[[#This Row],[codsariSUP]],DescontosTE[[#This Row],[Classe]])</f>
        <v>Cergal5697A4</v>
      </c>
      <c r="G85" s="510">
        <v>0.72464658881376764</v>
      </c>
      <c r="H85" s="510">
        <v>0.54348494161032579</v>
      </c>
      <c r="I85" s="510">
        <v>0.54348494161032579</v>
      </c>
      <c r="J85" s="512">
        <v>0.54349999999999998</v>
      </c>
      <c r="K85" s="682">
        <v>0.33379999999999999</v>
      </c>
      <c r="L85" s="866">
        <v>0.25619999999999998</v>
      </c>
      <c r="M85" s="1564">
        <v>0.25619999999999998</v>
      </c>
    </row>
    <row r="86" spans="1:14" hidden="1">
      <c r="A86" s="480" t="s">
        <v>383</v>
      </c>
      <c r="B86" s="480" t="s">
        <v>189</v>
      </c>
      <c r="C86" s="480">
        <v>111</v>
      </c>
      <c r="D86" s="480">
        <v>5697</v>
      </c>
      <c r="E86" s="480" t="s">
        <v>596</v>
      </c>
      <c r="F86" s="480" t="str">
        <f>CONCATENATE(DescontosTE[[#This Row],[Permissionária]],DescontosTE[[#This Row],[codsariSUP]],DescontosTE[[#This Row],[Classe]])</f>
        <v>Cergapa5697A4</v>
      </c>
      <c r="G86" s="510">
        <v>0.69825990373935576</v>
      </c>
      <c r="H86" s="510">
        <v>0.69825990373935576</v>
      </c>
      <c r="I86" s="510">
        <v>0.54749999999999999</v>
      </c>
      <c r="J86" s="512">
        <v>0.48209999999999997</v>
      </c>
      <c r="K86" s="682">
        <v>0.42549999999999999</v>
      </c>
      <c r="L86" s="866">
        <v>0.37969999999999998</v>
      </c>
      <c r="M86" s="1564">
        <v>0.36749999999999999</v>
      </c>
    </row>
    <row r="87" spans="1:14" hidden="1">
      <c r="A87" s="480" t="s">
        <v>390</v>
      </c>
      <c r="B87" s="480" t="s">
        <v>189</v>
      </c>
      <c r="C87" s="480">
        <v>111</v>
      </c>
      <c r="D87" s="480">
        <v>5697</v>
      </c>
      <c r="E87" s="480" t="s">
        <v>596</v>
      </c>
      <c r="F87" s="480" t="str">
        <f>CONCATENATE(DescontosTE[[#This Row],[Permissionária]],DescontosTE[[#This Row],[codsariSUP]],DescontosTE[[#This Row],[Classe]])</f>
        <v>Cergral5697A4</v>
      </c>
      <c r="G87" s="510">
        <v>0.7833435771358328</v>
      </c>
      <c r="H87" s="510">
        <v>0.5875076828518746</v>
      </c>
      <c r="I87" s="510">
        <v>0.5875076828518746</v>
      </c>
      <c r="J87" s="512">
        <v>0.58750000000000002</v>
      </c>
      <c r="K87" s="682">
        <v>0.56830000000000003</v>
      </c>
      <c r="L87" s="866">
        <v>0.55110000000000003</v>
      </c>
      <c r="M87" s="1564">
        <v>0.48010000000000003</v>
      </c>
    </row>
    <row r="88" spans="1:14" hidden="1">
      <c r="A88" s="480" t="s">
        <v>175</v>
      </c>
      <c r="B88" s="480" t="s">
        <v>206</v>
      </c>
      <c r="C88" s="607">
        <v>167</v>
      </c>
      <c r="D88" s="607">
        <v>396</v>
      </c>
      <c r="E88" s="480" t="s">
        <v>598</v>
      </c>
      <c r="F88" s="480" t="str">
        <f>CONCATENATE(DescontosTE[[#This Row],[Permissionária]],DescontosTE[[#This Row],[codsariSUP]],DescontosTE[[#This Row],[Classe]])</f>
        <v>Ceriluz396A3</v>
      </c>
      <c r="G88" s="510">
        <v>0.82731282784930849</v>
      </c>
      <c r="H88" s="510">
        <v>0.82731282784930849</v>
      </c>
      <c r="I88" s="510">
        <v>0.82731282784930849</v>
      </c>
      <c r="J88" s="512">
        <v>0.2782</v>
      </c>
      <c r="K88" s="682">
        <v>0.2782</v>
      </c>
      <c r="L88" s="866">
        <v>0.2132</v>
      </c>
      <c r="M88" s="1564">
        <v>0.2132</v>
      </c>
    </row>
    <row r="89" spans="1:14" hidden="1">
      <c r="A89" s="480" t="s">
        <v>175</v>
      </c>
      <c r="B89" s="480" t="s">
        <v>206</v>
      </c>
      <c r="C89" s="607">
        <v>167</v>
      </c>
      <c r="D89" s="607">
        <v>396</v>
      </c>
      <c r="E89" s="480" t="s">
        <v>596</v>
      </c>
      <c r="F89" s="480" t="str">
        <f>CONCATENATE(DescontosTE[[#This Row],[Permissionária]],DescontosTE[[#This Row],[codsariSUP]],DescontosTE[[#This Row],[Classe]])</f>
        <v>Ceriluz396A4</v>
      </c>
      <c r="G89" s="510">
        <v>0.73575345731998087</v>
      </c>
      <c r="H89" s="510">
        <v>0.73575345731998087</v>
      </c>
      <c r="I89" s="510">
        <v>0.73575345731998087</v>
      </c>
      <c r="J89" s="512">
        <v>0.2782</v>
      </c>
      <c r="K89" s="682">
        <v>0.2782</v>
      </c>
      <c r="L89" s="866">
        <v>0.2132</v>
      </c>
      <c r="M89" s="1564">
        <v>0.2132</v>
      </c>
    </row>
    <row r="90" spans="1:14" hidden="1">
      <c r="A90" s="480" t="s">
        <v>175</v>
      </c>
      <c r="B90" s="480" t="s">
        <v>206</v>
      </c>
      <c r="C90" s="607">
        <v>167</v>
      </c>
      <c r="D90" s="607">
        <v>396</v>
      </c>
      <c r="E90" s="480" t="s">
        <v>603</v>
      </c>
      <c r="F90" s="480" t="str">
        <f>CONCATENATE(DescontosTE[[#This Row],[Permissionária]],DescontosTE[[#This Row],[codsariSUP]],DescontosTE[[#This Row],[Classe]])</f>
        <v>Ceriluz396B</v>
      </c>
      <c r="G90" s="510">
        <v>0.73033677201026148</v>
      </c>
      <c r="H90" s="510">
        <v>0.73033677201026148</v>
      </c>
      <c r="I90" s="510">
        <v>0.73033677201026148</v>
      </c>
      <c r="J90" s="512">
        <v>0.2782</v>
      </c>
      <c r="K90" s="682">
        <v>0.2782</v>
      </c>
      <c r="L90" s="866">
        <v>0.2132</v>
      </c>
      <c r="M90" s="1564">
        <v>0.2132</v>
      </c>
    </row>
    <row r="91" spans="1:14" hidden="1">
      <c r="A91" s="480" t="s">
        <v>296</v>
      </c>
      <c r="B91" s="480" t="s">
        <v>178</v>
      </c>
      <c r="C91" s="480">
        <v>135</v>
      </c>
      <c r="D91" s="480">
        <v>2937</v>
      </c>
      <c r="E91" s="480" t="s">
        <v>596</v>
      </c>
      <c r="F91" s="480" t="str">
        <f>CONCATENATE(DescontosTE[[#This Row],[Permissionária]],DescontosTE[[#This Row],[codsariSUP]],DescontosTE[[#This Row],[Classe]])</f>
        <v>Cerim2937A4</v>
      </c>
      <c r="G91" s="510">
        <v>0.63275249814187795</v>
      </c>
      <c r="H91" s="510">
        <v>0.47456437360640846</v>
      </c>
      <c r="I91" s="510">
        <v>0.3463</v>
      </c>
      <c r="J91" s="512">
        <v>0.33600000000000002</v>
      </c>
      <c r="K91" s="810">
        <v>5.0599999999999999E-2</v>
      </c>
      <c r="L91" s="866">
        <v>0</v>
      </c>
      <c r="M91" s="866">
        <v>0</v>
      </c>
    </row>
    <row r="92" spans="1:14" hidden="1">
      <c r="A92" s="480" t="s">
        <v>302</v>
      </c>
      <c r="B92" s="480" t="s">
        <v>164</v>
      </c>
      <c r="C92" s="480">
        <v>145</v>
      </c>
      <c r="D92" s="480">
        <v>385</v>
      </c>
      <c r="E92" s="480" t="s">
        <v>600</v>
      </c>
      <c r="F92" s="480" t="str">
        <f>CONCATENATE(DescontosTE[[#This Row],[Permissionária]],DescontosTE[[#This Row],[codsariSUP]],DescontosTE[[#This Row],[Classe]])</f>
        <v>Ceripa385A3a</v>
      </c>
      <c r="G92" s="510">
        <v>0.76371671876684266</v>
      </c>
      <c r="H92" s="510">
        <v>0.57278753907513202</v>
      </c>
      <c r="I92" s="510">
        <v>0.38190000000000002</v>
      </c>
      <c r="J92" s="512">
        <v>1.2E-2</v>
      </c>
      <c r="K92" s="815">
        <v>1.2E-2</v>
      </c>
      <c r="L92" s="866">
        <f>DescontosTE[[#This Row],[2019]]</f>
        <v>1.2E-2</v>
      </c>
      <c r="M92" s="512">
        <f>DescontosTE[[#This Row],[2020]]</f>
        <v>1.2E-2</v>
      </c>
      <c r="N92" s="249">
        <v>1.2E-2</v>
      </c>
    </row>
    <row r="93" spans="1:14" hidden="1">
      <c r="A93" s="480" t="s">
        <v>302</v>
      </c>
      <c r="B93" s="480" t="s">
        <v>164</v>
      </c>
      <c r="C93" s="480">
        <v>145</v>
      </c>
      <c r="D93" s="480">
        <v>385</v>
      </c>
      <c r="E93" s="480" t="s">
        <v>596</v>
      </c>
      <c r="F93" s="480" t="str">
        <f>CONCATENATE(DescontosTE[[#This Row],[Permissionária]],DescontosTE[[#This Row],[codsariSUP]],DescontosTE[[#This Row],[Classe]])</f>
        <v>Ceripa385A4</v>
      </c>
      <c r="G93" s="510">
        <v>0.76627856834842611</v>
      </c>
      <c r="H93" s="510">
        <v>0.57470892626131964</v>
      </c>
      <c r="I93" s="510">
        <v>0.3831</v>
      </c>
      <c r="J93" s="512">
        <v>1.2E-2</v>
      </c>
      <c r="K93" s="815">
        <v>1.2E-2</v>
      </c>
      <c r="L93" s="866">
        <f>DescontosTE[[#This Row],[2019]]</f>
        <v>1.2E-2</v>
      </c>
      <c r="M93" s="512">
        <f>DescontosTE[[#This Row],[2020]]</f>
        <v>1.2E-2</v>
      </c>
      <c r="N93" s="249">
        <v>1.2E-2</v>
      </c>
    </row>
    <row r="94" spans="1:14" hidden="1">
      <c r="A94" s="480" t="s">
        <v>302</v>
      </c>
      <c r="B94" s="480" t="s">
        <v>204</v>
      </c>
      <c r="C94" s="480">
        <v>166</v>
      </c>
      <c r="D94" s="480">
        <v>72</v>
      </c>
      <c r="E94" s="480" t="s">
        <v>598</v>
      </c>
      <c r="F94" s="480" t="str">
        <f>CONCATENATE(DescontosTE[[#This Row],[Permissionária]],DescontosTE[[#This Row],[codsariSUP]],DescontosTE[[#This Row],[Classe]])</f>
        <v>Ceripa72A3</v>
      </c>
      <c r="G94" s="510">
        <v>0.85982875805455028</v>
      </c>
      <c r="H94" s="510">
        <v>0.64487156854091277</v>
      </c>
      <c r="I94" s="510">
        <v>0.4299</v>
      </c>
      <c r="J94" s="512">
        <v>1.2E-2</v>
      </c>
      <c r="K94" s="815">
        <v>1.2E-2</v>
      </c>
      <c r="L94" s="866">
        <f>DescontosTE[[#This Row],[2019]]</f>
        <v>1.2E-2</v>
      </c>
      <c r="M94" s="512">
        <f>DescontosTE[[#This Row],[2020]]</f>
        <v>1.2E-2</v>
      </c>
      <c r="N94" s="249">
        <v>1.2E-2</v>
      </c>
    </row>
    <row r="95" spans="1:14" hidden="1">
      <c r="A95" s="480" t="s">
        <v>302</v>
      </c>
      <c r="B95" s="480" t="s">
        <v>204</v>
      </c>
      <c r="C95" s="480">
        <v>166</v>
      </c>
      <c r="D95" s="480">
        <v>72</v>
      </c>
      <c r="E95" s="480" t="s">
        <v>600</v>
      </c>
      <c r="F95" s="480" t="str">
        <f>CONCATENATE(DescontosTE[[#This Row],[Permissionária]],DescontosTE[[#This Row],[codsariSUP]],DescontosTE[[#This Row],[Classe]])</f>
        <v>Ceripa72A3a</v>
      </c>
      <c r="G95" s="510">
        <v>0.72071674463765556</v>
      </c>
      <c r="H95" s="510">
        <v>0.5405375584782417</v>
      </c>
      <c r="I95" s="510">
        <v>0.3604</v>
      </c>
      <c r="J95" s="512">
        <v>1.2E-2</v>
      </c>
      <c r="K95" s="815">
        <v>1.2E-2</v>
      </c>
      <c r="L95" s="866">
        <f>DescontosTE[[#This Row],[2019]]</f>
        <v>1.2E-2</v>
      </c>
      <c r="M95" s="512">
        <f>DescontosTE[[#This Row],[2020]]</f>
        <v>1.2E-2</v>
      </c>
      <c r="N95" s="249">
        <v>1.2E-2</v>
      </c>
    </row>
    <row r="96" spans="1:14" hidden="1">
      <c r="A96" s="480" t="s">
        <v>302</v>
      </c>
      <c r="B96" s="480" t="s">
        <v>204</v>
      </c>
      <c r="C96" s="480">
        <v>166</v>
      </c>
      <c r="D96" s="480">
        <v>72</v>
      </c>
      <c r="E96" s="480" t="s">
        <v>596</v>
      </c>
      <c r="F96" s="480" t="str">
        <f>CONCATENATE(DescontosTE[[#This Row],[Permissionária]],DescontosTE[[#This Row],[codsariSUP]],DescontosTE[[#This Row],[Classe]])</f>
        <v>Ceripa72A4</v>
      </c>
      <c r="G96" s="510">
        <v>0.69352987907140973</v>
      </c>
      <c r="H96" s="510">
        <v>0.5201474093035573</v>
      </c>
      <c r="I96" s="510">
        <v>0.3468</v>
      </c>
      <c r="J96" s="512">
        <v>1.2E-2</v>
      </c>
      <c r="K96" s="815">
        <v>1.2E-2</v>
      </c>
      <c r="L96" s="866">
        <f>DescontosTE[[#This Row],[2019]]</f>
        <v>1.2E-2</v>
      </c>
      <c r="M96" s="512">
        <f>DescontosTE[[#This Row],[2020]]</f>
        <v>1.2E-2</v>
      </c>
      <c r="N96" s="249">
        <v>1.2E-2</v>
      </c>
    </row>
    <row r="97" spans="1:13" hidden="1">
      <c r="A97" s="480" t="s">
        <v>308</v>
      </c>
      <c r="B97" s="480" t="s">
        <v>312</v>
      </c>
      <c r="C97" s="480">
        <v>148</v>
      </c>
      <c r="D97" s="480">
        <v>390</v>
      </c>
      <c r="E97" s="480" t="s">
        <v>596</v>
      </c>
      <c r="F97" s="480" t="str">
        <f>CONCATENATE(DescontosTE[[#This Row],[Permissionária]],DescontosTE[[#This Row],[codsariSUP]],DescontosTE[[#This Row],[Classe]])</f>
        <v>Ceris390A4</v>
      </c>
      <c r="G97" s="510">
        <v>0.88419999999999999</v>
      </c>
      <c r="H97" s="510">
        <v>0.66315000000000002</v>
      </c>
      <c r="I97" s="510">
        <v>0.61850000000000005</v>
      </c>
      <c r="J97" s="512">
        <v>0.59560000000000002</v>
      </c>
      <c r="K97" s="682">
        <v>0.58150000000000002</v>
      </c>
      <c r="L97" s="866">
        <v>0.58150000000000002</v>
      </c>
      <c r="M97" s="1564">
        <v>0.58150000000000002</v>
      </c>
    </row>
    <row r="98" spans="1:13" hidden="1">
      <c r="A98" s="480" t="s">
        <v>604</v>
      </c>
      <c r="B98" s="629" t="s">
        <v>285</v>
      </c>
      <c r="C98" s="480">
        <v>104</v>
      </c>
      <c r="D98" s="480">
        <v>391</v>
      </c>
      <c r="E98" s="480" t="s">
        <v>596</v>
      </c>
      <c r="F98" s="480" t="str">
        <f>CONCATENATE(DescontosTE[[#This Row],[Permissionária]],DescontosTE[[#This Row],[codsariSUP]],DescontosTE[[#This Row],[Classe]])</f>
        <v>Cermc391A4</v>
      </c>
      <c r="G98" s="510">
        <v>0.36708496982469596</v>
      </c>
      <c r="H98" s="510">
        <v>0.275313727368522</v>
      </c>
      <c r="I98" s="510">
        <v>0.275313727368522</v>
      </c>
      <c r="J98" s="512">
        <v>0.22059999999999999</v>
      </c>
      <c r="K98" s="682">
        <v>0</v>
      </c>
      <c r="L98" s="866">
        <v>0</v>
      </c>
      <c r="M98" s="866">
        <v>0</v>
      </c>
    </row>
    <row r="99" spans="1:13" hidden="1">
      <c r="A99" s="480" t="s">
        <v>437</v>
      </c>
      <c r="B99" s="480" t="s">
        <v>206</v>
      </c>
      <c r="C99" s="607">
        <v>167</v>
      </c>
      <c r="D99" s="607">
        <v>396</v>
      </c>
      <c r="E99" s="480" t="s">
        <v>598</v>
      </c>
      <c r="F99" s="480" t="str">
        <f>CONCATENATE(DescontosTE[[#This Row],[Permissionária]],DescontosTE[[#This Row],[codsariSUP]],DescontosTE[[#This Row],[Classe]])</f>
        <v>Cermissões396A3</v>
      </c>
      <c r="G99" s="510">
        <v>0.5923752369117381</v>
      </c>
      <c r="H99" s="510">
        <v>0.5923752369117381</v>
      </c>
      <c r="I99" s="510">
        <v>0.44429999999999997</v>
      </c>
      <c r="J99" s="512">
        <v>0</v>
      </c>
      <c r="K99" s="682">
        <v>0</v>
      </c>
      <c r="L99" s="866">
        <v>0</v>
      </c>
      <c r="M99" s="866">
        <v>0</v>
      </c>
    </row>
    <row r="100" spans="1:13" hidden="1">
      <c r="A100" s="480" t="s">
        <v>437</v>
      </c>
      <c r="B100" s="480" t="s">
        <v>206</v>
      </c>
      <c r="C100" s="607">
        <v>167</v>
      </c>
      <c r="D100" s="607">
        <v>396</v>
      </c>
      <c r="E100" s="480" t="s">
        <v>596</v>
      </c>
      <c r="F100" s="480" t="str">
        <f>CONCATENATE(DescontosTE[[#This Row],[Permissionária]],DescontosTE[[#This Row],[codsariSUP]],DescontosTE[[#This Row],[Classe]])</f>
        <v>Cermissões396A4</v>
      </c>
      <c r="G100" s="510">
        <v>0.5923752369117381</v>
      </c>
      <c r="H100" s="510">
        <v>0.5923752369117381</v>
      </c>
      <c r="I100" s="510">
        <v>0.44429999999999997</v>
      </c>
      <c r="J100" s="512">
        <v>0</v>
      </c>
      <c r="K100" s="682">
        <v>0</v>
      </c>
      <c r="L100" s="866">
        <v>0</v>
      </c>
      <c r="M100" s="866">
        <v>0</v>
      </c>
    </row>
    <row r="101" spans="1:13" hidden="1">
      <c r="A101" s="480" t="s">
        <v>437</v>
      </c>
      <c r="B101" s="480" t="s">
        <v>206</v>
      </c>
      <c r="C101" s="607">
        <v>167</v>
      </c>
      <c r="D101" s="607">
        <v>396</v>
      </c>
      <c r="E101" s="480" t="s">
        <v>603</v>
      </c>
      <c r="F101" s="480" t="str">
        <f>CONCATENATE(DescontosTE[[#This Row],[Permissionária]],DescontosTE[[#This Row],[codsariSUP]],DescontosTE[[#This Row],[Classe]])</f>
        <v>Cermissões396B</v>
      </c>
      <c r="G101" s="510">
        <v>8.6300000000000002E-2</v>
      </c>
      <c r="H101" s="510">
        <v>8.6300000000000002E-2</v>
      </c>
      <c r="I101" s="510">
        <v>6.4699999999999994E-2</v>
      </c>
      <c r="J101" s="512">
        <v>0</v>
      </c>
      <c r="K101" s="682">
        <v>0</v>
      </c>
      <c r="L101" s="866">
        <v>0</v>
      </c>
      <c r="M101" s="866">
        <v>0</v>
      </c>
    </row>
    <row r="102" spans="1:13" hidden="1">
      <c r="A102" s="480" t="s">
        <v>395</v>
      </c>
      <c r="B102" s="480" t="s">
        <v>189</v>
      </c>
      <c r="C102" s="480">
        <v>111</v>
      </c>
      <c r="D102" s="480">
        <v>5697</v>
      </c>
      <c r="E102" s="480" t="s">
        <v>598</v>
      </c>
      <c r="F102" s="480" t="str">
        <f>CONCATENATE(DescontosTE[[#This Row],[Permissionária]],DescontosTE[[#This Row],[codsariSUP]],DescontosTE[[#This Row],[Classe]])</f>
        <v>Cermoful5697A3</v>
      </c>
      <c r="G102" s="510">
        <v>0.71025546094039238</v>
      </c>
      <c r="H102" s="510">
        <v>0.71025546094039238</v>
      </c>
      <c r="I102" s="510">
        <v>0.71025546094039238</v>
      </c>
      <c r="J102" s="512">
        <v>0.67859999999999998</v>
      </c>
      <c r="K102" s="682">
        <v>0.61480000000000001</v>
      </c>
      <c r="L102" s="866">
        <v>0.55579999999999996</v>
      </c>
      <c r="M102" s="1564">
        <v>0.53969999999999996</v>
      </c>
    </row>
    <row r="103" spans="1:13" hidden="1">
      <c r="A103" s="480" t="s">
        <v>395</v>
      </c>
      <c r="B103" s="480" t="s">
        <v>189</v>
      </c>
      <c r="C103" s="480">
        <v>111</v>
      </c>
      <c r="D103" s="480">
        <v>5697</v>
      </c>
      <c r="E103" s="480" t="s">
        <v>596</v>
      </c>
      <c r="F103" s="480" t="str">
        <f>CONCATENATE(DescontosTE[[#This Row],[Permissionária]],DescontosTE[[#This Row],[codsariSUP]],DescontosTE[[#This Row],[Classe]])</f>
        <v>Cermoful5697A4</v>
      </c>
      <c r="G103" s="510">
        <v>0.71025546094039238</v>
      </c>
      <c r="H103" s="510">
        <v>0.71025546094039238</v>
      </c>
      <c r="I103" s="510">
        <v>0.71025546094039238</v>
      </c>
      <c r="J103" s="512">
        <v>0.67859999999999998</v>
      </c>
      <c r="K103" s="682">
        <v>0.61480000000000001</v>
      </c>
      <c r="L103" s="866">
        <v>0.55579999999999996</v>
      </c>
      <c r="M103" s="1564">
        <v>0.53969999999999996</v>
      </c>
    </row>
    <row r="104" spans="1:13" hidden="1">
      <c r="A104" s="480" t="s">
        <v>321</v>
      </c>
      <c r="B104" s="486" t="s">
        <v>125</v>
      </c>
      <c r="C104" s="480">
        <v>165</v>
      </c>
      <c r="D104" s="480">
        <v>5216</v>
      </c>
      <c r="E104" s="480" t="s">
        <v>596</v>
      </c>
      <c r="F104" s="480" t="str">
        <f>CONCATENATE(DescontosTE[[#This Row],[Permissionária]],DescontosTE[[#This Row],[codsariSUP]],DescontosTE[[#This Row],[Classe]])</f>
        <v>Cernhe5216A4</v>
      </c>
      <c r="G104" s="510">
        <v>0.90173092774063557</v>
      </c>
      <c r="H104" s="510">
        <v>0.67629819580547668</v>
      </c>
      <c r="I104" s="510">
        <v>0.45090000000000002</v>
      </c>
      <c r="J104" s="512">
        <v>0</v>
      </c>
      <c r="K104" s="682">
        <v>0</v>
      </c>
      <c r="L104" s="866">
        <v>0</v>
      </c>
      <c r="M104" s="866">
        <v>0</v>
      </c>
    </row>
    <row r="105" spans="1:13" hidden="1">
      <c r="A105" s="480" t="s">
        <v>401</v>
      </c>
      <c r="B105" s="480" t="s">
        <v>189</v>
      </c>
      <c r="C105" s="480">
        <v>111</v>
      </c>
      <c r="D105" s="480">
        <v>5697</v>
      </c>
      <c r="E105" s="480" t="s">
        <v>600</v>
      </c>
      <c r="F105" s="480" t="str">
        <f>CONCATENATE(DescontosTE[[#This Row],[Permissionária]],DescontosTE[[#This Row],[codsariSUP]],DescontosTE[[#This Row],[Classe]])</f>
        <v>Cerpalo5697A3a</v>
      </c>
      <c r="G105" s="510">
        <v>0.89981561155500922</v>
      </c>
      <c r="H105" s="510">
        <v>0.67486170866625694</v>
      </c>
      <c r="I105" s="510">
        <v>0.59530000000000005</v>
      </c>
      <c r="J105" s="512">
        <v>0.59530000000000005</v>
      </c>
      <c r="K105" s="682">
        <v>0.44540000000000002</v>
      </c>
      <c r="L105" s="866">
        <v>0.44540000000000002</v>
      </c>
      <c r="M105" s="1564">
        <v>0.31740000000000002</v>
      </c>
    </row>
    <row r="106" spans="1:13" hidden="1">
      <c r="A106" s="480" t="s">
        <v>328</v>
      </c>
      <c r="B106" s="480" t="s">
        <v>150</v>
      </c>
      <c r="C106" s="480">
        <v>136</v>
      </c>
      <c r="D106" s="480">
        <v>63</v>
      </c>
      <c r="E106" s="480" t="s">
        <v>596</v>
      </c>
      <c r="F106" s="480" t="str">
        <f>CONCATENATE(DescontosTE[[#This Row],[Permissionária]],DescontosTE[[#This Row],[codsariSUP]],DescontosTE[[#This Row],[Classe]])</f>
        <v>Cerpro63A4</v>
      </c>
      <c r="G106" s="510">
        <v>0.90147665925690701</v>
      </c>
      <c r="H106" s="510">
        <v>0.67610749444268026</v>
      </c>
      <c r="I106" s="510">
        <v>0.45069999999999999</v>
      </c>
      <c r="J106" s="739">
        <v>0</v>
      </c>
      <c r="K106" s="682">
        <v>0</v>
      </c>
      <c r="L106" s="866">
        <v>0</v>
      </c>
      <c r="M106" s="866">
        <v>0</v>
      </c>
    </row>
    <row r="107" spans="1:13" hidden="1">
      <c r="A107" s="480" t="s">
        <v>605</v>
      </c>
      <c r="B107" s="486" t="s">
        <v>125</v>
      </c>
      <c r="C107" s="480">
        <v>165</v>
      </c>
      <c r="D107" s="480">
        <v>5216</v>
      </c>
      <c r="E107" s="486" t="s">
        <v>596</v>
      </c>
      <c r="F107" s="480" t="str">
        <f>CONCATENATE(DescontosTE[[#This Row],[Permissionária]],DescontosTE[[#This Row],[codsariSUP]],DescontosTE[[#This Row],[Classe]])</f>
        <v>Cerrp5216A4</v>
      </c>
      <c r="G107" s="510">
        <v>0.74668009891015652</v>
      </c>
      <c r="H107" s="510">
        <v>0.56001007418261739</v>
      </c>
      <c r="I107" s="510">
        <v>0.37330000000000002</v>
      </c>
      <c r="J107" s="739">
        <v>0.31390000000000001</v>
      </c>
      <c r="K107" s="682">
        <v>0.31390000000000001</v>
      </c>
      <c r="L107" s="866">
        <v>7.5600000000000001E-2</v>
      </c>
      <c r="M107" s="1564">
        <v>6.0199999999999997E-2</v>
      </c>
    </row>
    <row r="108" spans="1:13" hidden="1">
      <c r="A108" s="480" t="s">
        <v>605</v>
      </c>
      <c r="B108" s="480" t="s">
        <v>150</v>
      </c>
      <c r="C108" s="480">
        <v>136</v>
      </c>
      <c r="D108" s="480">
        <v>63</v>
      </c>
      <c r="E108" s="480" t="s">
        <v>596</v>
      </c>
      <c r="F108" s="480" t="str">
        <f>CONCATENATE(DescontosTE[[#This Row],[Permissionária]],DescontosTE[[#This Row],[codsariSUP]],DescontosTE[[#This Row],[Classe]])</f>
        <v>Cerrp63A4</v>
      </c>
      <c r="G108" s="510">
        <v>0.7457129247380121</v>
      </c>
      <c r="H108" s="510">
        <v>0.55928469355350907</v>
      </c>
      <c r="I108" s="510">
        <v>0.37290000000000001</v>
      </c>
      <c r="J108" s="739">
        <v>0.31390000000000001</v>
      </c>
      <c r="K108" s="682">
        <v>0.31390000000000001</v>
      </c>
      <c r="L108" s="866">
        <v>7.5600000000000001E-2</v>
      </c>
      <c r="M108" s="1564">
        <v>6.0199999999999997E-2</v>
      </c>
    </row>
    <row r="109" spans="1:13" hidden="1">
      <c r="A109" s="480" t="s">
        <v>406</v>
      </c>
      <c r="B109" s="480" t="s">
        <v>189</v>
      </c>
      <c r="C109" s="480">
        <v>111</v>
      </c>
      <c r="D109" s="480">
        <v>5697</v>
      </c>
      <c r="E109" s="480" t="s">
        <v>596</v>
      </c>
      <c r="F109" s="480" t="str">
        <f>CONCATENATE(DescontosTE[[#This Row],[Permissionária]],DescontosTE[[#This Row],[codsariSUP]],DescontosTE[[#This Row],[Classe]])</f>
        <v>Cersul5697A4</v>
      </c>
      <c r="G109" s="510">
        <v>0.6419022741241549</v>
      </c>
      <c r="H109" s="510">
        <v>0.48142670559311618</v>
      </c>
      <c r="I109" s="510">
        <v>0.48139999999999999</v>
      </c>
      <c r="J109" s="512">
        <v>0.48139999999999999</v>
      </c>
      <c r="K109" s="682">
        <v>0.48139999999999999</v>
      </c>
      <c r="L109" s="866">
        <v>0.48139999999999999</v>
      </c>
      <c r="M109" s="1564">
        <v>0.48139999999999999</v>
      </c>
    </row>
    <row r="110" spans="1:13" hidden="1">
      <c r="A110" s="480" t="s">
        <v>406</v>
      </c>
      <c r="B110" s="480" t="s">
        <v>189</v>
      </c>
      <c r="C110" s="480">
        <v>111</v>
      </c>
      <c r="D110" s="480">
        <v>5697</v>
      </c>
      <c r="E110" s="480" t="s">
        <v>598</v>
      </c>
      <c r="F110" s="480" t="str">
        <f>CONCATENATE(DescontosTE[[#This Row],[Permissionária]],DescontosTE[[#This Row],[codsariSUP]],DescontosTE[[#This Row],[Classe]])</f>
        <v>Cersul5697A3</v>
      </c>
      <c r="G110" s="510">
        <v>0.83597111247695144</v>
      </c>
      <c r="H110" s="510">
        <v>0.62697833435771355</v>
      </c>
      <c r="I110" s="510">
        <v>0.59899999999999998</v>
      </c>
      <c r="J110" s="512">
        <v>0.59009999999999996</v>
      </c>
      <c r="K110" s="682">
        <v>0.59009999999999996</v>
      </c>
      <c r="L110" s="866">
        <v>0.55869999999999997</v>
      </c>
      <c r="M110" s="1564">
        <v>0.55869999999999997</v>
      </c>
    </row>
    <row r="111" spans="1:13">
      <c r="A111" s="480" t="s">
        <v>449</v>
      </c>
      <c r="B111" s="480" t="s">
        <v>206</v>
      </c>
      <c r="C111" s="607">
        <v>167</v>
      </c>
      <c r="D111" s="480">
        <v>396</v>
      </c>
      <c r="E111" s="480" t="s">
        <v>598</v>
      </c>
      <c r="F111" s="480" t="str">
        <f>CONCATENATE(DescontosTE[[#This Row],[Permissionária]],DescontosTE[[#This Row],[codsariSUP]],DescontosTE[[#This Row],[Classe]])</f>
        <v>Certaja396A3</v>
      </c>
      <c r="G111" s="510">
        <v>0.8415330252786084</v>
      </c>
      <c r="H111" s="510">
        <v>0.63114976895895625</v>
      </c>
      <c r="I111" s="510">
        <v>0.42080000000000001</v>
      </c>
      <c r="J111" s="512">
        <v>0.21149999999999999</v>
      </c>
      <c r="K111" s="682">
        <v>0</v>
      </c>
      <c r="L111" s="866">
        <v>0</v>
      </c>
      <c r="M111" s="866">
        <v>0</v>
      </c>
    </row>
    <row r="112" spans="1:13">
      <c r="A112" s="480" t="s">
        <v>449</v>
      </c>
      <c r="B112" s="480" t="s">
        <v>206</v>
      </c>
      <c r="C112" s="607">
        <v>167</v>
      </c>
      <c r="D112" s="480">
        <v>396</v>
      </c>
      <c r="E112" s="480" t="s">
        <v>596</v>
      </c>
      <c r="F112" s="480" t="str">
        <f>CONCATENATE(DescontosTE[[#This Row],[Permissionária]],DescontosTE[[#This Row],[codsariSUP]],DescontosTE[[#This Row],[Classe]])</f>
        <v>Certaja396A4</v>
      </c>
      <c r="G112" s="510">
        <v>0.8415330252786084</v>
      </c>
      <c r="H112" s="510">
        <v>0.63114976895895625</v>
      </c>
      <c r="I112" s="510">
        <v>0.42080000000000001</v>
      </c>
      <c r="J112" s="512">
        <v>0.21149999999999999</v>
      </c>
      <c r="K112" s="682">
        <v>0</v>
      </c>
      <c r="L112" s="866">
        <v>0</v>
      </c>
      <c r="M112" s="866">
        <v>0</v>
      </c>
    </row>
    <row r="113" spans="1:13">
      <c r="A113" s="480" t="s">
        <v>449</v>
      </c>
      <c r="B113" s="480" t="s">
        <v>353</v>
      </c>
      <c r="C113" s="480">
        <v>110</v>
      </c>
      <c r="D113" s="480">
        <v>5707</v>
      </c>
      <c r="E113" s="480" t="s">
        <v>596</v>
      </c>
      <c r="F113" s="480" t="str">
        <f>CONCATENATE(DescontosTE[[#This Row],[Permissionária]],DescontosTE[[#This Row],[codsariSUP]],DescontosTE[[#This Row],[Classe]])</f>
        <v>Certaja5707A4</v>
      </c>
      <c r="G113" s="510">
        <v>0.8239405071230177</v>
      </c>
      <c r="H113" s="510">
        <v>0.61795538034226327</v>
      </c>
      <c r="I113" s="510">
        <v>0.41199999999999998</v>
      </c>
      <c r="J113" s="512">
        <v>0.21149999999999999</v>
      </c>
      <c r="K113" s="682">
        <v>0</v>
      </c>
      <c r="L113" s="866">
        <v>0</v>
      </c>
      <c r="M113" s="866">
        <v>0</v>
      </c>
    </row>
    <row r="114" spans="1:13" hidden="1">
      <c r="A114" s="480" t="s">
        <v>201</v>
      </c>
      <c r="B114" s="480" t="s">
        <v>206</v>
      </c>
      <c r="C114" s="607">
        <v>167</v>
      </c>
      <c r="D114" s="480">
        <v>396</v>
      </c>
      <c r="E114" s="480" t="s">
        <v>598</v>
      </c>
      <c r="F114" s="480" t="str">
        <f>CONCATENATE(DescontosTE[[#This Row],[Permissionária]],DescontosTE[[#This Row],[codsariSUP]],DescontosTE[[#This Row],[Classe]])</f>
        <v>Certel396A3</v>
      </c>
      <c r="G114" s="510">
        <v>0.60488390712570062</v>
      </c>
      <c r="H114" s="510">
        <v>0.60488390712570062</v>
      </c>
      <c r="I114" s="510">
        <v>0.60488390712570062</v>
      </c>
      <c r="J114" s="512">
        <v>0.58309999999999995</v>
      </c>
      <c r="K114" s="682">
        <v>0.48330000000000001</v>
      </c>
      <c r="L114" s="866">
        <v>0.35730000000000001</v>
      </c>
      <c r="M114" s="1564">
        <v>0.32969999999999999</v>
      </c>
    </row>
    <row r="115" spans="1:13" hidden="1">
      <c r="A115" s="480" t="s">
        <v>201</v>
      </c>
      <c r="B115" s="480" t="s">
        <v>206</v>
      </c>
      <c r="C115" s="607">
        <v>167</v>
      </c>
      <c r="D115" s="607">
        <v>396</v>
      </c>
      <c r="E115" s="480" t="s">
        <v>596</v>
      </c>
      <c r="F115" s="480" t="str">
        <f>CONCATENATE(DescontosTE[[#This Row],[Permissionária]],DescontosTE[[#This Row],[codsariSUP]],DescontosTE[[#This Row],[Classe]])</f>
        <v>Certel396A4</v>
      </c>
      <c r="G115" s="510">
        <v>0.54613733905579398</v>
      </c>
      <c r="H115" s="510">
        <v>0.54613733905579398</v>
      </c>
      <c r="I115" s="510">
        <v>0.54613733905579398</v>
      </c>
      <c r="J115" s="512">
        <v>0.54610000000000003</v>
      </c>
      <c r="K115" s="682">
        <v>0.48330000000000001</v>
      </c>
      <c r="L115" s="866">
        <v>0.35730000000000001</v>
      </c>
      <c r="M115" s="1564">
        <v>0.32969999999999999</v>
      </c>
    </row>
    <row r="116" spans="1:13" hidden="1">
      <c r="A116" s="480" t="s">
        <v>411</v>
      </c>
      <c r="B116" s="480" t="s">
        <v>189</v>
      </c>
      <c r="C116" s="480">
        <v>111</v>
      </c>
      <c r="D116" s="480">
        <v>5697</v>
      </c>
      <c r="E116" s="480" t="s">
        <v>596</v>
      </c>
      <c r="F116" s="480" t="str">
        <f>CONCATENATE(DescontosTE[[#This Row],[Permissionária]],DescontosTE[[#This Row],[codsariSUP]],DescontosTE[[#This Row],[Classe]])</f>
        <v>Certrel5697A4</v>
      </c>
      <c r="G116" s="510">
        <v>0.88707885968159939</v>
      </c>
      <c r="H116" s="510">
        <v>0.88707885968159939</v>
      </c>
      <c r="I116" s="510">
        <v>0.88707885968159939</v>
      </c>
      <c r="J116" s="512">
        <v>0.81359999999999999</v>
      </c>
      <c r="K116" s="682">
        <v>0.81359999999999999</v>
      </c>
      <c r="L116" s="866">
        <v>0.81359999999999999</v>
      </c>
      <c r="M116" s="1564">
        <v>0.61460000000000004</v>
      </c>
    </row>
    <row r="117" spans="1:13" hidden="1">
      <c r="A117" s="480" t="s">
        <v>339</v>
      </c>
      <c r="B117" s="480" t="s">
        <v>178</v>
      </c>
      <c r="C117" s="480">
        <v>135</v>
      </c>
      <c r="D117" s="480">
        <v>2937</v>
      </c>
      <c r="E117" s="480" t="s">
        <v>596</v>
      </c>
      <c r="F117" s="480" t="str">
        <f>CONCATENATE(DescontosTE[[#This Row],[Permissionária]],DescontosTE[[#This Row],[codsariSUP]],DescontosTE[[#This Row],[Classe]])</f>
        <v>Cetril2937A4</v>
      </c>
      <c r="G117" s="510">
        <v>0.50648278140226277</v>
      </c>
      <c r="H117" s="510">
        <v>0.37986208605169708</v>
      </c>
      <c r="I117" s="510">
        <v>0.1396</v>
      </c>
      <c r="J117" s="512">
        <v>0.1396</v>
      </c>
      <c r="K117" s="682">
        <v>0</v>
      </c>
      <c r="L117" s="866">
        <v>0</v>
      </c>
      <c r="M117" s="866">
        <v>0</v>
      </c>
    </row>
    <row r="118" spans="1:13" hidden="1">
      <c r="A118" s="480" t="s">
        <v>339</v>
      </c>
      <c r="B118" s="480" t="s">
        <v>164</v>
      </c>
      <c r="C118" s="480">
        <v>145</v>
      </c>
      <c r="D118" s="480">
        <v>385</v>
      </c>
      <c r="E118" s="480" t="s">
        <v>596</v>
      </c>
      <c r="F118" s="480" t="str">
        <f>CONCATENATE(DescontosTE[[#This Row],[Permissionária]],DescontosTE[[#This Row],[codsariSUP]],DescontosTE[[#This Row],[Classe]])</f>
        <v>Cetril385A4</v>
      </c>
      <c r="G118" s="510">
        <v>0.66580422595946531</v>
      </c>
      <c r="H118" s="510">
        <v>0.49935316946959896</v>
      </c>
      <c r="I118" s="510">
        <v>0.1396</v>
      </c>
      <c r="J118" s="512">
        <v>0.1396</v>
      </c>
      <c r="K118" s="682">
        <v>0</v>
      </c>
      <c r="L118" s="866">
        <v>0</v>
      </c>
      <c r="M118" s="866">
        <v>0</v>
      </c>
    </row>
    <row r="119" spans="1:13" hidden="1">
      <c r="A119" s="480" t="s">
        <v>188</v>
      </c>
      <c r="B119" s="480" t="s">
        <v>189</v>
      </c>
      <c r="C119" s="480">
        <v>111</v>
      </c>
      <c r="D119" s="480">
        <v>5697</v>
      </c>
      <c r="E119" s="480" t="s">
        <v>598</v>
      </c>
      <c r="F119" s="480" t="str">
        <f>CONCATENATE(DescontosTE[[#This Row],[Permissionária]],DescontosTE[[#This Row],[codsariSUP]],DescontosTE[[#This Row],[Classe]])</f>
        <v>Coopera5697A3</v>
      </c>
      <c r="G119" s="510">
        <v>0.78664720344191763</v>
      </c>
      <c r="H119" s="510">
        <v>0.58998540258143817</v>
      </c>
      <c r="I119" s="510">
        <v>0.58998540258143817</v>
      </c>
      <c r="J119" s="512">
        <v>0.59</v>
      </c>
      <c r="K119" s="682">
        <v>0.59</v>
      </c>
      <c r="L119" s="866">
        <v>0.59</v>
      </c>
      <c r="M119" s="1564">
        <v>0.59</v>
      </c>
    </row>
    <row r="120" spans="1:13" hidden="1">
      <c r="A120" s="480" t="s">
        <v>420</v>
      </c>
      <c r="B120" s="480" t="s">
        <v>189</v>
      </c>
      <c r="C120" s="480">
        <v>111</v>
      </c>
      <c r="D120" s="480">
        <v>5697</v>
      </c>
      <c r="E120" s="480" t="s">
        <v>596</v>
      </c>
      <c r="F120" s="480" t="str">
        <f>CONCATENATE(DescontosTE[[#This Row],[Permissionária]],DescontosTE[[#This Row],[codsariSUP]],DescontosTE[[#This Row],[Classe]])</f>
        <v>Coopercocal5697A4</v>
      </c>
      <c r="G120" s="510">
        <v>0.43784572833435764</v>
      </c>
      <c r="H120" s="510">
        <v>0.43784572833435764</v>
      </c>
      <c r="I120" s="510">
        <v>0.43780000000000002</v>
      </c>
      <c r="J120" s="512">
        <v>0.43780000000000002</v>
      </c>
      <c r="K120" s="682">
        <v>0.43780000000000002</v>
      </c>
      <c r="L120" s="866">
        <v>0.42730000000000001</v>
      </c>
      <c r="M120" s="1564">
        <v>0.42730000000000001</v>
      </c>
    </row>
    <row r="121" spans="1:13" hidden="1">
      <c r="A121" s="480" t="s">
        <v>420</v>
      </c>
      <c r="B121" s="480" t="s">
        <v>189</v>
      </c>
      <c r="C121" s="480">
        <v>111</v>
      </c>
      <c r="D121" s="480">
        <v>5697</v>
      </c>
      <c r="E121" s="480" t="s">
        <v>598</v>
      </c>
      <c r="F121" s="480" t="str">
        <f>CONCATENATE(DescontosTE[[#This Row],[Permissionária]],DescontosTE[[#This Row],[codsariSUP]],DescontosTE[[#This Row],[Classe]])</f>
        <v>Coopercocal5697A3</v>
      </c>
      <c r="G121" s="510">
        <v>0.74423786109403811</v>
      </c>
      <c r="H121" s="510">
        <v>0.74423786109403811</v>
      </c>
      <c r="I121" s="510">
        <v>0.66139999999999999</v>
      </c>
      <c r="J121" s="512">
        <v>0.6452</v>
      </c>
      <c r="K121" s="682">
        <v>0.4995</v>
      </c>
      <c r="L121" s="866">
        <v>0.42730000000000001</v>
      </c>
      <c r="M121" s="1564">
        <v>0.42730000000000001</v>
      </c>
    </row>
    <row r="122" spans="1:13" hidden="1">
      <c r="A122" s="480" t="s">
        <v>420</v>
      </c>
      <c r="B122" s="508" t="s">
        <v>424</v>
      </c>
      <c r="C122" s="508">
        <v>144</v>
      </c>
      <c r="D122" s="508">
        <v>86</v>
      </c>
      <c r="E122" s="480" t="s">
        <v>596</v>
      </c>
      <c r="F122" s="480" t="str">
        <f>CONCATENATE(DescontosTE[[#This Row],[Permissionária]],DescontosTE[[#This Row],[codsariSUP]],DescontosTE[[#This Row],[Classe]])</f>
        <v>Coopercocal86A4</v>
      </c>
      <c r="G122" s="510">
        <v>0.75887474882786332</v>
      </c>
      <c r="H122" s="510">
        <v>0.75887474882786332</v>
      </c>
      <c r="I122" s="510">
        <v>0.66139999999999999</v>
      </c>
      <c r="J122" s="512">
        <v>0.6452</v>
      </c>
      <c r="K122" s="682">
        <v>0.4995</v>
      </c>
      <c r="L122" s="866">
        <v>0.42730000000000001</v>
      </c>
      <c r="M122" s="1564">
        <v>0.42730000000000001</v>
      </c>
    </row>
    <row r="123" spans="1:13" hidden="1">
      <c r="A123" s="480" t="s">
        <v>460</v>
      </c>
      <c r="B123" s="480" t="s">
        <v>206</v>
      </c>
      <c r="C123" s="607">
        <v>167</v>
      </c>
      <c r="D123" s="607">
        <v>396</v>
      </c>
      <c r="E123" s="480" t="s">
        <v>596</v>
      </c>
      <c r="F123" s="480" t="str">
        <f>CONCATENATE(DescontosTE[[#This Row],[Permissionária]],DescontosTE[[#This Row],[codsariSUP]],DescontosTE[[#This Row],[Classe]])</f>
        <v>Cooperluz396A4</v>
      </c>
      <c r="G123" s="510">
        <v>0.81789999999999996</v>
      </c>
      <c r="H123" s="510">
        <v>0.81789999999999996</v>
      </c>
      <c r="I123" s="510">
        <v>0.65900000000000003</v>
      </c>
      <c r="J123" s="512">
        <v>0</v>
      </c>
      <c r="K123" s="682">
        <v>0</v>
      </c>
      <c r="L123" s="866">
        <v>0</v>
      </c>
      <c r="M123" s="866">
        <v>0</v>
      </c>
    </row>
    <row r="124" spans="1:13" hidden="1">
      <c r="A124" s="480" t="s">
        <v>460</v>
      </c>
      <c r="B124" s="480" t="s">
        <v>206</v>
      </c>
      <c r="C124" s="607">
        <v>167</v>
      </c>
      <c r="D124" s="607">
        <v>396</v>
      </c>
      <c r="E124" s="480" t="s">
        <v>598</v>
      </c>
      <c r="F124" s="480" t="str">
        <f>CONCATENATE(DescontosTE[[#This Row],[Permissionária]],DescontosTE[[#This Row],[codsariSUP]],DescontosTE[[#This Row],[Classe]])</f>
        <v>Cooperluz396A3</v>
      </c>
      <c r="G124" s="510">
        <v>0.81789999999999996</v>
      </c>
      <c r="H124" s="510">
        <v>0.81789999999999996</v>
      </c>
      <c r="I124" s="510">
        <v>0.65900000000000003</v>
      </c>
      <c r="J124" s="512">
        <v>0</v>
      </c>
      <c r="K124" s="682">
        <v>0</v>
      </c>
      <c r="L124" s="866">
        <v>0</v>
      </c>
      <c r="M124" s="866">
        <v>0</v>
      </c>
    </row>
    <row r="125" spans="1:13" hidden="1">
      <c r="A125" s="480" t="s">
        <v>427</v>
      </c>
      <c r="B125" s="480" t="s">
        <v>189</v>
      </c>
      <c r="C125" s="480">
        <v>111</v>
      </c>
      <c r="D125" s="480">
        <v>5697</v>
      </c>
      <c r="E125" s="480" t="s">
        <v>596</v>
      </c>
      <c r="F125" s="480" t="str">
        <f>CONCATENATE(DescontosTE[[#This Row],[Permissionária]],DescontosTE[[#This Row],[codsariSUP]],DescontosTE[[#This Row],[Classe]])</f>
        <v>Coopermila5697A4</v>
      </c>
      <c r="G125" s="510">
        <v>0.53672403196066387</v>
      </c>
      <c r="H125" s="510">
        <v>0.4025430239704979</v>
      </c>
      <c r="I125" s="510">
        <v>0.38200000000000001</v>
      </c>
      <c r="J125" s="512">
        <v>0.35849999999999999</v>
      </c>
      <c r="K125" s="682">
        <v>4.9599999999999998E-2</v>
      </c>
      <c r="L125" s="866">
        <v>3.3399999999999999E-2</v>
      </c>
      <c r="M125" s="1564">
        <v>3.3399999999999999E-2</v>
      </c>
    </row>
    <row r="126" spans="1:13" hidden="1">
      <c r="A126" s="480" t="s">
        <v>432</v>
      </c>
      <c r="B126" s="480" t="s">
        <v>189</v>
      </c>
      <c r="C126" s="480">
        <v>111</v>
      </c>
      <c r="D126" s="480">
        <v>5697</v>
      </c>
      <c r="E126" s="480" t="s">
        <v>596</v>
      </c>
      <c r="F126" s="480" t="str">
        <f>CONCATENATE(DescontosTE[[#This Row],[Permissionária]],DescontosTE[[#This Row],[codsariSUP]],DescontosTE[[#This Row],[Classe]])</f>
        <v>Coorsel5697A4</v>
      </c>
      <c r="G126" s="510">
        <v>0.88667793484941604</v>
      </c>
      <c r="H126" s="510">
        <v>0.66500845113706197</v>
      </c>
      <c r="I126" s="510">
        <v>0.36559999999999998</v>
      </c>
      <c r="J126" s="512">
        <v>0.29060000000000002</v>
      </c>
      <c r="K126" s="682">
        <v>2.6599999999999999E-2</v>
      </c>
      <c r="L126" s="866">
        <v>0</v>
      </c>
      <c r="M126" s="866">
        <v>0</v>
      </c>
    </row>
    <row r="127" spans="1:13" hidden="1">
      <c r="A127" s="480" t="s">
        <v>465</v>
      </c>
      <c r="B127" s="480" t="s">
        <v>206</v>
      </c>
      <c r="C127" s="607">
        <v>167</v>
      </c>
      <c r="D127" s="607">
        <v>396</v>
      </c>
      <c r="E127" s="480" t="s">
        <v>601</v>
      </c>
      <c r="F127" s="480" t="str">
        <f>CONCATENATE(DescontosTE[[#This Row],[Permissionária]],DescontosTE[[#This Row],[codsariSUP]],DescontosTE[[#This Row],[Classe]])</f>
        <v>Coprel396A2</v>
      </c>
      <c r="G127" s="510">
        <v>0.63819999999999999</v>
      </c>
      <c r="H127" s="510">
        <v>0.63819999999999999</v>
      </c>
      <c r="I127" s="510">
        <v>0.44450000000000001</v>
      </c>
      <c r="J127" s="512">
        <v>0</v>
      </c>
      <c r="K127" s="682">
        <v>0</v>
      </c>
      <c r="L127" s="866">
        <v>0</v>
      </c>
      <c r="M127" s="866">
        <v>0</v>
      </c>
    </row>
    <row r="128" spans="1:13" hidden="1">
      <c r="A128" s="480" t="s">
        <v>465</v>
      </c>
      <c r="B128" s="480" t="s">
        <v>206</v>
      </c>
      <c r="C128" s="607">
        <v>167</v>
      </c>
      <c r="D128" s="607">
        <v>396</v>
      </c>
      <c r="E128" s="480" t="s">
        <v>598</v>
      </c>
      <c r="F128" s="480" t="str">
        <f>CONCATENATE(DescontosTE[[#This Row],[Permissionária]],DescontosTE[[#This Row],[codsariSUP]],DescontosTE[[#This Row],[Classe]])</f>
        <v>Coprel396A3</v>
      </c>
      <c r="G128" s="510">
        <v>0.63819999999999999</v>
      </c>
      <c r="H128" s="510">
        <v>0.63819999999999999</v>
      </c>
      <c r="I128" s="510">
        <v>0.47870000000000001</v>
      </c>
      <c r="J128" s="512">
        <v>0</v>
      </c>
      <c r="K128" s="682">
        <v>0</v>
      </c>
      <c r="L128" s="866">
        <v>0</v>
      </c>
      <c r="M128" s="866">
        <v>0</v>
      </c>
    </row>
    <row r="129" spans="1:14" hidden="1">
      <c r="A129" s="480" t="s">
        <v>465</v>
      </c>
      <c r="B129" s="480" t="s">
        <v>206</v>
      </c>
      <c r="C129" s="607">
        <v>167</v>
      </c>
      <c r="D129" s="607">
        <v>396</v>
      </c>
      <c r="E129" s="480" t="s">
        <v>596</v>
      </c>
      <c r="F129" s="480" t="str">
        <f>CONCATENATE(DescontosTE[[#This Row],[Permissionária]],DescontosTE[[#This Row],[codsariSUP]],DescontosTE[[#This Row],[Classe]])</f>
        <v>Coprel396A4</v>
      </c>
      <c r="G129" s="510">
        <v>0.53600000000000003</v>
      </c>
      <c r="H129" s="510">
        <v>0.53600000000000003</v>
      </c>
      <c r="I129" s="510">
        <v>0.40200000000000002</v>
      </c>
      <c r="J129" s="512">
        <v>0</v>
      </c>
      <c r="K129" s="682">
        <v>0</v>
      </c>
      <c r="L129" s="866">
        <v>0</v>
      </c>
      <c r="M129" s="866">
        <v>0</v>
      </c>
    </row>
    <row r="130" spans="1:14" hidden="1">
      <c r="A130" s="480" t="s">
        <v>174</v>
      </c>
      <c r="B130" s="480" t="s">
        <v>206</v>
      </c>
      <c r="C130" s="607">
        <v>167</v>
      </c>
      <c r="D130" s="607">
        <v>396</v>
      </c>
      <c r="E130" s="480" t="s">
        <v>596</v>
      </c>
      <c r="F130" s="480" t="str">
        <f>CONCATENATE(DescontosTE[[#This Row],[Permissionária]],DescontosTE[[#This Row],[codsariSUP]],DescontosTE[[#This Row],[Classe]])</f>
        <v>Creluz396A4</v>
      </c>
      <c r="G130" s="510">
        <v>0.83053171196948017</v>
      </c>
      <c r="H130" s="510">
        <v>0.83053171196948017</v>
      </c>
      <c r="I130" s="510">
        <v>0.83053171196948017</v>
      </c>
      <c r="J130" s="512">
        <v>0.34849999999999998</v>
      </c>
      <c r="K130" s="682">
        <v>0.34849999999999998</v>
      </c>
      <c r="L130" s="866">
        <v>0.28499999999999998</v>
      </c>
      <c r="M130" s="1564">
        <v>0.28499999999999998</v>
      </c>
    </row>
    <row r="131" spans="1:14" hidden="1">
      <c r="A131" s="480" t="s">
        <v>476</v>
      </c>
      <c r="B131" s="480" t="s">
        <v>206</v>
      </c>
      <c r="C131" s="607">
        <v>167</v>
      </c>
      <c r="D131" s="607">
        <v>396</v>
      </c>
      <c r="E131" s="480" t="s">
        <v>596</v>
      </c>
      <c r="F131" s="480" t="str">
        <f>CONCATENATE(DescontosTE[[#This Row],[Permissionária]],DescontosTE[[#This Row],[codsariSUP]],DescontosTE[[#This Row],[Classe]])</f>
        <v>Creral396A4</v>
      </c>
      <c r="G131" s="510">
        <v>0.76871721506914636</v>
      </c>
      <c r="H131" s="510">
        <v>0.76871721506914636</v>
      </c>
      <c r="I131" s="510">
        <v>0.76871721506914636</v>
      </c>
      <c r="J131" s="512">
        <v>0.46889999999999998</v>
      </c>
      <c r="K131" s="682">
        <v>0.46889999999999998</v>
      </c>
      <c r="L131" s="866">
        <v>0.214</v>
      </c>
      <c r="M131" s="1564">
        <v>0.214</v>
      </c>
    </row>
    <row r="132" spans="1:14" hidden="1">
      <c r="A132" s="480" t="s">
        <v>476</v>
      </c>
      <c r="B132" s="480" t="s">
        <v>206</v>
      </c>
      <c r="C132" s="607">
        <v>167</v>
      </c>
      <c r="D132" s="607">
        <v>396</v>
      </c>
      <c r="E132" s="480" t="s">
        <v>603</v>
      </c>
      <c r="F132" s="480" t="str">
        <f>CONCATENATE(DescontosTE[[#This Row],[Permissionária]],DescontosTE[[#This Row],[codsariSUP]],DescontosTE[[#This Row],[Classe]])</f>
        <v>Creral396B</v>
      </c>
      <c r="G132" s="510">
        <v>2.0743919885550688E-2</v>
      </c>
      <c r="H132" s="510">
        <v>2.0743919885550688E-2</v>
      </c>
      <c r="I132" s="510">
        <v>2.0743919885550688E-2</v>
      </c>
      <c r="J132" s="512">
        <v>2.07E-2</v>
      </c>
      <c r="K132" s="682">
        <v>2.07E-2</v>
      </c>
      <c r="L132" s="866">
        <v>2.07E-2</v>
      </c>
      <c r="M132" s="1564">
        <v>2.07E-2</v>
      </c>
    </row>
    <row r="133" spans="1:14" hidden="1">
      <c r="A133" s="480" t="s">
        <v>366</v>
      </c>
      <c r="B133" s="486" t="s">
        <v>163</v>
      </c>
      <c r="C133" s="480">
        <v>103</v>
      </c>
      <c r="D133" s="480">
        <v>383</v>
      </c>
      <c r="E133" s="480" t="s">
        <v>596</v>
      </c>
      <c r="F133" s="480" t="str">
        <f>CONCATENATE(DescontosTE[[#This Row],[Permissionária]],DescontosTE[[#This Row],[codsariSUP]],DescontosTE[[#This Row],[Classe]])</f>
        <v>Cerci383A4</v>
      </c>
      <c r="G133" s="510"/>
      <c r="H133" s="510"/>
      <c r="I133" s="510"/>
      <c r="J133" s="512">
        <v>0.38529999999999998</v>
      </c>
      <c r="K133" s="815">
        <v>0.38529999999999998</v>
      </c>
      <c r="L133" s="866">
        <f>DescontosTE[[#This Row],[2019]]</f>
        <v>0.38529999999999998</v>
      </c>
      <c r="M133" s="512">
        <f>DescontosTE[[#This Row],[2020]]</f>
        <v>0.38529999999999998</v>
      </c>
      <c r="N133" s="512">
        <f>DescontosTE[[#This Row],[2020]]</f>
        <v>0.38529999999999998</v>
      </c>
    </row>
    <row r="134" spans="1:14" hidden="1">
      <c r="A134" s="480" t="s">
        <v>196</v>
      </c>
      <c r="B134" s="486" t="s">
        <v>163</v>
      </c>
      <c r="C134" s="480">
        <v>103</v>
      </c>
      <c r="D134" s="480">
        <v>383</v>
      </c>
      <c r="E134" s="480" t="s">
        <v>596</v>
      </c>
      <c r="F134" s="480" t="str">
        <f>CONCATENATE(DescontosTE[[#This Row],[Permissionária]],DescontosTE[[#This Row],[codsariSUP]],DescontosTE[[#This Row],[Classe]])</f>
        <v>Ceral Araruama383A4</v>
      </c>
      <c r="G134" s="510"/>
      <c r="H134" s="510"/>
      <c r="I134" s="510"/>
      <c r="J134" s="512">
        <v>0.38529999999999998</v>
      </c>
      <c r="K134" s="815">
        <v>0.38030000000000003</v>
      </c>
      <c r="L134" s="866">
        <f>DescontosTE[[#This Row],[2019]]</f>
        <v>0.38030000000000003</v>
      </c>
      <c r="M134" s="510">
        <v>0.26430999999999999</v>
      </c>
      <c r="N134" s="510">
        <v>0.26430999999999999</v>
      </c>
    </row>
    <row r="135" spans="1:14" hidden="1">
      <c r="A135" s="480" t="s">
        <v>389</v>
      </c>
      <c r="B135" s="480" t="s">
        <v>206</v>
      </c>
      <c r="C135" s="607">
        <v>167</v>
      </c>
      <c r="D135" s="607">
        <v>396</v>
      </c>
      <c r="E135" s="480" t="s">
        <v>596</v>
      </c>
      <c r="F135" s="480" t="str">
        <f>CONCATENATE(DescontosTE[[#This Row],[Permissionária]],DescontosTE[[#This Row],[codsariSUP]],DescontosTE[[#This Row],[Classe]])</f>
        <v>Cerfox396A4</v>
      </c>
      <c r="G135" s="510"/>
      <c r="H135" s="510"/>
      <c r="I135" s="510"/>
      <c r="J135" s="512">
        <v>0.1401</v>
      </c>
      <c r="K135" s="815">
        <v>0.1401</v>
      </c>
      <c r="L135" s="866">
        <v>0.1401</v>
      </c>
      <c r="M135" s="1564">
        <v>0.1401</v>
      </c>
    </row>
    <row r="136" spans="1:14" hidden="1">
      <c r="A136" s="480" t="s">
        <v>493</v>
      </c>
      <c r="B136" s="480" t="s">
        <v>206</v>
      </c>
      <c r="C136" s="607">
        <v>167</v>
      </c>
      <c r="D136" s="607">
        <v>396</v>
      </c>
      <c r="E136" s="480" t="s">
        <v>596</v>
      </c>
      <c r="F136" s="480" t="str">
        <f>CONCATENATE(DescontosTE[[#This Row],[Permissionária]],DescontosTE[[#This Row],[codsariSUP]],DescontosTE[[#This Row],[Classe]])</f>
        <v>Certhil396A4</v>
      </c>
      <c r="G136" s="510"/>
      <c r="H136" s="510"/>
      <c r="I136" s="510"/>
      <c r="J136" s="512">
        <v>0.25359999999999999</v>
      </c>
      <c r="K136" s="815">
        <v>0.22370000000000001</v>
      </c>
      <c r="L136" s="866">
        <v>0.1273</v>
      </c>
      <c r="M136" s="1564">
        <v>0</v>
      </c>
    </row>
    <row r="137" spans="1:14" hidden="1">
      <c r="A137" s="480" t="s">
        <v>290</v>
      </c>
      <c r="B137" s="480" t="s">
        <v>606</v>
      </c>
      <c r="C137" s="480">
        <v>132</v>
      </c>
      <c r="D137" s="480">
        <v>2866</v>
      </c>
      <c r="E137" s="480" t="s">
        <v>600</v>
      </c>
      <c r="F137" s="480" t="str">
        <f>CONCATENATE(DescontosTE[[#This Row],[Permissionária]],DescontosTE[[#This Row],[codsariSUP]],DescontosTE[[#This Row],[Classe]])</f>
        <v>Castro Dis2866A3a</v>
      </c>
      <c r="G137" s="510"/>
      <c r="H137" s="510"/>
      <c r="I137" s="510"/>
      <c r="J137" s="512">
        <v>0.42030000000000001</v>
      </c>
      <c r="K137" s="815">
        <v>0.42030000000000001</v>
      </c>
      <c r="L137" s="866">
        <v>0.33839999999999998</v>
      </c>
      <c r="M137" s="1564">
        <v>0.33839999999999998</v>
      </c>
    </row>
    <row r="138" spans="1:14" hidden="1">
      <c r="A138" s="480" t="s">
        <v>290</v>
      </c>
      <c r="B138" s="480" t="s">
        <v>606</v>
      </c>
      <c r="C138" s="480">
        <v>132</v>
      </c>
      <c r="D138" s="480">
        <v>2866</v>
      </c>
      <c r="E138" s="480" t="s">
        <v>596</v>
      </c>
      <c r="F138" s="480" t="str">
        <f>CONCATENATE(DescontosTE[[#This Row],[Permissionária]],DescontosTE[[#This Row],[codsariSUP]],DescontosTE[[#This Row],[Classe]])</f>
        <v>Castro Dis2866A4</v>
      </c>
      <c r="G138" s="510"/>
      <c r="H138" s="510"/>
      <c r="I138" s="510"/>
      <c r="J138" s="512">
        <v>0.4153</v>
      </c>
      <c r="K138" s="815">
        <v>0.4153</v>
      </c>
      <c r="L138" s="866">
        <v>0.33839999999999998</v>
      </c>
      <c r="M138" s="1564">
        <v>0.33839999999999998</v>
      </c>
    </row>
    <row r="139" spans="1:14" hidden="1">
      <c r="A139" s="480" t="s">
        <v>509</v>
      </c>
      <c r="B139" s="480" t="s">
        <v>607</v>
      </c>
      <c r="C139" s="480">
        <v>145</v>
      </c>
      <c r="D139" s="480">
        <v>385</v>
      </c>
      <c r="E139" s="480" t="s">
        <v>596</v>
      </c>
      <c r="F139" s="480" t="str">
        <f>CONCATENATE(DescontosTE[[#This Row],[Permissionária]],DescontosTE[[#This Row],[codsariSUP]],DescontosTE[[#This Row],[Classe]])</f>
        <v>Cervam385A4</v>
      </c>
      <c r="G139" s="510"/>
      <c r="H139" s="510"/>
      <c r="I139" s="510"/>
      <c r="J139" s="512">
        <v>0.40989999999999999</v>
      </c>
      <c r="K139" s="815">
        <v>4.3299999999999998E-2</v>
      </c>
      <c r="L139" s="866">
        <v>0</v>
      </c>
      <c r="M139" s="866">
        <v>0</v>
      </c>
    </row>
    <row r="140" spans="1:14" hidden="1">
      <c r="A140" s="480" t="s">
        <v>509</v>
      </c>
      <c r="B140" s="480" t="s">
        <v>150</v>
      </c>
      <c r="C140" s="480">
        <v>136</v>
      </c>
      <c r="D140" s="480">
        <v>63</v>
      </c>
      <c r="E140" s="480" t="s">
        <v>596</v>
      </c>
      <c r="F140" s="480" t="str">
        <f>CONCATENATE(DescontosTE[[#This Row],[Permissionária]],DescontosTE[[#This Row],[codsariSUP]],DescontosTE[[#This Row],[Classe]])</f>
        <v>Cervam63A4</v>
      </c>
      <c r="G140" s="510"/>
      <c r="H140" s="510"/>
      <c r="I140" s="510"/>
      <c r="J140" s="512">
        <v>0.4103</v>
      </c>
      <c r="K140" s="815">
        <v>4.3299999999999998E-2</v>
      </c>
      <c r="L140" s="866">
        <v>0</v>
      </c>
      <c r="M140" s="866">
        <v>0</v>
      </c>
    </row>
    <row r="141" spans="1:14" hidden="1">
      <c r="A141" s="480" t="s">
        <v>186</v>
      </c>
      <c r="B141" s="480" t="s">
        <v>189</v>
      </c>
      <c r="C141" s="480">
        <v>111</v>
      </c>
      <c r="D141" s="480">
        <v>5697</v>
      </c>
      <c r="E141" s="480" t="s">
        <v>601</v>
      </c>
      <c r="F141" s="480" t="str">
        <f>CONCATENATE(DescontosTE[[#This Row],[Permissionária]],DescontosTE[[#This Row],[codsariSUP]],DescontosTE[[#This Row],[Classe]])</f>
        <v>Cegero5697A2</v>
      </c>
      <c r="G141" s="510"/>
      <c r="H141" s="510"/>
      <c r="I141" s="510"/>
      <c r="J141" s="512">
        <v>0.44009999999999999</v>
      </c>
      <c r="K141" s="815">
        <v>0.3735</v>
      </c>
      <c r="L141" s="866">
        <v>0.29289999999999999</v>
      </c>
      <c r="M141" s="1564">
        <v>0.29289999999999999</v>
      </c>
    </row>
    <row r="142" spans="1:14" hidden="1">
      <c r="A142" s="480" t="s">
        <v>471</v>
      </c>
      <c r="B142" s="480" t="s">
        <v>189</v>
      </c>
      <c r="C142" s="480">
        <v>111</v>
      </c>
      <c r="D142" s="480">
        <v>5697</v>
      </c>
      <c r="E142" s="480" t="s">
        <v>596</v>
      </c>
      <c r="F142" s="480" t="str">
        <f>CONCATENATE(DescontosTE[[#This Row],[Permissionária]],DescontosTE[[#This Row],[codsariSUP]],DescontosTE[[#This Row],[Classe]])</f>
        <v>Cersad5697A4</v>
      </c>
      <c r="G142" s="510"/>
      <c r="H142" s="510"/>
      <c r="I142" s="510"/>
      <c r="J142" s="512">
        <v>0.41320000000000001</v>
      </c>
      <c r="K142" s="815">
        <v>0.34079999999999999</v>
      </c>
      <c r="L142" s="866">
        <v>0.25679999999999997</v>
      </c>
      <c r="M142" s="1564">
        <v>0</v>
      </c>
    </row>
    <row r="143" spans="1:14" hidden="1">
      <c r="A143" s="480" t="s">
        <v>520</v>
      </c>
      <c r="B143" s="480" t="s">
        <v>189</v>
      </c>
      <c r="C143" s="480">
        <v>111</v>
      </c>
      <c r="D143" s="480">
        <v>5697</v>
      </c>
      <c r="E143" s="480" t="s">
        <v>601</v>
      </c>
      <c r="F143" s="480" t="str">
        <f>CONCATENATE(DescontosTE[[#This Row],[Permissionária]],DescontosTE[[#This Row],[codsariSUP]],DescontosTE[[#This Row],[Classe]])</f>
        <v>Codesam5697A2</v>
      </c>
      <c r="G143" s="510"/>
      <c r="H143" s="510"/>
      <c r="I143" s="510"/>
      <c r="J143" s="512">
        <v>0.44009999999999999</v>
      </c>
      <c r="K143" s="815">
        <v>0.28170000000000001</v>
      </c>
      <c r="L143" s="866">
        <v>0.25019999999999998</v>
      </c>
      <c r="M143" s="1564">
        <v>0.25019999999999998</v>
      </c>
    </row>
    <row r="144" spans="1:14" hidden="1">
      <c r="A144" s="480" t="s">
        <v>555</v>
      </c>
      <c r="B144" s="480" t="s">
        <v>189</v>
      </c>
      <c r="C144" s="480">
        <v>111</v>
      </c>
      <c r="D144" s="480">
        <v>5697</v>
      </c>
      <c r="E144" s="480" t="s">
        <v>596</v>
      </c>
      <c r="F144" s="480" t="str">
        <f>CONCATENATE(DescontosTE[[#This Row],[Permissionária]],DescontosTE[[#This Row],[codsariSUP]],DescontosTE[[#This Row],[Classe]])</f>
        <v>Cooperzem5697A4</v>
      </c>
      <c r="G144" s="510"/>
      <c r="H144" s="510"/>
      <c r="I144" s="510"/>
      <c r="J144" s="512">
        <v>0.41320000000000001</v>
      </c>
      <c r="K144" s="815">
        <v>0.16650000000000001</v>
      </c>
      <c r="L144" s="866">
        <v>0.1057</v>
      </c>
      <c r="M144" s="1564">
        <v>0.1057</v>
      </c>
    </row>
    <row r="145" spans="1:50" hidden="1">
      <c r="A145" s="480" t="s">
        <v>10</v>
      </c>
      <c r="B145" s="480" t="s">
        <v>353</v>
      </c>
      <c r="C145" s="480">
        <v>110</v>
      </c>
      <c r="D145" s="480">
        <v>5707</v>
      </c>
      <c r="E145" s="480" t="s">
        <v>596</v>
      </c>
      <c r="F145" s="480" t="str">
        <f>CONCATENATE(DescontosTE[[#This Row],[Permissionária]],DescontosTE[[#This Row],[codsariSUP]],DescontosTE[[#This Row],[Classe]])</f>
        <v>Coopersul5707A4</v>
      </c>
      <c r="G145" s="510"/>
      <c r="H145" s="510"/>
      <c r="I145" s="510"/>
      <c r="J145" s="512">
        <v>0.33779999999999999</v>
      </c>
      <c r="K145" s="815">
        <v>0.33779999999999999</v>
      </c>
      <c r="L145" s="866">
        <v>0.20419999999999999</v>
      </c>
      <c r="M145" s="1564">
        <v>9.0499999999999997E-2</v>
      </c>
    </row>
    <row r="146" spans="1:50" hidden="1">
      <c r="A146" s="480" t="s">
        <v>11</v>
      </c>
      <c r="B146" s="480" t="s">
        <v>353</v>
      </c>
      <c r="C146" s="480">
        <v>110</v>
      </c>
      <c r="D146" s="480">
        <v>5707</v>
      </c>
      <c r="E146" s="480" t="s">
        <v>596</v>
      </c>
      <c r="F146" s="480" t="str">
        <f>CONCATENATE(DescontosTE[[#This Row],[Permissionária]],DescontosTE[[#This Row],[codsariSUP]],DescontosTE[[#This Row],[Classe]])</f>
        <v>Coopernorte5707A4</v>
      </c>
      <c r="G146" s="510"/>
      <c r="H146" s="510"/>
      <c r="I146" s="510"/>
      <c r="J146" s="512">
        <v>0.49409999999999998</v>
      </c>
      <c r="K146" s="815">
        <v>0.48630000000000001</v>
      </c>
      <c r="L146" s="866">
        <v>0.37609999999999999</v>
      </c>
      <c r="M146" s="1564">
        <v>0.37609999999999999</v>
      </c>
    </row>
    <row r="147" spans="1:50" hidden="1">
      <c r="A147" s="480" t="s">
        <v>327</v>
      </c>
      <c r="B147" s="480" t="s">
        <v>150</v>
      </c>
      <c r="C147" s="480">
        <v>136</v>
      </c>
      <c r="D147" s="480">
        <v>63</v>
      </c>
      <c r="E147" s="480" t="s">
        <v>601</v>
      </c>
      <c r="F147" s="480" t="str">
        <f>CONCATENATE(DescontosTE[[#This Row],[Permissionária]],DescontosTE[[#This Row],[codsariSUP]],DescontosTE[[#This Row],[Classe]])</f>
        <v>Cemirim63A2</v>
      </c>
      <c r="G147" s="510"/>
      <c r="H147" s="510"/>
      <c r="I147" s="510"/>
      <c r="J147" s="512"/>
      <c r="K147" s="815">
        <v>0.18690000000000001</v>
      </c>
      <c r="L147" s="866">
        <v>0.1603</v>
      </c>
      <c r="M147" s="510">
        <v>0</v>
      </c>
    </row>
    <row r="148" spans="1:50" hidden="1">
      <c r="A148" s="480" t="s">
        <v>327</v>
      </c>
      <c r="B148" s="480" t="s">
        <v>164</v>
      </c>
      <c r="C148" s="480">
        <v>145</v>
      </c>
      <c r="D148" s="480">
        <v>385</v>
      </c>
      <c r="E148" s="480" t="s">
        <v>596</v>
      </c>
      <c r="F148" s="480" t="str">
        <f>CONCATENATE(DescontosTE[[#This Row],[Permissionária]],DescontosTE[[#This Row],[codsariSUP]],DescontosTE[[#This Row],[Classe]])</f>
        <v>Cemirim385A4</v>
      </c>
      <c r="G148" s="510"/>
      <c r="H148" s="510"/>
      <c r="I148" s="510"/>
      <c r="J148" s="512"/>
      <c r="K148" s="815">
        <v>0.18690000000000001</v>
      </c>
      <c r="L148" s="866">
        <v>0.1603</v>
      </c>
      <c r="M148" s="510">
        <v>0</v>
      </c>
    </row>
    <row r="149" spans="1:50" hidden="1">
      <c r="A149" s="480" t="s">
        <v>320</v>
      </c>
      <c r="B149" s="480" t="s">
        <v>206</v>
      </c>
      <c r="C149" s="480">
        <v>167</v>
      </c>
      <c r="D149" s="480">
        <v>396</v>
      </c>
      <c r="E149" s="480" t="s">
        <v>596</v>
      </c>
      <c r="F149" s="480" t="str">
        <f>CONCATENATE(DescontosTE[[#This Row],[Permissionária]],DescontosTE[[#This Row],[codsariSUP]],DescontosTE[[#This Row],[Classe]])</f>
        <v>Celetro396A4</v>
      </c>
      <c r="G149" s="867"/>
      <c r="H149" s="867"/>
      <c r="I149" s="867"/>
      <c r="J149" s="512"/>
      <c r="K149" s="815"/>
      <c r="L149" s="866">
        <v>0.1426</v>
      </c>
      <c r="M149" s="1564">
        <v>0.1426</v>
      </c>
      <c r="AS149" s="858"/>
      <c r="AX149" s="858"/>
    </row>
    <row r="150" spans="1:50" hidden="1">
      <c r="A150" s="480" t="s">
        <v>320</v>
      </c>
      <c r="B150" s="480" t="s">
        <v>608</v>
      </c>
      <c r="C150" s="480">
        <v>164</v>
      </c>
      <c r="D150" s="480">
        <v>400</v>
      </c>
      <c r="E150" s="480" t="s">
        <v>596</v>
      </c>
      <c r="F150" s="480" t="str">
        <f>CONCATENATE(DescontosTE[[#This Row],[Permissionária]],DescontosTE[[#This Row],[codsariSUP]],DescontosTE[[#This Row],[Classe]])</f>
        <v>Celetro400A4</v>
      </c>
      <c r="L150" s="512">
        <v>0.1426</v>
      </c>
      <c r="M150" s="1564">
        <v>0.1426</v>
      </c>
      <c r="AS150" s="858"/>
      <c r="AX150" s="858"/>
    </row>
    <row r="154" spans="1:50">
      <c r="A154" s="655" t="s">
        <v>609</v>
      </c>
    </row>
    <row r="156" spans="1:50">
      <c r="A156" s="9" t="s">
        <v>22</v>
      </c>
      <c r="B156" s="656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2166</v>
      </c>
    </row>
    <row r="157" spans="1:50" hidden="1">
      <c r="A157" s="9" t="s">
        <v>584</v>
      </c>
      <c r="B157" s="657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3">
        <v>585.49</v>
      </c>
      <c r="L157">
        <v>716.79000000000008</v>
      </c>
      <c r="M157" s="417">
        <v>802.08</v>
      </c>
    </row>
    <row r="158" spans="1:50" hidden="1">
      <c r="A158" s="9" t="s">
        <v>584</v>
      </c>
      <c r="B158" s="658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3">
        <v>750.67</v>
      </c>
      <c r="L158">
        <v>694.52</v>
      </c>
      <c r="M158" s="417">
        <v>683.87</v>
      </c>
    </row>
    <row r="159" spans="1:50" hidden="1">
      <c r="A159" s="9" t="s">
        <v>584</v>
      </c>
      <c r="B159" s="657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3">
        <v>687.25</v>
      </c>
      <c r="L159">
        <v>653.32000000000005</v>
      </c>
      <c r="M159" s="417">
        <v>636.51</v>
      </c>
    </row>
    <row r="160" spans="1:50" hidden="1">
      <c r="A160" s="9" t="s">
        <v>584</v>
      </c>
      <c r="B160" s="658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3">
        <v>521.09</v>
      </c>
      <c r="L160">
        <v>586.86</v>
      </c>
      <c r="M160">
        <v>663.81999999999994</v>
      </c>
    </row>
    <row r="161" spans="1:13" hidden="1">
      <c r="A161" s="9" t="s">
        <v>584</v>
      </c>
      <c r="B161" s="657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3">
        <v>531.81000000000006</v>
      </c>
      <c r="L161">
        <v>604.55999999999995</v>
      </c>
      <c r="M161" s="417">
        <v>688.71</v>
      </c>
    </row>
    <row r="162" spans="1:13" hidden="1">
      <c r="A162" s="9" t="s">
        <v>584</v>
      </c>
      <c r="B162" s="658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3">
        <v>627.79</v>
      </c>
      <c r="L162">
        <f>419.13+242.86</f>
        <v>661.99</v>
      </c>
      <c r="M162" s="417">
        <v>820.92</v>
      </c>
    </row>
    <row r="163" spans="1:13" hidden="1">
      <c r="A163" s="9" t="s">
        <v>584</v>
      </c>
      <c r="B163" s="657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3">
        <v>550.73</v>
      </c>
      <c r="L163">
        <f>343.12+245.73</f>
        <v>588.85</v>
      </c>
      <c r="M163" s="417">
        <v>603.04999999999995</v>
      </c>
    </row>
    <row r="164" spans="1:13" hidden="1">
      <c r="A164" s="9" t="s">
        <v>584</v>
      </c>
      <c r="B164" s="658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3">
        <v>601.67000000000007</v>
      </c>
      <c r="L164">
        <f>319.9+262.18</f>
        <v>582.07999999999993</v>
      </c>
      <c r="M164" s="417">
        <v>613.14</v>
      </c>
    </row>
    <row r="165" spans="1:13" hidden="1">
      <c r="A165" s="9" t="s">
        <v>584</v>
      </c>
      <c r="B165" s="657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3">
        <v>589.30000000000007</v>
      </c>
      <c r="L165">
        <v>631.75</v>
      </c>
      <c r="M165" s="417">
        <v>678.01</v>
      </c>
    </row>
    <row r="166" spans="1:13" hidden="1">
      <c r="A166" s="9" t="s">
        <v>584</v>
      </c>
      <c r="B166" s="658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3">
        <v>697.1</v>
      </c>
      <c r="L166">
        <f>452.4+266.08</f>
        <v>718.48</v>
      </c>
      <c r="M166" s="417">
        <v>711.11</v>
      </c>
    </row>
    <row r="167" spans="1:13" hidden="1">
      <c r="A167" s="9" t="s">
        <v>584</v>
      </c>
      <c r="B167" s="657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3">
        <v>616.29</v>
      </c>
      <c r="L167">
        <v>657.39</v>
      </c>
      <c r="M167" s="417">
        <v>548.54000000000008</v>
      </c>
    </row>
    <row r="168" spans="1:13" hidden="1">
      <c r="A168" s="9" t="s">
        <v>584</v>
      </c>
      <c r="B168" s="658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3">
        <v>682.83</v>
      </c>
      <c r="L168">
        <v>725.14</v>
      </c>
      <c r="M168" s="417">
        <v>632.80000000000007</v>
      </c>
    </row>
    <row r="169" spans="1:13" hidden="1">
      <c r="A169" s="9" t="s">
        <v>584</v>
      </c>
      <c r="B169" s="657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3">
        <v>496.86</v>
      </c>
      <c r="L169">
        <v>511.66</v>
      </c>
      <c r="M169" s="417">
        <v>518.32999999999993</v>
      </c>
    </row>
    <row r="170" spans="1:13" hidden="1">
      <c r="A170" s="9" t="s">
        <v>584</v>
      </c>
      <c r="B170" s="658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3">
        <v>663.57999999999993</v>
      </c>
      <c r="L170">
        <v>677.53</v>
      </c>
      <c r="M170" s="417">
        <v>632.93999999999994</v>
      </c>
    </row>
    <row r="171" spans="1:13" hidden="1">
      <c r="A171" s="9" t="s">
        <v>584</v>
      </c>
      <c r="B171" s="657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3">
        <v>544.1</v>
      </c>
      <c r="L171">
        <v>589.07999999999993</v>
      </c>
      <c r="M171" s="660">
        <v>561.9</v>
      </c>
    </row>
    <row r="172" spans="1:13" hidden="1">
      <c r="A172" s="9" t="s">
        <v>584</v>
      </c>
      <c r="B172" s="658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3">
        <v>580.39</v>
      </c>
      <c r="L172">
        <v>610.34</v>
      </c>
      <c r="M172" s="417">
        <v>628.70000000000005</v>
      </c>
    </row>
    <row r="173" spans="1:13" hidden="1">
      <c r="A173" s="9" t="s">
        <v>584</v>
      </c>
      <c r="B173" s="657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3">
        <v>655.47</v>
      </c>
      <c r="L173">
        <v>654.13</v>
      </c>
      <c r="M173" s="417">
        <v>721.68</v>
      </c>
    </row>
    <row r="174" spans="1:13" hidden="1">
      <c r="A174" s="9" t="s">
        <v>584</v>
      </c>
      <c r="B174" s="658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3">
        <v>523.83000000000004</v>
      </c>
      <c r="L174">
        <v>545.07000000000005</v>
      </c>
      <c r="M174" s="417">
        <v>563.88</v>
      </c>
    </row>
    <row r="175" spans="1:13" hidden="1">
      <c r="A175" s="9" t="s">
        <v>584</v>
      </c>
      <c r="B175" s="657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3">
        <v>559.04</v>
      </c>
      <c r="L175">
        <v>605.22</v>
      </c>
      <c r="M175" s="417">
        <v>641.27</v>
      </c>
    </row>
    <row r="176" spans="1:13" hidden="1">
      <c r="A176" s="9" t="s">
        <v>584</v>
      </c>
      <c r="B176" s="658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3">
        <v>562.51</v>
      </c>
      <c r="L176">
        <v>608.16999999999996</v>
      </c>
      <c r="M176" s="417">
        <v>651.74</v>
      </c>
    </row>
    <row r="177" spans="1:13" hidden="1">
      <c r="A177" s="9" t="s">
        <v>584</v>
      </c>
      <c r="B177" s="657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3">
        <v>633.44000000000005</v>
      </c>
      <c r="L177">
        <v>707.06999999999994</v>
      </c>
      <c r="M177" s="417">
        <v>705.72</v>
      </c>
    </row>
    <row r="178" spans="1:13" hidden="1">
      <c r="A178" s="9" t="s">
        <v>584</v>
      </c>
      <c r="B178" s="658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3">
        <v>419.84</v>
      </c>
      <c r="L178">
        <v>440.52000000000004</v>
      </c>
      <c r="M178" s="417">
        <v>466</v>
      </c>
    </row>
    <row r="179" spans="1:13" hidden="1">
      <c r="A179" s="9" t="s">
        <v>584</v>
      </c>
      <c r="B179" s="657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3">
        <v>620.12</v>
      </c>
      <c r="L179">
        <v>691.03000000000009</v>
      </c>
      <c r="M179" s="417">
        <v>729.03</v>
      </c>
    </row>
    <row r="180" spans="1:13" hidden="1">
      <c r="A180" s="9" t="s">
        <v>584</v>
      </c>
      <c r="B180" s="658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3">
        <v>387.09</v>
      </c>
      <c r="L180">
        <v>395.17</v>
      </c>
      <c r="M180" s="417">
        <v>403.03</v>
      </c>
    </row>
    <row r="181" spans="1:13" hidden="1">
      <c r="A181" s="9" t="s">
        <v>584</v>
      </c>
      <c r="B181" s="657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3">
        <v>468.2</v>
      </c>
      <c r="L181">
        <v>502.33000000000004</v>
      </c>
      <c r="M181" s="417">
        <v>550.72</v>
      </c>
    </row>
    <row r="182" spans="1:13" hidden="1">
      <c r="A182" s="9" t="s">
        <v>584</v>
      </c>
      <c r="B182" s="658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3">
        <v>506.32999999999993</v>
      </c>
      <c r="L182">
        <v>538.1</v>
      </c>
      <c r="M182" s="417">
        <v>614.15</v>
      </c>
    </row>
    <row r="183" spans="1:13" hidden="1">
      <c r="A183" s="9" t="s">
        <v>584</v>
      </c>
      <c r="B183" s="657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3">
        <v>592.26</v>
      </c>
      <c r="L183">
        <v>622.27</v>
      </c>
      <c r="M183" s="417">
        <v>648.42999999999995</v>
      </c>
    </row>
    <row r="184" spans="1:13" hidden="1">
      <c r="A184" s="9" t="s">
        <v>584</v>
      </c>
      <c r="B184" s="658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3">
        <v>514.23</v>
      </c>
      <c r="L184">
        <v>496.95</v>
      </c>
      <c r="M184" s="417">
        <v>539.69000000000005</v>
      </c>
    </row>
    <row r="185" spans="1:13" hidden="1">
      <c r="A185" s="9" t="s">
        <v>584</v>
      </c>
      <c r="B185" s="657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3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8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3">
        <v>616.19999999999993</v>
      </c>
      <c r="L186">
        <f>357.43+226.05</f>
        <v>583.48</v>
      </c>
      <c r="M186" s="417">
        <v>521.44999999999993</v>
      </c>
    </row>
    <row r="187" spans="1:13" hidden="1">
      <c r="A187" s="9" t="s">
        <v>584</v>
      </c>
      <c r="B187" s="657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3">
        <v>458.66</v>
      </c>
      <c r="L187">
        <v>484.06</v>
      </c>
      <c r="M187" s="417">
        <v>508.88999999999993</v>
      </c>
    </row>
    <row r="188" spans="1:13" hidden="1">
      <c r="A188" s="9" t="s">
        <v>584</v>
      </c>
      <c r="B188" s="658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3">
        <v>503.84</v>
      </c>
      <c r="L188">
        <v>506.04</v>
      </c>
      <c r="M188" s="417">
        <v>514.01</v>
      </c>
    </row>
    <row r="189" spans="1:13" hidden="1">
      <c r="A189" s="9" t="s">
        <v>584</v>
      </c>
      <c r="B189" s="657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3">
        <v>571.18000000000006</v>
      </c>
      <c r="L189">
        <f>279.82+218.08</f>
        <v>497.9</v>
      </c>
      <c r="M189" s="417">
        <v>458.09</v>
      </c>
    </row>
    <row r="190" spans="1:13" hidden="1">
      <c r="A190" s="9" t="s">
        <v>584</v>
      </c>
      <c r="B190" s="658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3">
        <v>592.31999999999994</v>
      </c>
      <c r="L190">
        <v>573.04999999999995</v>
      </c>
      <c r="M190" s="417">
        <v>611.82000000000005</v>
      </c>
    </row>
    <row r="191" spans="1:13" hidden="1">
      <c r="A191" s="9" t="s">
        <v>584</v>
      </c>
      <c r="B191" s="657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3">
        <v>607.33000000000004</v>
      </c>
      <c r="L191">
        <v>642.19000000000005</v>
      </c>
      <c r="M191" s="417">
        <v>700.57</v>
      </c>
    </row>
    <row r="192" spans="1:13" hidden="1">
      <c r="A192" s="9" t="s">
        <v>584</v>
      </c>
      <c r="B192" s="658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3">
        <v>469.96</v>
      </c>
      <c r="L192">
        <v>496.82</v>
      </c>
      <c r="M192" s="417">
        <v>587.54</v>
      </c>
    </row>
    <row r="193" spans="1:16" hidden="1">
      <c r="A193" s="9" t="s">
        <v>584</v>
      </c>
      <c r="B193" s="657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3">
        <v>884.76</v>
      </c>
      <c r="L193">
        <f>763.76+204.91</f>
        <v>968.67</v>
      </c>
      <c r="M193">
        <v>1025.47</v>
      </c>
    </row>
    <row r="194" spans="1:16" hidden="1">
      <c r="A194" s="9" t="s">
        <v>584</v>
      </c>
      <c r="B194" s="659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3">
        <v>782.78000000000009</v>
      </c>
      <c r="L194">
        <f>513.49+240.36</f>
        <v>753.85</v>
      </c>
      <c r="M194" s="417">
        <v>761.28</v>
      </c>
    </row>
    <row r="195" spans="1:16" hidden="1">
      <c r="A195" s="9" t="s">
        <v>584</v>
      </c>
      <c r="B195" s="508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3">
        <v>894.62</v>
      </c>
      <c r="L195">
        <f>765.89+213.34</f>
        <v>979.23</v>
      </c>
      <c r="M195">
        <v>1023.74</v>
      </c>
    </row>
    <row r="196" spans="1:16" hidden="1">
      <c r="A196" s="9" t="s">
        <v>584</v>
      </c>
      <c r="B196" s="508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3">
        <v>950.33</v>
      </c>
      <c r="L196">
        <v>1054.05</v>
      </c>
      <c r="M196">
        <v>1107.67</v>
      </c>
      <c r="N196" s="234"/>
    </row>
    <row r="197" spans="1:16" hidden="1">
      <c r="A197" s="9" t="s">
        <v>584</v>
      </c>
      <c r="B197" s="508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3">
        <v>562.08000000000004</v>
      </c>
      <c r="L197">
        <v>611.43999999999994</v>
      </c>
      <c r="M197" s="417">
        <v>660.43</v>
      </c>
      <c r="N197" s="8"/>
    </row>
    <row r="198" spans="1:16" hidden="1">
      <c r="A198" s="9" t="s">
        <v>584</v>
      </c>
      <c r="B198" s="508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3">
        <v>528.30999999999995</v>
      </c>
      <c r="L198">
        <v>564.45999999999992</v>
      </c>
      <c r="M198" s="417">
        <v>597.03</v>
      </c>
      <c r="N198" s="8"/>
    </row>
    <row r="199" spans="1:16" hidden="1">
      <c r="A199" s="9" t="s">
        <v>584</v>
      </c>
      <c r="B199" s="508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3">
        <v>350.78999999999996</v>
      </c>
      <c r="L199">
        <v>369.5</v>
      </c>
      <c r="M199" s="417">
        <v>424.29</v>
      </c>
      <c r="N199" s="8"/>
    </row>
    <row r="200" spans="1:16" hidden="1">
      <c r="A200" s="9" t="s">
        <v>584</v>
      </c>
      <c r="B200" s="508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3">
        <v>667.26</v>
      </c>
      <c r="L200">
        <v>648.54999999999995</v>
      </c>
      <c r="M200" s="417">
        <v>635.66</v>
      </c>
      <c r="N200" s="8"/>
    </row>
    <row r="201" spans="1:16" hidden="1">
      <c r="A201" s="9" t="s">
        <v>584</v>
      </c>
      <c r="B201" s="508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3">
        <v>374.59</v>
      </c>
      <c r="L201">
        <v>366.5</v>
      </c>
      <c r="M201" s="417">
        <v>409.78999999999996</v>
      </c>
      <c r="N201" s="8"/>
    </row>
    <row r="202" spans="1:16" hidden="1">
      <c r="A202" s="9" t="s">
        <v>584</v>
      </c>
      <c r="B202" s="508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3">
        <v>564.18000000000006</v>
      </c>
      <c r="L202">
        <v>604.55000000000007</v>
      </c>
      <c r="M202" s="417">
        <v>472.58</v>
      </c>
      <c r="N202" s="8"/>
    </row>
    <row r="203" spans="1:16" hidden="1">
      <c r="A203" s="9" t="s">
        <v>584</v>
      </c>
      <c r="B203" s="508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3">
        <v>386.85</v>
      </c>
      <c r="L203">
        <v>418.26000000000005</v>
      </c>
      <c r="M203" s="417">
        <v>463.75</v>
      </c>
      <c r="N203" s="8"/>
    </row>
    <row r="204" spans="1:16" hidden="1">
      <c r="A204" s="9" t="s">
        <v>584</v>
      </c>
      <c r="B204" s="508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3">
        <v>559.9</v>
      </c>
      <c r="L204">
        <f>357.17+229.26</f>
        <v>586.43000000000006</v>
      </c>
      <c r="M204" s="417">
        <v>662.51</v>
      </c>
      <c r="N204" s="8"/>
    </row>
    <row r="205" spans="1:16" hidden="1">
      <c r="A205" s="9" t="s">
        <v>584</v>
      </c>
      <c r="B205" s="508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3">
        <v>595.43999999999994</v>
      </c>
      <c r="L205">
        <f>413.48+197.81</f>
        <v>611.29</v>
      </c>
      <c r="M205" s="417">
        <v>640.98</v>
      </c>
    </row>
    <row r="206" spans="1:16" hidden="1">
      <c r="A206" s="9" t="s">
        <v>584</v>
      </c>
      <c r="B206" s="508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3">
        <v>735.09</v>
      </c>
      <c r="L206">
        <f>616.69+148.58</f>
        <v>765.2700000000001</v>
      </c>
      <c r="M206" s="417">
        <v>815.69</v>
      </c>
    </row>
    <row r="207" spans="1:16" hidden="1">
      <c r="A207" s="266" t="s">
        <v>584</v>
      </c>
      <c r="B207" s="809" t="s">
        <v>327</v>
      </c>
      <c r="C207" s="234"/>
      <c r="D207" s="234"/>
      <c r="E207" s="234"/>
      <c r="F207" s="234"/>
      <c r="G207" s="234"/>
      <c r="H207" s="234"/>
      <c r="K207" s="813">
        <v>470.82</v>
      </c>
      <c r="L207">
        <f>281.75+226.45</f>
        <v>508.2</v>
      </c>
      <c r="M207" s="417">
        <v>536.98</v>
      </c>
    </row>
    <row r="208" spans="1:16" hidden="1">
      <c r="A208" s="266" t="s">
        <v>584</v>
      </c>
      <c r="B208" s="809" t="s">
        <v>320</v>
      </c>
      <c r="C208" s="234"/>
      <c r="D208" s="234"/>
      <c r="E208" s="234"/>
      <c r="F208" s="234"/>
      <c r="G208" s="234"/>
      <c r="H208" s="234"/>
      <c r="K208" s="813"/>
      <c r="L208">
        <f>357.76+231.81</f>
        <v>589.56999999999994</v>
      </c>
      <c r="M208" s="417">
        <v>677.96999999999991</v>
      </c>
      <c r="O208" s="853" t="s">
        <v>615</v>
      </c>
      <c r="P208" s="854">
        <v>968.67</v>
      </c>
    </row>
    <row r="209" spans="1:50" hidden="1">
      <c r="A209" s="9" t="s">
        <v>27</v>
      </c>
      <c r="B209" s="486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3">
        <f>397.32+270.9</f>
        <v>668.22</v>
      </c>
      <c r="L209">
        <v>683.67</v>
      </c>
      <c r="M209" s="519">
        <v>714.43999999999994</v>
      </c>
      <c r="N209">
        <v>838.02</v>
      </c>
      <c r="O209" s="853" t="s">
        <v>616</v>
      </c>
      <c r="P209" s="854" t="e">
        <v>#N/A</v>
      </c>
    </row>
    <row r="210" spans="1:50" hidden="1">
      <c r="A210" s="9" t="s">
        <v>27</v>
      </c>
      <c r="B210" s="486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3">
        <v>469.78</v>
      </c>
      <c r="L210">
        <v>505.99000000000007</v>
      </c>
      <c r="M210" s="417">
        <v>532.24</v>
      </c>
      <c r="O210" s="853" t="s">
        <v>617</v>
      </c>
      <c r="P210" s="854" t="e">
        <v>#N/A</v>
      </c>
    </row>
    <row r="211" spans="1:50" hidden="1">
      <c r="A211" s="9" t="s">
        <v>27</v>
      </c>
      <c r="B211" s="486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6">
        <f>252.99+244.36</f>
        <v>497.35</v>
      </c>
      <c r="L211">
        <v>513.89</v>
      </c>
      <c r="M211" s="417">
        <v>572.45999999999992</v>
      </c>
      <c r="O211" s="853" t="s">
        <v>618</v>
      </c>
      <c r="P211" s="854" t="e">
        <v>#N/A</v>
      </c>
    </row>
    <row r="212" spans="1:50" hidden="1">
      <c r="A212" s="9" t="s">
        <v>27</v>
      </c>
      <c r="B212" s="486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3">
        <v>517.61</v>
      </c>
      <c r="L212">
        <v>512.77</v>
      </c>
      <c r="M212" s="417">
        <v>558.81000000000006</v>
      </c>
      <c r="O212" s="853" t="s">
        <v>619</v>
      </c>
      <c r="P212" s="854" t="e">
        <v>#N/A</v>
      </c>
    </row>
    <row r="213" spans="1:50" hidden="1">
      <c r="A213" s="9" t="s">
        <v>27</v>
      </c>
      <c r="B213" s="486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3">
        <v>523.02</v>
      </c>
      <c r="L213">
        <v>550.20000000000005</v>
      </c>
      <c r="M213">
        <v>595.66</v>
      </c>
      <c r="N213">
        <v>678.65</v>
      </c>
      <c r="O213" s="853" t="s">
        <v>620</v>
      </c>
      <c r="P213" s="854" t="e">
        <v>#N/A</v>
      </c>
    </row>
    <row r="214" spans="1:50" hidden="1">
      <c r="A214" s="9" t="s">
        <v>27</v>
      </c>
      <c r="B214" s="486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3">
        <v>490.18</v>
      </c>
      <c r="L214">
        <v>533.54999999999995</v>
      </c>
      <c r="M214" s="417">
        <v>619.94000000000005</v>
      </c>
      <c r="O214" s="853" t="s">
        <v>621</v>
      </c>
      <c r="P214" s="854">
        <v>586.86</v>
      </c>
    </row>
    <row r="215" spans="1:50" hidden="1">
      <c r="A215" s="9" t="s">
        <v>27</v>
      </c>
      <c r="B215" s="486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3">
        <f>303.99+243.7</f>
        <v>547.69000000000005</v>
      </c>
      <c r="L215">
        <v>541.15</v>
      </c>
      <c r="M215" s="859">
        <v>564.97</v>
      </c>
      <c r="N215">
        <v>606.77</v>
      </c>
      <c r="O215" s="853" t="s">
        <v>622</v>
      </c>
      <c r="P215" s="854" t="e">
        <v>#N/A</v>
      </c>
    </row>
    <row r="216" spans="1:50" hidden="1">
      <c r="A216" s="9" t="s">
        <v>27</v>
      </c>
      <c r="B216" s="486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0">
        <v>487.3</v>
      </c>
      <c r="J216">
        <f>241.74+319.79</f>
        <v>561.53</v>
      </c>
      <c r="K216" s="813">
        <v>525.73</v>
      </c>
      <c r="L216" s="660">
        <v>546.10945347732809</v>
      </c>
      <c r="M216" s="417">
        <v>635.92000000000007</v>
      </c>
      <c r="N216" s="851"/>
      <c r="O216" s="853" t="s">
        <v>623</v>
      </c>
      <c r="P216" s="854" t="e">
        <v>#N/A</v>
      </c>
    </row>
    <row r="217" spans="1:50" hidden="1">
      <c r="A217" s="9" t="s">
        <v>27</v>
      </c>
      <c r="B217" s="486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3">
        <v>531.87</v>
      </c>
      <c r="L217" s="660">
        <v>555.04999999999995</v>
      </c>
      <c r="M217" s="417">
        <v>622.58000000000004</v>
      </c>
      <c r="O217" s="853" t="s">
        <v>624</v>
      </c>
      <c r="P217" s="854" t="e">
        <v>#N/A</v>
      </c>
    </row>
    <row r="218" spans="1:50" hidden="1">
      <c r="A218" s="9" t="s">
        <v>27</v>
      </c>
      <c r="B218" s="486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3">
        <v>515.59</v>
      </c>
      <c r="L218" s="660">
        <v>534.19000000000005</v>
      </c>
      <c r="M218" s="417">
        <v>594.49</v>
      </c>
      <c r="O218" s="853" t="s">
        <v>625</v>
      </c>
      <c r="P218" s="854" t="e">
        <v>#N/A</v>
      </c>
    </row>
    <row r="219" spans="1:50" hidden="1">
      <c r="A219" s="9" t="s">
        <v>27</v>
      </c>
      <c r="B219" s="486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3">
        <v>530.72</v>
      </c>
      <c r="L219" s="660">
        <v>535.51</v>
      </c>
      <c r="M219" s="234">
        <v>580.43681504518099</v>
      </c>
      <c r="N219">
        <v>677.99</v>
      </c>
      <c r="O219" s="853" t="s">
        <v>626</v>
      </c>
      <c r="P219" s="854" t="e">
        <v>#N/A</v>
      </c>
    </row>
    <row r="220" spans="1:50" hidden="1">
      <c r="A220" s="9" t="s">
        <v>27</v>
      </c>
      <c r="B220" s="486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3">
        <v>560.27</v>
      </c>
      <c r="L220" s="660">
        <v>589.57000000000005</v>
      </c>
      <c r="M220" s="417">
        <v>643.09</v>
      </c>
      <c r="O220" s="853" t="s">
        <v>627</v>
      </c>
      <c r="P220" s="854" t="e">
        <v>#N/A</v>
      </c>
    </row>
    <row r="221" spans="1:50" hidden="1">
      <c r="A221" t="s">
        <v>27</v>
      </c>
      <c r="B221" s="480" t="s">
        <v>353</v>
      </c>
      <c r="J221">
        <v>547.6</v>
      </c>
      <c r="K221" s="813">
        <v>515.07000000000005</v>
      </c>
      <c r="L221">
        <v>548.96999999999991</v>
      </c>
      <c r="M221" s="417">
        <v>629.70000000000005</v>
      </c>
      <c r="O221" s="853" t="s">
        <v>628</v>
      </c>
      <c r="P221" s="854" t="e">
        <v>#N/A</v>
      </c>
    </row>
    <row r="222" spans="1:50">
      <c r="A222" t="s">
        <v>27</v>
      </c>
      <c r="B222" s="480" t="s">
        <v>608</v>
      </c>
      <c r="K222" s="813"/>
      <c r="L222">
        <v>571.71</v>
      </c>
      <c r="M222" s="417">
        <v>605.55000000000007</v>
      </c>
      <c r="O222" s="853" t="s">
        <v>629</v>
      </c>
      <c r="P222" s="868" t="e">
        <v>#N/A</v>
      </c>
      <c r="AS222" s="858"/>
      <c r="AX222" s="858"/>
    </row>
    <row r="223" spans="1:50">
      <c r="O223" s="853" t="s">
        <v>630</v>
      </c>
      <c r="P223" s="854" t="e">
        <v>#N/A</v>
      </c>
    </row>
    <row r="224" spans="1:50">
      <c r="O224" s="853" t="s">
        <v>631</v>
      </c>
      <c r="P224" s="854" t="e">
        <v>#N/A</v>
      </c>
    </row>
    <row r="225" spans="11:16">
      <c r="K225" s="854">
        <v>547.69000000000005</v>
      </c>
      <c r="O225" s="853" t="s">
        <v>632</v>
      </c>
      <c r="P225" s="854" t="e">
        <v>#N/A</v>
      </c>
    </row>
    <row r="226" spans="11:16">
      <c r="O226" s="853" t="s">
        <v>633</v>
      </c>
      <c r="P226" s="854" t="e">
        <v>#N/A</v>
      </c>
    </row>
    <row r="227" spans="11:16">
      <c r="O227" s="853" t="s">
        <v>634</v>
      </c>
      <c r="P227" s="855" t="e">
        <v>#N/A</v>
      </c>
    </row>
    <row r="228" spans="11:16">
      <c r="O228" s="853" t="s">
        <v>635</v>
      </c>
      <c r="P228" s="855" t="e">
        <v>#N/A</v>
      </c>
    </row>
    <row r="229" spans="11:16">
      <c r="O229" s="853" t="s">
        <v>636</v>
      </c>
      <c r="P229" s="855" t="e">
        <v>#N/A</v>
      </c>
    </row>
    <row r="230" spans="11:16">
      <c r="O230" s="853" t="s">
        <v>637</v>
      </c>
      <c r="P230" s="855" t="e">
        <v>#N/A</v>
      </c>
    </row>
    <row r="231" spans="11:16">
      <c r="O231" s="853" t="s">
        <v>638</v>
      </c>
      <c r="P231" s="855" t="e">
        <v>#N/A</v>
      </c>
    </row>
    <row r="232" spans="11:16">
      <c r="O232" s="853" t="s">
        <v>639</v>
      </c>
      <c r="P232" s="855" t="e">
        <v>#N/A</v>
      </c>
    </row>
    <row r="233" spans="11:16">
      <c r="O233" s="853" t="s">
        <v>640</v>
      </c>
      <c r="P233" s="855" t="e">
        <v>#N/A</v>
      </c>
    </row>
    <row r="234" spans="11:16">
      <c r="O234" s="853" t="s">
        <v>641</v>
      </c>
      <c r="P234" s="855" t="e">
        <v>#N/A</v>
      </c>
    </row>
    <row r="235" spans="11:16">
      <c r="O235" s="853" t="s">
        <v>642</v>
      </c>
      <c r="P235" s="855">
        <v>979.23</v>
      </c>
    </row>
    <row r="236" spans="11:16">
      <c r="O236" s="853" t="s">
        <v>643</v>
      </c>
      <c r="P236" s="855">
        <v>1054.05</v>
      </c>
    </row>
  </sheetData>
  <sortState xmlns:xlrd2="http://schemas.microsoft.com/office/spreadsheetml/2017/richdata2" ref="AR10:AR61">
    <sortCondition ref="AR10:AR61"/>
  </sortState>
  <phoneticPr fontId="111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D15" sqref="D15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5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5" customWidth="1"/>
    <col min="67" max="67" width="12.42578125" style="485" customWidth="1"/>
    <col min="68" max="68" width="12" style="485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6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36" t="s">
        <v>2189</v>
      </c>
      <c r="C1" s="1037"/>
      <c r="D1" s="1037"/>
      <c r="M1" s="546"/>
      <c r="P1" s="889" t="str">
        <f>IF((VLOOKUP(LnkTXTSigla,Informacoes[],5,FALSE))="8.4","VERDADEIRO","FALSO")</f>
        <v>VERDADEIRO</v>
      </c>
      <c r="Q1" s="889" t="s">
        <v>644</v>
      </c>
      <c r="BA1" s="484"/>
      <c r="BB1" s="484"/>
      <c r="BC1" s="484"/>
      <c r="BD1" s="484"/>
    </row>
    <row r="2" spans="1:84" ht="25.5">
      <c r="B2" s="547" t="str">
        <f>CAPA!C9</f>
        <v>Certaja</v>
      </c>
      <c r="C2" s="637"/>
      <c r="D2" s="548"/>
      <c r="E2" s="588" t="s">
        <v>645</v>
      </c>
      <c r="F2" s="588"/>
      <c r="G2" s="588"/>
      <c r="H2" s="615" t="s">
        <v>2333</v>
      </c>
      <c r="M2" s="546"/>
      <c r="AK2" s="485"/>
      <c r="AZ2" s="1775" t="s">
        <v>646</v>
      </c>
      <c r="BA2" s="1776"/>
      <c r="BB2" s="1776"/>
      <c r="BC2" s="1776"/>
      <c r="BD2" s="1776"/>
      <c r="BE2" s="1776"/>
      <c r="BF2" s="1776"/>
      <c r="BG2" s="486"/>
      <c r="BM2" s="489"/>
      <c r="BW2" s="421"/>
      <c r="BX2" s="421"/>
      <c r="BY2" s="421"/>
      <c r="BZ2" s="421"/>
      <c r="CA2" s="421"/>
      <c r="CB2" s="421"/>
      <c r="CC2" s="421"/>
      <c r="CD2" s="421"/>
      <c r="CE2" s="421"/>
      <c r="CF2" s="516"/>
    </row>
    <row r="3" spans="1:84">
      <c r="C3" s="560"/>
      <c r="E3" s="583" t="s">
        <v>2163</v>
      </c>
      <c r="F3" s="583"/>
      <c r="G3" s="583"/>
      <c r="H3" s="536"/>
      <c r="M3" s="546"/>
      <c r="O3" s="381">
        <f>VALUE(RIGHT(P3,2))</f>
        <v>39</v>
      </c>
      <c r="P3" s="1038" t="str">
        <f>VLOOKUP($C$9,Informacoes[],4,FALSE)</f>
        <v>C39</v>
      </c>
      <c r="Q3" s="1038" t="str">
        <f>VLOOKUP($C$9,Informacoes[],2,FALSE)</f>
        <v>Cooperativa Regional de Energia Taquari Jacui</v>
      </c>
      <c r="AH3" s="487"/>
      <c r="AI3" s="485"/>
      <c r="BA3" s="484"/>
      <c r="BB3" s="484"/>
      <c r="BC3" s="484"/>
      <c r="BD3" s="484"/>
      <c r="BM3" s="17"/>
      <c r="BQ3" s="488"/>
      <c r="BW3" s="421"/>
      <c r="BX3" s="421"/>
      <c r="BY3" s="421"/>
      <c r="BZ3" s="421"/>
      <c r="CA3" s="421"/>
      <c r="CB3" s="421"/>
      <c r="CC3" s="421"/>
      <c r="CD3" s="421"/>
      <c r="CE3" s="421"/>
      <c r="CF3" s="516"/>
    </row>
    <row r="4" spans="1:84">
      <c r="E4" s="775" t="s">
        <v>2164</v>
      </c>
      <c r="F4" s="775"/>
      <c r="G4" s="775"/>
      <c r="H4" s="803"/>
      <c r="I4" s="549"/>
      <c r="M4" s="546"/>
      <c r="AZ4" s="889"/>
      <c r="BA4" s="1039">
        <v>40940</v>
      </c>
      <c r="BB4" s="1039" t="s">
        <v>611</v>
      </c>
      <c r="BC4" s="1039">
        <v>41306</v>
      </c>
      <c r="BD4" s="1039">
        <v>41671</v>
      </c>
      <c r="BE4" s="1040">
        <v>42036</v>
      </c>
      <c r="BF4" s="1041">
        <v>42401</v>
      </c>
      <c r="BG4" s="1041">
        <v>42767</v>
      </c>
      <c r="BI4" s="1042"/>
      <c r="BJ4" s="1042"/>
      <c r="BK4" s="1042"/>
      <c r="BL4" s="1042"/>
      <c r="BM4" s="1043"/>
      <c r="BN4" s="1043"/>
      <c r="BO4" s="1043"/>
      <c r="BP4" s="1043"/>
      <c r="BQ4" s="1043"/>
      <c r="BR4" s="1043"/>
      <c r="BS4" s="1043"/>
      <c r="BT4" s="1043"/>
      <c r="BU4" s="1043"/>
      <c r="BV4" s="493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5" t="s">
        <v>647</v>
      </c>
      <c r="F5" s="775"/>
      <c r="G5" s="775"/>
      <c r="H5" s="786" t="s">
        <v>2331</v>
      </c>
      <c r="I5" s="549"/>
      <c r="M5" s="546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0"/>
      <c r="I6" s="549"/>
      <c r="N6" s="551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2"/>
      <c r="B7" s="542" t="s">
        <v>648</v>
      </c>
      <c r="C7" s="553"/>
      <c r="D7" s="553"/>
      <c r="E7" s="554"/>
      <c r="F7" s="554"/>
      <c r="G7" s="554"/>
      <c r="H7" s="534"/>
      <c r="I7" s="535"/>
      <c r="J7" s="554"/>
      <c r="K7" s="555"/>
      <c r="L7" s="556"/>
      <c r="M7" s="557"/>
      <c r="N7" s="558"/>
      <c r="O7" s="9"/>
      <c r="Q7" s="537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1"/>
      <c r="O8" s="9"/>
      <c r="P8" s="275"/>
      <c r="Q8" s="784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1" t="s">
        <v>114</v>
      </c>
      <c r="C9" s="1044" t="s">
        <v>449</v>
      </c>
      <c r="D9" s="9"/>
      <c r="E9" s="1777" t="s">
        <v>649</v>
      </c>
      <c r="F9" s="1778"/>
      <c r="G9" s="1778"/>
      <c r="H9" s="1778"/>
      <c r="I9" s="606"/>
      <c r="J9" s="492" t="s">
        <v>650</v>
      </c>
      <c r="K9" s="9"/>
      <c r="L9" s="9"/>
      <c r="M9" s="559"/>
      <c r="N9" s="551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45" t="s">
        <v>651</v>
      </c>
      <c r="C10" s="1046" t="str">
        <f>IF(C9="Cercos","N/NE","S/SE/CO")</f>
        <v>S/SE/CO</v>
      </c>
      <c r="D10" s="9"/>
      <c r="E10" s="610"/>
      <c r="F10" s="611" t="s">
        <v>652</v>
      </c>
      <c r="G10" s="612">
        <v>44749.604629629626</v>
      </c>
      <c r="H10" s="1047"/>
      <c r="I10" s="607"/>
      <c r="J10" s="774" t="s">
        <v>653</v>
      </c>
      <c r="K10" s="1048">
        <f>IFERROR(O3+200,0)</f>
        <v>239</v>
      </c>
      <c r="L10" s="596"/>
      <c r="M10" s="559"/>
      <c r="N10" s="551"/>
      <c r="O10" s="9"/>
      <c r="P10" s="9" t="s">
        <v>2310</v>
      </c>
      <c r="Q10" s="537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0"/>
      <c r="F11" s="611" t="s">
        <v>654</v>
      </c>
      <c r="G11" s="612">
        <v>44757.669039351851</v>
      </c>
      <c r="H11" s="608"/>
      <c r="I11" s="609"/>
      <c r="J11" s="583" t="s">
        <v>655</v>
      </c>
      <c r="K11" s="614">
        <v>3223</v>
      </c>
      <c r="L11" s="596"/>
      <c r="M11" s="559"/>
      <c r="N11" s="551"/>
      <c r="O11" s="9"/>
      <c r="P11" s="275">
        <v>238</v>
      </c>
      <c r="Q11" s="784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0"/>
      <c r="B12" s="492" t="s">
        <v>656</v>
      </c>
      <c r="C12" s="9"/>
      <c r="D12" s="9"/>
      <c r="E12" s="610"/>
      <c r="F12" s="611" t="s">
        <v>824</v>
      </c>
      <c r="G12" s="612">
        <v>44749.606585648151</v>
      </c>
      <c r="H12" s="608"/>
      <c r="I12" s="609"/>
      <c r="J12" s="775" t="s">
        <v>657</v>
      </c>
      <c r="K12" s="785">
        <f>IF(idsreag=P11,Q11,idagente)</f>
        <v>3223</v>
      </c>
      <c r="L12" s="596"/>
      <c r="M12" s="559"/>
      <c r="N12" s="551"/>
      <c r="O12" s="9"/>
      <c r="Q12" s="537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0"/>
      <c r="B13" s="601" t="s">
        <v>658</v>
      </c>
      <c r="C13" s="1049">
        <f ca="1">YEAR(TODAY())</f>
        <v>2022</v>
      </c>
      <c r="D13" s="266"/>
      <c r="E13" s="610"/>
      <c r="F13" s="611" t="s">
        <v>659</v>
      </c>
      <c r="G13" s="612">
        <v>44756.727418981478</v>
      </c>
      <c r="H13" s="608"/>
      <c r="I13" s="9"/>
      <c r="J13" s="492" t="s">
        <v>660</v>
      </c>
      <c r="K13" s="9"/>
      <c r="L13" s="596"/>
      <c r="M13" s="561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2" t="s">
        <v>661</v>
      </c>
      <c r="C14" s="603">
        <v>44407</v>
      </c>
      <c r="D14" s="266"/>
      <c r="E14" s="610"/>
      <c r="F14" s="611" t="s">
        <v>662</v>
      </c>
      <c r="G14" s="612">
        <v>44756.727546296293</v>
      </c>
      <c r="H14" s="608"/>
      <c r="I14" s="9"/>
      <c r="J14" s="774" t="s">
        <v>663</v>
      </c>
      <c r="K14" s="1048">
        <f>VLOOKUP(SAS_RA0_DataFim,Índices!$B$7:$F$500,2,FALSE)</f>
        <v>1190.8820000000001</v>
      </c>
      <c r="L14" s="596"/>
      <c r="M14" s="561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2" t="s">
        <v>664</v>
      </c>
      <c r="C15" s="604">
        <v>44772</v>
      </c>
      <c r="D15" s="266"/>
      <c r="E15" s="610"/>
      <c r="F15" s="611" t="s">
        <v>665</v>
      </c>
      <c r="G15" s="612">
        <v>44753.379282407404</v>
      </c>
      <c r="H15" s="613"/>
      <c r="I15" s="9"/>
      <c r="J15" s="583" t="s">
        <v>666</v>
      </c>
      <c r="K15" s="614">
        <f>VLOOKUP(SAS_RA0_DataFim,Índices!$B$7:$F$500,3,FALSE)</f>
        <v>6455.85</v>
      </c>
      <c r="L15" s="596"/>
      <c r="M15" s="561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2" t="s">
        <v>224</v>
      </c>
      <c r="C16" s="605">
        <f>DATE(YEAR(C14),MONTH(C14),1)</f>
        <v>44378</v>
      </c>
      <c r="D16" s="266"/>
      <c r="E16" s="610"/>
      <c r="F16" s="611" t="s">
        <v>667</v>
      </c>
      <c r="G16" s="612">
        <v>44755.703692129631</v>
      </c>
      <c r="H16" s="1050"/>
      <c r="I16" s="9"/>
      <c r="J16" s="583" t="s">
        <v>668</v>
      </c>
      <c r="K16" s="590">
        <f>K14/VLOOKUP(DATE(YEAR(SAS_RA0_DataInicio),MONTH(SAS_RA0_DataInicio)-1,DAY(SAS_RA0_DataInicio)),Índices!$B$7:$F$500,2,FALSE)-1</f>
        <v>0.10704236088323049</v>
      </c>
      <c r="L16" s="596"/>
      <c r="M16" s="561"/>
      <c r="O16" s="9"/>
      <c r="Q16" s="537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2" t="s">
        <v>226</v>
      </c>
      <c r="C17" s="605">
        <f>DATE(YEAR(C15),MONTH(C15)-1,1)</f>
        <v>44713</v>
      </c>
      <c r="D17" s="266"/>
      <c r="E17" s="610"/>
      <c r="F17" s="611" t="s">
        <v>669</v>
      </c>
      <c r="G17" s="612">
        <v>44755.704525462963</v>
      </c>
      <c r="H17" s="9"/>
      <c r="I17" s="375"/>
      <c r="J17" s="583" t="s">
        <v>670</v>
      </c>
      <c r="K17" s="1051">
        <f>K15/VLOOKUP(DATE(YEAR(SAS_RA0_DataInicio),MONTH(SAS_RA0_DataInicio)-1,DAY(SAS_RA0_DataInicio)),Índices!$B$7:$F$500,3,FALSE)-1</f>
        <v>0.11886869625198027</v>
      </c>
      <c r="L17" s="9"/>
      <c r="M17" s="561"/>
      <c r="O17" s="9"/>
      <c r="Q17" s="537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2" t="s">
        <v>671</v>
      </c>
      <c r="C18" s="852" t="str">
        <f ca="1">C110</f>
        <v>REAJUSTE</v>
      </c>
      <c r="D18" s="266"/>
      <c r="E18" s="610"/>
      <c r="F18" s="611" t="s">
        <v>2308</v>
      </c>
      <c r="G18" s="612">
        <v>44762.485254629632</v>
      </c>
      <c r="I18" s="375"/>
      <c r="J18" s="588" t="s">
        <v>672</v>
      </c>
      <c r="K18" s="593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1"/>
      <c r="N18" s="9"/>
      <c r="O18" s="9"/>
      <c r="Q18" s="537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0"/>
      <c r="L19" s="17"/>
      <c r="M19" s="561"/>
      <c r="N19" s="9"/>
      <c r="O19" s="9"/>
      <c r="Q19" s="537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4"/>
      <c r="L20" s="17"/>
      <c r="M20" s="561"/>
      <c r="N20" s="9"/>
      <c r="O20" s="9"/>
      <c r="Q20" s="537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0"/>
      <c r="L21" s="17"/>
      <c r="M21" s="561"/>
      <c r="N21" s="9"/>
      <c r="O21" s="9"/>
      <c r="Q21" s="537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3"/>
      <c r="I22" s="375"/>
      <c r="J22" s="49"/>
      <c r="K22" s="562"/>
      <c r="L22" s="563"/>
      <c r="M22" s="561"/>
      <c r="N22" s="9"/>
      <c r="O22" s="9"/>
      <c r="Q22" s="537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2"/>
      <c r="B23" s="542" t="s">
        <v>673</v>
      </c>
      <c r="C23" s="553"/>
      <c r="D23" s="553"/>
      <c r="E23" s="554"/>
      <c r="F23" s="554"/>
      <c r="G23" s="554"/>
      <c r="H23" s="534"/>
      <c r="I23" s="535"/>
      <c r="J23" s="554"/>
      <c r="K23" s="555"/>
      <c r="L23" s="556"/>
      <c r="M23" s="557"/>
      <c r="N23" s="9"/>
      <c r="O23" s="9"/>
      <c r="Q23" s="537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3"/>
      <c r="I24" s="375"/>
      <c r="J24" s="49"/>
      <c r="K24" s="562"/>
      <c r="L24" s="563"/>
      <c r="M24" s="628"/>
      <c r="N24" s="570"/>
      <c r="O24" s="9"/>
      <c r="Q24" s="537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4"/>
      <c r="F25" s="565"/>
      <c r="G25" s="566"/>
      <c r="L25" s="563"/>
      <c r="M25" s="561"/>
      <c r="N25" s="570"/>
      <c r="O25" s="9"/>
      <c r="Q25" s="537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1" t="s">
        <v>674</v>
      </c>
      <c r="C26" s="595"/>
      <c r="D26" s="1052"/>
      <c r="E26" s="1053"/>
      <c r="F26" s="1054"/>
      <c r="G26" s="1055"/>
      <c r="H26" s="1052"/>
      <c r="I26" s="1052"/>
      <c r="J26" s="1052"/>
      <c r="K26" s="1056"/>
      <c r="L26" s="1057"/>
      <c r="M26" s="561"/>
      <c r="N26" s="570"/>
      <c r="O26" s="9"/>
      <c r="Q26" s="537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3"/>
      <c r="M27" s="561"/>
      <c r="N27" s="570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8" t="s">
        <v>675</v>
      </c>
      <c r="C28" s="1766" t="s">
        <v>2386</v>
      </c>
      <c r="D28" s="1766"/>
      <c r="E28" s="9"/>
      <c r="F28" s="594" t="s">
        <v>676</v>
      </c>
      <c r="G28" s="595"/>
      <c r="H28" s="595"/>
      <c r="I28" s="9"/>
      <c r="J28" s="594" t="s">
        <v>677</v>
      </c>
      <c r="K28" s="595"/>
      <c r="L28" s="17"/>
      <c r="M28" s="561"/>
      <c r="N28" s="570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4" t="s">
        <v>678</v>
      </c>
      <c r="G29" s="774"/>
      <c r="H29" s="1058">
        <v>9.7799999999999998E-2</v>
      </c>
      <c r="I29" s="9"/>
      <c r="J29" s="774" t="s">
        <v>679</v>
      </c>
      <c r="K29" s="1059">
        <f>BD!C26</f>
        <v>38500000</v>
      </c>
      <c r="L29" s="17"/>
      <c r="M29" s="561"/>
      <c r="N29" s="570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2" t="s">
        <v>109</v>
      </c>
      <c r="C30" s="9"/>
      <c r="D30" s="9"/>
      <c r="E30" s="9"/>
      <c r="F30" s="775" t="s">
        <v>680</v>
      </c>
      <c r="G30" s="775"/>
      <c r="H30" s="1060"/>
      <c r="I30" s="9"/>
      <c r="J30" s="583" t="s">
        <v>681</v>
      </c>
      <c r="K30" s="597">
        <f>IFERROR(VLOOKUP(LnkTXTSigla,Informacoes[],17,FALSE)*(1+K18),0)</f>
        <v>47399951.718088575</v>
      </c>
      <c r="L30" s="17"/>
      <c r="M30" s="561"/>
      <c r="O30" s="570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71" t="s">
        <v>682</v>
      </c>
      <c r="C31" s="1771"/>
      <c r="D31" s="808"/>
      <c r="E31" s="9"/>
      <c r="F31" s="1061"/>
      <c r="G31" s="1061"/>
      <c r="H31" s="1062"/>
      <c r="I31" s="9"/>
      <c r="J31" s="775" t="s">
        <v>683</v>
      </c>
      <c r="K31" s="1063">
        <f>D32+D33+D34</f>
        <v>42000000</v>
      </c>
      <c r="L31" s="17" t="s">
        <v>684</v>
      </c>
      <c r="M31" s="561" t="s">
        <v>685</v>
      </c>
      <c r="O31" s="570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64" t="s">
        <v>686</v>
      </c>
      <c r="C32" s="1064"/>
      <c r="D32" s="819">
        <v>24000000</v>
      </c>
      <c r="E32" s="9"/>
      <c r="F32" s="1065" t="s">
        <v>687</v>
      </c>
      <c r="G32" s="1066"/>
      <c r="H32" s="1066"/>
      <c r="I32" s="9"/>
      <c r="J32" s="774" t="s">
        <v>688</v>
      </c>
      <c r="K32" s="1067">
        <f ca="1">VLOOKUP(C9,Informacoes[],30,FALSE)*(VLOOKUP(DATE(AnoRefTar,MONTH(M32)-1,1),Índices!B6:F500,3,FALSE)/VLOOKUP(DATE(YEAR(M32),MONTH(L32)-1,1),Índices!B6:F500,3,FALSE))</f>
        <v>22774965.18163811</v>
      </c>
      <c r="L32" s="17">
        <f>VLOOKUP(C9,Informacoes[],31,FALSE)</f>
        <v>43209</v>
      </c>
      <c r="M32" s="849">
        <f>VLOOKUP(C9,Informacoes[],32,FALSE)</f>
        <v>43270</v>
      </c>
      <c r="O32" s="570"/>
      <c r="Q32" s="537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64" t="s">
        <v>689</v>
      </c>
      <c r="C33" s="1064"/>
      <c r="D33" s="820">
        <v>18000000</v>
      </c>
      <c r="E33" s="9"/>
      <c r="F33" s="583" t="s">
        <v>690</v>
      </c>
      <c r="G33" s="583"/>
      <c r="H33" s="499"/>
      <c r="I33" s="9"/>
      <c r="J33" s="775" t="s">
        <v>691</v>
      </c>
      <c r="K33" s="1068">
        <f ca="1">LnkTXTISubvencaoPB/12</f>
        <v>1897913.7651365092</v>
      </c>
      <c r="L33" s="17"/>
      <c r="M33" s="546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69"/>
      <c r="C34" s="1069"/>
      <c r="D34" s="1070"/>
      <c r="E34" s="9"/>
      <c r="F34" s="775" t="s">
        <v>692</v>
      </c>
      <c r="G34" s="775"/>
      <c r="H34" s="1071"/>
      <c r="I34" s="9"/>
      <c r="J34" s="774" t="s">
        <v>693</v>
      </c>
      <c r="K34" s="1072">
        <f>LinkTXTPR</f>
        <v>8.6099074972921394E-2</v>
      </c>
      <c r="L34" s="17"/>
      <c r="M34" s="561"/>
      <c r="O34" s="9"/>
      <c r="Q34" s="537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073"/>
      <c r="E35" s="9"/>
      <c r="F35" s="599"/>
      <c r="G35" s="1074"/>
      <c r="H35" s="474"/>
      <c r="I35" s="9"/>
      <c r="J35" s="583" t="s">
        <v>694</v>
      </c>
      <c r="K35" s="598">
        <f ca="1">IFERROR(Energia!M20/((Energia!M5+Energia!M6-Energia!M7+Energia!N16)+Energia!M20),0)</f>
        <v>0.10386005169252968</v>
      </c>
      <c r="L35" s="17"/>
      <c r="M35" s="561"/>
      <c r="O35" s="9"/>
      <c r="Q35" s="537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8"/>
      <c r="D36" s="821"/>
      <c r="E36" s="9"/>
      <c r="F36" s="599"/>
      <c r="G36" s="599"/>
      <c r="H36" s="474"/>
      <c r="I36" s="9"/>
      <c r="J36" s="775" t="s">
        <v>695</v>
      </c>
      <c r="K36" s="1075">
        <f ca="1">IFERROR(LNKTXTPercperdas,0)</f>
        <v>9.6639725579381358E-2</v>
      </c>
      <c r="L36" s="17"/>
      <c r="M36" s="561"/>
      <c r="O36" s="9"/>
      <c r="Q36" s="537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0"/>
      <c r="E37" s="9"/>
      <c r="F37" s="599"/>
      <c r="G37" s="599"/>
      <c r="H37" s="474"/>
      <c r="I37" s="9"/>
      <c r="J37" s="275"/>
      <c r="K37" s="474"/>
      <c r="L37" s="790"/>
      <c r="M37" s="569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2"/>
      <c r="B38" s="542" t="s">
        <v>696</v>
      </c>
      <c r="C38" s="553"/>
      <c r="D38" s="553"/>
      <c r="E38" s="554"/>
      <c r="F38" s="554"/>
      <c r="G38" s="554"/>
      <c r="H38" s="534"/>
      <c r="I38" s="535"/>
      <c r="J38" s="554"/>
      <c r="K38" s="555"/>
      <c r="L38" s="556"/>
      <c r="M38" s="557"/>
      <c r="O38" s="9"/>
      <c r="Q38" s="537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91" t="s">
        <v>697</v>
      </c>
      <c r="G39" s="1791"/>
      <c r="L39" s="563"/>
      <c r="M39" s="546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2" t="str">
        <f>"Valores de "&amp;YEAR(C14)</f>
        <v>Valores de 2021</v>
      </c>
      <c r="C40" s="9"/>
      <c r="D40" s="9"/>
      <c r="E40" s="9"/>
      <c r="F40" s="1792" t="s">
        <v>698</v>
      </c>
      <c r="G40" s="1792"/>
      <c r="H40" s="591"/>
      <c r="I40" s="9"/>
      <c r="J40" s="1779" t="str">
        <f ca="1">"Variação processo anterior e "&amp;AnoRevRea</f>
        <v>Variação processo anterior e 2022</v>
      </c>
      <c r="K40" s="1779"/>
      <c r="L40" s="563"/>
      <c r="M40" s="546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8" t="s">
        <v>699</v>
      </c>
      <c r="C41" s="589"/>
      <c r="D41" s="1076">
        <f>BD!C5</f>
        <v>113727.004</v>
      </c>
      <c r="E41" s="9"/>
      <c r="F41" s="1783" t="s">
        <v>700</v>
      </c>
      <c r="G41" s="1783"/>
      <c r="H41" s="1077">
        <f>LinkTXTPR</f>
        <v>8.6099074972921394E-2</v>
      </c>
      <c r="I41" s="9"/>
      <c r="J41" s="588" t="s">
        <v>699</v>
      </c>
      <c r="K41" s="1078">
        <f ca="1">IFERROR(Calc_Mercado!J15,0)</f>
        <v>2.1099632590338979E-2</v>
      </c>
      <c r="L41" s="563"/>
      <c r="M41" s="546"/>
      <c r="O41" s="9"/>
      <c r="Q41" s="537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3" t="s">
        <v>40</v>
      </c>
      <c r="C42" s="583"/>
      <c r="D42" s="374">
        <f>IFERROR(VLOOKUP("TFSEE",BD!$B$7:$C$16,2,FALSE),0)</f>
        <v>166389.63517198499</v>
      </c>
      <c r="E42" s="9"/>
      <c r="F42" s="1784" t="s">
        <v>701</v>
      </c>
      <c r="G42" s="1784"/>
      <c r="H42" s="592">
        <f>SUM(H43:H44)</f>
        <v>0</v>
      </c>
      <c r="I42" s="9"/>
      <c r="J42" s="583" t="s">
        <v>40</v>
      </c>
      <c r="K42" s="1078">
        <f ca="1">LnkTxtVarTFSEE</f>
        <v>0.17624755839073303</v>
      </c>
      <c r="L42" s="563"/>
      <c r="M42" s="546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3" t="s">
        <v>41</v>
      </c>
      <c r="C43" s="583"/>
      <c r="D43" s="374">
        <f>IFERROR(VLOOKUP("CDE",BD!$B$7:$C$16,2,FALSE),0)</f>
        <v>6440461.1320200004</v>
      </c>
      <c r="E43" s="9"/>
      <c r="F43" s="1784" t="s">
        <v>702</v>
      </c>
      <c r="G43" s="1784"/>
      <c r="H43" s="592">
        <f>VLOOKUP(B2,Informacoes[#Data],25,FALSE)</f>
        <v>0</v>
      </c>
      <c r="I43" s="9"/>
      <c r="J43" s="583" t="s">
        <v>41</v>
      </c>
      <c r="K43" s="590">
        <f ca="1">LnkTxtVarCDE</f>
        <v>0.2026045052542198</v>
      </c>
      <c r="L43" s="563"/>
      <c r="M43" s="546"/>
      <c r="O43" s="9"/>
      <c r="Q43" s="537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3" t="s">
        <v>126</v>
      </c>
      <c r="C44" s="583"/>
      <c r="D44" s="374">
        <f>IFERROR(VLOOKUP("CFURH",BD!$B$7:$C$16,2,FALSE),0)</f>
        <v>0</v>
      </c>
      <c r="E44" s="9"/>
      <c r="F44" s="1780" t="s">
        <v>263</v>
      </c>
      <c r="G44" s="1780"/>
      <c r="H44" s="1079">
        <f>VLOOKUP(B2,Informacoes[#Data],26,FALSE)</f>
        <v>0</v>
      </c>
      <c r="I44" s="9"/>
      <c r="J44" s="583" t="s">
        <v>126</v>
      </c>
      <c r="K44" s="474" t="str">
        <f ca="1">Resultado!F19</f>
        <v>-</v>
      </c>
      <c r="L44" s="563"/>
      <c r="M44" s="546"/>
      <c r="N44" s="572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3" t="s">
        <v>46</v>
      </c>
      <c r="C45" s="583"/>
      <c r="D45" s="374">
        <f>IFERROR(VLOOKUP("ESS/ERR",BD!$B$7:$C$16,2,FALSE),0)</f>
        <v>851967.65457204496</v>
      </c>
      <c r="E45" s="9"/>
      <c r="I45" s="376"/>
      <c r="J45" s="583" t="s">
        <v>46</v>
      </c>
      <c r="K45" s="474">
        <f ca="1">Resultado!F20</f>
        <v>1.9831675895288892</v>
      </c>
      <c r="L45" s="563"/>
      <c r="M45" s="571"/>
      <c r="N45" s="572"/>
      <c r="O45" s="9"/>
      <c r="Q45" s="537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3" t="s">
        <v>47</v>
      </c>
      <c r="C46" s="583"/>
      <c r="D46" s="374">
        <f>IFERROR(VLOOKUP("PROINFA",BD!$B$7:$C$16,2,FALSE),0)</f>
        <v>1044139.62868</v>
      </c>
      <c r="E46" s="9"/>
      <c r="F46" s="9"/>
      <c r="G46" s="9"/>
      <c r="H46" s="9"/>
      <c r="I46" s="400"/>
      <c r="J46" s="583" t="s">
        <v>47</v>
      </c>
      <c r="K46" s="590">
        <f ca="1">Resultado!F21</f>
        <v>0.51664070031186315</v>
      </c>
      <c r="L46" s="563"/>
      <c r="M46" s="573"/>
      <c r="N46" s="572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3" t="s">
        <v>2174</v>
      </c>
      <c r="C47" s="583"/>
      <c r="D47" s="374">
        <f>IFERROR(VLOOKUP("CDE Covid TUSD",BD!$B$7:$C$16,2,FALSE),0)</f>
        <v>0</v>
      </c>
      <c r="E47" s="9"/>
      <c r="I47" s="400"/>
      <c r="J47" s="583" t="s">
        <v>48</v>
      </c>
      <c r="K47" s="474" t="str">
        <f ca="1">Resultado!F22</f>
        <v>-</v>
      </c>
      <c r="L47" s="563"/>
      <c r="M47" s="573"/>
      <c r="N47" s="572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3" t="s">
        <v>49</v>
      </c>
      <c r="C48" s="583"/>
      <c r="D48" s="374">
        <f>IFERROR(VLOOKUP("ONS",BD!$B$7:$C$16,2,FALSE),0)</f>
        <v>0</v>
      </c>
      <c r="E48" s="9"/>
      <c r="F48" s="717" t="s">
        <v>703</v>
      </c>
      <c r="G48" s="718"/>
      <c r="I48" s="400"/>
      <c r="J48" s="583" t="s">
        <v>49</v>
      </c>
      <c r="K48" s="474" t="str">
        <f ca="1">Resultado!F23</f>
        <v>-</v>
      </c>
      <c r="L48" s="563"/>
      <c r="M48" s="573"/>
      <c r="N48" s="572"/>
      <c r="O48" s="9"/>
      <c r="Q48" s="537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4" t="s">
        <v>704</v>
      </c>
      <c r="C49" s="774"/>
      <c r="D49" s="1080">
        <f>BD!C18</f>
        <v>2413084.7999999998</v>
      </c>
      <c r="E49" s="9"/>
      <c r="F49" s="717" t="s">
        <v>705</v>
      </c>
      <c r="G49" s="719"/>
      <c r="I49" s="400"/>
      <c r="J49" s="774" t="s">
        <v>704</v>
      </c>
      <c r="K49" s="1078"/>
      <c r="L49" s="563"/>
      <c r="M49" s="573"/>
      <c r="N49" s="572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3" t="s">
        <v>706</v>
      </c>
      <c r="C50" s="583"/>
      <c r="D50" s="374">
        <f>BD!C19</f>
        <v>732638.4</v>
      </c>
      <c r="E50" s="9"/>
      <c r="I50" s="400"/>
      <c r="J50" s="583" t="s">
        <v>706</v>
      </c>
      <c r="K50" s="590"/>
      <c r="L50" s="563"/>
      <c r="M50" s="573"/>
      <c r="N50" s="572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5" t="s">
        <v>707</v>
      </c>
      <c r="C51" s="775"/>
      <c r="D51" s="1081"/>
      <c r="E51" s="9"/>
      <c r="I51" s="9"/>
      <c r="J51" s="775" t="s">
        <v>707</v>
      </c>
      <c r="K51" s="590"/>
      <c r="L51" s="563"/>
      <c r="M51" s="573"/>
      <c r="N51" s="572"/>
      <c r="O51" s="9"/>
      <c r="Q51" s="537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8" t="s">
        <v>708</v>
      </c>
      <c r="C52" s="588"/>
      <c r="D52" s="1082">
        <f>BD!C25</f>
        <v>4079122.2775359</v>
      </c>
      <c r="E52" s="9"/>
      <c r="F52" s="9"/>
      <c r="G52" s="9"/>
      <c r="H52" s="9"/>
      <c r="I52" s="9"/>
      <c r="J52" s="588" t="s">
        <v>708</v>
      </c>
      <c r="K52" s="593">
        <f ca="1">Resultado!F32</f>
        <v>6.4805248202165933E-2</v>
      </c>
      <c r="L52" s="563"/>
      <c r="M52" s="573"/>
      <c r="N52" s="572"/>
      <c r="O52" s="9"/>
      <c r="Q52" s="490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8" t="s">
        <v>709</v>
      </c>
      <c r="C53" s="588"/>
      <c r="D53" s="1082">
        <f>BD!C26</f>
        <v>38500000</v>
      </c>
      <c r="E53" s="9"/>
      <c r="F53" s="9"/>
      <c r="G53" s="9"/>
      <c r="H53" s="9"/>
      <c r="I53" s="9"/>
      <c r="J53" s="9"/>
      <c r="K53" s="9"/>
      <c r="L53" s="563"/>
      <c r="M53" s="573"/>
      <c r="N53" s="572"/>
      <c r="O53" s="9"/>
      <c r="Q53" s="490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3"/>
      <c r="E54" s="9"/>
      <c r="F54" s="9"/>
      <c r="G54" s="9"/>
      <c r="H54" s="9"/>
      <c r="I54" s="9"/>
      <c r="J54" s="9"/>
      <c r="K54" s="9"/>
      <c r="L54" s="563"/>
      <c r="M54" s="573"/>
      <c r="N54" s="572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2"/>
      <c r="B55" s="542" t="s">
        <v>710</v>
      </c>
      <c r="C55" s="553"/>
      <c r="D55" s="553"/>
      <c r="E55" s="554"/>
      <c r="F55" s="554"/>
      <c r="G55" s="554"/>
      <c r="H55" s="534"/>
      <c r="I55" s="535"/>
      <c r="J55" s="554"/>
      <c r="K55" s="555"/>
      <c r="L55" s="556"/>
      <c r="M55" s="557"/>
      <c r="N55" s="572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7"/>
      <c r="E56" s="49"/>
      <c r="F56" s="49"/>
      <c r="G56" s="49"/>
      <c r="H56" s="533"/>
      <c r="I56" s="375"/>
      <c r="J56" s="49"/>
      <c r="K56" s="562"/>
      <c r="L56" s="563"/>
      <c r="M56" s="559"/>
      <c r="N56" s="572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2"/>
      <c r="C57" s="9"/>
      <c r="D57" s="1083"/>
      <c r="E57" s="586"/>
      <c r="F57" s="587" t="s">
        <v>711</v>
      </c>
      <c r="G57" s="49"/>
      <c r="H57" s="533"/>
      <c r="I57" s="375"/>
      <c r="J57" s="49"/>
      <c r="K57" s="562"/>
      <c r="L57" s="563"/>
      <c r="M57" s="559"/>
      <c r="N57" s="575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084" t="s">
        <v>270</v>
      </c>
      <c r="C58" s="1085"/>
      <c r="D58" s="804"/>
      <c r="E58" s="1774">
        <v>0</v>
      </c>
      <c r="F58" s="1774"/>
      <c r="G58" s="381"/>
      <c r="L58" s="791"/>
      <c r="M58" s="574"/>
      <c r="N58" s="577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1"/>
      <c r="K59" s="576"/>
      <c r="L59" s="563"/>
      <c r="N59" s="580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8"/>
      <c r="B60" s="542" t="s">
        <v>712</v>
      </c>
      <c r="C60" s="553"/>
      <c r="D60" s="554"/>
      <c r="E60" s="554"/>
      <c r="F60" s="554"/>
      <c r="G60" s="534"/>
      <c r="H60" s="535"/>
      <c r="I60" s="554"/>
      <c r="J60" s="555"/>
      <c r="K60" s="556"/>
      <c r="L60" s="792"/>
      <c r="M60" s="579"/>
      <c r="N60" s="580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1" t="s">
        <v>713</v>
      </c>
      <c r="C61" s="581"/>
      <c r="D61" s="581" t="s">
        <v>714</v>
      </c>
      <c r="L61" s="563"/>
      <c r="M61" s="770"/>
      <c r="N61" s="479"/>
      <c r="O61" s="580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6" t="s">
        <v>715</v>
      </c>
      <c r="C62" s="747" t="s">
        <v>716</v>
      </c>
      <c r="D62" s="747" t="s">
        <v>232</v>
      </c>
      <c r="E62" s="1767" t="s">
        <v>717</v>
      </c>
      <c r="F62" s="1768"/>
      <c r="G62" s="747" t="s">
        <v>718</v>
      </c>
      <c r="H62" s="748" t="s">
        <v>719</v>
      </c>
      <c r="I62" s="9"/>
      <c r="J62" s="9"/>
      <c r="K62" s="9"/>
      <c r="L62" s="17"/>
      <c r="M62" s="568"/>
      <c r="N62" s="479"/>
      <c r="O62" s="580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2">
        <f>Indexador!B34</f>
        <v>44287</v>
      </c>
      <c r="C63" s="758"/>
      <c r="D63" s="758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5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86"/>
      <c r="G63" s="758"/>
      <c r="H63" s="759"/>
      <c r="I63" s="9" t="s">
        <v>720</v>
      </c>
      <c r="J63" s="484"/>
      <c r="K63" s="9"/>
      <c r="L63" s="17"/>
      <c r="M63" s="568"/>
      <c r="N63" s="479"/>
      <c r="O63" s="580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3">
        <f>Indexador!B35</f>
        <v>44317</v>
      </c>
      <c r="C64" s="764"/>
      <c r="D64" s="764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87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88"/>
      <c r="G64" s="764"/>
      <c r="H64" s="750">
        <f>SUMIF(BD!$A$41:$A$57,B64,BD!$C$41:$C$57)</f>
        <v>0</v>
      </c>
      <c r="I64" s="9" t="s">
        <v>721</v>
      </c>
      <c r="J64" s="585"/>
      <c r="K64" s="9"/>
      <c r="L64" s="17"/>
      <c r="M64" s="568"/>
      <c r="N64" s="479"/>
      <c r="O64" s="580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49">
        <f>Indexador!B36</f>
        <v>44348</v>
      </c>
      <c r="C65" s="765"/>
      <c r="D65" s="76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89"/>
      <c r="F65" s="1790"/>
      <c r="G65" s="765">
        <f>IFERROR(VLOOKUP(B65,transmissorapiscofins[#All],2,FALSE),0)</f>
        <v>25378.33</v>
      </c>
      <c r="H65" s="773">
        <f>SUMIF(BD!$A$41:$A$57,B65,BD!$C$41:$C$57)</f>
        <v>0</v>
      </c>
      <c r="I65" s="9"/>
      <c r="J65" s="585"/>
      <c r="K65" s="9"/>
      <c r="L65" s="17"/>
      <c r="M65" s="568"/>
      <c r="N65" s="479"/>
      <c r="O65" s="580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4">
        <f>Indexador!B37</f>
        <v>44378</v>
      </c>
      <c r="C66" s="766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21884.28</v>
      </c>
      <c r="D66" s="76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-81916.289999999994</v>
      </c>
      <c r="F66" s="1782"/>
      <c r="G66" s="767">
        <f>IFERROR(VLOOKUP(B66,transmissorapiscofins[#All],2,FALSE),0)</f>
        <v>21958.19</v>
      </c>
      <c r="H66" s="750">
        <f>SUMIF(BD!$A$41:$A$57,B66,BD!$C$41:$C$57)</f>
        <v>0</v>
      </c>
      <c r="I66" s="9"/>
      <c r="J66" s="9"/>
      <c r="K66" s="9"/>
      <c r="L66" s="17"/>
      <c r="M66" s="568"/>
      <c r="N66" s="479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4">
        <f>Indexador!B38</f>
        <v>44409</v>
      </c>
      <c r="C67" s="766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27134.399999999998</v>
      </c>
      <c r="D67" s="76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6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70"/>
      <c r="G67" s="766">
        <f>IFERROR(VLOOKUP(B67,transmissorapiscofins[#All],2,FALSE),0)</f>
        <v>21912.04</v>
      </c>
      <c r="H67" s="750">
        <v>0</v>
      </c>
      <c r="I67" s="9"/>
      <c r="J67" s="9"/>
      <c r="K67" s="9"/>
      <c r="L67" s="17"/>
      <c r="M67" s="568"/>
      <c r="N67" s="772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4">
        <f>Indexador!B39</f>
        <v>44440</v>
      </c>
      <c r="C68" s="766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32321.97</v>
      </c>
      <c r="D68" s="76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6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70"/>
      <c r="G68" s="766">
        <f>IFERROR(VLOOKUP(B68,transmissorapiscofins[#All],2,FALSE),0)</f>
        <v>21877.3</v>
      </c>
      <c r="H68" s="750">
        <v>0</v>
      </c>
      <c r="I68" s="9"/>
      <c r="J68" s="9"/>
      <c r="K68" s="9"/>
      <c r="L68" s="17"/>
      <c r="M68" s="568"/>
      <c r="N68" s="479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4">
        <f>Indexador!B40</f>
        <v>44470</v>
      </c>
      <c r="C69" s="766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30501.64</v>
      </c>
      <c r="D69" s="76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6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70"/>
      <c r="G69" s="766">
        <f>IFERROR(VLOOKUP(B69,transmissorapiscofins[#All],2,FALSE),0)</f>
        <v>21868.81</v>
      </c>
      <c r="H69" s="750">
        <v>0</v>
      </c>
      <c r="I69" s="9"/>
      <c r="J69" s="9"/>
      <c r="K69" s="9"/>
      <c r="L69" s="17"/>
      <c r="M69" s="568"/>
      <c r="N69" s="479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4">
        <f>Indexador!B41</f>
        <v>44501</v>
      </c>
      <c r="C70" s="766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23712.17</v>
      </c>
      <c r="D70" s="76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6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-22161.13</v>
      </c>
      <c r="F70" s="1770"/>
      <c r="G70" s="766">
        <f>IFERROR(VLOOKUP(B70,transmissorapiscofins[#All],2,FALSE),0)</f>
        <v>21923.67</v>
      </c>
      <c r="H70" s="750">
        <v>0</v>
      </c>
      <c r="I70" s="9"/>
      <c r="J70" s="9"/>
      <c r="K70" s="9"/>
      <c r="L70" s="17"/>
      <c r="M70" s="568"/>
      <c r="N70" s="479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4">
        <f>Indexador!B42</f>
        <v>44531</v>
      </c>
      <c r="C71" s="766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17875.810000000001</v>
      </c>
      <c r="D71" s="76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6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70"/>
      <c r="G71" s="766">
        <f>IFERROR(VLOOKUP(B71,transmissorapiscofins[#All],2,FALSE),0)</f>
        <v>21884.16</v>
      </c>
      <c r="H71" s="750">
        <v>0</v>
      </c>
      <c r="I71" s="9"/>
      <c r="J71" s="9"/>
      <c r="K71" s="9"/>
      <c r="L71" s="17"/>
      <c r="M71" s="568"/>
      <c r="N71" s="479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4">
        <f>Indexador!B43</f>
        <v>44562</v>
      </c>
      <c r="C72" s="766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8462.81</v>
      </c>
      <c r="D72" s="76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6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-23575.19</v>
      </c>
      <c r="F72" s="1770"/>
      <c r="G72" s="766">
        <f>IFERROR(VLOOKUP(B72,transmissorapiscofins[#All],2,FALSE),0)</f>
        <v>22725.15</v>
      </c>
      <c r="H72" s="750">
        <v>0</v>
      </c>
      <c r="J72" s="486" t="s">
        <v>722</v>
      </c>
      <c r="K72" s="486" t="s">
        <v>723</v>
      </c>
      <c r="L72" s="606" t="s">
        <v>723</v>
      </c>
      <c r="M72" s="606" t="s">
        <v>724</v>
      </c>
      <c r="N72" s="479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4">
        <f>Indexador!B44</f>
        <v>44593</v>
      </c>
      <c r="C73" s="766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15925.86</v>
      </c>
      <c r="D73" s="76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6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-67698.44</v>
      </c>
      <c r="F73" s="1770"/>
      <c r="G73" s="766">
        <f>IFERROR(VLOOKUP(B73,transmissorapiscofins[#All],2,FALSE),0)</f>
        <v>23175.93</v>
      </c>
      <c r="H73" s="750">
        <v>0</v>
      </c>
      <c r="J73" s="1086" t="str">
        <f ca="1">IFERROR(VLOOKUP(TRUE,BD!D41:F56,3,FALSE),"todos os meses")</f>
        <v>todos os meses</v>
      </c>
      <c r="K73" s="1087" t="s">
        <v>725</v>
      </c>
      <c r="L73" s="1088">
        <f ca="1">IF(Energia!F23*2/3=0,0.0000001,Energia!F23*2/3)</f>
        <v>14116910.62983785</v>
      </c>
      <c r="M73" s="1089">
        <f ca="1">IFERROR(-LnkTXTBandeira/Energia!F23," ")</f>
        <v>0</v>
      </c>
      <c r="N73" s="479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4">
        <f>Indexador!B45</f>
        <v>44621</v>
      </c>
      <c r="C74" s="766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31272.550000000003</v>
      </c>
      <c r="D74" s="76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6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70"/>
      <c r="G74" s="766">
        <f>IFERROR(VLOOKUP(B74,transmissorapiscofins[#All],2,FALSE),0)</f>
        <v>29061.09</v>
      </c>
      <c r="H74" s="750">
        <v>0</v>
      </c>
      <c r="I74" s="9"/>
      <c r="J74" s="9"/>
      <c r="K74" s="9"/>
      <c r="L74" s="17"/>
      <c r="M74" s="568"/>
      <c r="N74" s="479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4">
        <f>Indexador!B46</f>
        <v>44652</v>
      </c>
      <c r="C75" s="766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26953.33</v>
      </c>
      <c r="D75" s="76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6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-5027.68</v>
      </c>
      <c r="F75" s="1770"/>
      <c r="G75" s="766">
        <f>IFERROR(VLOOKUP(B75,transmissorapiscofins[#All],2,FALSE),0)</f>
        <v>28794.05</v>
      </c>
      <c r="H75" s="750">
        <v>0</v>
      </c>
      <c r="I75" s="9"/>
      <c r="J75" s="9"/>
      <c r="K75" s="9"/>
      <c r="L75" s="17"/>
      <c r="M75" s="568"/>
      <c r="N75" s="479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4">
        <f>Indexador!B47</f>
        <v>44682</v>
      </c>
      <c r="C76" s="766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20347.150000000001</v>
      </c>
      <c r="D76" s="76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6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-15566.1</v>
      </c>
      <c r="F76" s="1770"/>
      <c r="G76" s="766">
        <f>IFERROR(VLOOKUP(B76,transmissorapiscofins[#All],2,FALSE),0)</f>
        <v>28645.65</v>
      </c>
      <c r="H76" s="750">
        <v>0</v>
      </c>
      <c r="I76" s="9"/>
      <c r="J76" s="9"/>
      <c r="K76" s="9"/>
      <c r="L76" s="17"/>
      <c r="M76" s="568"/>
      <c r="N76" s="479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5">
        <f>Indexador!B48</f>
        <v>44713</v>
      </c>
      <c r="C77" s="768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6822.81</v>
      </c>
      <c r="D77" s="768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72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73"/>
      <c r="G77" s="768">
        <f>IFERROR(VLOOKUP(B77,transmissorapiscofins[#All],2,FALSE),0)</f>
        <v>0</v>
      </c>
      <c r="H77" s="1669">
        <v>0</v>
      </c>
      <c r="I77" s="584">
        <f>SUM(D65:D76)+D76</f>
        <v>0</v>
      </c>
      <c r="J77" s="9"/>
      <c r="K77" s="9"/>
      <c r="L77" s="17"/>
      <c r="M77" s="568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4"/>
      <c r="K78" s="9"/>
      <c r="L78" s="17"/>
      <c r="M78" s="546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0"/>
      <c r="G79" s="531"/>
      <c r="H79" s="532"/>
      <c r="I79" s="526"/>
      <c r="J79" s="526"/>
      <c r="K79" s="527"/>
      <c r="L79" s="793"/>
      <c r="M79" s="771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8"/>
      <c r="B80" s="542" t="s">
        <v>726</v>
      </c>
      <c r="C80" s="553"/>
      <c r="D80" s="554"/>
      <c r="E80" s="554"/>
      <c r="F80" s="554"/>
      <c r="G80" s="534"/>
      <c r="H80" s="535"/>
      <c r="I80" s="554"/>
      <c r="J80" s="555"/>
      <c r="K80" s="556"/>
      <c r="L80" s="792"/>
      <c r="M80" s="579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4"/>
      <c r="M81" s="546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8" t="s">
        <v>727</v>
      </c>
      <c r="C82" s="1090" t="str">
        <f>H5</f>
        <v xml:space="preserve"> 48500.004968/2021-33</v>
      </c>
      <c r="D82" s="1091"/>
      <c r="E82" s="1091"/>
      <c r="F82" s="1091"/>
      <c r="H82" s="567"/>
      <c r="L82" s="563"/>
      <c r="M82" s="546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4" t="s">
        <v>728</v>
      </c>
      <c r="C83" s="1092">
        <f>VLOOKUP(LnkTXTSigla,Informacoes[],23,FALSE)</f>
        <v>2914</v>
      </c>
      <c r="D83" s="1093"/>
      <c r="E83" s="1093"/>
      <c r="F83" s="1093"/>
      <c r="G83" s="381"/>
      <c r="H83" s="567"/>
      <c r="I83" s="787"/>
      <c r="L83" s="563"/>
      <c r="M83" s="546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3" t="s">
        <v>729</v>
      </c>
      <c r="C84" s="617" t="str">
        <f>'Informações Gerais'!X49</f>
        <v>27 de abril de 2021</v>
      </c>
      <c r="D84" s="538"/>
      <c r="E84" s="538"/>
      <c r="F84" s="538"/>
      <c r="G84" s="381"/>
      <c r="H84" s="567"/>
      <c r="L84" s="563"/>
      <c r="M84" s="546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4" t="s">
        <v>730</v>
      </c>
      <c r="C85" s="1094"/>
      <c r="D85" s="1095"/>
      <c r="E85" s="1095"/>
      <c r="F85" s="1095"/>
      <c r="G85" s="381"/>
      <c r="H85" s="567"/>
      <c r="L85" s="563"/>
      <c r="M85" s="546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3" t="s">
        <v>731</v>
      </c>
      <c r="C86" s="661"/>
      <c r="D86" s="662"/>
      <c r="E86" s="662"/>
      <c r="F86" s="662"/>
      <c r="G86" s="381"/>
      <c r="H86" s="567"/>
      <c r="L86" s="563"/>
      <c r="M86" s="546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5" t="s">
        <v>732</v>
      </c>
      <c r="C87" s="1096"/>
      <c r="D87" s="1097"/>
      <c r="E87" s="1097"/>
      <c r="F87" s="1097"/>
      <c r="G87" s="381"/>
      <c r="H87" s="567"/>
      <c r="L87" s="563"/>
      <c r="M87" s="546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3" t="s">
        <v>733</v>
      </c>
      <c r="C88" s="619" t="str">
        <f>VLOOKUP(LnkTXTSigla,Informacoes[],20,FALSE)</f>
        <v>15/2008</v>
      </c>
      <c r="D88" s="539"/>
      <c r="E88" s="539"/>
      <c r="F88" s="539"/>
      <c r="G88" s="381"/>
      <c r="H88" s="567"/>
      <c r="L88" s="563"/>
      <c r="M88" s="546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3" t="s">
        <v>734</v>
      </c>
      <c r="C89" s="619" t="str">
        <f>VLOOKUP(LnkTXTSigla,Informacoes[],21,FALSE)</f>
        <v>28 de agosto de 2008</v>
      </c>
      <c r="D89" s="620"/>
      <c r="E89" s="539"/>
      <c r="F89" s="538"/>
      <c r="H89" s="567"/>
      <c r="L89" s="563"/>
      <c r="M89" s="546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3" t="s">
        <v>735</v>
      </c>
      <c r="C90" s="621" t="str">
        <f>Q3</f>
        <v>Cooperativa Regional de Energia Taquari Jacui</v>
      </c>
      <c r="D90" s="539"/>
      <c r="E90" s="539"/>
      <c r="F90" s="539"/>
      <c r="H90" s="567"/>
      <c r="L90" s="563"/>
      <c r="M90" s="546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3" t="s">
        <v>736</v>
      </c>
      <c r="C91" s="621" t="str">
        <f>C9</f>
        <v>Certaja</v>
      </c>
      <c r="D91" s="539"/>
      <c r="E91" s="540"/>
      <c r="F91" s="539"/>
      <c r="H91" s="787"/>
      <c r="L91" s="563"/>
      <c r="M91" s="546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3" t="s">
        <v>737</v>
      </c>
      <c r="C92" s="619" t="str">
        <f>D92&amp;" - "&amp;E92</f>
        <v>Taquari - RS</v>
      </c>
      <c r="D92" s="541" t="str">
        <f>VLOOKUP(LnkTXTSigla,Informacoes[],6,FALSE)</f>
        <v>Taquari</v>
      </c>
      <c r="E92" s="541" t="str">
        <f>VLOOKUP(LnkTXTSigla,Informacoes[],7,FALSE)</f>
        <v>RS</v>
      </c>
      <c r="F92" s="539"/>
      <c r="L92" s="563"/>
      <c r="M92" s="546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3" t="s">
        <v>738</v>
      </c>
      <c r="C93" s="622"/>
      <c r="D93" s="539"/>
      <c r="E93" s="539"/>
      <c r="F93" s="539"/>
      <c r="L93" s="563"/>
      <c r="M93" s="546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3" t="s">
        <v>739</v>
      </c>
      <c r="C94" s="621">
        <f>DataRevRea</f>
        <v>44772</v>
      </c>
      <c r="D94" s="539"/>
      <c r="E94" s="539">
        <f>DATE(YEAR(DataRevRea)+1,MONTH(DataRevRea)-1,1)</f>
        <v>45078</v>
      </c>
      <c r="F94" s="539"/>
      <c r="L94" s="563"/>
      <c r="M94" s="546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3" t="s">
        <v>740</v>
      </c>
      <c r="C95" s="623" t="str">
        <f>TEXT(E95,"mmmm")&amp;" de "&amp;TEXT(E95,"aaaa")&amp; " a "&amp;TEXT(E94,"mmmm")&amp;" de "&amp;TEXT(E94,"aaaa")</f>
        <v>julho de 2022 a junho de 2023</v>
      </c>
      <c r="D95" s="539"/>
      <c r="E95" s="539">
        <f>DATE(YEAR(DataRevRea),MONTH(DataRevRea),DAY(DataRevRea))</f>
        <v>44772</v>
      </c>
      <c r="F95" s="539"/>
      <c r="L95" s="563"/>
      <c r="M95" s="546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3" t="s">
        <v>741</v>
      </c>
      <c r="C96" s="622">
        <f>C94</f>
        <v>44772</v>
      </c>
      <c r="D96" s="624"/>
      <c r="E96" s="539"/>
      <c r="F96" s="539"/>
      <c r="L96" s="563"/>
      <c r="M96" s="546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3" t="s">
        <v>226</v>
      </c>
      <c r="C97" s="625">
        <f>DATE(YEAR(DataRevRea)+1,MONTH(DataRevRea),DAY(DataRevRea)-1)</f>
        <v>45136</v>
      </c>
      <c r="D97" s="624"/>
      <c r="E97" s="539"/>
      <c r="F97" s="539"/>
      <c r="L97" s="563"/>
      <c r="M97" s="546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3" t="s">
        <v>742</v>
      </c>
      <c r="C98" s="625" t="str">
        <f>TEXT(C14,"mmmm")&amp;" de "&amp;TEXT(C14,"aaaa")&amp; " a "&amp;TEXT(C17,"mmmm")&amp;" de "&amp;TEXT(C17,"aaaa")</f>
        <v>julho de 2021 a junho de 2022</v>
      </c>
      <c r="D98" s="539"/>
      <c r="E98" s="539"/>
      <c r="F98" s="539"/>
      <c r="L98" s="563"/>
      <c r="M98" s="546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3" t="s">
        <v>743</v>
      </c>
      <c r="C99" s="618">
        <f ca="1">IF(P1="verdadeiro",K36,H41)</f>
        <v>9.6639725579381358E-2</v>
      </c>
      <c r="D99" s="539"/>
      <c r="E99" s="539"/>
      <c r="F99" s="539"/>
      <c r="I99" s="567"/>
      <c r="L99" s="563"/>
      <c r="M99" s="546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3" t="s">
        <v>701</v>
      </c>
      <c r="C100" s="618">
        <f>H42</f>
        <v>0</v>
      </c>
      <c r="D100" s="539"/>
      <c r="E100" s="539"/>
      <c r="F100" s="539"/>
      <c r="L100" s="563"/>
      <c r="M100" s="546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3" t="s">
        <v>744</v>
      </c>
      <c r="C101" s="618">
        <f>LnkTXTIPCA-C100</f>
        <v>0.11886869625198027</v>
      </c>
      <c r="D101" s="539"/>
      <c r="E101" s="539"/>
      <c r="F101" s="539"/>
      <c r="L101" s="563"/>
      <c r="M101" s="546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3" t="s">
        <v>745</v>
      </c>
      <c r="C102" s="626">
        <f ca="1">Resultado!D33</f>
        <v>21175365.944756776</v>
      </c>
      <c r="D102" s="539"/>
      <c r="E102" s="539"/>
      <c r="F102" s="539"/>
      <c r="L102" s="563"/>
      <c r="M102" s="546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3" t="s">
        <v>746</v>
      </c>
      <c r="C103" s="626">
        <f>Resultado!D32</f>
        <v>4495042.4685952002</v>
      </c>
      <c r="D103" s="539"/>
      <c r="E103" s="539"/>
      <c r="F103" s="539"/>
      <c r="L103" s="563"/>
      <c r="M103" s="546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3" t="s">
        <v>747</v>
      </c>
      <c r="C104" s="626">
        <f>SUM(Resultado!D25:D29)</f>
        <v>4451521.8</v>
      </c>
      <c r="D104" s="539"/>
      <c r="E104" s="539"/>
      <c r="F104" s="539"/>
      <c r="H104" s="582"/>
      <c r="I104" s="582"/>
      <c r="L104" s="563"/>
      <c r="M104" s="546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3" t="s">
        <v>748</v>
      </c>
      <c r="C105" s="626">
        <f>Resultado!D31</f>
        <v>118926.88481049077</v>
      </c>
      <c r="D105" s="539"/>
      <c r="E105" s="539"/>
      <c r="F105" s="539"/>
      <c r="L105" s="563"/>
      <c r="M105" s="546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3" t="s">
        <v>749</v>
      </c>
      <c r="C106" s="627">
        <f>ROUND(Calc_Mercado!J18/1000,0)</f>
        <v>15</v>
      </c>
      <c r="D106" s="539"/>
      <c r="E106" s="539"/>
      <c r="F106" s="539"/>
      <c r="L106" s="563"/>
      <c r="M106" s="546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3" t="s">
        <v>750</v>
      </c>
      <c r="C107" s="627">
        <f ca="1">ROUND(Mercado_RA0_Reais/1000000,0)</f>
        <v>76</v>
      </c>
      <c r="D107" s="539"/>
      <c r="E107" s="539"/>
      <c r="F107" s="539"/>
      <c r="L107" s="563"/>
      <c r="M107" s="546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3" t="s">
        <v>246</v>
      </c>
      <c r="C108" s="627" t="str">
        <f>VLOOKUP(LnkTXTSigla,Informacoes[],9,FALSE)</f>
        <v>RGE</v>
      </c>
      <c r="D108" s="539"/>
      <c r="E108" s="539" t="str">
        <f>VLOOKUP(LnkTXTSigla,Informacoes[],11,FALSE)</f>
        <v>CEEE</v>
      </c>
      <c r="F108" s="539"/>
      <c r="L108" s="563"/>
      <c r="M108" s="546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5" t="s">
        <v>248</v>
      </c>
      <c r="C109" s="1098" t="str">
        <f>IF(E109=0,"!vazio!"," e "&amp;E109)</f>
        <v xml:space="preserve"> e CEEE</v>
      </c>
      <c r="D109" s="1099" t="str">
        <f>IF(Energia!B29=Energia!B28,IF(Energia!B30=Energia!B28,Energia!B31,Energia!B29),Energia!B29)</f>
        <v>Cia. Estadual de Distribuição de Energia Elétrica - Ceee-D</v>
      </c>
      <c r="E109" s="1099" t="str">
        <f>VLOOKUP(LnkTXTSigla,Informacoes[],11,FALSE)</f>
        <v>CEEE</v>
      </c>
      <c r="F109" s="1099"/>
      <c r="L109" s="563"/>
      <c r="M109" s="546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5" t="s">
        <v>751</v>
      </c>
      <c r="C110" s="1098" t="str">
        <f ca="1">IF(AnoRevRea=VLOOKUP(LnkTXTSigla,Informacoes[],22,FALSE),"REVISÃO","REAJUSTE")</f>
        <v>REAJUSTE</v>
      </c>
      <c r="D110" s="1099"/>
      <c r="E110" s="1099"/>
      <c r="F110" s="1099"/>
      <c r="L110" s="563"/>
      <c r="M110" s="546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5" t="s">
        <v>752</v>
      </c>
      <c r="C111" s="1098" t="str">
        <f ca="1">IF(C110="Reajuste", "Reajuste Tarifário Anual - RTA", "Revisão Tarifária Periódica - RTP")</f>
        <v>Reajuste Tarifário Anual - RTA</v>
      </c>
      <c r="D111" s="1098"/>
      <c r="E111" s="1098"/>
      <c r="F111" s="1098"/>
      <c r="L111" s="563"/>
      <c r="M111" s="546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5" t="s">
        <v>753</v>
      </c>
      <c r="C112" s="779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9"/>
      <c r="E112" s="779"/>
      <c r="F112" s="779"/>
      <c r="L112" s="563"/>
      <c r="M112" s="546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4" t="s">
        <v>754</v>
      </c>
      <c r="C113" s="777" t="str">
        <f>VLOOKUP(C9,Informacoes[],37,FALSE)</f>
        <v>Não</v>
      </c>
      <c r="D113" s="777"/>
      <c r="E113" s="777"/>
      <c r="F113" s="777"/>
      <c r="L113" s="563"/>
      <c r="M113" s="546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5" t="s">
        <v>755</v>
      </c>
      <c r="C114" s="778">
        <f>VLOOKUP(C9,Informacoes[],38,FALSE)</f>
        <v>0</v>
      </c>
      <c r="D114" s="778"/>
      <c r="E114" s="778"/>
      <c r="F114" s="778"/>
      <c r="L114" s="563"/>
      <c r="M114" s="546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3"/>
      <c r="M115" s="546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3"/>
      <c r="M116" s="546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3"/>
      <c r="M117" s="546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3"/>
      <c r="M118" s="546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00" t="s">
        <v>238</v>
      </c>
      <c r="C119" s="1100" t="s">
        <v>238</v>
      </c>
      <c r="L119" s="563"/>
      <c r="M119" s="546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01" t="str">
        <f>LnkTXTSigla</f>
        <v>Certaja</v>
      </c>
      <c r="C120" s="1102" t="str">
        <f>LnkTXTSuprid1</f>
        <v>RGE</v>
      </c>
      <c r="L120" s="563"/>
      <c r="M120" s="546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3"/>
      <c r="M121" s="546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3"/>
      <c r="M122" s="546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3"/>
      <c r="M123" s="546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3"/>
      <c r="M124" s="546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3"/>
      <c r="M125" s="546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3"/>
      <c r="M126" s="546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3"/>
      <c r="M127" s="546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3"/>
      <c r="M128" s="546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6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6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6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6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6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6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6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6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6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6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6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6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6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6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6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6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6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6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6"/>
    </row>
    <row r="148" spans="13:84">
      <c r="M148" s="546"/>
    </row>
    <row r="149" spans="13:84">
      <c r="M149" s="546"/>
    </row>
    <row r="150" spans="13:84">
      <c r="M150" s="546"/>
    </row>
    <row r="151" spans="13:84">
      <c r="M151" s="546"/>
    </row>
    <row r="152" spans="13:84">
      <c r="M152" s="546"/>
    </row>
    <row r="153" spans="13:84">
      <c r="M153" s="546"/>
    </row>
    <row r="154" spans="13:84">
      <c r="M154" s="546"/>
    </row>
    <row r="155" spans="13:84">
      <c r="M155" s="546"/>
    </row>
    <row r="156" spans="13:84">
      <c r="M156" s="546"/>
    </row>
    <row r="157" spans="13:84">
      <c r="M157" s="546"/>
    </row>
    <row r="158" spans="13:84">
      <c r="M158" s="546"/>
    </row>
    <row r="159" spans="13:84">
      <c r="M159" s="546"/>
    </row>
    <row r="160" spans="13:84">
      <c r="M160" s="546"/>
    </row>
    <row r="161" spans="13:13">
      <c r="M161" s="546"/>
    </row>
    <row r="162" spans="13:13">
      <c r="M162" s="546"/>
    </row>
    <row r="163" spans="13:13">
      <c r="M163" s="546"/>
    </row>
    <row r="164" spans="13:13">
      <c r="M164" s="546"/>
    </row>
    <row r="165" spans="13:13">
      <c r="M165" s="546"/>
    </row>
    <row r="166" spans="13:13">
      <c r="M166" s="546"/>
    </row>
    <row r="167" spans="13:13">
      <c r="M167" s="546"/>
    </row>
    <row r="168" spans="13:13">
      <c r="M168" s="546"/>
    </row>
    <row r="169" spans="13:13">
      <c r="M169" s="546"/>
    </row>
    <row r="170" spans="13:13">
      <c r="M170" s="546"/>
    </row>
    <row r="171" spans="13:13">
      <c r="M171" s="546"/>
    </row>
    <row r="172" spans="13:13">
      <c r="M172" s="546"/>
    </row>
    <row r="173" spans="13:13">
      <c r="M173" s="546"/>
    </row>
    <row r="174" spans="13:13">
      <c r="M174" s="546"/>
    </row>
    <row r="175" spans="13:13">
      <c r="M175" s="546"/>
    </row>
    <row r="176" spans="13:13">
      <c r="M176" s="546"/>
    </row>
    <row r="177" spans="13:13">
      <c r="M177" s="546"/>
    </row>
    <row r="178" spans="13:13">
      <c r="M178" s="546"/>
    </row>
    <row r="179" spans="13:13">
      <c r="M179" s="546"/>
    </row>
    <row r="180" spans="13:13">
      <c r="M180" s="546"/>
    </row>
    <row r="181" spans="13:13">
      <c r="M181" s="546"/>
    </row>
    <row r="182" spans="13:13">
      <c r="M182" s="546"/>
    </row>
    <row r="183" spans="13:13">
      <c r="M183" s="546"/>
    </row>
    <row r="184" spans="13:13">
      <c r="M184" s="546"/>
    </row>
    <row r="185" spans="13:13">
      <c r="M185" s="546"/>
    </row>
    <row r="186" spans="13:13">
      <c r="M186" s="546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7" priority="116" operator="containsText" text="Cuidado">
      <formula>NOT(ISERROR(SEARCH("Cuidado",I46)))</formula>
    </cfRule>
  </conditionalFormatting>
  <conditionalFormatting sqref="B30:D34 F28:H34 J28:K31 J34:K36">
    <cfRule type="expression" dxfId="456" priority="58">
      <formula>$P$1="FALSO"</formula>
    </cfRule>
  </conditionalFormatting>
  <conditionalFormatting sqref="F41">
    <cfRule type="expression" dxfId="455" priority="52">
      <formula>$P$1="VERDADEIRO"</formula>
    </cfRule>
  </conditionalFormatting>
  <conditionalFormatting sqref="F42">
    <cfRule type="expression" dxfId="454" priority="48">
      <formula>$P$1="VERDADEIRO"</formula>
    </cfRule>
  </conditionalFormatting>
  <conditionalFormatting sqref="H41">
    <cfRule type="expression" dxfId="453" priority="39">
      <formula>$P$1="VERDADEIRO"</formula>
    </cfRule>
  </conditionalFormatting>
  <conditionalFormatting sqref="H42">
    <cfRule type="expression" dxfId="452" priority="38">
      <formula>$P$1="VERDADEIRO"</formula>
    </cfRule>
  </conditionalFormatting>
  <conditionalFormatting sqref="H40">
    <cfRule type="expression" dxfId="451" priority="37">
      <formula>$P$1="VERDADEIRO"</formula>
    </cfRule>
  </conditionalFormatting>
  <conditionalFormatting sqref="F43:F44">
    <cfRule type="expression" dxfId="450" priority="36">
      <formula>$P$1="VERDADEIRO"</formula>
    </cfRule>
  </conditionalFormatting>
  <conditionalFormatting sqref="H43:H44">
    <cfRule type="expression" dxfId="449" priority="33">
      <formula>$P$1="VERDADEIRO"</formula>
    </cfRule>
  </conditionalFormatting>
  <conditionalFormatting sqref="B26">
    <cfRule type="expression" dxfId="448" priority="32">
      <formula>$P$1="FALSO"</formula>
    </cfRule>
  </conditionalFormatting>
  <conditionalFormatting sqref="C26">
    <cfRule type="expression" dxfId="447" priority="31">
      <formula>$P$1="FALSO"</formula>
    </cfRule>
  </conditionalFormatting>
  <conditionalFormatting sqref="F39">
    <cfRule type="expression" dxfId="446" priority="29">
      <formula>$P$1="VERDADEIRO"</formula>
    </cfRule>
  </conditionalFormatting>
  <conditionalFormatting sqref="F40">
    <cfRule type="expression" dxfId="445" priority="28">
      <formula>$P$1="VERDADEIRO"</formula>
    </cfRule>
  </conditionalFormatting>
  <conditionalFormatting sqref="H63:H77">
    <cfRule type="expression" dxfId="444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zoomScale="60" zoomScaleNormal="60" workbookViewId="0">
      <selection activeCell="J24" sqref="J24"/>
    </sheetView>
  </sheetViews>
  <sheetFormatPr defaultColWidth="9.140625" defaultRowHeight="15.75" customHeight="1"/>
  <cols>
    <col min="1" max="1" width="2.7109375" style="68" customWidth="1"/>
    <col min="2" max="2" width="83.140625" style="68" bestFit="1" customWidth="1"/>
    <col min="3" max="4" width="24.140625" style="68" bestFit="1" customWidth="1"/>
    <col min="5" max="5" width="12.85546875" style="68" customWidth="1"/>
    <col min="6" max="6" width="15.5703125" style="68" bestFit="1" customWidth="1"/>
    <col min="7" max="7" width="13.5703125" style="68" bestFit="1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03" t="s">
        <v>757</v>
      </c>
      <c r="C1" s="1104"/>
      <c r="D1" s="70"/>
      <c r="E1" s="70"/>
      <c r="F1" s="70"/>
      <c r="G1" s="75"/>
    </row>
    <row r="2" spans="1:15" ht="16.5">
      <c r="A2" s="139"/>
      <c r="B2" s="636" t="str">
        <f ca="1">CAPA!C9&amp; " - " &amp;CAPA!C110&amp;" "&amp;AnoRefTar</f>
        <v>Certaja - REAJUSTE 2022</v>
      </c>
      <c r="C2" s="70"/>
      <c r="D2" s="70"/>
      <c r="E2" s="70"/>
      <c r="F2" s="70"/>
      <c r="G2" s="75"/>
      <c r="H2" s="381" t="s">
        <v>758</v>
      </c>
      <c r="I2" s="687">
        <v>44762.486111111109</v>
      </c>
      <c r="K2" s="722" t="s">
        <v>759</v>
      </c>
      <c r="L2" s="723"/>
    </row>
    <row r="3" spans="1:15" ht="16.5" customHeight="1">
      <c r="A3" s="139"/>
      <c r="B3" s="1011" t="s">
        <v>760</v>
      </c>
      <c r="C3" s="823"/>
      <c r="D3" s="75"/>
      <c r="E3" s="75"/>
      <c r="F3" s="75"/>
      <c r="G3" s="75"/>
      <c r="H3" s="688" t="s">
        <v>761</v>
      </c>
      <c r="I3" s="688">
        <v>13</v>
      </c>
      <c r="K3" s="724" t="s">
        <v>762</v>
      </c>
      <c r="L3" s="685">
        <v>6.6423391837483026E-2</v>
      </c>
    </row>
    <row r="4" spans="1:15" ht="16.5">
      <c r="A4" s="139"/>
      <c r="G4" s="75"/>
      <c r="J4" s="9"/>
      <c r="K4" s="724" t="s">
        <v>763</v>
      </c>
      <c r="L4" s="685">
        <v>8.8045675767323361E-2</v>
      </c>
    </row>
    <row r="5" spans="1:15" ht="16.5" customHeight="1">
      <c r="A5" s="139"/>
      <c r="B5" s="1105" t="s">
        <v>764</v>
      </c>
      <c r="C5" s="1106">
        <f ca="1">D39+D34</f>
        <v>84496696.533408657</v>
      </c>
      <c r="D5" s="144"/>
      <c r="E5" s="79"/>
      <c r="G5" s="75"/>
      <c r="H5" s="686"/>
      <c r="J5" s="275"/>
      <c r="K5" s="725" t="s">
        <v>765</v>
      </c>
      <c r="L5" s="693">
        <v>8.0954741647398798E-2</v>
      </c>
    </row>
    <row r="6" spans="1:15" ht="16.5" customHeight="1">
      <c r="A6" s="139"/>
      <c r="B6" s="76" t="s">
        <v>766</v>
      </c>
      <c r="C6" s="77">
        <f ca="1">Mercado_RA0_Reais</f>
        <v>75563773.538370013</v>
      </c>
      <c r="D6" s="77"/>
      <c r="E6" s="483"/>
      <c r="F6" s="75"/>
      <c r="G6" s="140"/>
      <c r="H6" s="81"/>
      <c r="J6" s="275"/>
      <c r="K6" s="726" t="s">
        <v>767</v>
      </c>
      <c r="L6" s="727">
        <v>550.61</v>
      </c>
      <c r="M6" s="79"/>
    </row>
    <row r="7" spans="1:15" ht="16.5" customHeight="1">
      <c r="A7" s="139"/>
      <c r="B7" s="1107" t="str">
        <f>IF(CAPA!P1="FALSO","IRT Economico","Variação econômica")</f>
        <v>Variação econômica</v>
      </c>
      <c r="C7" s="1108">
        <f ca="1">ROUND((C5/C6-1),4)</f>
        <v>0.1182</v>
      </c>
      <c r="D7" s="500"/>
      <c r="E7" s="75"/>
      <c r="F7" s="75"/>
      <c r="G7" s="75"/>
      <c r="H7" s="81"/>
      <c r="K7" s="49" t="s">
        <v>768</v>
      </c>
      <c r="L7" s="984">
        <f>L6/'Tabelas e Gráficos'!U39-1</f>
        <v>5.5920989548374989E-2</v>
      </c>
    </row>
    <row r="8" spans="1:15" ht="16.5" customHeight="1">
      <c r="A8" s="139"/>
      <c r="B8" s="78" t="s">
        <v>769</v>
      </c>
      <c r="C8" s="257">
        <f ca="1">ROUND(Financeiros!E7,4)</f>
        <v>-0.3226</v>
      </c>
      <c r="D8" s="501"/>
      <c r="E8" s="75"/>
      <c r="F8" s="498"/>
      <c r="G8" s="75"/>
      <c r="H8" s="81"/>
      <c r="K8" s="728" t="s">
        <v>770</v>
      </c>
      <c r="L8" s="729" t="s">
        <v>2179</v>
      </c>
      <c r="M8" s="689" t="s">
        <v>772</v>
      </c>
    </row>
    <row r="9" spans="1:15" ht="16.5" customHeight="1">
      <c r="A9" s="139"/>
      <c r="B9" s="1109" t="str">
        <f>IF(CAPA!P1="FALSO","IRT Economico e Financeiro","Variação econômica e financeira")</f>
        <v>Variação econômica e financeira</v>
      </c>
      <c r="C9" s="1110">
        <f ca="1">ROUND((C7+C8),5)</f>
        <v>-0.2044</v>
      </c>
      <c r="D9" s="500"/>
      <c r="E9" s="500"/>
      <c r="F9" s="75"/>
      <c r="G9" s="75"/>
      <c r="K9" s="724" t="s">
        <v>773</v>
      </c>
      <c r="L9" s="730">
        <f>Aj.Subsídio!G28*12</f>
        <v>967946.76</v>
      </c>
      <c r="M9" s="730">
        <v>967315.85564638628</v>
      </c>
    </row>
    <row r="10" spans="1:15" ht="16.5" customHeight="1">
      <c r="A10" s="139"/>
      <c r="B10" s="1109" t="s">
        <v>774</v>
      </c>
      <c r="C10" s="1110">
        <f ca="1">ROUND((LnkTXTEfeito-LnkTXTIRTTotal),4)</f>
        <v>0.28539999999999999</v>
      </c>
      <c r="D10" s="733">
        <f ca="1">LnKTxTRA1+Financeiros!D5</f>
        <v>60119490.415002242</v>
      </c>
      <c r="E10" s="75"/>
      <c r="F10" s="75"/>
      <c r="G10" s="75"/>
      <c r="K10" s="724" t="s">
        <v>775</v>
      </c>
      <c r="L10" s="730">
        <f>Aj.Subsídio!G29*12</f>
        <v>138917.28</v>
      </c>
      <c r="M10" s="730">
        <v>128994.77642500884</v>
      </c>
    </row>
    <row r="11" spans="1:15" ht="16.5" customHeight="1">
      <c r="A11" s="139"/>
      <c r="B11" s="1011" t="s">
        <v>776</v>
      </c>
      <c r="C11" s="823"/>
      <c r="D11" s="1111"/>
      <c r="E11" s="1111"/>
      <c r="F11" s="1111"/>
      <c r="G11" s="75"/>
      <c r="K11" s="724" t="s">
        <v>777</v>
      </c>
      <c r="L11" s="730">
        <f>Aj.Subsídio!G30*12</f>
        <v>0</v>
      </c>
      <c r="M11" s="730">
        <v>0</v>
      </c>
    </row>
    <row r="12" spans="1:15" ht="16.5" customHeight="1">
      <c r="E12" s="1112"/>
      <c r="F12" s="1112"/>
      <c r="K12" s="724" t="s">
        <v>778</v>
      </c>
      <c r="L12" s="730">
        <f>Aj.Subsídio!G31*12</f>
        <v>15890.52</v>
      </c>
      <c r="M12" s="730">
        <v>8395.6567028161553</v>
      </c>
      <c r="O12" s="893"/>
    </row>
    <row r="13" spans="1:15" ht="15" customHeight="1">
      <c r="B13" s="1113"/>
      <c r="C13" s="1114" t="s">
        <v>771</v>
      </c>
      <c r="D13" s="1115" t="s">
        <v>772</v>
      </c>
      <c r="E13" s="1114" t="s">
        <v>779</v>
      </c>
      <c r="F13" s="1113" t="s">
        <v>780</v>
      </c>
      <c r="K13" s="724" t="s">
        <v>781</v>
      </c>
      <c r="L13" s="730">
        <f>Aj.Subsídio!G32*12</f>
        <v>2364938.2800000003</v>
      </c>
      <c r="M13" s="730">
        <v>1251102.15713881</v>
      </c>
      <c r="O13" s="893"/>
    </row>
    <row r="14" spans="1:15" ht="14.25">
      <c r="B14" s="1116" t="s">
        <v>782</v>
      </c>
      <c r="C14" s="1117">
        <f ca="1">SUM(C15:C23)</f>
        <v>8644224.5781270918</v>
      </c>
      <c r="D14" s="1118">
        <f ca="1">SUM(D15:D23)</f>
        <v>12255839.435246192</v>
      </c>
      <c r="E14" s="1119">
        <f t="shared" ref="E14:E34" ca="1" si="0">(D14-C14)/LnkTXTRA0</f>
        <v>4.7795586271048032E-2</v>
      </c>
      <c r="F14" s="1120">
        <f ca="1">IF(ISERROR(D14/C14-1),"-",D14/C14-1)</f>
        <v>0.41780668982822911</v>
      </c>
      <c r="G14" s="292"/>
      <c r="H14" s="844"/>
      <c r="K14" s="724" t="s">
        <v>783</v>
      </c>
      <c r="L14" s="730">
        <f>Aj.Subsídio!G33*12</f>
        <v>486653.28</v>
      </c>
      <c r="M14" s="730">
        <v>569269.26509445382</v>
      </c>
      <c r="O14" s="893"/>
    </row>
    <row r="15" spans="1:15" ht="14.25" hidden="1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H15" s="844"/>
      <c r="K15" s="49"/>
      <c r="L15" s="856"/>
      <c r="M15" s="49"/>
    </row>
    <row r="16" spans="1:15" ht="14.25" hidden="1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H16" s="844"/>
      <c r="L16" s="856"/>
    </row>
    <row r="17" spans="2:14" ht="14.25">
      <c r="B17" s="78" t="s">
        <v>786</v>
      </c>
      <c r="C17" s="225">
        <f ca="1">Mercado_Faturado_Encargo_TFSEE_BRUTO</f>
        <v>169588.62193635927</v>
      </c>
      <c r="D17" s="133">
        <f ca="1">Encargos!C6</f>
        <v>199478.20248349171</v>
      </c>
      <c r="E17" s="223">
        <f t="shared" ca="1" si="0"/>
        <v>3.9555436616667928E-4</v>
      </c>
      <c r="F17" s="258">
        <f t="shared" ca="1" si="1"/>
        <v>0.17624755839073303</v>
      </c>
      <c r="G17" s="292"/>
      <c r="H17" s="844"/>
    </row>
    <row r="18" spans="2:14" ht="14.25">
      <c r="B18" s="78" t="s">
        <v>787</v>
      </c>
      <c r="C18" s="226">
        <f ca="1">Mercado_Faturado_Encargo_CDE_BRUTO</f>
        <v>6551838.6932571782</v>
      </c>
      <c r="D18" s="227">
        <f ca="1">Encargos!C7</f>
        <v>7879270.7302100025</v>
      </c>
      <c r="E18" s="224">
        <f t="shared" ca="1" si="0"/>
        <v>1.7567042708352524E-2</v>
      </c>
      <c r="F18" s="258">
        <f t="shared" ca="1" si="1"/>
        <v>0.2026045052542198</v>
      </c>
      <c r="G18" s="292"/>
      <c r="H18" s="844"/>
      <c r="K18" s="49" t="s">
        <v>788</v>
      </c>
      <c r="L18" s="731">
        <v>44762.488310185188</v>
      </c>
      <c r="M18" s="49"/>
      <c r="N18" s="630"/>
    </row>
    <row r="19" spans="2:14" ht="16.5" hidden="1" customHeight="1">
      <c r="B19" s="78" t="s">
        <v>2196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H19" s="844"/>
      <c r="K19" s="724" t="s">
        <v>789</v>
      </c>
      <c r="L19" s="724"/>
      <c r="M19" s="724"/>
      <c r="N19" s="295"/>
    </row>
    <row r="20" spans="2:14" ht="14.25">
      <c r="B20" s="78" t="s">
        <v>790</v>
      </c>
      <c r="C20" s="225">
        <f ca="1">Mercado_Faturado_Encargo_ESSERR_BRUTO</f>
        <v>859785.06388833188</v>
      </c>
      <c r="D20" s="133">
        <f>Encargos!C9</f>
        <v>2564882.9365526969</v>
      </c>
      <c r="E20" s="223">
        <f t="shared" ca="1" si="0"/>
        <v>2.2565017505359827E-2</v>
      </c>
      <c r="F20" s="258">
        <f t="shared" ca="1" si="1"/>
        <v>1.9831675895288892</v>
      </c>
      <c r="G20" s="292"/>
      <c r="H20" s="844"/>
      <c r="K20" s="724" t="s">
        <v>791</v>
      </c>
      <c r="L20" s="732"/>
      <c r="M20" s="732"/>
    </row>
    <row r="21" spans="2:14" ht="14.25">
      <c r="B21" s="78" t="s">
        <v>47</v>
      </c>
      <c r="C21" s="225">
        <f ca="1">Mercado_Faturado_Encargo_PROINFA_BRUTO</f>
        <v>1063012.1990452227</v>
      </c>
      <c r="D21" s="133">
        <f ca="1">Encargos!C10</f>
        <v>1612207.5660000003</v>
      </c>
      <c r="E21" s="223">
        <f t="shared" ca="1" si="0"/>
        <v>7.267971691168989E-3</v>
      </c>
      <c r="F21" s="258">
        <f t="shared" ca="1" si="1"/>
        <v>0.51664070031186315</v>
      </c>
      <c r="G21" s="292"/>
      <c r="H21" s="844"/>
      <c r="L21" s="198"/>
    </row>
    <row r="22" spans="2:14" ht="14.25" hidden="1">
      <c r="B22" s="78" t="s">
        <v>792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H22" s="844"/>
      <c r="L22" s="198"/>
    </row>
    <row r="23" spans="2:14" ht="14.25" hidden="1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H23" s="844"/>
      <c r="L23" s="198"/>
    </row>
    <row r="24" spans="2:14" ht="16.5">
      <c r="B24" s="1121" t="s">
        <v>793</v>
      </c>
      <c r="C24" s="1117">
        <f ca="1">SUM(C25:C32)</f>
        <v>7854545.8494816115</v>
      </c>
      <c r="D24" s="1118">
        <f>SUM(D25:D32)</f>
        <v>9065491.1534056906</v>
      </c>
      <c r="E24" s="1119">
        <f t="shared" ca="1" si="0"/>
        <v>1.6025474208341137E-2</v>
      </c>
      <c r="F24" s="1120">
        <f t="shared" ca="1" si="1"/>
        <v>0.15417126936804371</v>
      </c>
      <c r="G24" s="292"/>
      <c r="H24" s="844"/>
      <c r="J24"/>
      <c r="K24" s="23"/>
      <c r="L24" s="198"/>
    </row>
    <row r="25" spans="2:14" ht="14.25">
      <c r="B25" s="81" t="s">
        <v>704</v>
      </c>
      <c r="C25" s="225">
        <f ca="1">IFERROR(Calc_Mercado!C91,0)</f>
        <v>2512371.1955021746</v>
      </c>
      <c r="D25" s="133">
        <f>'Rede Básica + Ajuste'!D9+'Rede Básica + Ajuste'!D10</f>
        <v>3736975</v>
      </c>
      <c r="E25" s="223">
        <f t="shared" ref="E25:E32" ca="1" si="2">(D25-C25)/LnkTXTRA0</f>
        <v>1.6206228820427982E-2</v>
      </c>
      <c r="F25" s="259">
        <f t="shared" ca="1" si="1"/>
        <v>0.48742948760525451</v>
      </c>
      <c r="G25" s="292"/>
      <c r="H25" s="844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762419.84274428466</v>
      </c>
      <c r="D26" s="133">
        <f>'Rede Básica + Ajuste'!E9+'Rede Básica + Ajuste'!E10</f>
        <v>714546.8</v>
      </c>
      <c r="E26" s="223">
        <f t="shared" ca="1" si="2"/>
        <v>-6.3354489198419245E-4</v>
      </c>
      <c r="F26" s="259">
        <f t="shared" ca="1" si="1"/>
        <v>-6.2790919202690865E-2</v>
      </c>
      <c r="G26" s="292"/>
      <c r="H26" s="844"/>
      <c r="J26" s="198"/>
      <c r="K26" s="198"/>
      <c r="L26" s="198"/>
    </row>
    <row r="27" spans="2:14" ht="14.25" hidden="1">
      <c r="B27" s="81" t="s">
        <v>794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844"/>
    </row>
    <row r="28" spans="2:14" ht="14.25" hidden="1">
      <c r="B28" s="81" t="s">
        <v>795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844"/>
    </row>
    <row r="29" spans="2:14" ht="16.5" hidden="1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844"/>
    </row>
    <row r="30" spans="2:14" ht="14.25" hidden="1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844"/>
    </row>
    <row r="31" spans="2:14" ht="14.25">
      <c r="B31" s="81" t="s">
        <v>707</v>
      </c>
      <c r="C31" s="225">
        <f ca="1">IFERROR(Calc_Mercado!C95,0)</f>
        <v>358285.69640434074</v>
      </c>
      <c r="D31" s="133">
        <f>'Conexão '!E21</f>
        <v>118926.88481049077</v>
      </c>
      <c r="E31" s="223">
        <f t="shared" ca="1" si="2"/>
        <v>-3.1676397350948546E-3</v>
      </c>
      <c r="F31" s="259">
        <f t="shared" ca="1" si="1"/>
        <v>-0.66806689185750612</v>
      </c>
      <c r="G31" s="117"/>
      <c r="H31" s="844"/>
    </row>
    <row r="32" spans="2:14" ht="14.25">
      <c r="B32" s="81" t="s">
        <v>708</v>
      </c>
      <c r="C32" s="225">
        <f ca="1">Calc_Mercado!C96</f>
        <v>4221469.1148308115</v>
      </c>
      <c r="D32" s="133">
        <f>CUSD!C3</f>
        <v>4495042.4685952002</v>
      </c>
      <c r="E32" s="223">
        <f t="shared" ca="1" si="2"/>
        <v>3.6204300149922076E-3</v>
      </c>
      <c r="F32" s="259">
        <f t="shared" ca="1" si="1"/>
        <v>6.4805248202165933E-2</v>
      </c>
      <c r="G32" s="292"/>
      <c r="H32" s="844"/>
    </row>
    <row r="33" spans="2:8" ht="14.25">
      <c r="B33" s="1121" t="s">
        <v>120</v>
      </c>
      <c r="C33" s="1117">
        <f ca="1">SUM(Calc_Mercado!C79:C84)</f>
        <v>19319340.721340153</v>
      </c>
      <c r="D33" s="1118">
        <f ca="1">Energia!F23</f>
        <v>21175365.944756776</v>
      </c>
      <c r="E33" s="1119">
        <f t="shared" ca="1" si="0"/>
        <v>2.4562368136289068E-2</v>
      </c>
      <c r="F33" s="1120">
        <f ca="1">IF(ISERROR(D33/C33-1),"-",D33/C33-1)</f>
        <v>9.6070836483900024E-2</v>
      </c>
      <c r="G33" s="292"/>
      <c r="H33" s="844"/>
    </row>
    <row r="34" spans="2:8" ht="14.25">
      <c r="B34" s="1122" t="s">
        <v>798</v>
      </c>
      <c r="C34" s="1123">
        <f ca="1">C14+C24+C33</f>
        <v>35818111.148948856</v>
      </c>
      <c r="D34" s="1124">
        <f ca="1">D33+D24+D14</f>
        <v>42496696.533408657</v>
      </c>
      <c r="E34" s="1125">
        <f t="shared" ca="1" si="0"/>
        <v>8.8383428615678217E-2</v>
      </c>
      <c r="F34" s="1126">
        <f ca="1">IF(ISERROR(D34/C34-1),"-",D34/C34-1)</f>
        <v>0.18645833546853008</v>
      </c>
      <c r="G34" s="292"/>
      <c r="H34" s="844"/>
    </row>
    <row r="35" spans="2:8" ht="14.25">
      <c r="G35" s="292"/>
      <c r="H35" s="844"/>
    </row>
    <row r="36" spans="2:8" ht="14.25">
      <c r="B36" s="1011" t="s">
        <v>109</v>
      </c>
      <c r="C36" s="823"/>
      <c r="D36" s="823"/>
      <c r="E36" s="1111"/>
      <c r="F36" s="1111"/>
      <c r="G36" s="292"/>
      <c r="H36" s="844"/>
    </row>
    <row r="37" spans="2:8" ht="8.25" customHeight="1">
      <c r="G37" s="292"/>
      <c r="H37" s="844"/>
    </row>
    <row r="38" spans="2:8" ht="15.75" customHeight="1">
      <c r="B38" s="690"/>
      <c r="C38" s="690" t="s">
        <v>771</v>
      </c>
      <c r="D38" s="690" t="s">
        <v>772</v>
      </c>
      <c r="E38" s="1127" t="s">
        <v>779</v>
      </c>
      <c r="F38" s="690" t="s">
        <v>780</v>
      </c>
      <c r="G38" s="292"/>
      <c r="H38" s="844"/>
    </row>
    <row r="39" spans="2:8" ht="15.75" customHeight="1">
      <c r="B39" s="1128" t="s">
        <v>799</v>
      </c>
      <c r="C39" s="1129">
        <f ca="1">LnkTXTRA0-C34</f>
        <v>39745662.389421158</v>
      </c>
      <c r="D39" s="1130">
        <f>IFERROR(IF(CAPA!P1="VERDADEIRO",SMALL(IF(LnkTXTPBReq=0,CAPA!K29,LnkTXTPBReq):LNKTXTLImPB,1),C39*(1+LnkTXTIPCA-CAPA!H42)),0)</f>
        <v>42000000</v>
      </c>
      <c r="E39" s="1131">
        <f ca="1">(D39-C39)/LnkTXTRA0</f>
        <v>2.9833576395362625E-2</v>
      </c>
      <c r="F39" s="1132">
        <f ca="1">IF(ISERROR(D39/C39-1),"-",D39/C39-1)</f>
        <v>5.671908517943991E-2</v>
      </c>
      <c r="G39" s="292"/>
      <c r="H39" s="844"/>
    </row>
    <row r="40" spans="2:8" ht="14.25">
      <c r="B40" s="735"/>
      <c r="C40" s="736"/>
      <c r="D40" s="737"/>
      <c r="E40" s="735"/>
      <c r="F40" s="735"/>
    </row>
    <row r="41" spans="2:8" ht="14.25">
      <c r="B41" s="1011" t="s">
        <v>800</v>
      </c>
      <c r="C41" s="823"/>
      <c r="D41" s="823"/>
      <c r="E41" s="1111"/>
      <c r="F41" s="1111"/>
    </row>
    <row r="42" spans="2:8" ht="9" customHeight="1">
      <c r="E42" s="75"/>
      <c r="F42" s="75"/>
    </row>
    <row r="43" spans="2:8" ht="15.75" customHeight="1">
      <c r="B43" s="735"/>
      <c r="C43" s="1113" t="s">
        <v>801</v>
      </c>
      <c r="D43" s="1113" t="s">
        <v>779</v>
      </c>
      <c r="E43" s="472" t="s">
        <v>802</v>
      </c>
      <c r="F43" s="472"/>
      <c r="G43" s="472"/>
    </row>
    <row r="44" spans="2:8" ht="15.75" customHeight="1">
      <c r="B44" s="1133" t="s">
        <v>803</v>
      </c>
      <c r="C44" s="1134">
        <f ca="1">SUM(C45:C100)</f>
        <v>-24377206.118406419</v>
      </c>
      <c r="D44" s="1135">
        <f ca="1">C44/Financeiros!D4</f>
        <v>-0.32260440389505007</v>
      </c>
      <c r="E44" s="472">
        <f t="shared" ref="E44:E99" ca="1" si="3">IF(D44=0,0,1)</f>
        <v>1</v>
      </c>
      <c r="F44" s="472"/>
      <c r="G44" s="472"/>
    </row>
    <row r="45" spans="2:8" ht="15.75" customHeight="1">
      <c r="B45" s="82" t="str">
        <f>Financeiros!C9</f>
        <v>Repasse de PIS COFINS</v>
      </c>
      <c r="C45" s="77">
        <f>Financeiros!D9</f>
        <v>280743.18576086761</v>
      </c>
      <c r="D45" s="477">
        <f ca="1">C45/Financeiros!$D$4</f>
        <v>3.7153145298958758E-3</v>
      </c>
      <c r="E45" s="472">
        <f t="shared" ca="1" si="3"/>
        <v>1</v>
      </c>
      <c r="F45" s="472"/>
      <c r="G45" s="472"/>
    </row>
    <row r="46" spans="2:8" ht="15.75" customHeight="1">
      <c r="B46" s="82" t="s">
        <v>804</v>
      </c>
      <c r="C46" s="77">
        <f ca="1">LnkTXTNeutralidade</f>
        <v>-144067.65904237804</v>
      </c>
      <c r="D46" s="477">
        <f ca="1">C46/Financeiros!$D$4</f>
        <v>-1.906570467516725E-3</v>
      </c>
      <c r="E46" s="472">
        <f t="shared" ca="1" si="3"/>
        <v>1</v>
      </c>
      <c r="F46" s="472"/>
      <c r="G46" s="472"/>
    </row>
    <row r="47" spans="2:8" ht="15.75" hidden="1" customHeight="1">
      <c r="B47" s="83" t="str">
        <f>Financeiros!C23</f>
        <v>Manual de Contabilidade do Setor Elétrico</v>
      </c>
      <c r="C47" s="1673">
        <f>Financeiros!D23</f>
        <v>0</v>
      </c>
      <c r="D47" s="477">
        <f ca="1">C47/Financeiros!$D$4</f>
        <v>0</v>
      </c>
      <c r="E47" s="472">
        <f t="shared" ca="1" si="3"/>
        <v>0</v>
      </c>
      <c r="F47" s="472"/>
      <c r="G47" s="472"/>
    </row>
    <row r="48" spans="2:8" ht="15.75" hidden="1" customHeight="1">
      <c r="B48" s="68" t="str">
        <f>Financeiros!C25</f>
        <v>Ajustes Processos anteriores</v>
      </c>
      <c r="C48" s="77">
        <f>Financeiros!D25</f>
        <v>0</v>
      </c>
      <c r="D48" s="477">
        <f ca="1">C48/Financeiros!$D$4</f>
        <v>0</v>
      </c>
      <c r="E48" s="472">
        <f t="shared" ca="1" si="3"/>
        <v>0</v>
      </c>
      <c r="F48" s="472"/>
      <c r="G48" s="472"/>
    </row>
    <row r="49" spans="2:5" ht="15.75" customHeight="1">
      <c r="B49" s="83" t="str">
        <f>Financeiros!C26</f>
        <v>Ajuste CUST + PISCONFINS Transmissão</v>
      </c>
      <c r="C49" s="1673">
        <f>Financeiros!D26</f>
        <v>308834.35684424435</v>
      </c>
      <c r="D49" s="477">
        <f ca="1">C49/Financeiros!$D$4</f>
        <v>4.087069006518361E-3</v>
      </c>
      <c r="E49" s="472">
        <f t="shared" ca="1" si="3"/>
        <v>1</v>
      </c>
    </row>
    <row r="50" spans="2:5" ht="15.75" customHeight="1">
      <c r="B50" s="68" t="str">
        <f>Financeiros!C27</f>
        <v>Compensação DIC FIC</v>
      </c>
      <c r="C50" s="1673">
        <f>Financeiros!D27</f>
        <v>-232206.45884047006</v>
      </c>
      <c r="D50" s="477">
        <f ca="1">C50/Financeiros!$D$4</f>
        <v>-3.0729865379547187E-3</v>
      </c>
      <c r="E50" s="472">
        <f t="shared" ca="1" si="3"/>
        <v>1</v>
      </c>
    </row>
    <row r="51" spans="2:5" ht="15.75" customHeight="1">
      <c r="B51" s="68" t="str">
        <f>Financeiros!C28</f>
        <v>Subvenção CDE</v>
      </c>
      <c r="C51" s="1673">
        <f ca="1">Financeiros!D28</f>
        <v>-22774965.18163811</v>
      </c>
      <c r="D51" s="477">
        <f ca="1">C51/Financeiros!$D$4</f>
        <v>-0.30140058013478332</v>
      </c>
      <c r="E51" s="472">
        <f t="shared" ca="1" si="3"/>
        <v>1</v>
      </c>
    </row>
    <row r="52" spans="2:5" ht="15.75" hidden="1" customHeight="1">
      <c r="B52" s="68" t="str">
        <f>Financeiros!C29</f>
        <v>Retenção de Adicionais de Bandeiras Tarifárias</v>
      </c>
      <c r="C52" s="1673">
        <f>Financeiros!D29</f>
        <v>0</v>
      </c>
      <c r="D52" s="477">
        <f ca="1">C52/Financeiros!$D$4</f>
        <v>0</v>
      </c>
      <c r="E52" s="472">
        <f t="shared" ca="1" si="3"/>
        <v>0</v>
      </c>
    </row>
    <row r="53" spans="2:5" ht="15.75" hidden="1" customHeight="1">
      <c r="B53" s="68" t="str">
        <f>Financeiros!C30</f>
        <v>Multa LPT</v>
      </c>
      <c r="C53" s="1673">
        <f>Financeiros!D30</f>
        <v>0</v>
      </c>
      <c r="D53" s="477">
        <f ca="1">C53/Financeiros!$D$4</f>
        <v>0</v>
      </c>
      <c r="E53" s="472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1673">
        <f>Financeiros!D34</f>
        <v>0</v>
      </c>
      <c r="D54" s="477">
        <f ca="1">C54/Financeiros!$D$4</f>
        <v>0</v>
      </c>
      <c r="E54" s="472">
        <f t="shared" ca="1" si="3"/>
        <v>0</v>
      </c>
    </row>
    <row r="55" spans="2:5" ht="15.75" hidden="1" customHeight="1">
      <c r="B55" s="68" t="str">
        <f>Financeiros!C31</f>
        <v>Repasse de ICMS</v>
      </c>
      <c r="C55" s="1673">
        <f>Financeiros!D31</f>
        <v>0</v>
      </c>
      <c r="D55" s="769">
        <f ca="1">C55/Financeiros!$D$4</f>
        <v>0</v>
      </c>
      <c r="E55" s="472">
        <f t="shared" ca="1" si="3"/>
        <v>0</v>
      </c>
    </row>
    <row r="56" spans="2:5" ht="15.75" customHeight="1">
      <c r="B56" s="68" t="str">
        <f>Financeiros!C36</f>
        <v>Previsão de Risco Hidrologico</v>
      </c>
      <c r="C56" s="1673">
        <f>Financeiros!D36</f>
        <v>1685561.1761699938</v>
      </c>
      <c r="D56" s="477">
        <f ca="1">C56/Financeiros!$D$4</f>
        <v>2.2306471702529442E-2</v>
      </c>
      <c r="E56" s="472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1673">
        <f>Financeiros!D37</f>
        <v>0</v>
      </c>
      <c r="D57" s="477">
        <f ca="1">C57/Financeiros!$D$4</f>
        <v>0</v>
      </c>
      <c r="E57" s="472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1673">
        <f>Financeiros!D38</f>
        <v>-3716038.383190468</v>
      </c>
      <c r="D58" s="477">
        <f ca="1">C58/Financeiros!$D$4</f>
        <v>-4.9177512042904083E-2</v>
      </c>
      <c r="E58" s="472">
        <f t="shared" ca="1" si="3"/>
        <v>1</v>
      </c>
    </row>
    <row r="59" spans="2:5" ht="15.75" hidden="1" customHeight="1">
      <c r="B59" s="68" t="str">
        <f>Financeiros!C39</f>
        <v>Diferimento Pis Cofins TUSD</v>
      </c>
      <c r="C59" s="1673">
        <f>Financeiros!D39</f>
        <v>0</v>
      </c>
      <c r="D59" s="477">
        <f ca="1">C59/Financeiros!$D$4</f>
        <v>0</v>
      </c>
      <c r="E59" s="472">
        <f t="shared" ca="1" si="3"/>
        <v>0</v>
      </c>
    </row>
    <row r="60" spans="2:5" ht="15.75" hidden="1" customHeight="1">
      <c r="B60" s="68" t="str">
        <f>Financeiros!C40</f>
        <v>Diferimento Pis Cofins TE</v>
      </c>
      <c r="C60" s="1673">
        <f>Financeiros!D40</f>
        <v>0</v>
      </c>
      <c r="D60" s="477">
        <f ca="1">C60/Financeiros!$D$4</f>
        <v>0</v>
      </c>
      <c r="E60" s="472">
        <f t="shared" ca="1" si="3"/>
        <v>0</v>
      </c>
    </row>
    <row r="61" spans="2:5" ht="15.75" customHeight="1">
      <c r="B61" s="68" t="str">
        <f>Financeiros!C41</f>
        <v>Financeiros associados ao §7º do Art. 88 da Ren 414/2021</v>
      </c>
      <c r="C61" s="1673">
        <f>Financeiros!D41</f>
        <v>-19057.990000000002</v>
      </c>
      <c r="D61" s="477">
        <f ca="1">C61/Financeiros!$D$4</f>
        <v>-2.5221067063733489E-4</v>
      </c>
      <c r="E61" s="472">
        <f t="shared" ca="1" si="3"/>
        <v>1</v>
      </c>
    </row>
    <row r="62" spans="2:5" ht="15.75" hidden="1" customHeight="1">
      <c r="B62" s="68" t="str">
        <f>Financeiros!C18</f>
        <v>(Neutralidade) CDE conta covid-19</v>
      </c>
      <c r="C62" s="1673">
        <f ca="1">Financeiros!D18</f>
        <v>0</v>
      </c>
      <c r="D62" s="477">
        <f ca="1">C62/Financeiros!$D$4</f>
        <v>0</v>
      </c>
      <c r="E62" s="472">
        <f t="shared" ca="1" si="3"/>
        <v>0</v>
      </c>
    </row>
    <row r="63" spans="2:5" ht="15.75" hidden="1" customHeight="1">
      <c r="B63" s="68" t="str">
        <f>Financeiros!C19</f>
        <v>(Neutralidade)Financeiro Covid</v>
      </c>
      <c r="C63" s="1673">
        <f ca="1">Financeiros!D19</f>
        <v>0</v>
      </c>
      <c r="D63" s="477">
        <f ca="1">C63/Financeiros!$D$4</f>
        <v>0</v>
      </c>
      <c r="E63" s="472">
        <f t="shared" ca="1" si="3"/>
        <v>0</v>
      </c>
    </row>
    <row r="64" spans="2:5" ht="15.75" hidden="1" customHeight="1">
      <c r="B64" s="68" t="str">
        <f>Financeiros!C20</f>
        <v>(Neutralidade)Crédito Pis Cofins</v>
      </c>
      <c r="C64" s="1673">
        <f ca="1">Financeiros!D20</f>
        <v>0</v>
      </c>
      <c r="D64" s="477">
        <f ca="1">C64/Financeiros!$D$4</f>
        <v>0</v>
      </c>
      <c r="E64" s="472">
        <f t="shared" ca="1" si="3"/>
        <v>0</v>
      </c>
    </row>
    <row r="65" spans="2:5" ht="15.75" hidden="1" customHeight="1">
      <c r="B65" s="68" t="str">
        <f>Financeiros!C48</f>
        <v>CVE ccc</v>
      </c>
      <c r="C65" s="1673">
        <f>Financeiros!D48</f>
        <v>0</v>
      </c>
      <c r="D65" s="477">
        <f ca="1">C65/Financeiros!$D$4</f>
        <v>0</v>
      </c>
      <c r="E65" s="472">
        <f t="shared" ca="1" si="3"/>
        <v>0</v>
      </c>
    </row>
    <row r="66" spans="2:5" ht="15.75" hidden="1" customHeight="1">
      <c r="B66" s="68" t="str">
        <f>Financeiros!C49</f>
        <v>CVE cde</v>
      </c>
      <c r="C66" s="1673">
        <f>Financeiros!D49</f>
        <v>0</v>
      </c>
      <c r="D66" s="477">
        <f ca="1">C66/Financeiros!$D$4</f>
        <v>0</v>
      </c>
      <c r="E66" s="472">
        <f t="shared" ca="1" si="3"/>
        <v>0</v>
      </c>
    </row>
    <row r="67" spans="2:5" ht="15.75" hidden="1" customHeight="1">
      <c r="B67" s="68" t="str">
        <f>Financeiros!C50</f>
        <v>CVE cde energia</v>
      </c>
      <c r="C67" s="1673">
        <f>Financeiros!D50</f>
        <v>0</v>
      </c>
      <c r="D67" s="477">
        <f ca="1">C67/Financeiros!$D$4</f>
        <v>0</v>
      </c>
      <c r="E67" s="472">
        <f t="shared" ca="1" si="3"/>
        <v>0</v>
      </c>
    </row>
    <row r="68" spans="2:5" ht="15.75" hidden="1" customHeight="1">
      <c r="B68" s="68" t="str">
        <f>Financeiros!C51</f>
        <v>CVE RB - Nodal</v>
      </c>
      <c r="C68" s="1673">
        <f>Financeiros!D51</f>
        <v>0</v>
      </c>
      <c r="D68" s="477">
        <f ca="1">C68/Financeiros!$D$4</f>
        <v>0</v>
      </c>
      <c r="E68" s="472">
        <f t="shared" ca="1" si="3"/>
        <v>0</v>
      </c>
    </row>
    <row r="69" spans="2:5" ht="15.75" hidden="1" customHeight="1">
      <c r="B69" s="68" t="str">
        <f>Financeiros!C52</f>
        <v>CVE RB - Fronteira</v>
      </c>
      <c r="C69" s="1673">
        <f>Financeiros!D52</f>
        <v>0</v>
      </c>
      <c r="D69" s="477">
        <f ca="1">C69/Financeiros!$D$4</f>
        <v>0</v>
      </c>
      <c r="E69" s="472">
        <f t="shared" ca="1" si="3"/>
        <v>0</v>
      </c>
    </row>
    <row r="70" spans="2:5" ht="15.75" hidden="1" customHeight="1">
      <c r="B70" s="68" t="str">
        <f>Financeiros!C53</f>
        <v>CVE RB - TUSDg EXP</v>
      </c>
      <c r="C70" s="1673">
        <f>Financeiros!D53</f>
        <v>0</v>
      </c>
      <c r="D70" s="477">
        <f ca="1">C70/Financeiros!$D$4</f>
        <v>0</v>
      </c>
      <c r="E70" s="472">
        <f t="shared" ca="1" si="3"/>
        <v>0</v>
      </c>
    </row>
    <row r="71" spans="2:5" ht="15.75" hidden="1" customHeight="1">
      <c r="B71" s="68" t="str">
        <f>Financeiros!C54</f>
        <v>CVE RB - TUSDg ONS</v>
      </c>
      <c r="C71" s="1673">
        <f>Financeiros!D54</f>
        <v>0</v>
      </c>
      <c r="D71" s="477">
        <f ca="1">C71/Financeiros!$D$4</f>
        <v>0</v>
      </c>
      <c r="E71" s="472">
        <f t="shared" ca="1" si="3"/>
        <v>0</v>
      </c>
    </row>
    <row r="72" spans="2:5" ht="15.75" hidden="1" customHeight="1">
      <c r="B72" s="68" t="str">
        <f>Financeiros!C55</f>
        <v>CVE RB - EUST Itaipu</v>
      </c>
      <c r="C72" s="1673">
        <f>Financeiros!D55</f>
        <v>0</v>
      </c>
      <c r="D72" s="477">
        <f ca="1">C72/Financeiros!$D$4</f>
        <v>0</v>
      </c>
      <c r="E72" s="472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1673">
        <f>Financeiros!D56</f>
        <v>0</v>
      </c>
      <c r="D73" s="477">
        <f ca="1">C73/Financeiros!$D$4</f>
        <v>0</v>
      </c>
      <c r="E73" s="472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1673">
        <f ca="1">Financeiros!D57</f>
        <v>1304784.3672955362</v>
      </c>
      <c r="D74" s="477">
        <f ca="1">C74/Financeiros!$D$4</f>
        <v>1.7267326738691639E-2</v>
      </c>
      <c r="E74" s="472">
        <f t="shared" ca="1" si="3"/>
        <v>1</v>
      </c>
    </row>
    <row r="75" spans="2:5" ht="15.75" hidden="1" customHeight="1">
      <c r="B75" s="68" t="str">
        <f>Financeiros!C58</f>
        <v>CVE - Energia - Perda Não Técnica</v>
      </c>
      <c r="C75" s="1673">
        <f ca="1">Financeiros!D58</f>
        <v>0</v>
      </c>
      <c r="D75" s="477">
        <f ca="1">C75/Financeiros!$D$4</f>
        <v>0</v>
      </c>
      <c r="E75" s="472">
        <f t="shared" ca="1" si="3"/>
        <v>0</v>
      </c>
    </row>
    <row r="76" spans="2:5" ht="15.75" customHeight="1">
      <c r="B76" s="68" t="str">
        <f>Financeiros!C59</f>
        <v>CVE - Energia - Perda Técnica</v>
      </c>
      <c r="C76" s="1673">
        <f ca="1">Financeiros!D59</f>
        <v>139583.29446862088</v>
      </c>
      <c r="D76" s="477">
        <f ca="1">C76/Financeiros!$D$4</f>
        <v>1.8472250383014929E-3</v>
      </c>
      <c r="E76" s="472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1673">
        <f ca="1">Financeiros!D60</f>
        <v>4238.0874577150898</v>
      </c>
      <c r="D77" s="477">
        <f ca="1">C77/Financeiros!$D$4</f>
        <v>5.6086233644261563E-5</v>
      </c>
      <c r="E77" s="472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1673">
        <f ca="1">Financeiros!D61</f>
        <v>39616.418878127712</v>
      </c>
      <c r="D78" s="477">
        <f ca="1">C78/Financeiros!$D$4</f>
        <v>5.2427793138217426E-4</v>
      </c>
      <c r="E78" s="472">
        <f t="shared" ca="1" si="3"/>
        <v>1</v>
      </c>
    </row>
    <row r="79" spans="2:5" ht="15.75" hidden="1" customHeight="1">
      <c r="B79" s="68" t="str">
        <f>Financeiros!C62</f>
        <v>CVE - Encargos - PROINFA</v>
      </c>
      <c r="C79" s="1673">
        <f ca="1">Financeiros!D62</f>
        <v>0</v>
      </c>
      <c r="D79" s="477">
        <f ca="1">C79/Financeiros!$D$4</f>
        <v>0</v>
      </c>
      <c r="E79" s="472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1673">
        <f>Financeiros!D63</f>
        <v>0</v>
      </c>
      <c r="D80" s="477">
        <f ca="1">C80/Financeiros!$D$4</f>
        <v>0</v>
      </c>
      <c r="E80" s="472">
        <f t="shared" ca="1" si="3"/>
        <v>0</v>
      </c>
    </row>
    <row r="81" spans="2:5" ht="15.75" customHeight="1">
      <c r="B81" s="68" t="str">
        <f>Financeiros!C64</f>
        <v>CVE - Encargos - ESS/EER</v>
      </c>
      <c r="C81" s="1673">
        <f>Financeiros!D64</f>
        <v>2452923.1017</v>
      </c>
      <c r="D81" s="477">
        <f ca="1">C81/Financeiros!$D$4</f>
        <v>3.2461627931464364E-2</v>
      </c>
      <c r="E81" s="472">
        <f t="shared" ca="1" si="3"/>
        <v>1</v>
      </c>
    </row>
    <row r="82" spans="2:5" ht="15.75" customHeight="1">
      <c r="B82" s="68" t="str">
        <f>Financeiros!C65</f>
        <v>Conta Escassez H. - Importação julho- agosto/2021 - RTA 2022 - Energia de Revenda</v>
      </c>
      <c r="C82" s="1673">
        <f ca="1">Financeiros!D65</f>
        <v>-211419.35251272083</v>
      </c>
      <c r="D82" s="477">
        <f ca="1">C82/Financeiros!$D$4</f>
        <v>-2.7978929930671825E-3</v>
      </c>
      <c r="E82" s="472">
        <f t="shared" ca="1" si="3"/>
        <v>1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1673">
        <f ca="1">Financeiros!D66</f>
        <v>0</v>
      </c>
      <c r="D83" s="477">
        <f ca="1">C83/Financeiros!$D$4</f>
        <v>0</v>
      </c>
      <c r="E83" s="472">
        <f t="shared" ca="1" si="3"/>
        <v>0</v>
      </c>
    </row>
    <row r="84" spans="2:5" ht="15.75" customHeight="1">
      <c r="B84" s="68" t="str">
        <f>Financeiros!C67</f>
        <v>Conta Escassez H. - Importação julho- agosto/2021 - RTA 2022 - Perda Técnica</v>
      </c>
      <c r="C84" s="1673">
        <f ca="1">Financeiros!D67</f>
        <v>-22617.231228264751</v>
      </c>
      <c r="D84" s="477">
        <f ca="1">C84/Financeiros!$D$4</f>
        <v>-2.9931315191372888E-4</v>
      </c>
      <c r="E84" s="472">
        <f t="shared" ca="1" si="3"/>
        <v>1</v>
      </c>
    </row>
    <row r="85" spans="2:5" ht="15.75" customHeight="1">
      <c r="B85" s="68" t="str">
        <f>Financeiros!C68</f>
        <v>Conta Escassez H. - Importação julho- agosto/2021 - RTA 2022 - Perda RB Perda RB sobre Dist.</v>
      </c>
      <c r="C85" s="1673">
        <f ca="1">Financeiros!D68</f>
        <v>-686.71401088258006</v>
      </c>
      <c r="D85" s="477">
        <f ca="1">C85/Financeiros!$D$4</f>
        <v>-9.0878734441958252E-6</v>
      </c>
      <c r="E85" s="472">
        <f t="shared" ca="1" si="3"/>
        <v>1</v>
      </c>
    </row>
    <row r="86" spans="2:5" ht="15.75" customHeight="1">
      <c r="B86" s="68" t="str">
        <f>Financeiros!C69</f>
        <v>Conta Escassez H. - Importação julho- agosto/2021 - RTA 2022 - Perda RB sobre Merc. Cat.</v>
      </c>
      <c r="C86" s="1673">
        <f ca="1">Financeiros!D69</f>
        <v>-6419.204458624069</v>
      </c>
      <c r="D86" s="477">
        <f ca="1">C86/Financeiros!$D$4</f>
        <v>-8.4950819129810996E-5</v>
      </c>
      <c r="E86" s="472">
        <f t="shared" ca="1" si="3"/>
        <v>1</v>
      </c>
    </row>
    <row r="87" spans="2:5" ht="15.75" customHeight="1">
      <c r="B87" s="68" t="str">
        <f>Financeiros!C70</f>
        <v>Conta Escassez H. - Bônus Redução Voluntária</v>
      </c>
      <c r="C87" s="1673">
        <f>Financeiros!D70</f>
        <v>-699865.67102402018</v>
      </c>
      <c r="D87" s="477">
        <f ca="1">C87/Financeiros!$D$4</f>
        <v>-9.2619206036426982E-3</v>
      </c>
      <c r="E87" s="472">
        <f t="shared" ca="1" si="3"/>
        <v>1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1673">
        <f ca="1">Financeiros!D71</f>
        <v>0</v>
      </c>
      <c r="D88" s="477">
        <f ca="1">C88/Financeiros!$D$4</f>
        <v>0</v>
      </c>
      <c r="E88" s="472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1673">
        <f ca="1">Financeiros!D72</f>
        <v>0</v>
      </c>
      <c r="D89" s="477">
        <f ca="1">C89/Financeiros!$D$4</f>
        <v>0</v>
      </c>
      <c r="E89" s="472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1673">
        <f ca="1">Financeiros!D73</f>
        <v>0</v>
      </c>
      <c r="D90" s="477">
        <f ca="1">C90/Financeiros!$D$4</f>
        <v>0</v>
      </c>
      <c r="E90" s="472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1673">
        <f ca="1">Financeiros!D74</f>
        <v>0</v>
      </c>
      <c r="D91" s="477">
        <f ca="1">C91/Financeiros!$D$4</f>
        <v>0</v>
      </c>
      <c r="E91" s="472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1673">
        <f ca="1">Financeiros!D75</f>
        <v>0</v>
      </c>
      <c r="D92" s="477">
        <f ca="1">C92/Financeiros!$D$4</f>
        <v>0</v>
      </c>
      <c r="E92" s="472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1673">
        <f ca="1">Financeiros!D76</f>
        <v>-158272.05261579252</v>
      </c>
      <c r="D93" s="477">
        <f ca="1">C93/Financeiros!$D$4</f>
        <v>-2.0945493482458846E-3</v>
      </c>
      <c r="E93" s="472">
        <f t="shared" ca="1" si="3"/>
        <v>1</v>
      </c>
    </row>
    <row r="94" spans="2:5" ht="15.75" hidden="1" customHeight="1">
      <c r="B94" s="68" t="str">
        <f>Financeiros!C77</f>
        <v>Sobrecontratação/Reversão de Energia - Perda Não Técnica</v>
      </c>
      <c r="C94" s="1673">
        <f ca="1">Financeiros!D77</f>
        <v>0</v>
      </c>
      <c r="D94" s="477">
        <f ca="1">C94/Financeiros!$D$4</f>
        <v>0</v>
      </c>
      <c r="E94" s="472">
        <f t="shared" ca="1" si="3"/>
        <v>0</v>
      </c>
    </row>
    <row r="95" spans="2:5" ht="15.75" customHeight="1">
      <c r="B95" s="68" t="str">
        <f>Financeiros!C78</f>
        <v>Sobrecontratação/Reversão de Energia - Perda Técnica</v>
      </c>
      <c r="C95" s="1673">
        <f ca="1">Financeiros!D78</f>
        <v>-16931.636429867885</v>
      </c>
      <c r="D95" s="477">
        <f ca="1">C95/Financeiros!$D$4</f>
        <v>-2.2407081643785676E-4</v>
      </c>
      <c r="E95" s="472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1673">
        <f ca="1">Financeiros!D79</f>
        <v>-514.08555920097263</v>
      </c>
      <c r="D96" s="477">
        <f ca="1">C96/Financeiros!$D$4</f>
        <v>-6.8033335966199282E-6</v>
      </c>
      <c r="E96" s="472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1673">
        <f ca="1">Financeiros!D80</f>
        <v>-4805.523495138641</v>
      </c>
      <c r="D97" s="477">
        <f ca="1">C97/Financeiros!$D$4</f>
        <v>-6.3595599718143734E-5</v>
      </c>
      <c r="E97" s="472">
        <f t="shared" ca="1" si="3"/>
        <v>1</v>
      </c>
    </row>
    <row r="98" spans="2:5" ht="15.75" hidden="1" customHeight="1">
      <c r="B98" s="68">
        <f>Financeiros!C81</f>
        <v>0</v>
      </c>
      <c r="C98" s="1673">
        <f>Financeiros!D81</f>
        <v>0</v>
      </c>
      <c r="D98" s="477">
        <f ca="1">C98/Financeiros!$D$4</f>
        <v>0</v>
      </c>
      <c r="E98" s="472">
        <f t="shared" ca="1" si="3"/>
        <v>0</v>
      </c>
    </row>
    <row r="99" spans="2:5" ht="15.75" customHeight="1">
      <c r="B99" s="823" t="str">
        <f>Financeiros!C82</f>
        <v>Reversão de Risco Hidrológico</v>
      </c>
      <c r="C99" s="1674">
        <f>Financeiros!D82</f>
        <v>-2585622.9629355916</v>
      </c>
      <c r="D99" s="985">
        <f ca="1">C99/Financeiros!$D$4</f>
        <v>-3.4217758614485491E-2</v>
      </c>
      <c r="E99" s="472">
        <f t="shared" ca="1" si="3"/>
        <v>1</v>
      </c>
    </row>
    <row r="100" spans="2:5" ht="15.75" customHeight="1">
      <c r="B100" s="735"/>
      <c r="C100" s="986"/>
      <c r="D100" s="987"/>
    </row>
    <row r="101" spans="2:5" ht="15.75" customHeight="1">
      <c r="C101" s="459"/>
      <c r="D101" s="477"/>
    </row>
    <row r="102" spans="2:5" ht="15.75" customHeight="1">
      <c r="C102" s="459"/>
      <c r="D102" s="477"/>
    </row>
    <row r="103" spans="2:5" ht="15.75" customHeight="1">
      <c r="C103" s="459"/>
      <c r="D103" s="477"/>
    </row>
    <row r="104" spans="2:5" ht="15.75" customHeight="1">
      <c r="C104" s="459"/>
      <c r="D104" s="477"/>
    </row>
    <row r="105" spans="2:5" ht="15.75" customHeight="1">
      <c r="C105" s="459"/>
      <c r="D105" s="477"/>
    </row>
    <row r="106" spans="2:5" ht="15.75" customHeight="1">
      <c r="C106" s="459"/>
      <c r="D106" s="477"/>
    </row>
    <row r="107" spans="2:5" ht="15.75" customHeight="1">
      <c r="C107" s="459"/>
      <c r="D107" s="477"/>
    </row>
    <row r="108" spans="2:5" ht="15.75" customHeight="1">
      <c r="C108" s="459"/>
      <c r="D108" s="477"/>
    </row>
    <row r="109" spans="2:5" ht="15.75" customHeight="1">
      <c r="C109" s="459"/>
      <c r="D109" s="477"/>
    </row>
    <row r="110" spans="2:5" ht="15.75" customHeight="1">
      <c r="C110" s="459"/>
      <c r="D110" s="477"/>
    </row>
    <row r="111" spans="2:5" ht="15.75" customHeight="1">
      <c r="C111" s="459"/>
      <c r="D111" s="477"/>
    </row>
    <row r="112" spans="2:5" ht="15.75" customHeight="1">
      <c r="C112" s="459"/>
      <c r="D112" s="477"/>
    </row>
    <row r="113" spans="3:4" ht="15.75" customHeight="1">
      <c r="C113" s="459"/>
      <c r="D113" s="47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I393"/>
  <sheetViews>
    <sheetView showGridLines="0" tabSelected="1" topLeftCell="M13" zoomScale="88" zoomScaleNormal="88" workbookViewId="0">
      <selection activeCell="T28" sqref="T28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0" width="13.7109375" style="23" customWidth="1"/>
    <col min="81" max="81" width="26.42578125" style="23" bestFit="1" customWidth="1"/>
    <col min="82" max="84" width="13.7109375" style="23" hidden="1" customWidth="1"/>
    <col min="85" max="85" width="13.7109375" style="23" bestFit="1" customWidth="1"/>
    <col min="86" max="86" width="12" style="23" bestFit="1" customWidth="1"/>
    <col min="87" max="87" width="13.42578125" style="23" bestFit="1" customWidth="1"/>
    <col min="88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809</v>
      </c>
      <c r="K6" s="358" t="s">
        <v>810</v>
      </c>
      <c r="L6" s="308"/>
      <c r="S6" s="358" t="s">
        <v>810</v>
      </c>
      <c r="T6" s="358"/>
      <c r="U6" s="358"/>
      <c r="V6" s="358"/>
      <c r="AC6" s="23" t="str">
        <f>IF(LnkTXTSuprid2="!vazio!","","s")</f>
        <v>s</v>
      </c>
      <c r="AD6" s="23">
        <f>SMALL(N41:N42,1)</f>
        <v>430.84407285409804</v>
      </c>
      <c r="AE6" s="23">
        <f>SMALL(Q41:Q42,1)</f>
        <v>525.9693223212555</v>
      </c>
    </row>
    <row r="7" spans="2:49" ht="18.75" customHeight="1">
      <c r="B7" s="304" t="s">
        <v>811</v>
      </c>
      <c r="K7" s="1136" t="s">
        <v>812</v>
      </c>
      <c r="L7" s="1136" t="s">
        <v>813</v>
      </c>
      <c r="S7" s="1793" t="s">
        <v>814</v>
      </c>
      <c r="T7" s="1793"/>
      <c r="U7" s="1793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8" t="s">
        <v>819</v>
      </c>
      <c r="L8" s="20">
        <f ca="1">Resultado!E14</f>
        <v>4.7795586271048032E-2</v>
      </c>
      <c r="S8" s="47" t="s">
        <v>820</v>
      </c>
      <c r="T8" s="369">
        <f ca="1">U8/$U$15</f>
        <v>0.38726616721872137</v>
      </c>
      <c r="U8" s="56">
        <f>AU228</f>
        <v>42000000</v>
      </c>
      <c r="V8" s="61" t="s">
        <v>232</v>
      </c>
      <c r="W8" s="62">
        <f ca="1">T12</f>
        <v>0.20341415939009497</v>
      </c>
      <c r="X8" s="62">
        <f ca="1">W8/(1-$W$10)</f>
        <v>0.26108455632331073</v>
      </c>
    </row>
    <row r="9" spans="2:49" ht="15" customHeight="1">
      <c r="B9" s="306" t="s">
        <v>821</v>
      </c>
      <c r="K9" s="365" t="s">
        <v>793</v>
      </c>
      <c r="L9" s="366">
        <f ca="1">Resultado!E24</f>
        <v>1.6025474208341137E-2</v>
      </c>
      <c r="S9" s="47" t="s">
        <v>822</v>
      </c>
      <c r="T9" s="369">
        <f ca="1">U9/$U$15</f>
        <v>0.19525006687809035</v>
      </c>
      <c r="U9" s="56">
        <f ca="1">AU219</f>
        <v>21175365.944756776</v>
      </c>
      <c r="V9" s="47" t="s">
        <v>823</v>
      </c>
      <c r="W9" s="57">
        <f ca="1">T13</f>
        <v>1.7473654678081277E-2</v>
      </c>
      <c r="X9" s="62">
        <f ca="1">W9/(1-$W$10)</f>
        <v>2.2427649051827703E-2</v>
      </c>
      <c r="AD9" s="425"/>
      <c r="AE9" s="425"/>
    </row>
    <row r="10" spans="2:49" ht="27.75" customHeight="1">
      <c r="B10" s="306" t="s">
        <v>824</v>
      </c>
      <c r="K10" s="358" t="s">
        <v>825</v>
      </c>
      <c r="L10" s="25">
        <f ca="1">Resultado!E33</f>
        <v>2.4562368136289068E-2</v>
      </c>
      <c r="S10" s="47" t="s">
        <v>826</v>
      </c>
      <c r="T10" s="369">
        <f ca="1">U10/$U$15</f>
        <v>8.358947649844399E-2</v>
      </c>
      <c r="U10" s="56">
        <f>AU221</f>
        <v>9065491.1534056906</v>
      </c>
      <c r="V10" s="1137" t="s">
        <v>827</v>
      </c>
      <c r="W10" s="1138">
        <f ca="1">SUM(W8:W9)</f>
        <v>0.22088781406817626</v>
      </c>
      <c r="X10" s="1138">
        <f ca="1">SUM(X8:X9)</f>
        <v>0.28351220537513844</v>
      </c>
      <c r="AE10" s="425"/>
    </row>
    <row r="11" spans="2:49" ht="15" customHeight="1">
      <c r="B11" s="304" t="s">
        <v>822</v>
      </c>
      <c r="K11" s="358" t="s">
        <v>828</v>
      </c>
      <c r="L11" s="25">
        <f ca="1">Resultado!E39</f>
        <v>2.9833576395362625E-2</v>
      </c>
      <c r="S11" s="1139" t="s">
        <v>819</v>
      </c>
      <c r="T11" s="1140">
        <f ca="1">U11/$U$15</f>
        <v>0.11300647533656789</v>
      </c>
      <c r="U11" s="1141">
        <f ca="1">AU208</f>
        <v>12255839.435246192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829</v>
      </c>
      <c r="K12" s="23" t="s">
        <v>800</v>
      </c>
      <c r="L12" s="19">
        <f ca="1">LnkTXTIRTFin</f>
        <v>-0.3226</v>
      </c>
      <c r="S12" s="47" t="s">
        <v>232</v>
      </c>
      <c r="T12" s="57">
        <f ca="1">Calc_Mercado!J8</f>
        <v>0.20341415939009497</v>
      </c>
      <c r="U12" s="56">
        <f ca="1">T12*U15</f>
        <v>22060782.525210429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800</v>
      </c>
      <c r="K13" s="23" t="s">
        <v>830</v>
      </c>
      <c r="L13" s="19">
        <f ca="1">LnkTXTERFIN</f>
        <v>0.28539999999999999</v>
      </c>
      <c r="S13" s="47" t="s">
        <v>831</v>
      </c>
      <c r="T13" s="58">
        <f ca="1">Calc_Mercado!J9</f>
        <v>1.7473654678081277E-2</v>
      </c>
      <c r="U13" s="56">
        <f ca="1">T13*U15</f>
        <v>1895062.2558900763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832</v>
      </c>
      <c r="K14" s="358" t="s">
        <v>833</v>
      </c>
      <c r="L14" s="366">
        <f>LnkTXTEfeito</f>
        <v>8.0954741647398798E-2</v>
      </c>
      <c r="S14" s="47" t="s">
        <v>834</v>
      </c>
      <c r="T14" s="369">
        <f ca="1">SUM(T12:T13)</f>
        <v>0.22088781406817626</v>
      </c>
      <c r="U14" s="56">
        <f ca="1">SUM(U12:U13)</f>
        <v>23955844.781100504</v>
      </c>
      <c r="V14" s="56"/>
      <c r="AD14" s="23" t="s">
        <v>109</v>
      </c>
      <c r="AE14" s="23" t="s">
        <v>120</v>
      </c>
      <c r="AF14" s="23" t="s">
        <v>793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835</v>
      </c>
      <c r="S15" s="1137" t="s">
        <v>836</v>
      </c>
      <c r="T15" s="1142">
        <f ca="1">SUM(T8:T11)+T14</f>
        <v>0.99999999999999989</v>
      </c>
      <c r="U15" s="1143">
        <f ca="1">SUM(U8:U11)/(1-T14)</f>
        <v>108452541.31450918</v>
      </c>
      <c r="V15" s="664"/>
      <c r="AC15" s="23" t="s">
        <v>837</v>
      </c>
      <c r="AD15" s="425">
        <f ca="1">Resultado!C39</f>
        <v>39745662.389421158</v>
      </c>
      <c r="AE15" s="425">
        <f ca="1">Resultado!C33</f>
        <v>19319340.721340153</v>
      </c>
      <c r="AF15" s="425">
        <f ca="1">Resultado!C24</f>
        <v>7854545.8494816115</v>
      </c>
      <c r="AG15" s="425">
        <f ca="1">Resultado!C14</f>
        <v>8644224.5781270918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838</v>
      </c>
      <c r="AC16" s="23" t="s">
        <v>839</v>
      </c>
      <c r="AD16" s="425">
        <f>Resultado!D39</f>
        <v>42000000</v>
      </c>
      <c r="AE16" s="425">
        <f ca="1">Resultado!D33</f>
        <v>21175365.944756776</v>
      </c>
      <c r="AF16" s="425">
        <f>Resultado!D24</f>
        <v>9065491.1534056906</v>
      </c>
      <c r="AG16" s="425">
        <f ca="1">Resultado!D14</f>
        <v>12255839.435246192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840</v>
      </c>
      <c r="S19" s="358" t="s">
        <v>810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97" t="s">
        <v>841</v>
      </c>
      <c r="T20" s="1797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820</v>
      </c>
      <c r="T21" s="55">
        <f ca="1">AX228</f>
        <v>0.49706085235407832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822</v>
      </c>
      <c r="T22" s="55">
        <f ca="1">AX219</f>
        <v>0.25060584393834107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826</v>
      </c>
      <c r="T23" s="55">
        <f ca="1">AX221</f>
        <v>0.10728811332667117</v>
      </c>
      <c r="Z23" s="30" t="s">
        <v>842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843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1.9080125403039383E-2</v>
      </c>
      <c r="AL26" s="358"/>
    </row>
    <row r="27" spans="2:46" ht="15" customHeight="1">
      <c r="S27" s="47" t="s">
        <v>41</v>
      </c>
      <c r="T27" s="55">
        <f ca="1">AX212+AX214</f>
        <v>9.3249452978255348E-2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2.3607810798215194E-3</v>
      </c>
      <c r="AD28" s="47"/>
      <c r="AE28" s="397"/>
      <c r="AF28" s="56"/>
      <c r="AL28" s="358"/>
    </row>
    <row r="29" spans="2:46" ht="15" customHeight="1">
      <c r="S29" s="47" t="s">
        <v>844</v>
      </c>
      <c r="T29" s="55">
        <f ca="1">AX215</f>
        <v>3.035483091979321E-2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44" t="s">
        <v>845</v>
      </c>
      <c r="T31" s="1145">
        <f ca="1">SUM(T21:T30)</f>
        <v>1.0000000000000002</v>
      </c>
    </row>
    <row r="36" spans="1:36" ht="15" customHeight="1">
      <c r="N36" s="663" t="s">
        <v>846</v>
      </c>
      <c r="O36" s="663"/>
      <c r="P36" s="1146">
        <f>VLOOKUP(LnkTXTSigla,Informacoes[],35,FALSE)</f>
        <v>41472</v>
      </c>
      <c r="Q36" s="1147">
        <f>DATE(2013,MONTH(DataRevRea),1)</f>
        <v>41456</v>
      </c>
    </row>
    <row r="37" spans="1:36" ht="15" customHeight="1">
      <c r="L37" s="358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48"/>
      <c r="M38" s="1149">
        <f t="shared" ref="M38:V38" si="0">DATE(M37,MONTH(DataRevRea),1)</f>
        <v>41456</v>
      </c>
      <c r="N38" s="1149">
        <f t="shared" si="0"/>
        <v>41821</v>
      </c>
      <c r="O38" s="1149">
        <f t="shared" si="0"/>
        <v>42186</v>
      </c>
      <c r="P38" s="1149">
        <f t="shared" si="0"/>
        <v>42552</v>
      </c>
      <c r="Q38" s="1149">
        <f t="shared" si="0"/>
        <v>42917</v>
      </c>
      <c r="R38" s="1149">
        <f t="shared" si="0"/>
        <v>43282</v>
      </c>
      <c r="S38" s="1149">
        <f t="shared" si="0"/>
        <v>43647</v>
      </c>
      <c r="T38" s="1149">
        <f t="shared" si="0"/>
        <v>44013</v>
      </c>
      <c r="U38" s="1149">
        <f t="shared" si="0"/>
        <v>44378</v>
      </c>
      <c r="V38" s="1149">
        <f t="shared" si="0"/>
        <v>44743</v>
      </c>
      <c r="W38" s="1149" t="s">
        <v>780</v>
      </c>
    </row>
    <row r="39" spans="1:36" ht="15" customHeight="1">
      <c r="L39" s="65" t="str">
        <f>CAPA!C9</f>
        <v>Certaja</v>
      </c>
      <c r="M39" s="410">
        <f>SUMIF(TAbtarifasb1[[#All],[Sigla]],LnkTXTSigla,TAbtarifasb1[[#All],[2013]])</f>
        <v>404.46</v>
      </c>
      <c r="N39" s="410">
        <f>SUMIF(TAbtarifasb1[[#All],[Sigla]],LnkTXTSigla,TAbtarifasb1[[#All],[2014]])</f>
        <v>305.14</v>
      </c>
      <c r="O39" s="410">
        <f>SUMIF(TAbtarifasb1[[#All],[Sigla]],LnkTXTSigla,TAbtarifasb1[[#All],[2015]])</f>
        <v>393.10271432926857</v>
      </c>
      <c r="P39" s="422">
        <f>SUMIF(TAbtarifasb1[[#All],[Sigla]],LnkTXTSigla,TAbtarifasb1[[#All],[2016]])</f>
        <v>393.1</v>
      </c>
      <c r="Q39" s="422">
        <f>SUMIF(TAbtarifasb1[[#All],[Sigla]],LnkTXTSigla,TAbtarifasb1[[#All],[2017]])</f>
        <v>551.04</v>
      </c>
      <c r="R39" s="789">
        <f>SUMIF(TAbtarifasb1[[#All],[Sigla]],LnkTXTSigla,TAbtarifasb1[[#All],[2018]])</f>
        <v>595.99</v>
      </c>
      <c r="S39" s="789">
        <f>SUMIF(TAbtarifasb1[[#All],[Sigla]],LnkTXTSigla,TAbtarifasb1[[#All],[2019]])</f>
        <v>616.19999999999993</v>
      </c>
      <c r="T39" s="425">
        <f>SUMIF(TAbtarifasb1[[#All],[Sigla]],LnkTXTSigla,TAbtarifasb1[[#All],[2020]])</f>
        <v>583.48</v>
      </c>
      <c r="U39" s="425">
        <f>SUMIF(TAbtarifasb1[[#All],[Sigla]],LnkTXTSigla,TAbtarifasb1[[#All],[2021]])</f>
        <v>521.44999999999993</v>
      </c>
      <c r="V39" s="425">
        <f>Resultado!L6</f>
        <v>550.61</v>
      </c>
      <c r="W39" s="776">
        <f>V39/M39-1</f>
        <v>0.36134599218711383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6">
        <f>V40/M40-1</f>
        <v>-1</v>
      </c>
    </row>
    <row r="41" spans="1:36" ht="15" customHeight="1">
      <c r="L41" s="65" t="s">
        <v>847</v>
      </c>
      <c r="M41" s="411">
        <f>M39</f>
        <v>404.46</v>
      </c>
      <c r="N41" s="411">
        <f>VLOOKUP(DATE(YEAR(O38),MONTH(O38)-1,1),Índices!$B:$F,2,FALSE)/VLOOKUP(DATE(YEAR(Q36),MONTH(Q36)-1,1),Índices!$B:$F,2,FALSE)*M41</f>
        <v>453.73504238634843</v>
      </c>
      <c r="O41" s="411">
        <f>VLOOKUP(DATE(YEAR(O38),MONTH(O38)-1,1),Índices!$B:$F,2,FALSE)/VLOOKUP(DATE(YEAR(N38),MONTH(N38)-1,1),Índices!$B:$F,2,FALSE)*N41</f>
        <v>479.11127907847958</v>
      </c>
      <c r="P41" s="411">
        <f>VLOOKUP(DATE(YEAR(P38),MONTH(P38)-1,1),Índices!$B:$F,2,FALSE)/VLOOKUP(DATE(YEAR(O38),MONTH(O38)-1,1),Índices!$B:$F,2,FALSE)*O41</f>
        <v>537.59747052747184</v>
      </c>
      <c r="Q41" s="411">
        <f>VLOOKUP(DATE(YEAR(Q38),MONTH(Q38)-1,1),Índices!$B:$F,2,FALSE)/VLOOKUP(DATE(YEAR(P38),MONTH(P38)-1,1),Índices!$B:$F,2,FALSE)*P41</f>
        <v>533.412657869746</v>
      </c>
      <c r="R41" s="368">
        <f>IF(R37=YEAR(CAPA!$C$114),'Tabelas e Gráficos'!R39,(VLOOKUP(DATE(YEAR(R38),MONTH(R38)-1,1),Índices!$B:$F,2,FALSE)/VLOOKUP(DATE(YEAR(Q38),MONTH(Q38)-1,1),Índices!$B:$F,2,FALSE)*Q41))</f>
        <v>570.33147494335003</v>
      </c>
      <c r="S41" s="368">
        <f>IF(S37=YEAR(CAPA!$C$114),'Tabelas e Gráficos'!S39,(VLOOKUP(DATE(YEAR(S38),MONTH(S38)-1,1),Índices!$B:$F,2,FALSE)/VLOOKUP(DATE(YEAR(R38),MONTH(R38)-1,1),Índices!$B:$F,2,FALSE)*R41))</f>
        <v>607.46089001978032</v>
      </c>
      <c r="T41" s="368">
        <f>IF(T37=YEAR(CAPA!$C$114),'Tabelas e Gráficos'!T39,(VLOOKUP(DATE(YEAR(T38),MONTH(T38)-1,1),Índices!$B:$F,2,FALSE)/VLOOKUP(DATE(YEAR(S38),MONTH(S38)-1,1),Índices!$B:$F,2,FALSE)*S41))</f>
        <v>651.8904874285596</v>
      </c>
      <c r="U41" s="411">
        <f>VLOOKUP(DATE(YEAR(U38),MONTH(U38)-1,1),Índices!$B:$F,2,FALSE)/VLOOKUP(DATE(YEAR(T38),MONTH(T38)-1,1),Índices!$B:$F,2,FALSE)*T41</f>
        <v>884.95008349389866</v>
      </c>
      <c r="V41" s="411">
        <f>VLOOKUP(DATE(YEAR(V38),MONTH(V38)-1,1),Índices!$B:$F,2,FALSE)/VLOOKUP(DATE(YEAR(U38),MONTH(U38)-1,1),Índices!$B:$F,2,FALSE)*U41</f>
        <v>979.67722969489751</v>
      </c>
      <c r="W41" s="776">
        <f>V41/M41-1</f>
        <v>1.4221857036416394</v>
      </c>
    </row>
    <row r="42" spans="1:36" ht="15" customHeight="1">
      <c r="L42" s="1150" t="s">
        <v>848</v>
      </c>
      <c r="M42" s="1152">
        <f>M39</f>
        <v>404.46</v>
      </c>
      <c r="N42" s="1152">
        <f>VLOOKUP(DATE(YEAR(N38),MONTH(N38)-1,1),Índices!$B:$F,3,FALSE)/VLOOKUP(DATE(YEAR(Q36),MONTH(Q36)-1,1),Índices!$B:$F,3,FALSE)*M42</f>
        <v>430.84407285409804</v>
      </c>
      <c r="O42" s="1152">
        <f>VLOOKUP(DATE(YEAR(O38),MONTH(O38)-1,1),Índices!$B:$F,3,FALSE)/VLOOKUP(DATE(YEAR(N38),MONTH(N38)-1,1),Índices!$B:$F,3,FALSE)*N42</f>
        <v>469.16519715171478</v>
      </c>
      <c r="P42" s="1152">
        <f>VLOOKUP(DATE(YEAR(P38),MONTH(P38)-1,1),Índices!$B:$F,3,FALSE)/VLOOKUP(DATE(YEAR(O38),MONTH(O38)-1,1),Índices!$B:$F,3,FALSE)*O42</f>
        <v>510.656981689595</v>
      </c>
      <c r="Q42" s="1152">
        <f>VLOOKUP(DATE(YEAR(Q38),MONTH(Q38)-1,1),Índices!$B:$F,3,FALSE)/VLOOKUP(DATE(YEAR(P38),MONTH(P38)-1,1),Índices!$B:$F,3,FALSE)*P42</f>
        <v>525.9693223212555</v>
      </c>
      <c r="R42" s="1151">
        <f>IF(R37=YEAR(CAPA!$C$114),'Tabelas e Gráficos'!R39,(VLOOKUP(DATE(YEAR(R38),MONTH(R38)-1,1),Índices!$B:$F,3,FALSE)/VLOOKUP(DATE(YEAR(Q38),MONTH(Q38)-1,1),Índices!$B:$F,3,FALSE)*'Tabelas e Gráficos'!Q42))</f>
        <v>549.06518213524498</v>
      </c>
      <c r="S42" s="1151">
        <f>IF(S37=YEAR(CAPA!$C$114),'Tabelas e Gráficos'!S39,(VLOOKUP(DATE(YEAR(S38),MONTH(S38)-1,1),Índices!$B:$F,3,FALSE)/VLOOKUP(DATE(YEAR(R38),MONTH(R38)-1,1),Índices!$B:$F,3,FALSE)*'Tabelas e Gráficos'!R42))</f>
        <v>567.54818300716909</v>
      </c>
      <c r="T42" s="1151">
        <f>IF(T37=YEAR(CAPA!$C$114),'Tabelas e Gráficos'!T39,(VLOOKUP(DATE(YEAR(T38),MONTH(T38)-1,1),Índices!$B:$F,3,FALSE)/VLOOKUP(DATE(YEAR(S38),MONTH(S38)-1,1),Índices!$B:$F,3,FALSE)*'Tabelas e Gráficos'!S42))</f>
        <v>579.65067913195105</v>
      </c>
      <c r="U42" s="1152">
        <f>VLOOKUP(DATE(YEAR(U38),MONTH(U38)-1,1),Índices!$B:$F,3,FALSE)/VLOOKUP(DATE(YEAR(T38),MONTH(T38)-1,1),Índices!$B:$F,3,FALSE)*T42</f>
        <v>628.03454078666903</v>
      </c>
      <c r="V42" s="1152">
        <f>VLOOKUP(DATE(YEAR(V38),MONTH(V38)-1,1),Índices!$B:$F,3,FALSE)/VLOOKUP(DATE(YEAR(U38),MONTH(U38)-1,1),Índices!$B:$F,3,FALSE)*U42</f>
        <v>702.68818785119151</v>
      </c>
      <c r="W42" s="776">
        <f>V42/M42-1</f>
        <v>0.73734902796615631</v>
      </c>
    </row>
    <row r="43" spans="1:36" ht="15" customHeight="1">
      <c r="X43" s="23">
        <v>938.62</v>
      </c>
    </row>
    <row r="44" spans="1:36" ht="15" customHeight="1">
      <c r="X44" s="892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4"/>
      <c r="B49" s="674"/>
      <c r="C49" s="674"/>
      <c r="D49" s="674"/>
      <c r="E49" s="674"/>
      <c r="F49" s="674"/>
      <c r="G49" s="674"/>
      <c r="H49" s="675"/>
      <c r="I49" s="674"/>
      <c r="J49" s="674"/>
      <c r="K49" s="676"/>
      <c r="L49" s="676"/>
      <c r="M49" s="676"/>
      <c r="N49" s="676"/>
      <c r="O49" s="676"/>
      <c r="P49" s="676"/>
      <c r="Q49" s="674"/>
      <c r="R49" s="674"/>
      <c r="S49" s="677"/>
      <c r="T49" s="674"/>
      <c r="U49" s="674"/>
      <c r="V49" s="674"/>
      <c r="W49" s="674"/>
      <c r="X49" s="674"/>
      <c r="Y49" s="674"/>
      <c r="Z49" s="674"/>
      <c r="AA49" s="674"/>
      <c r="AB49" s="674"/>
      <c r="AC49" s="674"/>
      <c r="AD49" s="674"/>
    </row>
    <row r="50" spans="1:47" ht="15" customHeight="1">
      <c r="B50" s="307" t="s">
        <v>807</v>
      </c>
      <c r="C50" s="308" t="s">
        <v>849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798"/>
      <c r="M51" s="1798"/>
      <c r="N51" s="1798"/>
      <c r="O51" s="49"/>
      <c r="P51" s="49"/>
    </row>
    <row r="52" spans="1:47" ht="15" customHeight="1">
      <c r="B52" s="310" t="s">
        <v>852</v>
      </c>
      <c r="C52" s="311">
        <f ca="1">Resultado!C5</f>
        <v>84496696.533408657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75563773.538370013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0.11821700501104093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-0.3226</v>
      </c>
      <c r="D55" s="312"/>
      <c r="E55" s="28"/>
      <c r="H55" s="23"/>
      <c r="K55" s="49"/>
      <c r="L55" s="673"/>
      <c r="M55" s="670"/>
      <c r="N55" s="671"/>
      <c r="O55" s="49"/>
      <c r="P55" s="49"/>
    </row>
    <row r="56" spans="1:47" ht="15" customHeight="1">
      <c r="B56" s="1153" t="str">
        <f>Resultado!B9</f>
        <v>Variação econômica e financeira</v>
      </c>
      <c r="C56" s="1154">
        <f ca="1">C54+C55</f>
        <v>-0.20438299498895907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29"/>
      <c r="M57" s="529"/>
      <c r="N57" s="529"/>
      <c r="O57" s="529"/>
      <c r="P57" s="529"/>
      <c r="Q57" s="529"/>
      <c r="R57" s="529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0"/>
      <c r="M58" s="531"/>
      <c r="N58" s="532"/>
      <c r="O58" s="526"/>
      <c r="P58" s="526"/>
      <c r="Q58" s="527"/>
      <c r="R58" s="528"/>
      <c r="S58" s="49"/>
      <c r="AT58" s="19"/>
      <c r="AU58" s="409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107828.46300000002</v>
      </c>
      <c r="G60" s="311">
        <f ca="1">Calc_Mercado!D8</f>
        <v>71503992.823320016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32667.811999999984</v>
      </c>
      <c r="G65" s="311">
        <f ca="1">Calc_Mercado!D13</f>
        <v>20861828.496720012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75160.651000000042</v>
      </c>
      <c r="G67" s="311">
        <f ca="1">Calc_Mercado!D15</f>
        <v>50642164.3266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867</v>
      </c>
      <c r="F69" s="311">
        <f ca="1">Calc_Mercado!C18</f>
        <v>8298.1389999999992</v>
      </c>
      <c r="G69" s="311">
        <f ca="1">Calc_Mercado!D18</f>
        <v>3474108.7150500002</v>
      </c>
      <c r="H69" s="318">
        <f t="shared" ca="1" si="1"/>
        <v>1</v>
      </c>
    </row>
    <row r="70" spans="2:43" ht="15" customHeight="1">
      <c r="C70" s="315"/>
      <c r="D70" s="312"/>
      <c r="E70" s="1153" t="s">
        <v>845</v>
      </c>
      <c r="F70" s="1155">
        <f ca="1">Calc_Mercado!C25</f>
        <v>116126.60200000001</v>
      </c>
      <c r="G70" s="1155">
        <f ca="1">Calc_Mercado!D25</f>
        <v>75563773.538370013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95"/>
      <c r="D74" s="1795"/>
      <c r="E74" s="1795"/>
      <c r="I74" s="1156" t="s">
        <v>819</v>
      </c>
      <c r="J74" s="1157">
        <f ca="1">SUM(J75:J83)</f>
        <v>8644224.5781270918</v>
      </c>
      <c r="K74" s="1158">
        <f ca="1">SUM(K75:K83)</f>
        <v>0.11439641210794879</v>
      </c>
      <c r="L74" s="318" t="s">
        <v>858</v>
      </c>
      <c r="N74" s="34"/>
      <c r="AG74" s="49"/>
      <c r="AH74" s="1802"/>
      <c r="AI74" s="1802"/>
      <c r="AJ74" s="1802"/>
      <c r="AK74" s="666"/>
      <c r="AL74" s="49"/>
      <c r="AM74" s="49"/>
      <c r="AN74" s="49"/>
      <c r="AO74" s="49"/>
    </row>
    <row r="75" spans="2:43" ht="15" hidden="1" customHeight="1">
      <c r="B75" s="30"/>
      <c r="C75" s="1794"/>
      <c r="D75" s="1794"/>
      <c r="E75" s="1794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803"/>
      <c r="AI75" s="1803"/>
      <c r="AJ75" s="1803"/>
      <c r="AK75" s="667"/>
      <c r="AL75" s="429"/>
      <c r="AM75" s="49"/>
      <c r="AN75" s="49"/>
      <c r="AO75" s="49"/>
    </row>
    <row r="76" spans="2:43" ht="15" hidden="1" customHeight="1">
      <c r="B76" s="30"/>
      <c r="C76" s="1794"/>
      <c r="D76" s="1794"/>
      <c r="E76" s="1794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8"/>
      <c r="AL76" s="49"/>
      <c r="AM76" s="49"/>
      <c r="AN76" s="49"/>
      <c r="AO76" s="49"/>
    </row>
    <row r="77" spans="2:43" ht="15" customHeight="1">
      <c r="B77" s="30"/>
      <c r="C77" s="1794"/>
      <c r="D77" s="1794"/>
      <c r="E77" s="1794"/>
      <c r="I77" s="35" t="str">
        <f>Resultado!B17</f>
        <v>Taxa de Fisc. de Serviços de E.E. – TFSEE</v>
      </c>
      <c r="J77" s="320">
        <f ca="1">Mercado_Faturado_Encargo_TFSEE_BRUTO</f>
        <v>169588.62193635927</v>
      </c>
      <c r="K77" s="36">
        <f t="shared" ca="1" si="2"/>
        <v>2.2443111823980707E-3</v>
      </c>
      <c r="L77" s="318">
        <f ca="1">IF(J77=0,0,1)</f>
        <v>1</v>
      </c>
      <c r="N77" s="36"/>
      <c r="AG77" s="49"/>
      <c r="AH77" s="49"/>
      <c r="AI77" s="49"/>
      <c r="AJ77" s="49"/>
      <c r="AK77" s="668"/>
      <c r="AL77" s="49"/>
      <c r="AM77" s="49"/>
      <c r="AN77" s="49"/>
      <c r="AO77" s="49"/>
    </row>
    <row r="78" spans="2:43" ht="15" customHeight="1">
      <c r="B78" s="30"/>
      <c r="C78" s="1794"/>
      <c r="D78" s="1794"/>
      <c r="E78" s="1794"/>
      <c r="I78" s="35" t="str">
        <f>Resultado!B18</f>
        <v>Conta de Desenvolvimento Energético – CDE</v>
      </c>
      <c r="J78" s="320">
        <f ca="1">Mercado_Faturado_Encargo_CDE_BRUTO</f>
        <v>6551838.6932571782</v>
      </c>
      <c r="K78" s="36">
        <f t="shared" ca="1" si="2"/>
        <v>8.6706081319910061E-2</v>
      </c>
      <c r="L78" s="318">
        <f t="shared" ref="L78:L94" ca="1" si="3">IF(J78=0,0,1)</f>
        <v>1</v>
      </c>
      <c r="N78" s="36"/>
      <c r="AG78" s="49"/>
      <c r="AH78" s="1803"/>
      <c r="AI78" s="1803"/>
      <c r="AJ78" s="1803"/>
      <c r="AK78" s="667"/>
      <c r="AL78" s="429"/>
      <c r="AM78" s="49"/>
      <c r="AN78" s="49"/>
      <c r="AO78" s="49"/>
    </row>
    <row r="79" spans="2:43" ht="15" hidden="1" customHeight="1">
      <c r="B79" s="30"/>
      <c r="C79" s="1794"/>
      <c r="D79" s="1794"/>
      <c r="E79" s="1794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8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94"/>
      <c r="D80" s="1794"/>
      <c r="E80" s="1794"/>
      <c r="I80" s="35" t="str">
        <f>Resultado!B20</f>
        <v>Encargos Serv. Sist. - ESS e Energ. Reserv. – EER</v>
      </c>
      <c r="J80" s="320">
        <f ca="1">Mercado_Faturado_Encargo_ESSERR_BRUTO</f>
        <v>859785.06388833188</v>
      </c>
      <c r="K80" s="36">
        <f t="shared" ca="1" si="2"/>
        <v>1.1378270613387875E-2</v>
      </c>
      <c r="L80" s="318">
        <v>0</v>
      </c>
      <c r="N80" s="36"/>
      <c r="AG80" s="49"/>
      <c r="AH80" s="49"/>
      <c r="AI80" s="49"/>
      <c r="AJ80" s="49"/>
      <c r="AK80" s="668"/>
      <c r="AL80" s="49"/>
      <c r="AM80" s="49"/>
      <c r="AN80" s="49"/>
      <c r="AO80" s="49"/>
    </row>
    <row r="81" spans="2:41" ht="15" customHeight="1">
      <c r="B81" s="30"/>
      <c r="C81" s="1794"/>
      <c r="D81" s="1794"/>
      <c r="E81" s="1794"/>
      <c r="I81" s="35" t="str">
        <f>Resultado!B21</f>
        <v>PROINFA</v>
      </c>
      <c r="J81" s="320">
        <f ca="1">Mercado_Faturado_Encargo_PROINFA_BRUTO</f>
        <v>1063012.1990452227</v>
      </c>
      <c r="K81" s="36">
        <f t="shared" ca="1" si="2"/>
        <v>1.4067748992252788E-2</v>
      </c>
      <c r="L81" s="318">
        <f t="shared" ca="1" si="3"/>
        <v>1</v>
      </c>
      <c r="N81" s="34"/>
      <c r="AG81" s="49"/>
      <c r="AH81" s="49"/>
      <c r="AI81" s="49"/>
      <c r="AJ81" s="49"/>
      <c r="AK81" s="668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803"/>
      <c r="AI82" s="1803"/>
      <c r="AJ82" s="1803"/>
      <c r="AK82" s="667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8"/>
      <c r="AL83" s="49"/>
      <c r="AM83" s="49"/>
      <c r="AN83" s="49"/>
      <c r="AO83" s="49"/>
    </row>
    <row r="84" spans="2:41" ht="15" customHeight="1">
      <c r="I84" s="1156" t="s">
        <v>871</v>
      </c>
      <c r="J84" s="1157">
        <f ca="1">SUM(Calc_Mercado!C79:C85)</f>
        <v>19319340.721340153</v>
      </c>
      <c r="K84" s="1158">
        <f ca="1">SUM(K85)</f>
        <v>0.25566934811070702</v>
      </c>
      <c r="L84" s="318">
        <f t="shared" ca="1" si="3"/>
        <v>1</v>
      </c>
      <c r="N84" s="36"/>
      <c r="AG84" s="49"/>
      <c r="AH84" s="49"/>
      <c r="AI84" s="49"/>
      <c r="AJ84" s="49"/>
      <c r="AK84" s="668"/>
      <c r="AL84" s="49"/>
      <c r="AM84" s="49"/>
      <c r="AN84" s="49"/>
      <c r="AO84" s="49"/>
    </row>
    <row r="85" spans="2:41" ht="15" customHeight="1">
      <c r="B85" s="30"/>
      <c r="I85" s="37" t="s">
        <v>872</v>
      </c>
      <c r="J85" s="320">
        <f ca="1">J84</f>
        <v>19319340.721340153</v>
      </c>
      <c r="K85" s="36">
        <f t="shared" ref="K85:K96" ca="1" si="4">J85/$J$97</f>
        <v>0.25566934811070702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2"/>
      <c r="AL85" s="49"/>
      <c r="AM85" s="49"/>
      <c r="AN85" s="49"/>
      <c r="AO85" s="49"/>
    </row>
    <row r="86" spans="2:41" ht="15" customHeight="1">
      <c r="B86" s="1801"/>
      <c r="C86" s="1801"/>
      <c r="D86" s="1801"/>
      <c r="E86" s="1801"/>
      <c r="F86" s="1801"/>
      <c r="G86" s="39"/>
      <c r="I86" s="1156" t="s">
        <v>873</v>
      </c>
      <c r="J86" s="1157">
        <f ca="1">Resultado!C24</f>
        <v>7854545.8494816115</v>
      </c>
      <c r="K86" s="1158">
        <f t="shared" ca="1" si="4"/>
        <v>0.10394591854909423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2"/>
      <c r="AL86" s="49"/>
      <c r="AM86" s="49"/>
      <c r="AN86" s="49"/>
      <c r="AO86" s="49"/>
    </row>
    <row r="87" spans="2:41" ht="15" customHeight="1">
      <c r="B87" s="1800"/>
      <c r="C87" s="1800"/>
      <c r="D87" s="1800"/>
      <c r="E87" s="1800"/>
      <c r="F87" s="1800"/>
      <c r="G87" s="42"/>
      <c r="I87" s="37" t="s">
        <v>704</v>
      </c>
      <c r="J87" s="320">
        <f ca="1">Resultado!C25</f>
        <v>2512371.1955021746</v>
      </c>
      <c r="K87" s="36">
        <f t="shared" ca="1" si="4"/>
        <v>3.3248355367356486E-2</v>
      </c>
      <c r="L87" s="318">
        <f t="shared" ca="1" si="3"/>
        <v>1</v>
      </c>
      <c r="M87" s="321"/>
      <c r="N87" s="41"/>
      <c r="AG87" s="49"/>
      <c r="AH87" s="669"/>
      <c r="AI87" s="670"/>
      <c r="AJ87" s="671"/>
      <c r="AK87" s="672"/>
      <c r="AL87" s="429"/>
      <c r="AM87" s="49"/>
      <c r="AN87" s="49"/>
      <c r="AO87" s="49"/>
    </row>
    <row r="88" spans="2:41" ht="15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762419.84274428466</v>
      </c>
      <c r="K88" s="36">
        <f t="shared" ca="1" si="4"/>
        <v>1.008975342340653E-2</v>
      </c>
      <c r="L88" s="318">
        <f t="shared" ca="1" si="3"/>
        <v>1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customHeight="1">
      <c r="B89" s="1800"/>
      <c r="C89" s="1800"/>
      <c r="D89" s="1800"/>
      <c r="E89" s="1800"/>
      <c r="F89" s="1800"/>
      <c r="G89" s="42"/>
      <c r="I89" s="37" t="s">
        <v>794</v>
      </c>
      <c r="J89" s="320">
        <f ca="1">Resultado!C31</f>
        <v>358285.69640434074</v>
      </c>
      <c r="K89" s="36">
        <f t="shared" ca="1" si="4"/>
        <v>4.7415008492450329E-3</v>
      </c>
      <c r="L89" s="318">
        <f t="shared" ca="1" si="3"/>
        <v>1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358285.69640434074</v>
      </c>
      <c r="K93" s="36">
        <f t="shared" ca="1" si="4"/>
        <v>4.7415008492450329E-3</v>
      </c>
      <c r="L93" s="318">
        <f t="shared" ca="1" si="3"/>
        <v>1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801"/>
      <c r="C94" s="1801"/>
      <c r="D94" s="1801"/>
      <c r="E94" s="1801"/>
      <c r="F94" s="1801"/>
      <c r="G94" s="42"/>
      <c r="I94" s="37" t="s">
        <v>708</v>
      </c>
      <c r="J94" s="320">
        <f ca="1">Resultado!C32</f>
        <v>4221469.1148308115</v>
      </c>
      <c r="K94" s="36">
        <f t="shared" ca="1" si="4"/>
        <v>5.5866308909086185E-2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00"/>
      <c r="C95" s="1800"/>
      <c r="D95" s="1800"/>
      <c r="E95" s="1800"/>
      <c r="F95" s="1800"/>
      <c r="I95" s="1156" t="s">
        <v>874</v>
      </c>
      <c r="J95" s="1157">
        <f ca="1">J86+J84+J74</f>
        <v>35818111.148948856</v>
      </c>
      <c r="K95" s="1158">
        <f t="shared" ca="1" si="4"/>
        <v>0.47401167876775002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00"/>
      <c r="C96" s="1800"/>
      <c r="D96" s="1800"/>
      <c r="E96" s="1800"/>
      <c r="F96" s="1800"/>
      <c r="I96" s="1156" t="s">
        <v>875</v>
      </c>
      <c r="J96" s="1157">
        <f ca="1">J97-J95</f>
        <v>39745662.389421158</v>
      </c>
      <c r="K96" s="1158">
        <f t="shared" ca="1" si="4"/>
        <v>0.52598832123225003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01"/>
      <c r="C97" s="1801"/>
      <c r="D97" s="1801"/>
      <c r="E97" s="1801"/>
      <c r="F97" s="1801"/>
      <c r="G97" s="28"/>
      <c r="I97" s="1153" t="s">
        <v>876</v>
      </c>
      <c r="J97" s="1155">
        <f ca="1">Mercado_RA0_Reais</f>
        <v>75563773.538370013</v>
      </c>
      <c r="K97" s="1159">
        <f ca="1">K95+K96</f>
        <v>1</v>
      </c>
      <c r="L97" s="31"/>
      <c r="AG97" s="49"/>
      <c r="AH97" s="665"/>
      <c r="AI97" s="665"/>
      <c r="AJ97" s="665"/>
      <c r="AK97" s="49"/>
      <c r="AL97" s="49"/>
      <c r="AM97" s="49"/>
      <c r="AN97" s="49"/>
      <c r="AO97" s="49"/>
    </row>
    <row r="98" spans="2:41" ht="15" customHeight="1">
      <c r="B98" s="1800"/>
      <c r="C98" s="1800"/>
      <c r="D98" s="1800"/>
      <c r="E98" s="1800"/>
      <c r="F98" s="1800"/>
      <c r="G98" s="42"/>
      <c r="M98" s="307" t="s">
        <v>811</v>
      </c>
      <c r="N98" s="308" t="s">
        <v>849</v>
      </c>
      <c r="AH98" s="430"/>
      <c r="AI98" s="431"/>
      <c r="AJ98" s="431"/>
      <c r="AL98" s="49"/>
      <c r="AM98" s="49"/>
      <c r="AN98" s="49"/>
    </row>
    <row r="99" spans="2:41" ht="15" customHeight="1">
      <c r="B99" s="1800"/>
      <c r="C99" s="1800"/>
      <c r="D99" s="1800"/>
      <c r="E99" s="1800"/>
      <c r="F99" s="1800"/>
      <c r="G99" s="42"/>
      <c r="M99" s="301" t="s">
        <v>819</v>
      </c>
      <c r="N99" s="301" t="s">
        <v>851</v>
      </c>
      <c r="O99" s="323" t="s">
        <v>858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199478.20248349171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7879270.7302100025</v>
      </c>
      <c r="O103" s="324">
        <f t="shared" ca="1" si="5"/>
        <v>1</v>
      </c>
    </row>
    <row r="104" spans="2:41" ht="15" hidden="1" customHeight="1">
      <c r="B104" s="1800"/>
      <c r="C104" s="1800"/>
      <c r="D104" s="1800"/>
      <c r="E104" s="1800"/>
      <c r="F104" s="1800"/>
      <c r="G104" s="45"/>
      <c r="M104" s="35" t="s">
        <v>877</v>
      </c>
      <c r="N104" s="320">
        <f>Encargos!I20</f>
        <v>0</v>
      </c>
      <c r="O104" s="324">
        <f t="shared" si="5"/>
        <v>0</v>
      </c>
    </row>
    <row r="105" spans="2:41" ht="15" customHeight="1">
      <c r="B105" s="1800"/>
      <c r="C105" s="1800"/>
      <c r="D105" s="1800"/>
      <c r="E105" s="1800"/>
      <c r="F105" s="1800"/>
      <c r="G105" s="45"/>
      <c r="M105" s="35" t="str">
        <f>Resultado!B20</f>
        <v>Encargos Serv. Sist. - ESS e Energ. Reserv. – EER</v>
      </c>
      <c r="N105" s="320">
        <f>Resultado!D20</f>
        <v>2564882.9365526969</v>
      </c>
      <c r="O105" s="324">
        <f t="shared" si="5"/>
        <v>1</v>
      </c>
    </row>
    <row r="106" spans="2:41" ht="15" customHeight="1">
      <c r="B106" s="1801"/>
      <c r="C106" s="1801"/>
      <c r="D106" s="1801"/>
      <c r="E106" s="1801"/>
      <c r="F106" s="1801"/>
      <c r="G106" s="39"/>
      <c r="M106" s="35" t="str">
        <f>Resultado!B21</f>
        <v>PROINFA</v>
      </c>
      <c r="N106" s="320">
        <f ca="1">Resultado!D21</f>
        <v>1612207.5660000003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53" t="s">
        <v>845</v>
      </c>
      <c r="N109" s="1155">
        <f ca="1">SUM(N100:N108)</f>
        <v>12255839.435246192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Energia!N15</f>
        <v>3.0362426061435573E-2</v>
      </c>
    </row>
    <row r="113" spans="2:44" ht="15" customHeight="1">
      <c r="B113" s="46"/>
      <c r="C113" s="312"/>
      <c r="D113" s="312"/>
      <c r="P113" s="35" t="s">
        <v>743</v>
      </c>
      <c r="Q113" s="1160">
        <f ca="1">Energia!N14</f>
        <v>9.6639725579381358E-2</v>
      </c>
    </row>
    <row r="114" spans="2:44" ht="15" customHeight="1">
      <c r="B114" s="46"/>
      <c r="C114" s="312"/>
      <c r="D114" s="312"/>
      <c r="P114" s="1153" t="s">
        <v>845</v>
      </c>
      <c r="Q114" s="1159">
        <f ca="1">SUM(Q112:Q113)</f>
        <v>0.12700215164081693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161" t="s">
        <v>881</v>
      </c>
      <c r="T119" s="1162">
        <f ca="1">SUM(T120:T121)</f>
        <v>107828.46300000002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107828.46300000002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61" t="s">
        <v>884</v>
      </c>
      <c r="T122" s="1163">
        <f ca="1">SUM(T123:T124)</f>
        <v>15159.452099999997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885</v>
      </c>
      <c r="T123" s="327">
        <f ca="1">SUM(Energia!C11:C12)</f>
        <v>3624.1728000000003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11535.279299999997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53" t="s">
        <v>880</v>
      </c>
      <c r="T125" s="1164">
        <f ca="1">T119+T122</f>
        <v>122987.91510000001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65" t="s">
        <v>887</v>
      </c>
      <c r="W127" s="1165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48" t="s">
        <v>27</v>
      </c>
      <c r="W128" s="1166" t="s">
        <v>77</v>
      </c>
      <c r="X128" s="1148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A4 (2,3 a 25 kV)</v>
      </c>
      <c r="X129" s="330">
        <f>Energia!H28</f>
        <v>273.92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Cia. Estadual de Distribuição de Energia Elétrica - Ceee-D</v>
      </c>
      <c r="W130" s="329" t="str">
        <f>Energia!C29</f>
        <v>A4 (2,3 a 25 kV)</v>
      </c>
      <c r="X130" s="330">
        <f>Energia!H29</f>
        <v>316.45999999999998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67">
        <f>Energia!B32</f>
        <v>0</v>
      </c>
      <c r="W133" s="1167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68"/>
      <c r="W134" s="1169"/>
      <c r="X134" s="1170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65" t="s">
        <v>889</v>
      </c>
      <c r="AA136" s="1165"/>
      <c r="AB136" s="1165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5045</v>
      </c>
      <c r="AB138" s="336">
        <f>Energia!G35</f>
        <v>273.92</v>
      </c>
      <c r="AC138" s="337">
        <f>AA138*AB138</f>
        <v>1381926.4000000001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71">
        <f>Energia!C19</f>
        <v>1894.971763920269</v>
      </c>
      <c r="AB140" s="1172">
        <f>Energia!D19</f>
        <v>0</v>
      </c>
      <c r="AC140" s="1173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61" t="s">
        <v>891</v>
      </c>
      <c r="AA141" s="1174">
        <f ca="1">Energia!N30-Energia!M30</f>
        <v>1684.5254215417663</v>
      </c>
      <c r="AB141" s="1175">
        <f>Energia!M34</f>
        <v>0</v>
      </c>
      <c r="AC141" s="1175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53" t="s">
        <v>845</v>
      </c>
      <c r="AA142" s="1176">
        <f ca="1">SUM(AA138:AA141)</f>
        <v>8624.4971854620344</v>
      </c>
      <c r="AB142" s="1177">
        <f ca="1">AC142/AA142</f>
        <v>160.2326918639915</v>
      </c>
      <c r="AC142" s="1177">
        <f ca="1">SUM(AC138:AC141)</f>
        <v>1381926.4000000001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178" t="s">
        <v>829</v>
      </c>
      <c r="AF144" s="1178"/>
      <c r="AG144" s="1178"/>
      <c r="AH144" s="1178"/>
      <c r="AI144" s="1178"/>
      <c r="AJ144" s="1178"/>
      <c r="AK144" s="308" t="s">
        <v>849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48" t="s">
        <v>27</v>
      </c>
      <c r="AF145" s="1148" t="s">
        <v>77</v>
      </c>
      <c r="AG145" s="1148" t="s">
        <v>892</v>
      </c>
      <c r="AH145" s="1148" t="s">
        <v>893</v>
      </c>
      <c r="AI145" s="1148" t="s">
        <v>60</v>
      </c>
      <c r="AJ145" s="1148" t="s">
        <v>894</v>
      </c>
      <c r="AK145" s="1148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5">
        <f>CUSD!H6</f>
        <v>66324.820000000007</v>
      </c>
      <c r="AJ146" s="406">
        <f>CUSD!J6</f>
        <v>19.98</v>
      </c>
      <c r="AK146" s="339">
        <f>IFERROR(AI146*AJ146,0)</f>
        <v>1325169.9036000001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5">
        <f>CUSD!H7</f>
        <v>63223.64</v>
      </c>
      <c r="AJ147" s="406">
        <f>CUSD!J7</f>
        <v>26.9</v>
      </c>
      <c r="AK147" s="339">
        <f t="shared" ref="AK147:AK153" si="7">IFERROR(AI147*AJ147,0)</f>
        <v>1700715.916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Cia. Estadual de Distribuição de Energia Elétrica - Ceee-D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26220.560000000001</v>
      </c>
      <c r="AJ148" s="406">
        <f>CUSD!J8</f>
        <v>16.29</v>
      </c>
      <c r="AK148" s="339">
        <f t="shared" si="7"/>
        <v>427132.92239999998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Cia. Estadual de Distribuição de Energia Elétrica - Ceee-D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26817.77</v>
      </c>
      <c r="AJ149" s="406">
        <f>CUSD!J9</f>
        <v>27.88</v>
      </c>
      <c r="AK149" s="339">
        <f t="shared" si="7"/>
        <v>747679.42759999994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RGE SUL DISTRIBUIDORA DE ENERGIA S.A.</v>
      </c>
      <c r="AF150" s="387" t="str">
        <f>CUSD!C10</f>
        <v>A4 (2,3 a 25 kV)</v>
      </c>
      <c r="AG150" s="339" t="str">
        <f>CUSD!F10</f>
        <v>Energia</v>
      </c>
      <c r="AH150" s="339" t="str">
        <f>CUSD!F10</f>
        <v>Energia</v>
      </c>
      <c r="AI150" s="405">
        <f>CUSD!H10</f>
        <v>20263.619369999997</v>
      </c>
      <c r="AJ150" s="406">
        <f>CUSD!J10</f>
        <v>11.36</v>
      </c>
      <c r="AK150" s="339">
        <f t="shared" si="7"/>
        <v>230194.71604319997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RGE SUL DISTRIBUIDORA DE ENERGIA S.A.</v>
      </c>
      <c r="AF151" s="387" t="str">
        <f>CUSD!C11</f>
        <v>A4 (2,3 a 25 kV)</v>
      </c>
      <c r="AG151" s="339" t="str">
        <f>CUSD!F11</f>
        <v>Energia</v>
      </c>
      <c r="AH151" s="339" t="str">
        <f>CUSD!F11</f>
        <v>Energia</v>
      </c>
      <c r="AI151" s="405">
        <f>CUSD!H11</f>
        <v>2616.68795</v>
      </c>
      <c r="AJ151" s="406">
        <f>CUSD!J11</f>
        <v>11.36</v>
      </c>
      <c r="AK151" s="339">
        <f t="shared" si="7"/>
        <v>29725.575111999999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Cia. Estadual de Distribuição de Energia Elétrica - Ceee-D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2751.6190000000001</v>
      </c>
      <c r="AJ152" s="406">
        <f>CUSD!J12</f>
        <v>10.62</v>
      </c>
      <c r="AK152" s="339">
        <f t="shared" si="7"/>
        <v>29222.193779999998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Cia. Estadual de Distribuição de Energia Elétrica - Ceee-D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489.81299999999999</v>
      </c>
      <c r="AJ153" s="406">
        <f>CUSD!J13</f>
        <v>10.62</v>
      </c>
      <c r="AK153" s="339">
        <f t="shared" si="7"/>
        <v>5201.8140599999997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53" t="s">
        <v>895</v>
      </c>
      <c r="AF161" s="1153"/>
      <c r="AG161" s="1153"/>
      <c r="AH161" s="1153"/>
      <c r="AI161" s="1179">
        <f>SUM(AI146:AI160)</f>
        <v>208708.52932</v>
      </c>
      <c r="AJ161" s="1155"/>
      <c r="AK161" s="1155">
        <f>SUM(AK146:AK160)</f>
        <v>4495042.4685952002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178" t="s">
        <v>896</v>
      </c>
      <c r="AN163" s="308" t="s">
        <v>849</v>
      </c>
    </row>
    <row r="164" spans="2:42" ht="15" customHeight="1">
      <c r="B164" s="46"/>
      <c r="C164" s="312"/>
      <c r="D164" s="312"/>
      <c r="P164" s="44"/>
      <c r="Q164" s="312"/>
      <c r="AM164" s="1180" t="s">
        <v>800</v>
      </c>
      <c r="AN164" s="1148" t="s">
        <v>851</v>
      </c>
      <c r="AO164" s="23" t="s">
        <v>858</v>
      </c>
      <c r="AP164" s="680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87">
        <f>LnkTXTPISCOFINS</f>
        <v>280743.18576086761</v>
      </c>
      <c r="AO165" s="23">
        <f t="shared" ref="AO165:AO196" si="9">IF(AN165=0,0,1)</f>
        <v>1</v>
      </c>
      <c r="AP165" s="680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887">
        <f ca="1">SUM(Financeiros!D12:D17)</f>
        <v>-144067.65904237804</v>
      </c>
      <c r="AO166" s="23">
        <f t="shared" ca="1" si="9"/>
        <v>1</v>
      </c>
      <c r="AP166" s="680"/>
    </row>
    <row r="167" spans="2:42" ht="15" hidden="1" customHeight="1">
      <c r="B167" s="46"/>
      <c r="C167" s="312"/>
      <c r="D167" s="312"/>
      <c r="P167" s="44"/>
      <c r="Q167" s="312"/>
      <c r="AM167" s="23" t="s">
        <v>2275</v>
      </c>
      <c r="AN167" s="425">
        <f ca="1">Financeiros!D18+Financeiros!D19</f>
        <v>0</v>
      </c>
      <c r="AO167" s="23">
        <f t="shared" ca="1" si="9"/>
        <v>0</v>
      </c>
      <c r="AP167" s="680"/>
    </row>
    <row r="168" spans="2:42" ht="15" hidden="1" customHeight="1">
      <c r="B168" s="46"/>
      <c r="C168" s="312"/>
      <c r="D168" s="312"/>
      <c r="P168" s="44"/>
      <c r="Q168" s="312"/>
      <c r="AM168" s="23" t="s">
        <v>2275</v>
      </c>
      <c r="AN168" s="425"/>
      <c r="AO168" s="680">
        <f>IF(AN168=0,0,1)</f>
        <v>0</v>
      </c>
      <c r="AP168" s="680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87">
        <f>Financeiros!D25</f>
        <v>0</v>
      </c>
      <c r="AO169" s="23">
        <f t="shared" si="9"/>
        <v>0</v>
      </c>
      <c r="AP169" s="680"/>
    </row>
    <row r="170" spans="2:42" ht="15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87">
        <f>Financeiros!D26</f>
        <v>308834.35684424435</v>
      </c>
      <c r="AO170" s="23">
        <f t="shared" si="9"/>
        <v>1</v>
      </c>
      <c r="AP170" s="680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87">
        <f>LnkTXTDICFIC</f>
        <v>-232206.45884047006</v>
      </c>
      <c r="AO171" s="23">
        <f t="shared" si="9"/>
        <v>1</v>
      </c>
      <c r="AP171" s="680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87">
        <f ca="1">LnkTxTSubvencaoCDE</f>
        <v>-22774965.18163811</v>
      </c>
      <c r="AO172" s="23">
        <f t="shared" ca="1" si="9"/>
        <v>1</v>
      </c>
      <c r="AP172" s="680"/>
    </row>
    <row r="173" spans="2:42" ht="15" hidden="1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87">
        <f>Financeiros!D29</f>
        <v>0</v>
      </c>
      <c r="AO173" s="23">
        <f t="shared" si="9"/>
        <v>0</v>
      </c>
      <c r="AP173" s="680"/>
    </row>
    <row r="174" spans="2:42" ht="15" hidden="1" customHeight="1">
      <c r="B174" s="46"/>
      <c r="C174" s="312"/>
      <c r="D174" s="312"/>
      <c r="P174" s="44"/>
      <c r="Q174" s="312"/>
      <c r="AM174" s="53" t="s">
        <v>898</v>
      </c>
      <c r="AN174" s="887">
        <f>Financeiros!D35</f>
        <v>0</v>
      </c>
      <c r="AO174" s="23">
        <f t="shared" si="9"/>
        <v>0</v>
      </c>
      <c r="AP174" s="680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87">
        <f>Financeiros!D31</f>
        <v>0</v>
      </c>
      <c r="AO175" s="680">
        <f>IF(AN175=0,0,1)</f>
        <v>0</v>
      </c>
      <c r="AP175" s="680"/>
    </row>
    <row r="176" spans="2:42" ht="15" customHeight="1">
      <c r="B176" s="46"/>
      <c r="C176" s="312"/>
      <c r="D176" s="312"/>
      <c r="P176" s="44"/>
      <c r="Q176" s="312"/>
      <c r="AM176" s="53" t="s">
        <v>899</v>
      </c>
      <c r="AN176" s="887">
        <f>Financeiros!D38</f>
        <v>-3716038.383190468</v>
      </c>
      <c r="AO176" s="23">
        <f t="shared" si="9"/>
        <v>1</v>
      </c>
      <c r="AP176" s="680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88">
        <f>Financeiros!D36</f>
        <v>1685561.1761699938</v>
      </c>
      <c r="AO177" s="23">
        <f t="shared" si="9"/>
        <v>1</v>
      </c>
      <c r="AP177" s="680"/>
    </row>
    <row r="178" spans="2:42" ht="15" customHeight="1">
      <c r="B178" s="46"/>
      <c r="C178" s="312"/>
      <c r="D178" s="312"/>
      <c r="P178" s="44"/>
      <c r="Q178" s="312"/>
      <c r="AM178" s="53" t="s">
        <v>1396</v>
      </c>
      <c r="AN178" s="888">
        <f>Financeiros!D82</f>
        <v>-2585622.9629355916</v>
      </c>
      <c r="AO178" s="680">
        <f>IF(AN178=0,0,1)</f>
        <v>1</v>
      </c>
      <c r="AP178" s="680"/>
    </row>
    <row r="179" spans="2:42" ht="15" hidden="1" customHeight="1">
      <c r="B179" s="46"/>
      <c r="C179" s="312"/>
      <c r="D179" s="312"/>
      <c r="P179" s="44"/>
      <c r="Q179" s="312"/>
      <c r="AM179" s="53" t="str">
        <f>Financeiros!C37</f>
        <v>Efeito COVID da Supridora</v>
      </c>
      <c r="AN179" s="887">
        <f>Financeiros!D37</f>
        <v>0</v>
      </c>
      <c r="AO179" s="23">
        <f t="shared" si="9"/>
        <v>0</v>
      </c>
      <c r="AP179" s="680"/>
    </row>
    <row r="180" spans="2:42" ht="15" hidden="1" customHeight="1">
      <c r="B180" s="46"/>
      <c r="C180" s="312"/>
      <c r="D180" s="312"/>
      <c r="P180" s="44"/>
      <c r="Q180" s="312"/>
      <c r="AM180" s="53" t="s">
        <v>900</v>
      </c>
      <c r="AN180" s="887">
        <f>Financeiros!D39+Financeiros!D40</f>
        <v>0</v>
      </c>
      <c r="AO180" s="23">
        <f t="shared" si="9"/>
        <v>0</v>
      </c>
      <c r="AP180" s="680"/>
    </row>
    <row r="181" spans="2:42" ht="15" customHeight="1">
      <c r="B181" s="46"/>
      <c r="C181" s="312"/>
      <c r="D181" s="312"/>
      <c r="P181" s="44"/>
      <c r="Q181" s="312"/>
      <c r="AM181" s="53" t="str">
        <f>Financeiros!C41</f>
        <v>Financeiros associados ao §7º do Art. 88 da Ren 414/2021</v>
      </c>
      <c r="AN181" s="887">
        <f>Financeiros!D41</f>
        <v>-19057.990000000002</v>
      </c>
      <c r="AO181" s="23">
        <f t="shared" si="9"/>
        <v>1</v>
      </c>
      <c r="AP181" s="680"/>
    </row>
    <row r="182" spans="2:42" ht="15" hidden="1" customHeight="1">
      <c r="B182" s="46"/>
      <c r="C182" s="312"/>
      <c r="D182" s="312"/>
      <c r="P182" s="44"/>
      <c r="Q182" s="312"/>
      <c r="AM182" s="53">
        <f>Financeiros!C42</f>
        <v>0</v>
      </c>
      <c r="AN182" s="887">
        <f>Financeiros!D42</f>
        <v>0</v>
      </c>
      <c r="AO182" s="23">
        <f t="shared" ref="AO182:AO187" si="10">IF(AN182=0,0,1)</f>
        <v>0</v>
      </c>
      <c r="AP182" s="680"/>
    </row>
    <row r="183" spans="2:42" ht="15" hidden="1" customHeight="1">
      <c r="B183" s="46"/>
      <c r="C183" s="312"/>
      <c r="D183" s="312"/>
      <c r="P183" s="44"/>
      <c r="Q183" s="312"/>
      <c r="AM183" s="53">
        <f>Financeiros!C43</f>
        <v>0</v>
      </c>
      <c r="AN183" s="887">
        <f>Financeiros!D43</f>
        <v>0</v>
      </c>
      <c r="AO183" s="23">
        <f t="shared" si="10"/>
        <v>0</v>
      </c>
      <c r="AP183" s="680"/>
    </row>
    <row r="184" spans="2:42" ht="15" hidden="1" customHeight="1">
      <c r="B184" s="46"/>
      <c r="C184" s="312"/>
      <c r="D184" s="312"/>
      <c r="P184" s="44"/>
      <c r="Q184" s="312"/>
      <c r="AM184" s="53">
        <f>Financeiros!C44</f>
        <v>0</v>
      </c>
      <c r="AN184" s="887">
        <f>Financeiros!D44</f>
        <v>0</v>
      </c>
      <c r="AO184" s="23">
        <f t="shared" si="10"/>
        <v>0</v>
      </c>
      <c r="AP184" s="680"/>
    </row>
    <row r="185" spans="2:42" ht="15" hidden="1" customHeight="1">
      <c r="B185" s="46"/>
      <c r="C185" s="312"/>
      <c r="D185" s="312"/>
      <c r="P185" s="44"/>
      <c r="Q185" s="312"/>
      <c r="AM185" s="53">
        <f>Financeiros!C45</f>
        <v>0</v>
      </c>
      <c r="AN185" s="887">
        <f>Financeiros!D45</f>
        <v>0</v>
      </c>
      <c r="AO185" s="23">
        <f t="shared" si="10"/>
        <v>0</v>
      </c>
      <c r="AP185" s="680"/>
    </row>
    <row r="186" spans="2:42" ht="15" hidden="1" customHeight="1">
      <c r="B186" s="46"/>
      <c r="C186" s="312"/>
      <c r="D186" s="312"/>
      <c r="P186" s="44"/>
      <c r="Q186" s="312"/>
      <c r="AM186" s="53">
        <f>Financeiros!C46</f>
        <v>0</v>
      </c>
      <c r="AN186" s="887">
        <f>Financeiros!D46</f>
        <v>0</v>
      </c>
      <c r="AO186" s="23">
        <f t="shared" si="10"/>
        <v>0</v>
      </c>
      <c r="AP186" s="988"/>
    </row>
    <row r="187" spans="2:42" ht="15" hidden="1" customHeight="1">
      <c r="B187" s="46"/>
      <c r="C187" s="312"/>
      <c r="D187" s="312"/>
      <c r="P187" s="44"/>
      <c r="Q187" s="312"/>
      <c r="AM187" s="53">
        <f>Financeiros!C47</f>
        <v>0</v>
      </c>
      <c r="AN187" s="887">
        <f>Financeiros!D47</f>
        <v>0</v>
      </c>
      <c r="AO187" s="23">
        <f t="shared" si="10"/>
        <v>0</v>
      </c>
      <c r="AP187" s="988"/>
    </row>
    <row r="188" spans="2:42" ht="15" customHeight="1">
      <c r="B188" s="46"/>
      <c r="C188" s="312"/>
      <c r="D188" s="312"/>
      <c r="P188" s="44"/>
      <c r="Q188" s="312"/>
      <c r="AM188" s="53" t="s">
        <v>2293</v>
      </c>
      <c r="AN188" s="888">
        <f ca="1">SUM(Financeiros!D57:D61)</f>
        <v>1488222.1680999999</v>
      </c>
      <c r="AO188" s="23">
        <f t="shared" ca="1" si="9"/>
        <v>1</v>
      </c>
      <c r="AP188" s="680"/>
    </row>
    <row r="189" spans="2:42" ht="15" customHeight="1">
      <c r="B189" s="46"/>
      <c r="C189" s="312"/>
      <c r="D189" s="312"/>
      <c r="P189" s="44"/>
      <c r="Q189" s="312"/>
      <c r="AM189" s="53" t="s">
        <v>2303</v>
      </c>
      <c r="AN189" s="888">
        <f>Financeiros!D64</f>
        <v>2452923.1017</v>
      </c>
      <c r="AO189" s="23">
        <f t="shared" si="9"/>
        <v>1</v>
      </c>
      <c r="AP189" s="680"/>
    </row>
    <row r="190" spans="2:42" ht="15" customHeight="1">
      <c r="B190" s="46"/>
      <c r="C190" s="312"/>
      <c r="D190" s="312"/>
      <c r="P190" s="44"/>
      <c r="Q190" s="312"/>
      <c r="AM190" s="53" t="s">
        <v>2387</v>
      </c>
      <c r="AN190" s="887">
        <f ca="1">SUM(Financeiros!D65:D69)</f>
        <v>-241142.50221049221</v>
      </c>
      <c r="AO190" s="23">
        <f ca="1">IF(AN190=0,0,1)</f>
        <v>1</v>
      </c>
      <c r="AP190" s="680"/>
    </row>
    <row r="191" spans="2:42" ht="15" customHeight="1">
      <c r="B191" s="46"/>
      <c r="C191" s="312"/>
      <c r="D191" s="312"/>
      <c r="P191" s="44"/>
      <c r="Q191" s="312"/>
      <c r="AM191" s="53" t="s">
        <v>2269</v>
      </c>
      <c r="AN191" s="887">
        <f>Financeiros!D70</f>
        <v>-699865.67102402018</v>
      </c>
      <c r="AO191" s="23">
        <f t="shared" si="9"/>
        <v>1</v>
      </c>
      <c r="AP191" s="680"/>
    </row>
    <row r="192" spans="2:42" ht="15" hidden="1" customHeight="1">
      <c r="B192" s="46"/>
      <c r="C192" s="312"/>
      <c r="D192" s="312"/>
      <c r="P192" s="44"/>
      <c r="Q192" s="312"/>
      <c r="AM192" s="53" t="s">
        <v>2388</v>
      </c>
      <c r="AN192" s="887">
        <f ca="1">SUM(Financeiros!D71:D75)</f>
        <v>0</v>
      </c>
      <c r="AO192" s="23">
        <f t="shared" ca="1" si="9"/>
        <v>0</v>
      </c>
      <c r="AP192" s="680"/>
    </row>
    <row r="193" spans="2:54" ht="15" customHeight="1">
      <c r="B193" s="46"/>
      <c r="C193" s="312"/>
      <c r="D193" s="312"/>
      <c r="P193" s="44"/>
      <c r="Q193" s="312"/>
      <c r="AM193" s="53" t="s">
        <v>2389</v>
      </c>
      <c r="AN193" s="887">
        <f ca="1">SUM(Financeiros!D76:D80)</f>
        <v>-180523.29810000001</v>
      </c>
      <c r="AO193" s="23">
        <f t="shared" ca="1" si="9"/>
        <v>1</v>
      </c>
      <c r="AP193" s="680"/>
    </row>
    <row r="194" spans="2:54" ht="15" hidden="1" customHeight="1">
      <c r="B194" s="46"/>
      <c r="C194" s="312"/>
      <c r="D194" s="312"/>
      <c r="P194" s="44"/>
      <c r="Q194" s="312"/>
      <c r="AM194" s="53"/>
      <c r="AN194" s="887"/>
      <c r="AO194" s="23">
        <f t="shared" si="9"/>
        <v>0</v>
      </c>
      <c r="AP194" s="680"/>
    </row>
    <row r="195" spans="2:54" ht="15" hidden="1" customHeight="1">
      <c r="B195" s="46"/>
      <c r="C195" s="312"/>
      <c r="D195" s="312"/>
      <c r="P195" s="44"/>
      <c r="Q195" s="312"/>
      <c r="AM195" s="53"/>
      <c r="AN195" s="887"/>
      <c r="AO195" s="23">
        <f t="shared" si="9"/>
        <v>0</v>
      </c>
      <c r="AP195" s="680"/>
    </row>
    <row r="196" spans="2:54" ht="15" hidden="1" customHeight="1">
      <c r="B196" s="46"/>
      <c r="C196" s="312"/>
      <c r="D196" s="312"/>
      <c r="P196" s="44"/>
      <c r="Q196" s="312"/>
      <c r="AM196" s="53"/>
      <c r="AN196" s="887"/>
      <c r="AO196" s="23">
        <f t="shared" si="9"/>
        <v>0</v>
      </c>
      <c r="AP196" s="680"/>
    </row>
    <row r="197" spans="2:54" ht="15" customHeight="1">
      <c r="B197" s="46"/>
      <c r="C197" s="312"/>
      <c r="D197" s="312"/>
      <c r="P197" s="44"/>
      <c r="Q197" s="312"/>
      <c r="AM197" s="1153" t="s">
        <v>803</v>
      </c>
      <c r="AN197" s="1181">
        <f ca="1">SUM(AN165:AN196)</f>
        <v>-24377206.118406419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  <c r="AN199" s="1663">
        <f ca="1">Financeiros!D7</f>
        <v>-24377206.118406419</v>
      </c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178" t="s">
        <v>901</v>
      </c>
      <c r="AQ200" s="308" t="s">
        <v>849</v>
      </c>
    </row>
    <row r="201" spans="2:54" ht="15" customHeight="1">
      <c r="B201" s="46"/>
      <c r="C201" s="312"/>
      <c r="D201" s="312"/>
      <c r="P201" s="44"/>
      <c r="Q201" s="312"/>
      <c r="AM201" s="53"/>
      <c r="AN201" s="344">
        <f ca="1">AN199-AN197</f>
        <v>0</v>
      </c>
      <c r="AP201" s="1166" t="s">
        <v>902</v>
      </c>
      <c r="AQ201" s="1148" t="s">
        <v>903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904</v>
      </c>
      <c r="AQ202" s="230">
        <f>LnkTXTEfeitoAT</f>
        <v>6.6423391837483026E-2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905</v>
      </c>
      <c r="AQ203" s="230">
        <f>LnkTXTEfeitoBT</f>
        <v>8.8045675767323361E-2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53" t="s">
        <v>906</v>
      </c>
      <c r="AQ204" s="1159">
        <f>LnkTXTEfeito</f>
        <v>8.0954741647398798E-2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178" t="s">
        <v>907</v>
      </c>
      <c r="AT206" s="30"/>
      <c r="AU206" s="30"/>
      <c r="AV206" s="30"/>
      <c r="AW206" s="30"/>
      <c r="AX206" s="308" t="s">
        <v>849</v>
      </c>
    </row>
    <row r="207" spans="2:54" ht="39" customHeight="1" thickBot="1">
      <c r="B207" s="54"/>
      <c r="C207" s="322"/>
      <c r="D207" s="54"/>
      <c r="AS207" s="990" t="s">
        <v>908</v>
      </c>
      <c r="AT207" s="990" t="s">
        <v>869</v>
      </c>
      <c r="AU207" s="990" t="s">
        <v>909</v>
      </c>
      <c r="AV207" s="990" t="s">
        <v>910</v>
      </c>
      <c r="AW207" s="990" t="s">
        <v>911</v>
      </c>
      <c r="AX207" s="990" t="s">
        <v>912</v>
      </c>
      <c r="AY207" s="323" t="s">
        <v>858</v>
      </c>
      <c r="BB207" s="412"/>
    </row>
    <row r="208" spans="2:54" ht="15" customHeight="1" thickTop="1">
      <c r="B208" s="54"/>
      <c r="C208" s="322"/>
      <c r="D208" s="54"/>
      <c r="AS208" s="1182" t="s">
        <v>913</v>
      </c>
      <c r="AT208" s="1183">
        <f ca="1">SUM(AT209:AT218)</f>
        <v>8644224.5781270918</v>
      </c>
      <c r="AU208" s="1183">
        <f ca="1">SUM(AU209:AU218)</f>
        <v>12255839.435246192</v>
      </c>
      <c r="AV208" s="1184">
        <f ca="1">IF(AU208=0,0,ROUND(AU208/AT208-1,4))</f>
        <v>0.4178</v>
      </c>
      <c r="AW208" s="1184">
        <f ca="1">SUM(AW209:AW218)</f>
        <v>4.7795586271048011E-2</v>
      </c>
      <c r="AX208" s="1184">
        <f t="shared" ref="AX208:AX214" ca="1" si="11">AU208/$AU$226</f>
        <v>0.14504519038090946</v>
      </c>
      <c r="AY208" s="323">
        <v>1</v>
      </c>
    </row>
    <row r="209" spans="2:51" ht="15" hidden="1" customHeight="1">
      <c r="AS209" s="991" t="str">
        <f t="shared" ref="AS209:AT212" si="12">I75</f>
        <v>Reserva Global de Reversão – RGR</v>
      </c>
      <c r="AT209" s="992">
        <f t="shared" si="12"/>
        <v>0</v>
      </c>
      <c r="AU209" s="992">
        <f>Resultado!D15</f>
        <v>0</v>
      </c>
      <c r="AV209" s="993">
        <f t="shared" ref="AV209:AV224" si="13">IF(AU209=0,0,ROUND(AU209/AT209-1,3))</f>
        <v>0</v>
      </c>
      <c r="AW209" s="993">
        <f t="shared" ref="AW209:AW218" ca="1" si="14">(AU209-AT209)/$AT$226</f>
        <v>0</v>
      </c>
      <c r="AX209" s="993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991" t="str">
        <f t="shared" si="12"/>
        <v>Conta de Consumo de Combustíveis – CCC</v>
      </c>
      <c r="AT210" s="992">
        <f t="shared" si="12"/>
        <v>0</v>
      </c>
      <c r="AU210" s="992">
        <f>Resultado!D16</f>
        <v>0</v>
      </c>
      <c r="AV210" s="993">
        <f t="shared" si="13"/>
        <v>0</v>
      </c>
      <c r="AW210" s="993">
        <f t="shared" ca="1" si="14"/>
        <v>0</v>
      </c>
      <c r="AX210" s="993">
        <f t="shared" ca="1" si="11"/>
        <v>0</v>
      </c>
      <c r="AY210" s="323">
        <f t="shared" ref="AY210:AY264" ca="1" si="15">IF(AW210=0,0,1)</f>
        <v>0</v>
      </c>
    </row>
    <row r="211" spans="2:51" ht="15" customHeight="1">
      <c r="B211" s="29"/>
      <c r="C211" s="39"/>
      <c r="H211" s="23"/>
      <c r="AS211" s="991" t="str">
        <f t="shared" si="12"/>
        <v>Taxa de Fisc. de Serviços de E.E. – TFSEE</v>
      </c>
      <c r="AT211" s="992">
        <f t="shared" ca="1" si="12"/>
        <v>169588.62193635927</v>
      </c>
      <c r="AU211" s="992">
        <f ca="1">Resultado!D17</f>
        <v>199478.20248349171</v>
      </c>
      <c r="AV211" s="993">
        <f ca="1">IF(AU211=0,0,ROUND(AU211/AT211-1,4))</f>
        <v>0.1762</v>
      </c>
      <c r="AW211" s="993">
        <f t="shared" ca="1" si="14"/>
        <v>3.9555436616667928E-4</v>
      </c>
      <c r="AX211" s="993">
        <f t="shared" ca="1" si="11"/>
        <v>2.3607810798215194E-3</v>
      </c>
      <c r="AY211" s="323">
        <f t="shared" ca="1" si="15"/>
        <v>1</v>
      </c>
    </row>
    <row r="212" spans="2:51" ht="15" customHeight="1">
      <c r="C212" s="28"/>
      <c r="H212" s="23"/>
      <c r="AS212" s="991" t="str">
        <f t="shared" si="12"/>
        <v>Conta de Desenvolvimento Energético – CDE</v>
      </c>
      <c r="AT212" s="992">
        <f t="shared" ca="1" si="12"/>
        <v>6551838.6932571782</v>
      </c>
      <c r="AU212" s="992">
        <f ca="1">Encargos!I19</f>
        <v>9609270.7302100025</v>
      </c>
      <c r="AV212" s="993">
        <f ca="1">IF(AU212=0,0,ROUND(AU212/AT212-1,4))</f>
        <v>0.4667</v>
      </c>
      <c r="AW212" s="993">
        <f t="shared" ca="1" si="14"/>
        <v>4.0461611348727992E-2</v>
      </c>
      <c r="AX212" s="993">
        <f t="shared" ca="1" si="11"/>
        <v>0.11372362618236381</v>
      </c>
      <c r="AY212" s="323">
        <f t="shared" ca="1" si="15"/>
        <v>1</v>
      </c>
    </row>
    <row r="213" spans="2:51" ht="15" hidden="1" customHeight="1">
      <c r="C213" s="28"/>
      <c r="H213" s="23"/>
      <c r="AS213" s="991" t="s">
        <v>914</v>
      </c>
      <c r="AT213" s="992">
        <f ca="1">Calc_Mercado!S75</f>
        <v>0</v>
      </c>
      <c r="AU213" s="992">
        <f>Encargos!I20</f>
        <v>0</v>
      </c>
      <c r="AV213" s="993">
        <f>IF(AU213=0,0,IF(AT213=0, 100%,ROUND(AU213/AT213-1,4)))</f>
        <v>0</v>
      </c>
      <c r="AW213" s="993">
        <f t="shared" ca="1" si="14"/>
        <v>0</v>
      </c>
      <c r="AX213" s="993">
        <f t="shared" ca="1" si="11"/>
        <v>0</v>
      </c>
      <c r="AY213" s="323">
        <f t="shared" ca="1" si="15"/>
        <v>0</v>
      </c>
    </row>
    <row r="214" spans="2:51" ht="15" customHeight="1">
      <c r="C214" s="28"/>
      <c r="H214" s="23"/>
      <c r="AS214" s="991" t="s">
        <v>2216</v>
      </c>
      <c r="AT214" s="992"/>
      <c r="AU214" s="992">
        <f>Encargos!I21</f>
        <v>-1730000</v>
      </c>
      <c r="AV214" s="993">
        <f>IF(AU214=0,0,IF(AT214=0, 100%,ROUND(AU214/AT214-1,4)))</f>
        <v>1</v>
      </c>
      <c r="AW214" s="993">
        <f t="shared" ca="1" si="14"/>
        <v>-2.2894568640375472E-2</v>
      </c>
      <c r="AX214" s="993">
        <f t="shared" ca="1" si="11"/>
        <v>-2.0474173204108465E-2</v>
      </c>
      <c r="AY214" s="983">
        <f ca="1">IF(AW214=0,0,1)</f>
        <v>1</v>
      </c>
    </row>
    <row r="215" spans="2:51" ht="12.75">
      <c r="C215" s="28"/>
      <c r="H215" s="23"/>
      <c r="AS215" s="991" t="str">
        <f>I80</f>
        <v>Encargos Serv. Sist. - ESS e Energ. Reserv. – EER</v>
      </c>
      <c r="AT215" s="992">
        <f ca="1">Calc_Mercado!F75</f>
        <v>859785.06388833188</v>
      </c>
      <c r="AU215" s="992">
        <f>Resultado!D20</f>
        <v>2564882.9365526969</v>
      </c>
      <c r="AV215" s="993">
        <f t="shared" ref="AV215:AV216" ca="1" si="16">IF(AU215=0,0,IF(AT215=0, 100%,ROUND(AU215/AT215-1,4)))</f>
        <v>1.9832000000000001</v>
      </c>
      <c r="AW215" s="993">
        <f t="shared" ca="1" si="14"/>
        <v>2.2565017505359827E-2</v>
      </c>
      <c r="AX215" s="993">
        <f t="shared" ref="AX215:AX228" ca="1" si="17">AU215/$AU$226</f>
        <v>3.035483091979321E-2</v>
      </c>
      <c r="AY215" s="323">
        <f ca="1">IF(AW215=0,0,1)</f>
        <v>1</v>
      </c>
    </row>
    <row r="216" spans="2:51" ht="15" customHeight="1">
      <c r="C216" s="28"/>
      <c r="H216" s="23"/>
      <c r="AS216" s="991" t="str">
        <f>I81</f>
        <v>PROINFA</v>
      </c>
      <c r="AT216" s="992">
        <f ca="1">J81</f>
        <v>1063012.1990452227</v>
      </c>
      <c r="AU216" s="992">
        <f ca="1">Resultado!D21</f>
        <v>1612207.5660000003</v>
      </c>
      <c r="AV216" s="993">
        <f t="shared" ca="1" si="16"/>
        <v>0.51659999999999995</v>
      </c>
      <c r="AW216" s="993">
        <f t="shared" ca="1" si="14"/>
        <v>7.267971691168989E-3</v>
      </c>
      <c r="AX216" s="993">
        <f t="shared" ca="1" si="17"/>
        <v>1.9080125403039383E-2</v>
      </c>
      <c r="AY216" s="323">
        <f t="shared" ca="1" si="15"/>
        <v>1</v>
      </c>
    </row>
    <row r="217" spans="2:51" ht="15" hidden="1" customHeight="1">
      <c r="B217" s="29"/>
      <c r="C217" s="39"/>
      <c r="H217" s="23"/>
      <c r="AS217" s="991" t="str">
        <f>I82</f>
        <v>P&amp;D e Eficiência Energética</v>
      </c>
      <c r="AT217" s="992">
        <f ca="1">J82</f>
        <v>0</v>
      </c>
      <c r="AU217" s="992">
        <f>Resultado!D22</f>
        <v>0</v>
      </c>
      <c r="AV217" s="993">
        <f>IF(AU217=0,0,ROUND(AU217/AT217-1,4))</f>
        <v>0</v>
      </c>
      <c r="AW217" s="993">
        <f t="shared" ca="1" si="14"/>
        <v>0</v>
      </c>
      <c r="AX217" s="993">
        <f t="shared" ca="1" si="17"/>
        <v>0</v>
      </c>
      <c r="AY217" s="323">
        <v>0</v>
      </c>
    </row>
    <row r="218" spans="2:51" ht="15" hidden="1" customHeight="1">
      <c r="C218" s="345"/>
      <c r="H218" s="23"/>
      <c r="AS218" s="991" t="str">
        <f>I83</f>
        <v>ONS</v>
      </c>
      <c r="AT218" s="992">
        <f ca="1">J83</f>
        <v>0</v>
      </c>
      <c r="AU218" s="992">
        <f>Resultado!D23</f>
        <v>0</v>
      </c>
      <c r="AV218" s="993">
        <f t="shared" si="13"/>
        <v>0</v>
      </c>
      <c r="AW218" s="993">
        <f t="shared" ca="1" si="14"/>
        <v>0</v>
      </c>
      <c r="AX218" s="993">
        <f t="shared" ca="1" si="17"/>
        <v>0</v>
      </c>
      <c r="AY218" s="323">
        <v>0</v>
      </c>
    </row>
    <row r="219" spans="2:51" ht="15" customHeight="1">
      <c r="C219" s="312"/>
      <c r="H219" s="23"/>
      <c r="AS219" s="1182" t="s">
        <v>915</v>
      </c>
      <c r="AT219" s="1183">
        <f ca="1">AT220</f>
        <v>19319340.721340153</v>
      </c>
      <c r="AU219" s="1183">
        <f ca="1">AU220</f>
        <v>21175365.944756776</v>
      </c>
      <c r="AV219" s="1184">
        <f ca="1">IF(AU219=0,0,ROUND(AU219/AT219-1,4))</f>
        <v>9.6100000000000005E-2</v>
      </c>
      <c r="AW219" s="1184">
        <f ca="1">AW220</f>
        <v>2.4562368136289068E-2</v>
      </c>
      <c r="AX219" s="1184">
        <f t="shared" ca="1" si="17"/>
        <v>0.25060584393834107</v>
      </c>
      <c r="AY219" s="323">
        <f t="shared" ca="1" si="15"/>
        <v>1</v>
      </c>
    </row>
    <row r="220" spans="2:51" ht="15" customHeight="1">
      <c r="C220" s="312"/>
      <c r="H220" s="23"/>
      <c r="AS220" s="991" t="s">
        <v>872</v>
      </c>
      <c r="AT220" s="992">
        <f ca="1">J85</f>
        <v>19319340.721340153</v>
      </c>
      <c r="AU220" s="992">
        <f ca="1">Resultado!D33</f>
        <v>21175365.944756776</v>
      </c>
      <c r="AV220" s="993">
        <f ca="1">IF(AU220=0,0,ROUND(AU220/AT220-1,4))</f>
        <v>9.6100000000000005E-2</v>
      </c>
      <c r="AW220" s="993">
        <f ca="1">(AU220-AT220)/$AT$226</f>
        <v>2.4562368136289068E-2</v>
      </c>
      <c r="AX220" s="993">
        <f t="shared" ca="1" si="17"/>
        <v>0.25060584393834107</v>
      </c>
      <c r="AY220" s="323">
        <f t="shared" ca="1" si="15"/>
        <v>1</v>
      </c>
    </row>
    <row r="221" spans="2:51" ht="15" customHeight="1">
      <c r="AS221" s="1182" t="s">
        <v>916</v>
      </c>
      <c r="AT221" s="1183">
        <f ca="1">SUM(AT222:AT225)</f>
        <v>7854545.8494816115</v>
      </c>
      <c r="AU221" s="1183">
        <f>SUM(AU222:AU225)</f>
        <v>9065491.1534056906</v>
      </c>
      <c r="AV221" s="1184">
        <f ca="1">IF(AU221=0,0,ROUND(AU221/AT221-1,4))</f>
        <v>0.1542</v>
      </c>
      <c r="AW221" s="1184">
        <f ca="1">SUM(AW222:AW225)</f>
        <v>1.6025474208341141E-2</v>
      </c>
      <c r="AX221" s="1184">
        <f t="shared" ca="1" si="17"/>
        <v>0.10728811332667117</v>
      </c>
      <c r="AY221" s="323">
        <f t="shared" ca="1" si="15"/>
        <v>1</v>
      </c>
    </row>
    <row r="222" spans="2:51" ht="15" customHeight="1">
      <c r="AS222" s="991" t="str">
        <f>Resultado!B25</f>
        <v>Rede Básica</v>
      </c>
      <c r="AT222" s="992">
        <f ca="1">J87</f>
        <v>2512371.1955021746</v>
      </c>
      <c r="AU222" s="992">
        <f>Resultado!D25</f>
        <v>3736975</v>
      </c>
      <c r="AV222" s="993">
        <f t="shared" ca="1" si="13"/>
        <v>0.48699999999999999</v>
      </c>
      <c r="AW222" s="993">
        <f ca="1">(AU222-AT222)/$AT$226</f>
        <v>1.6206228820427982E-2</v>
      </c>
      <c r="AX222" s="993">
        <f t="shared" ca="1" si="17"/>
        <v>4.4226285207759092E-2</v>
      </c>
      <c r="AY222" s="323">
        <f t="shared" ca="1" si="15"/>
        <v>1</v>
      </c>
    </row>
    <row r="223" spans="2:51" ht="15" customHeight="1">
      <c r="AS223" s="991" t="str">
        <f>Resultado!B26</f>
        <v>Rede Básica Fronteira</v>
      </c>
      <c r="AT223" s="992">
        <f ca="1">J88</f>
        <v>762419.84274428466</v>
      </c>
      <c r="AU223" s="992">
        <f>Resultado!D26</f>
        <v>714546.8</v>
      </c>
      <c r="AV223" s="993">
        <f t="shared" ca="1" si="13"/>
        <v>-6.3E-2</v>
      </c>
      <c r="AW223" s="993">
        <f ca="1">(AU223-AT223)/$AT$226</f>
        <v>-6.3354489198419245E-4</v>
      </c>
      <c r="AX223" s="993">
        <f t="shared" ca="1" si="17"/>
        <v>8.4565057489256936E-3</v>
      </c>
      <c r="AY223" s="323">
        <f t="shared" ca="1" si="15"/>
        <v>1</v>
      </c>
    </row>
    <row r="224" spans="2:51" ht="15" customHeight="1">
      <c r="H224" s="23"/>
      <c r="AS224" s="991" t="str">
        <f>Resultado!B31</f>
        <v>Conexão</v>
      </c>
      <c r="AT224" s="992">
        <f ca="1">J93</f>
        <v>358285.69640434074</v>
      </c>
      <c r="AU224" s="992">
        <f>Resultado!D31</f>
        <v>118926.88481049077</v>
      </c>
      <c r="AV224" s="993">
        <f t="shared" ca="1" si="13"/>
        <v>-0.66800000000000004</v>
      </c>
      <c r="AW224" s="993">
        <f ca="1">(AU224-AT224)/$AT$226</f>
        <v>-3.1676397350948546E-3</v>
      </c>
      <c r="AX224" s="993">
        <f t="shared" ca="1" si="17"/>
        <v>1.407473779326615E-3</v>
      </c>
      <c r="AY224" s="323">
        <f t="shared" ca="1" si="15"/>
        <v>1</v>
      </c>
    </row>
    <row r="225" spans="2:51" ht="15" customHeight="1">
      <c r="H225" s="23"/>
      <c r="AS225" s="991" t="str">
        <f>Resultado!B32</f>
        <v>Uso do sistema de distribuição</v>
      </c>
      <c r="AT225" s="992">
        <f ca="1">J94</f>
        <v>4221469.1148308115</v>
      </c>
      <c r="AU225" s="992">
        <f>Resultado!D32</f>
        <v>4495042.4685952002</v>
      </c>
      <c r="AV225" s="993">
        <f ca="1">IF(AU225=0,0,ROUND(AU225/AT225-1,4))</f>
        <v>6.4799999999999996E-2</v>
      </c>
      <c r="AW225" s="993">
        <f ca="1">(AU225-AT225)/$AT$226</f>
        <v>3.6204300149922076E-3</v>
      </c>
      <c r="AX225" s="993">
        <f t="shared" ca="1" si="17"/>
        <v>5.319784859065977E-2</v>
      </c>
      <c r="AY225" s="323">
        <f t="shared" ca="1" si="15"/>
        <v>1</v>
      </c>
    </row>
    <row r="226" spans="2:51" ht="15" hidden="1" customHeight="1">
      <c r="C226" s="19"/>
      <c r="AS226" s="1182" t="s">
        <v>917</v>
      </c>
      <c r="AT226" s="1183">
        <f ca="1">Mercado_RA0_Reais</f>
        <v>75563773.538370013</v>
      </c>
      <c r="AU226" s="1183">
        <f ca="1">AU208+AU219+AU221+AU228</f>
        <v>84496696.533408657</v>
      </c>
      <c r="AV226" s="1185"/>
      <c r="AW226" s="1185"/>
      <c r="AX226" s="1184">
        <f t="shared" ca="1" si="17"/>
        <v>1</v>
      </c>
      <c r="AY226" s="323">
        <f t="shared" si="15"/>
        <v>0</v>
      </c>
    </row>
    <row r="227" spans="2:51" ht="15" customHeight="1">
      <c r="C227" s="19"/>
      <c r="AS227" s="1186" t="s">
        <v>918</v>
      </c>
      <c r="AT227" s="1187">
        <f ca="1">AT208+AT219+AT221</f>
        <v>35818111.148948856</v>
      </c>
      <c r="AU227" s="1187">
        <f ca="1">AU208+AU219+AU221</f>
        <v>42496696.533408657</v>
      </c>
      <c r="AV227" s="1188">
        <f ca="1">IF(AU227=0,0,ROUND(AU227/AT227-1,4))</f>
        <v>0.1865</v>
      </c>
      <c r="AW227" s="1188">
        <f ca="1">(AU227-AT227)/AT226</f>
        <v>8.8383428615678217E-2</v>
      </c>
      <c r="AX227" s="1188">
        <f t="shared" ca="1" si="17"/>
        <v>0.50293914764592174</v>
      </c>
      <c r="AY227" s="323">
        <f t="shared" ca="1" si="15"/>
        <v>1</v>
      </c>
    </row>
    <row r="228" spans="2:51" ht="15" customHeight="1">
      <c r="B228" s="28"/>
      <c r="C228" s="19"/>
      <c r="AS228" s="1186" t="s">
        <v>919</v>
      </c>
      <c r="AT228" s="1187">
        <f ca="1">AT226-AT227</f>
        <v>39745662.389421158</v>
      </c>
      <c r="AU228" s="1187">
        <f>Resultado!D39</f>
        <v>42000000</v>
      </c>
      <c r="AV228" s="1188">
        <f ca="1">IF(AU228=0,0,ROUND(AU228/AT228-1,4))</f>
        <v>5.67E-2</v>
      </c>
      <c r="AW228" s="1188">
        <f ca="1">(AU228-AT228)/AT226</f>
        <v>2.9833576395362625E-2</v>
      </c>
      <c r="AX228" s="1188">
        <f t="shared" ca="1" si="17"/>
        <v>0.49706085235407832</v>
      </c>
      <c r="AY228" s="323">
        <f t="shared" ca="1" si="15"/>
        <v>1</v>
      </c>
    </row>
    <row r="229" spans="2:51" ht="15" customHeight="1">
      <c r="AS229" s="1189" t="str">
        <f>Resultado!B7</f>
        <v>Variação econômica</v>
      </c>
      <c r="AT229" s="1189"/>
      <c r="AU229" s="1189"/>
      <c r="AV229" s="1190"/>
      <c r="AW229" s="1191">
        <f ca="1">ROUND((AU228+AU227)/(AT227+AT228)-1,4)</f>
        <v>0.1182</v>
      </c>
      <c r="AX229" s="1190"/>
      <c r="AY229" s="323">
        <v>1</v>
      </c>
    </row>
    <row r="230" spans="2:51" ht="15" hidden="1" customHeight="1">
      <c r="AS230" s="994"/>
      <c r="AT230" s="994"/>
      <c r="AU230" s="994"/>
      <c r="AV230" s="995"/>
      <c r="AW230" s="996"/>
      <c r="AX230" s="996"/>
      <c r="AY230" s="323">
        <f t="shared" si="15"/>
        <v>0</v>
      </c>
    </row>
    <row r="231" spans="2:51" ht="15" customHeight="1">
      <c r="AS231" s="1182" t="s">
        <v>920</v>
      </c>
      <c r="AT231" s="1192"/>
      <c r="AU231" s="1192"/>
      <c r="AV231" s="1193"/>
      <c r="AW231" s="1184" t="s">
        <v>921</v>
      </c>
      <c r="AX231" s="1184"/>
      <c r="AY231" s="323">
        <v>1</v>
      </c>
    </row>
    <row r="232" spans="2:51" ht="15" customHeight="1">
      <c r="AS232" s="997" t="str">
        <f>Financeiros!C9</f>
        <v>Repasse de PIS COFINS</v>
      </c>
      <c r="AT232" s="997"/>
      <c r="AU232" s="998">
        <f>LnkTXTPISCOFINS</f>
        <v>280743.18576086761</v>
      </c>
      <c r="AV232" s="999"/>
      <c r="AW232" s="999">
        <f ca="1">LnkTXTPISCOFINSPer</f>
        <v>3.7153145298958758E-3</v>
      </c>
      <c r="AX232" s="996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997" t="str">
        <f>AM166</f>
        <v>Neutralidade Encargos Setoriais</v>
      </c>
      <c r="AT233" s="997"/>
      <c r="AU233" s="998">
        <f ca="1">LnkTXTNeutralidade</f>
        <v>-144067.65904237804</v>
      </c>
      <c r="AV233" s="999"/>
      <c r="AW233" s="993">
        <f ca="1">AU233/Financeiros!$D$4</f>
        <v>-1.906570467516725E-3</v>
      </c>
      <c r="AX233" s="996"/>
      <c r="AY233" s="323">
        <f t="shared" ref="AY233:AY241" ca="1" si="18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00" t="str">
        <f>AM167</f>
        <v>Neutralidade Financeiros e Encargos Conta Covid</v>
      </c>
      <c r="AT234" s="1000"/>
      <c r="AU234" s="1001">
        <f ca="1">AN167</f>
        <v>0</v>
      </c>
      <c r="AV234" s="1000"/>
      <c r="AW234" s="993">
        <f ca="1">AU234/Financeiros!$D$4</f>
        <v>0</v>
      </c>
      <c r="AX234" s="996"/>
      <c r="AY234" s="323">
        <f t="shared" ca="1" si="18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00" t="str">
        <f t="shared" ref="AS235:AS242" si="19">AM169</f>
        <v>Ajustes Processos anteriores</v>
      </c>
      <c r="AT235" s="1000"/>
      <c r="AU235" s="1001">
        <f t="shared" ref="AU235:AU241" si="20">AN169</f>
        <v>0</v>
      </c>
      <c r="AV235" s="999"/>
      <c r="AW235" s="993">
        <f ca="1">AU235/Financeiros!$D$4</f>
        <v>0</v>
      </c>
      <c r="AX235" s="996"/>
      <c r="AY235" s="323">
        <f t="shared" ca="1" si="18"/>
        <v>0</v>
      </c>
    </row>
    <row r="236" spans="2:51" ht="15" customHeight="1">
      <c r="B236" s="348"/>
      <c r="C236" s="349"/>
      <c r="D236" s="349"/>
      <c r="E236" s="349"/>
      <c r="F236" s="350"/>
      <c r="G236" s="350"/>
      <c r="H236" s="350"/>
      <c r="AS236" s="1000" t="str">
        <f t="shared" si="19"/>
        <v>Ajuste CUST + PISCONFINS Transmissão</v>
      </c>
      <c r="AT236" s="1000"/>
      <c r="AU236" s="1001">
        <f t="shared" si="20"/>
        <v>308834.35684424435</v>
      </c>
      <c r="AV236" s="999"/>
      <c r="AW236" s="993">
        <f ca="1">AU236/Financeiros!$D$4</f>
        <v>4.087069006518361E-3</v>
      </c>
      <c r="AX236" s="996"/>
      <c r="AY236" s="323">
        <f t="shared" ca="1" si="18"/>
        <v>1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00" t="str">
        <f t="shared" si="19"/>
        <v>Compensação DIC FIC</v>
      </c>
      <c r="AT237" s="1000"/>
      <c r="AU237" s="1001">
        <f t="shared" si="20"/>
        <v>-232206.45884047006</v>
      </c>
      <c r="AV237" s="999"/>
      <c r="AW237" s="993">
        <f ca="1">AU237/Financeiros!$D$4</f>
        <v>-3.0729865379547187E-3</v>
      </c>
      <c r="AX237" s="996"/>
      <c r="AY237" s="323">
        <f t="shared" ca="1" si="18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1000" t="str">
        <f t="shared" si="19"/>
        <v>Subvenção CDE</v>
      </c>
      <c r="AT238" s="1000"/>
      <c r="AU238" s="1001">
        <f t="shared" ca="1" si="20"/>
        <v>-22774965.18163811</v>
      </c>
      <c r="AV238" s="999"/>
      <c r="AW238" s="993">
        <f ca="1">AU238/Financeiros!$D$4</f>
        <v>-0.30140058013478332</v>
      </c>
      <c r="AX238" s="996"/>
      <c r="AY238" s="323">
        <f t="shared" ca="1" si="18"/>
        <v>1</v>
      </c>
    </row>
    <row r="239" spans="2:51" ht="15" hidden="1" customHeight="1">
      <c r="B239" s="348"/>
      <c r="C239" s="349"/>
      <c r="D239" s="349"/>
      <c r="E239" s="349"/>
      <c r="F239" s="350"/>
      <c r="G239" s="350"/>
      <c r="H239" s="350"/>
      <c r="AS239" s="1000" t="str">
        <f t="shared" si="19"/>
        <v>Retenção de Adicionais de Bandeiras Tarifárias</v>
      </c>
      <c r="AT239" s="1000"/>
      <c r="AU239" s="1001">
        <f t="shared" si="20"/>
        <v>0</v>
      </c>
      <c r="AV239" s="999"/>
      <c r="AW239" s="993">
        <f ca="1">AU239/Financeiros!$D$4</f>
        <v>0</v>
      </c>
      <c r="AX239" s="996"/>
      <c r="AY239" s="323">
        <f t="shared" ca="1" si="18"/>
        <v>0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00" t="str">
        <f t="shared" si="19"/>
        <v>Conta Covid-19</v>
      </c>
      <c r="AT240" s="1000"/>
      <c r="AU240" s="1001">
        <f t="shared" si="20"/>
        <v>0</v>
      </c>
      <c r="AV240" s="999"/>
      <c r="AW240" s="993">
        <f ca="1">AU240/Financeiros!$D$4</f>
        <v>0</v>
      </c>
      <c r="AX240" s="996"/>
      <c r="AY240" s="323">
        <f t="shared" ca="1" si="18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00" t="str">
        <f t="shared" si="19"/>
        <v>Repasse de ICMS</v>
      </c>
      <c r="AT241" s="1000"/>
      <c r="AU241" s="1001">
        <f t="shared" si="20"/>
        <v>0</v>
      </c>
      <c r="AV241" s="999"/>
      <c r="AW241" s="993">
        <f ca="1">AU241/Financeiros!$D$4</f>
        <v>0</v>
      </c>
      <c r="AX241" s="996"/>
      <c r="AY241" s="323">
        <f t="shared" ca="1" si="18"/>
        <v>0</v>
      </c>
    </row>
    <row r="242" spans="2:51" ht="15" customHeight="1">
      <c r="B242" s="348"/>
      <c r="C242" s="349"/>
      <c r="D242" s="349"/>
      <c r="E242" s="349"/>
      <c r="F242" s="350"/>
      <c r="G242" s="350"/>
      <c r="H242" s="350"/>
      <c r="AS242" s="1000" t="str">
        <f t="shared" si="19"/>
        <v>Crédito Pis Cofins sobre ICMS</v>
      </c>
      <c r="AT242" s="1000"/>
      <c r="AU242" s="1001">
        <f t="shared" ref="AU242:AU243" si="21">AN176</f>
        <v>-3716038.383190468</v>
      </c>
      <c r="AV242" s="999"/>
      <c r="AW242" s="993">
        <f ca="1">AU242/Financeiros!$D$4</f>
        <v>-4.9177512042904083E-2</v>
      </c>
      <c r="AX242" s="996"/>
      <c r="AY242" s="983">
        <f ca="1">IF(AW242=0,0,1)</f>
        <v>1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1000" t="str">
        <f t="shared" ref="AS243" si="22">AM177</f>
        <v>Previsão de Risco Hidrologico</v>
      </c>
      <c r="AT243" s="1000"/>
      <c r="AU243" s="1001">
        <f t="shared" si="21"/>
        <v>1685561.1761699938</v>
      </c>
      <c r="AV243" s="999"/>
      <c r="AW243" s="993">
        <f ca="1">AU243/Financeiros!$D$4</f>
        <v>2.2306471702529442E-2</v>
      </c>
      <c r="AX243" s="996"/>
      <c r="AY243" s="983">
        <f t="shared" ref="AY243:AY245" ca="1" si="23">IF(AW243=0,0,1)</f>
        <v>1</v>
      </c>
    </row>
    <row r="244" spans="2:51" ht="15" customHeight="1">
      <c r="B244" s="348"/>
      <c r="C244" s="349"/>
      <c r="D244" s="349"/>
      <c r="E244" s="349"/>
      <c r="F244" s="350"/>
      <c r="G244" s="350"/>
      <c r="H244" s="350"/>
      <c r="AS244" s="1000" t="str">
        <f t="shared" ref="AS244:AS260" si="24">AM178</f>
        <v>Reversão de Risco Hidrológico</v>
      </c>
      <c r="AT244" s="1000"/>
      <c r="AU244" s="1001">
        <f t="shared" ref="AU244:AU260" si="25">AN178</f>
        <v>-2585622.9629355916</v>
      </c>
      <c r="AV244" s="999"/>
      <c r="AW244" s="993">
        <f ca="1">AU244/Financeiros!$D$4</f>
        <v>-3.4217758614485491E-2</v>
      </c>
      <c r="AX244" s="996"/>
      <c r="AY244" s="983">
        <f t="shared" ca="1" si="23"/>
        <v>1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00" t="str">
        <f t="shared" si="24"/>
        <v>Efeito COVID da Supridora</v>
      </c>
      <c r="AT245" s="1000"/>
      <c r="AU245" s="1001">
        <f t="shared" si="25"/>
        <v>0</v>
      </c>
      <c r="AV245" s="999"/>
      <c r="AW245" s="993">
        <f ca="1">AU245/Financeiros!$D$4</f>
        <v>0</v>
      </c>
      <c r="AX245" s="996"/>
      <c r="AY245" s="983">
        <f t="shared" ca="1" si="23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00" t="str">
        <f t="shared" si="24"/>
        <v>Diferimento Pis Cofins</v>
      </c>
      <c r="AT246" s="1000"/>
      <c r="AU246" s="1001">
        <f t="shared" si="25"/>
        <v>0</v>
      </c>
      <c r="AV246" s="999"/>
      <c r="AW246" s="993">
        <f ca="1">AU246/Financeiros!$D$4</f>
        <v>0</v>
      </c>
      <c r="AX246" s="996"/>
      <c r="AY246" s="983">
        <f t="shared" ref="AY246:AY250" ca="1" si="26">IF(AW246=0,0,1)</f>
        <v>0</v>
      </c>
    </row>
    <row r="247" spans="2:51" ht="15" customHeight="1">
      <c r="B247" s="348"/>
      <c r="C247" s="349"/>
      <c r="D247" s="349"/>
      <c r="E247" s="349"/>
      <c r="F247" s="350"/>
      <c r="G247" s="350"/>
      <c r="H247" s="350"/>
      <c r="AS247" s="1000" t="str">
        <f t="shared" si="24"/>
        <v>Financeiros associados ao §7º do Art. 88 da Ren 414/2021</v>
      </c>
      <c r="AT247" s="1000"/>
      <c r="AU247" s="1001">
        <f t="shared" si="25"/>
        <v>-19057.990000000002</v>
      </c>
      <c r="AV247" s="999"/>
      <c r="AW247" s="993">
        <f ca="1">AU247/Financeiros!$D$4</f>
        <v>-2.5221067063733489E-4</v>
      </c>
      <c r="AX247" s="996"/>
      <c r="AY247" s="983">
        <f t="shared" ref="AY247:AY249" ca="1" si="27">IF(AW247=0,0,1)</f>
        <v>1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00">
        <f t="shared" si="24"/>
        <v>0</v>
      </c>
      <c r="AT248" s="1000"/>
      <c r="AU248" s="1001">
        <f t="shared" si="25"/>
        <v>0</v>
      </c>
      <c r="AV248" s="999"/>
      <c r="AW248" s="993">
        <f ca="1">AU248/Financeiros!$D$4</f>
        <v>0</v>
      </c>
      <c r="AX248" s="996"/>
      <c r="AY248" s="983">
        <f t="shared" ca="1" si="27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00">
        <f t="shared" si="24"/>
        <v>0</v>
      </c>
      <c r="AT249" s="1000"/>
      <c r="AU249" s="1001">
        <f t="shared" si="25"/>
        <v>0</v>
      </c>
      <c r="AV249" s="999"/>
      <c r="AW249" s="993">
        <f ca="1">AU249/Financeiros!$D$4</f>
        <v>0</v>
      </c>
      <c r="AX249" s="996"/>
      <c r="AY249" s="983">
        <f t="shared" ca="1" si="27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00">
        <f t="shared" si="24"/>
        <v>0</v>
      </c>
      <c r="AT250" s="1000"/>
      <c r="AU250" s="1001">
        <f t="shared" si="25"/>
        <v>0</v>
      </c>
      <c r="AV250" s="999"/>
      <c r="AW250" s="993">
        <f ca="1">AU250/Financeiros!$D$4</f>
        <v>0</v>
      </c>
      <c r="AX250" s="996"/>
      <c r="AY250" s="983">
        <f t="shared" ca="1" si="26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00">
        <f t="shared" si="24"/>
        <v>0</v>
      </c>
      <c r="AT251" s="1000"/>
      <c r="AU251" s="1001">
        <f t="shared" si="25"/>
        <v>0</v>
      </c>
      <c r="AV251" s="999"/>
      <c r="AW251" s="993">
        <f ca="1">AU251/Financeiros!$D$4</f>
        <v>0</v>
      </c>
      <c r="AX251" s="996"/>
      <c r="AY251" s="989">
        <f t="shared" ref="AY251:AY252" ca="1" si="28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00">
        <f t="shared" si="24"/>
        <v>0</v>
      </c>
      <c r="AT252" s="1000"/>
      <c r="AU252" s="1001">
        <f t="shared" si="25"/>
        <v>0</v>
      </c>
      <c r="AV252" s="999"/>
      <c r="AW252" s="993">
        <f ca="1">AU252/Financeiros!$D$4</f>
        <v>0</v>
      </c>
      <c r="AX252" s="996"/>
      <c r="AY252" s="989">
        <f t="shared" ca="1" si="28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00">
        <f t="shared" si="24"/>
        <v>0</v>
      </c>
      <c r="AT253" s="1000"/>
      <c r="AU253" s="1001">
        <f t="shared" si="25"/>
        <v>0</v>
      </c>
      <c r="AV253" s="999"/>
      <c r="AW253" s="993">
        <f ca="1">AU253/Financeiros!$D$4</f>
        <v>0</v>
      </c>
      <c r="AX253" s="996"/>
      <c r="AY253" s="989">
        <f t="shared" ref="AY253:AY260" ca="1" si="29">IF(AW253=0,0,1)</f>
        <v>0</v>
      </c>
    </row>
    <row r="254" spans="2:51" ht="15" customHeight="1">
      <c r="B254" s="348"/>
      <c r="C254" s="349"/>
      <c r="D254" s="349"/>
      <c r="E254" s="349"/>
      <c r="F254" s="350"/>
      <c r="G254" s="350"/>
      <c r="H254" s="350"/>
      <c r="AS254" s="1000" t="str">
        <f t="shared" si="24"/>
        <v>CVE Energia</v>
      </c>
      <c r="AT254" s="1000"/>
      <c r="AU254" s="1001">
        <f t="shared" ca="1" si="25"/>
        <v>1488222.1680999999</v>
      </c>
      <c r="AV254" s="999"/>
      <c r="AW254" s="993">
        <f ca="1">AU254/Financeiros!$D$4</f>
        <v>1.9694915942019567E-2</v>
      </c>
      <c r="AX254" s="996"/>
      <c r="AY254" s="989">
        <f t="shared" ca="1" si="29"/>
        <v>1</v>
      </c>
    </row>
    <row r="255" spans="2:51" ht="15" customHeight="1">
      <c r="B255" s="348"/>
      <c r="C255" s="349"/>
      <c r="D255" s="349"/>
      <c r="E255" s="349"/>
      <c r="F255" s="350"/>
      <c r="G255" s="350"/>
      <c r="H255" s="350"/>
      <c r="AS255" s="1000" t="str">
        <f t="shared" si="24"/>
        <v>CVE Encargos</v>
      </c>
      <c r="AT255" s="1000"/>
      <c r="AU255" s="1001">
        <f t="shared" si="25"/>
        <v>2452923.1017</v>
      </c>
      <c r="AV255" s="999"/>
      <c r="AW255" s="993">
        <f ca="1">AU255/Financeiros!$D$4</f>
        <v>3.2461627931464364E-2</v>
      </c>
      <c r="AX255" s="996"/>
      <c r="AY255" s="989">
        <f t="shared" ca="1" si="29"/>
        <v>1</v>
      </c>
    </row>
    <row r="256" spans="2:51" ht="15" customHeight="1">
      <c r="B256" s="348"/>
      <c r="C256" s="349"/>
      <c r="D256" s="349"/>
      <c r="E256" s="349"/>
      <c r="F256" s="350"/>
      <c r="G256" s="350"/>
      <c r="H256" s="350"/>
      <c r="AS256" s="1000" t="str">
        <f t="shared" si="24"/>
        <v xml:space="preserve">Conta Escassez H. - Importação julho- agosto/2021 - RTA 2022 </v>
      </c>
      <c r="AT256" s="1000"/>
      <c r="AU256" s="1001">
        <f t="shared" ca="1" si="25"/>
        <v>-241142.50221049221</v>
      </c>
      <c r="AV256" s="999"/>
      <c r="AW256" s="993">
        <f ca="1">AU256/Financeiros!$D$4</f>
        <v>-3.191244837554918E-3</v>
      </c>
      <c r="AX256" s="996"/>
      <c r="AY256" s="989">
        <f t="shared" ca="1" si="29"/>
        <v>1</v>
      </c>
    </row>
    <row r="257" spans="2:84" ht="15" customHeight="1">
      <c r="B257" s="348"/>
      <c r="C257" s="349"/>
      <c r="D257" s="349"/>
      <c r="E257" s="349"/>
      <c r="F257" s="350"/>
      <c r="G257" s="350"/>
      <c r="H257" s="350"/>
      <c r="AS257" s="1000" t="str">
        <f t="shared" si="24"/>
        <v>Conta Escassez H. - Bônus Redução Voluntária</v>
      </c>
      <c r="AT257" s="1000"/>
      <c r="AU257" s="1001">
        <f t="shared" si="25"/>
        <v>-699865.67102402018</v>
      </c>
      <c r="AV257" s="999"/>
      <c r="AW257" s="993">
        <f ca="1">AU257/Financeiros!$D$4</f>
        <v>-9.2619206036426982E-3</v>
      </c>
      <c r="AX257" s="996"/>
      <c r="AY257" s="989">
        <f t="shared" ca="1" si="29"/>
        <v>1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Q258" s="315"/>
      <c r="AS258" s="1000" t="str">
        <f t="shared" si="24"/>
        <v>Conta Escassez H. - Diferimento de energia - RTA 2022</v>
      </c>
      <c r="AT258" s="1000"/>
      <c r="AU258" s="1001">
        <f t="shared" ca="1" si="25"/>
        <v>0</v>
      </c>
      <c r="AV258" s="999"/>
      <c r="AW258" s="993">
        <f ca="1">AU258/Financeiros!$D$4</f>
        <v>0</v>
      </c>
      <c r="AX258" s="996"/>
      <c r="AY258" s="989">
        <f t="shared" ca="1" si="29"/>
        <v>0</v>
      </c>
    </row>
    <row r="259" spans="2:84" ht="15" customHeight="1">
      <c r="B259" s="348"/>
      <c r="C259" s="349"/>
      <c r="D259" s="349"/>
      <c r="E259" s="349"/>
      <c r="F259" s="350"/>
      <c r="G259" s="350"/>
      <c r="H259" s="350"/>
      <c r="AS259" s="1000" t="str">
        <f t="shared" si="24"/>
        <v>Sobrecontratação/Reversão de Energia</v>
      </c>
      <c r="AT259" s="1000"/>
      <c r="AU259" s="1001">
        <f t="shared" ca="1" si="25"/>
        <v>-180523.29810000001</v>
      </c>
      <c r="AV259" s="999"/>
      <c r="AW259" s="993">
        <f ca="1">AU259/Financeiros!$D$4</f>
        <v>-2.3890190979985047E-3</v>
      </c>
      <c r="AX259" s="996"/>
      <c r="AY259" s="989">
        <f t="shared" ca="1" si="29"/>
        <v>1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00">
        <f t="shared" si="24"/>
        <v>0</v>
      </c>
      <c r="AT260" s="1000"/>
      <c r="AU260" s="1001">
        <f t="shared" si="25"/>
        <v>0</v>
      </c>
      <c r="AV260" s="999"/>
      <c r="AW260" s="993">
        <f ca="1">AU260/Financeiros!$D$4</f>
        <v>0</v>
      </c>
      <c r="AX260" s="996"/>
      <c r="AY260" s="989">
        <f t="shared" ca="1" si="29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189" t="s">
        <v>922</v>
      </c>
      <c r="AT261" s="1189"/>
      <c r="AU261" s="1710">
        <f ca="1">SUM(AU232:AU260)</f>
        <v>-24377206.118406419</v>
      </c>
      <c r="AV261" s="1195"/>
      <c r="AW261" s="1195">
        <f ca="1">ROUND(SUM(AW232:AW260),4)</f>
        <v>-0.3226</v>
      </c>
      <c r="AX261" s="1195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196" t="str">
        <f>Resultado!B9</f>
        <v>Variação econômica e financeira</v>
      </c>
      <c r="AT262" s="1196"/>
      <c r="AU262" s="1196"/>
      <c r="AV262" s="1197"/>
      <c r="AW262" s="1197">
        <f ca="1">ROUND(AW229+AW261,4)</f>
        <v>-0.2044</v>
      </c>
      <c r="AX262" s="1197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189" t="s">
        <v>923</v>
      </c>
      <c r="AT263" s="1189"/>
      <c r="AU263" s="1189"/>
      <c r="AV263" s="1189"/>
      <c r="AW263" s="1198">
        <f ca="1">ROUND(AW265-AW262,4)</f>
        <v>0.28539999999999999</v>
      </c>
      <c r="AX263" s="1198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199" t="s">
        <v>924</v>
      </c>
      <c r="AT264" s="1199"/>
      <c r="AU264" s="1194"/>
      <c r="AV264" s="1194"/>
      <c r="AW264" s="1200">
        <v>0</v>
      </c>
      <c r="AX264" s="1201"/>
      <c r="AY264" s="323">
        <f t="shared" si="15"/>
        <v>0</v>
      </c>
      <c r="BA264" s="805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96" t="s">
        <v>925</v>
      </c>
      <c r="AT265" s="1796"/>
      <c r="AU265" s="1796"/>
      <c r="AV265" s="1796"/>
      <c r="AW265" s="1197">
        <f>Resultado!L5</f>
        <v>8.0954741647398798E-2</v>
      </c>
      <c r="AX265" s="1197"/>
      <c r="AY265" s="323"/>
    </row>
    <row r="266" spans="2:84" ht="15" customHeight="1">
      <c r="AW266" s="807">
        <v>-0.1116</v>
      </c>
      <c r="BA266" s="1178" t="s">
        <v>2365</v>
      </c>
      <c r="BB266" s="30" t="s">
        <v>926</v>
      </c>
      <c r="BC266" s="30"/>
      <c r="BD266" s="30"/>
      <c r="BE266" s="30"/>
      <c r="BF266" s="30"/>
      <c r="BG266" s="30"/>
      <c r="BH266" s="308" t="s">
        <v>849</v>
      </c>
      <c r="BI266" s="308" t="s">
        <v>849</v>
      </c>
    </row>
    <row r="267" spans="2:84" ht="45" customHeight="1">
      <c r="AU267" s="425"/>
      <c r="BA267" s="1002" t="s">
        <v>927</v>
      </c>
      <c r="BB267" s="1002" t="str">
        <f>"Cobertura "&amp;YEAR(CAPA!C14)&amp;"/"&amp;YEAR(CAPA!C14)+1</f>
        <v>Cobertura 2021/2022</v>
      </c>
      <c r="BC267" s="1002" t="str">
        <f>"Cobertura "&amp;YEAR(CAPA!C14)&amp;"/"&amp;YEAR(CAPA!C14)+1&amp;" Atualizada"</f>
        <v>Cobertura 2021/2022 Atualizada</v>
      </c>
      <c r="BD267" s="1002" t="s">
        <v>928</v>
      </c>
      <c r="BE267" s="1002" t="s">
        <v>929</v>
      </c>
      <c r="BF267" s="1002" t="s">
        <v>930</v>
      </c>
      <c r="BG267" s="1002" t="str">
        <f>"Previsão "&amp;YEAR(CAPA!C14)+1&amp;"/"&amp;YEAR(CAPA!C14)+2</f>
        <v>Previsão 2022/2023</v>
      </c>
      <c r="BH267" s="1002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802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1003" t="e">
        <f>Indexador!#REF!</f>
        <v>#REF!</v>
      </c>
      <c r="BC268" s="1003" t="e">
        <f>Indexador!#REF!</f>
        <v>#REF!</v>
      </c>
      <c r="BD268" s="1003" t="e">
        <f>Indexador!#REF!</f>
        <v>#REF!</v>
      </c>
      <c r="BE268" s="1003" t="e">
        <f>Indexador!#REF!</f>
        <v>#REF!</v>
      </c>
      <c r="BF268" s="1003">
        <f>BP288</f>
        <v>560.29804065048427</v>
      </c>
      <c r="BG268" s="1003">
        <f t="shared" ref="BG268:BH273" si="30">BQ288</f>
        <v>80609.654637198852</v>
      </c>
      <c r="BH268" s="1003">
        <f t="shared" si="30"/>
        <v>81169.952677849331</v>
      </c>
      <c r="BI268" s="357" t="e">
        <f>Indexador!#REF!</f>
        <v>#REF!</v>
      </c>
      <c r="BJ268" s="338">
        <f t="shared" ref="BJ268:BJ274" si="31">IF(BH268=0,0,1)</f>
        <v>1</v>
      </c>
    </row>
    <row r="269" spans="2:84" ht="15" customHeight="1">
      <c r="B269" s="348"/>
      <c r="C269" s="349"/>
      <c r="D269" s="349"/>
      <c r="E269" s="21"/>
      <c r="AZ269" s="358"/>
      <c r="BA269" s="448" t="str">
        <f t="shared" ref="BA269:BA273" si="32">BO289</f>
        <v>Subsidio Geração Fonte Incentivda</v>
      </c>
      <c r="BB269" s="1003" t="e">
        <f>Indexador!#REF!</f>
        <v>#REF!</v>
      </c>
      <c r="BC269" s="1003" t="e">
        <f>Indexador!#REF!</f>
        <v>#REF!</v>
      </c>
      <c r="BD269" s="1003" t="e">
        <f>Indexador!#REF!</f>
        <v>#REF!</v>
      </c>
      <c r="BE269" s="1003" t="e">
        <f>Indexador!#REF!</f>
        <v>#REF!</v>
      </c>
      <c r="BF269" s="1004">
        <f t="shared" ref="BF269:BF273" si="33">BP289</f>
        <v>4.3330192742675235</v>
      </c>
      <c r="BG269" s="1004">
        <f t="shared" si="30"/>
        <v>10749.56470208407</v>
      </c>
      <c r="BH269" s="1004">
        <f t="shared" si="30"/>
        <v>10753.897721358337</v>
      </c>
      <c r="BI269" s="357" t="e">
        <f>Indexador!#REF!</f>
        <v>#REF!</v>
      </c>
      <c r="BJ269" s="338">
        <f t="shared" si="31"/>
        <v>1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2"/>
        <v>Subsidio Distribuição</v>
      </c>
      <c r="BB270" s="1003" t="e">
        <f>Indexador!#REF!</f>
        <v>#REF!</v>
      </c>
      <c r="BC270" s="1003" t="e">
        <f>Indexador!#REF!</f>
        <v>#REF!</v>
      </c>
      <c r="BD270" s="1003" t="e">
        <f>Indexador!#REF!</f>
        <v>#REF!</v>
      </c>
      <c r="BE270" s="1003" t="e">
        <f>Indexador!#REF!</f>
        <v>#REF!</v>
      </c>
      <c r="BF270" s="1004">
        <f t="shared" si="33"/>
        <v>0</v>
      </c>
      <c r="BG270" s="1004">
        <f t="shared" si="30"/>
        <v>0</v>
      </c>
      <c r="BH270" s="1004">
        <f t="shared" si="30"/>
        <v>0</v>
      </c>
      <c r="BI270" s="357" t="e">
        <f>Indexador!#REF!</f>
        <v>#REF!</v>
      </c>
      <c r="BJ270" s="338">
        <f t="shared" si="31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2"/>
        <v>Subsidio Água, Esgoto e Saneamento</v>
      </c>
      <c r="BB271" s="1003" t="e">
        <f>Indexador!#REF!</f>
        <v>#REF!</v>
      </c>
      <c r="BC271" s="1003" t="e">
        <f>Indexador!#REF!</f>
        <v>#REF!</v>
      </c>
      <c r="BD271" s="1003" t="e">
        <f>Indexador!#REF!</f>
        <v>#REF!</v>
      </c>
      <c r="BE271" s="1003" t="e">
        <f>Indexador!#REF!</f>
        <v>#REF!</v>
      </c>
      <c r="BF271" s="1004">
        <f t="shared" si="33"/>
        <v>-2.4766081224731047</v>
      </c>
      <c r="BG271" s="1004">
        <f t="shared" si="30"/>
        <v>699.63805856801298</v>
      </c>
      <c r="BH271" s="1004">
        <f t="shared" si="30"/>
        <v>697.16145044553991</v>
      </c>
      <c r="BI271" s="357" t="e">
        <f>Indexador!#REF!</f>
        <v>#REF!</v>
      </c>
      <c r="BJ271" s="338">
        <f t="shared" si="31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2"/>
        <v>Subsidio Rural</v>
      </c>
      <c r="BB272" s="1003" t="e">
        <f>Indexador!#REF!</f>
        <v>#REF!</v>
      </c>
      <c r="BC272" s="1003" t="e">
        <f>Indexador!#REF!</f>
        <v>#REF!</v>
      </c>
      <c r="BD272" s="1003" t="e">
        <f>Indexador!#REF!</f>
        <v>#REF!</v>
      </c>
      <c r="BE272" s="1003" t="e">
        <f>Indexador!#REF!</f>
        <v>#REF!</v>
      </c>
      <c r="BF272" s="1004">
        <f t="shared" si="33"/>
        <v>719.14559553109575</v>
      </c>
      <c r="BG272" s="1004">
        <f t="shared" si="30"/>
        <v>104258.51309490083</v>
      </c>
      <c r="BH272" s="1004">
        <f t="shared" si="30"/>
        <v>104977.65869043193</v>
      </c>
      <c r="BI272" s="357" t="e">
        <f>Indexador!#REF!</f>
        <v>#REF!</v>
      </c>
      <c r="BJ272" s="338">
        <f t="shared" si="31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2"/>
        <v>Subsidio - Irrigante/Aquicultor</v>
      </c>
      <c r="BB273" s="1003" t="e">
        <f>Indexador!#REF!</f>
        <v>#REF!</v>
      </c>
      <c r="BC273" s="1003" t="e">
        <f>Indexador!#REF!</f>
        <v>#REF!</v>
      </c>
      <c r="BD273" s="1003" t="e">
        <f>Indexador!#REF!</f>
        <v>#REF!</v>
      </c>
      <c r="BE273" s="1003" t="e">
        <f>Indexador!#REF!</f>
        <v>#REF!</v>
      </c>
      <c r="BF273" s="1004">
        <f t="shared" si="33"/>
        <v>5651.9054806951508</v>
      </c>
      <c r="BG273" s="1004">
        <f t="shared" si="30"/>
        <v>47439.105424537818</v>
      </c>
      <c r="BH273" s="1004">
        <f t="shared" si="30"/>
        <v>53091.010905232972</v>
      </c>
      <c r="BI273" s="357" t="e">
        <f>Indexador!#REF!</f>
        <v>#REF!</v>
      </c>
      <c r="BJ273" s="338">
        <f t="shared" si="31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189" t="s">
        <v>836</v>
      </c>
      <c r="BB274" s="1202" t="e">
        <f t="shared" ref="BB274:BI274" si="34">SUM(BB268:BB273)</f>
        <v>#REF!</v>
      </c>
      <c r="BC274" s="1202" t="e">
        <f t="shared" si="34"/>
        <v>#REF!</v>
      </c>
      <c r="BD274" s="1202" t="e">
        <f t="shared" si="34"/>
        <v>#REF!</v>
      </c>
      <c r="BE274" s="1202" t="e">
        <f t="shared" si="34"/>
        <v>#REF!</v>
      </c>
      <c r="BF274" s="1203">
        <f t="shared" si="34"/>
        <v>6933.2055280285258</v>
      </c>
      <c r="BG274" s="1203">
        <f t="shared" si="34"/>
        <v>243756.47591728959</v>
      </c>
      <c r="BH274" s="1203">
        <f t="shared" si="34"/>
        <v>250689.6814453181</v>
      </c>
      <c r="BI274" s="1204" t="e">
        <f t="shared" si="34"/>
        <v>#REF!</v>
      </c>
      <c r="BJ274" s="340">
        <f t="shared" si="31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178" t="s">
        <v>704</v>
      </c>
      <c r="BL275" s="358"/>
      <c r="BM275" s="308" t="s">
        <v>849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05" t="s">
        <v>931</v>
      </c>
      <c r="BL276" s="1205" t="s">
        <v>869</v>
      </c>
      <c r="BM276" s="1205" t="s">
        <v>909</v>
      </c>
      <c r="BN276" s="473" t="s">
        <v>802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704</v>
      </c>
      <c r="BL277" s="360">
        <f ca="1">Resultado!C25</f>
        <v>2512371.1955021746</v>
      </c>
      <c r="BM277" s="360">
        <f>Resultado!D25</f>
        <v>3736975</v>
      </c>
      <c r="BN277" s="338">
        <f t="shared" ref="BN277:BN284" si="35">IF(BM277=0,0,1)</f>
        <v>1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706</v>
      </c>
      <c r="BL278" s="360">
        <f ca="1">Resultado!C26</f>
        <v>762419.84274428466</v>
      </c>
      <c r="BM278" s="360">
        <f>Resultado!D26</f>
        <v>714546.8</v>
      </c>
      <c r="BN278" s="338">
        <f t="shared" si="35"/>
        <v>1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794</v>
      </c>
      <c r="BL279" s="360"/>
      <c r="BM279" s="360"/>
      <c r="BN279" s="338">
        <f t="shared" si="35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795</v>
      </c>
      <c r="BL280" s="360"/>
      <c r="BM280" s="360"/>
      <c r="BN280" s="338">
        <f t="shared" si="35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796</v>
      </c>
      <c r="BL281" s="360"/>
      <c r="BM281" s="360"/>
      <c r="BN281" s="338">
        <f t="shared" si="35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797</v>
      </c>
      <c r="BL282" s="360"/>
      <c r="BM282" s="360"/>
      <c r="BN282" s="338">
        <f t="shared" si="35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707</v>
      </c>
      <c r="BL283" s="360">
        <f ca="1">Resultado!C31</f>
        <v>358285.69640434074</v>
      </c>
      <c r="BM283" s="360">
        <f>Resultado!D31</f>
        <v>118926.88481049077</v>
      </c>
      <c r="BN283" s="338">
        <f t="shared" si="35"/>
        <v>1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708</v>
      </c>
      <c r="BL284" s="360">
        <f>Resultado!DJ283</f>
        <v>0</v>
      </c>
      <c r="BM284" s="360">
        <f>Resultado!DK283</f>
        <v>0</v>
      </c>
      <c r="BN284" s="340">
        <f t="shared" si="35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06" t="s">
        <v>932</v>
      </c>
      <c r="BL285" s="1204">
        <f ca="1">SUM(BL277:BL284)</f>
        <v>3633076.7346508</v>
      </c>
      <c r="BM285" s="1204">
        <f>SUM(BM277:BM284)</f>
        <v>4570448.6848104903</v>
      </c>
      <c r="BN285" s="338">
        <f ca="1">IF(BL285=0,0,1)</f>
        <v>1</v>
      </c>
      <c r="BO285" s="1178" t="s">
        <v>933</v>
      </c>
      <c r="BP285" s="358"/>
      <c r="BQ285" s="358"/>
      <c r="BR285" s="308" t="s">
        <v>849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(Certaja).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07" t="s">
        <v>934</v>
      </c>
      <c r="BP287" s="1207" t="s">
        <v>935</v>
      </c>
      <c r="BQ287" s="1207" t="s">
        <v>936</v>
      </c>
      <c r="BR287" s="1208" t="s">
        <v>937</v>
      </c>
      <c r="BS287" s="413" t="s">
        <v>802</v>
      </c>
      <c r="BU287" s="358"/>
      <c r="BV287" s="358"/>
      <c r="BW287" s="308" t="s">
        <v>849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09" t="s">
        <v>938</v>
      </c>
      <c r="BP288" s="1210">
        <f>IFERROR(Aj.Subsídio!L5,0)</f>
        <v>560.29804065048427</v>
      </c>
      <c r="BQ288" s="1210">
        <f>IFERROR(Aj.Subsídio!M5,0)</f>
        <v>80609.654637198852</v>
      </c>
      <c r="BR288" s="1210">
        <f t="shared" ref="BR288:BR294" si="36">BP288+BQ288</f>
        <v>81169.952677849331</v>
      </c>
      <c r="BS288" s="414">
        <f t="shared" ref="BS288:BS294" si="37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09" t="s">
        <v>939</v>
      </c>
      <c r="BP289" s="1210">
        <f>IFERROR(Aj.Subsídio!L6,0)</f>
        <v>4.3330192742675235</v>
      </c>
      <c r="BQ289" s="1210">
        <f>IFERROR(Aj.Subsídio!M6,0)</f>
        <v>10749.56470208407</v>
      </c>
      <c r="BR289" s="1211">
        <f t="shared" si="36"/>
        <v>10753.897721358337</v>
      </c>
      <c r="BS289" s="363">
        <f t="shared" si="37"/>
        <v>1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09" t="s">
        <v>940</v>
      </c>
      <c r="BP290" s="1210">
        <f>IFERROR(Aj.Subsídio!L7,0)</f>
        <v>0</v>
      </c>
      <c r="BQ290" s="1210">
        <f>IFERROR(Aj.Subsídio!M7,0)</f>
        <v>0</v>
      </c>
      <c r="BR290" s="1211">
        <f t="shared" si="36"/>
        <v>0</v>
      </c>
      <c r="BS290" s="363">
        <f t="shared" si="37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09" t="s">
        <v>941</v>
      </c>
      <c r="BP291" s="1210">
        <f>IFERROR(Aj.Subsídio!L8,0)</f>
        <v>-2.4766081224731047</v>
      </c>
      <c r="BQ291" s="1210">
        <f>IFERROR(Aj.Subsídio!M8,0)</f>
        <v>699.63805856801298</v>
      </c>
      <c r="BR291" s="1211">
        <f t="shared" si="36"/>
        <v>697.16145044553991</v>
      </c>
      <c r="BS291" s="363">
        <f t="shared" si="37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09" t="s">
        <v>942</v>
      </c>
      <c r="BP292" s="1210">
        <f>IFERROR(Aj.Subsídio!L9,0)</f>
        <v>719.14559553109575</v>
      </c>
      <c r="BQ292" s="1210">
        <f>IFERROR(Aj.Subsídio!M9,0)</f>
        <v>104258.51309490083</v>
      </c>
      <c r="BR292" s="1211">
        <f t="shared" si="36"/>
        <v>104977.65869043193</v>
      </c>
      <c r="BS292" s="363">
        <f t="shared" si="37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09" t="s">
        <v>943</v>
      </c>
      <c r="BP293" s="1210">
        <f>IFERROR(Aj.Subsídio!L10,0)</f>
        <v>5651.9054806951508</v>
      </c>
      <c r="BQ293" s="1210">
        <f>IFERROR(Aj.Subsídio!M10,0)</f>
        <v>47439.105424537818</v>
      </c>
      <c r="BR293" s="1211">
        <f t="shared" si="36"/>
        <v>53091.010905232972</v>
      </c>
      <c r="BS293" s="363">
        <f t="shared" si="37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12" t="s">
        <v>845</v>
      </c>
      <c r="BP294" s="1210">
        <f>SUM(BP288:BP293)</f>
        <v>6933.2055280285258</v>
      </c>
      <c r="BQ294" s="1210">
        <f>SUM(BQ288:BQ293)</f>
        <v>243756.47591728959</v>
      </c>
      <c r="BR294" s="1211">
        <f t="shared" si="36"/>
        <v>250689.6814453181</v>
      </c>
      <c r="BS294" s="414">
        <f t="shared" si="37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8" t="s">
        <v>944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945</v>
      </c>
      <c r="BW296" s="60" t="s">
        <v>946</v>
      </c>
      <c r="BY296" s="23" t="s">
        <v>802</v>
      </c>
      <c r="BZ296" s="680" t="s">
        <v>947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A4 (2,3 a 25 kV)</v>
      </c>
      <c r="BV297" s="432">
        <f>Energia!I28</f>
        <v>0</v>
      </c>
      <c r="BW297" s="432">
        <f>Energia!F28</f>
        <v>0</v>
      </c>
      <c r="BY297" s="23">
        <f t="shared" ref="BY297:BY303" si="38">IF(BU297=0,0,1)</f>
        <v>1</v>
      </c>
      <c r="BZ297" s="679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Cia. Estadual de Distribuição de Energia Elétrica - Ceee-D</v>
      </c>
      <c r="BU298" s="311" t="str">
        <f>Energia!C29</f>
        <v>A4 (2,3 a 25 kV)</v>
      </c>
      <c r="BV298" s="432">
        <f>Energia!I29</f>
        <v>0</v>
      </c>
      <c r="BW298" s="432">
        <f>Energia!F29</f>
        <v>0</v>
      </c>
      <c r="BY298" s="23">
        <f t="shared" si="38"/>
        <v>1</v>
      </c>
      <c r="BZ298" s="679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8"/>
        <v>0</v>
      </c>
      <c r="BZ299" s="679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8"/>
        <v>0</v>
      </c>
      <c r="BZ300" s="679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8"/>
        <v>0</v>
      </c>
      <c r="BZ301" s="679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8"/>
        <v>0</v>
      </c>
      <c r="BZ302" s="679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8"/>
        <v>#REF!</v>
      </c>
      <c r="BZ303" s="681" t="s">
        <v>701</v>
      </c>
      <c r="CB303" s="308" t="s">
        <v>849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13" t="s">
        <v>701</v>
      </c>
      <c r="CA304" s="1214">
        <f>SUM(CA305:CA306)</f>
        <v>0</v>
      </c>
    </row>
    <row r="305" spans="2:87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948</v>
      </c>
      <c r="CA305" s="434">
        <f>CAPA!H42</f>
        <v>0</v>
      </c>
    </row>
    <row r="306" spans="2:87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15" t="s">
        <v>949</v>
      </c>
      <c r="CA306" s="1216">
        <f>CAPA!H44</f>
        <v>0</v>
      </c>
    </row>
    <row r="307" spans="2:87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87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  <c r="BW308" s="311"/>
      <c r="CC308" s="678" t="s">
        <v>2368</v>
      </c>
    </row>
    <row r="309" spans="2:87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  <c r="CC309" s="60" t="s">
        <v>242</v>
      </c>
      <c r="CD309" s="60" t="str">
        <f>Energia!C17</f>
        <v>Montante (MWh)</v>
      </c>
      <c r="CE309" s="60">
        <f>Energia!D17</f>
        <v>0</v>
      </c>
      <c r="CF309" s="60" t="str">
        <f>Energia!E17</f>
        <v>Custo médio (R$/MWh)</v>
      </c>
      <c r="CG309" s="60" t="str">
        <f>Energia!F17</f>
        <v>Despesa</v>
      </c>
      <c r="CH309" s="60" t="s">
        <v>2366</v>
      </c>
      <c r="CI309" s="60" t="s">
        <v>2367</v>
      </c>
    </row>
    <row r="310" spans="2:87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  <c r="CC310" s="23" t="s">
        <v>270</v>
      </c>
      <c r="CD310" s="1663">
        <f ca="1">Energia!C18</f>
        <v>0</v>
      </c>
      <c r="CE310" s="23">
        <f>Energia!D18</f>
        <v>0</v>
      </c>
      <c r="CF310" s="1663">
        <f>Energia!E18</f>
        <v>0</v>
      </c>
      <c r="CG310" s="1663">
        <f ca="1">Energia!F18</f>
        <v>0</v>
      </c>
      <c r="CH310" s="315">
        <f ca="1">CG310/$CG$316</f>
        <v>0</v>
      </c>
      <c r="CI310" s="1711">
        <f t="shared" ref="CI310:CI316" ca="1" si="39">CH310*LnkTXTIRTEC</f>
        <v>0</v>
      </c>
    </row>
    <row r="311" spans="2:87" ht="15" customHeight="1">
      <c r="B311" s="312"/>
      <c r="C311" s="312"/>
      <c r="H311" s="23"/>
      <c r="AZ311" s="358"/>
      <c r="BA311" s="358"/>
      <c r="BB311" s="358"/>
      <c r="BC311" s="358"/>
      <c r="BD311" s="358"/>
      <c r="BE311" s="358"/>
      <c r="BF311" s="358"/>
      <c r="BG311" s="358"/>
      <c r="BH311" s="358"/>
      <c r="BI311" s="358"/>
      <c r="BJ311" s="358"/>
      <c r="BK311" s="358"/>
      <c r="BL311" s="358"/>
      <c r="BM311" s="358"/>
      <c r="BN311" s="358"/>
      <c r="BO311" s="358"/>
      <c r="BP311" s="358"/>
      <c r="BQ311" s="358"/>
      <c r="BR311" s="358"/>
      <c r="BS311" s="358"/>
      <c r="CC311" s="23" t="s">
        <v>47</v>
      </c>
      <c r="CD311" s="1663">
        <f>Energia!C19</f>
        <v>1894.971763920269</v>
      </c>
      <c r="CE311" s="23">
        <f>Energia!D19</f>
        <v>0</v>
      </c>
      <c r="CF311" s="1663">
        <f>Energia!E19</f>
        <v>0</v>
      </c>
      <c r="CG311" s="1663">
        <f>Energia!F19</f>
        <v>0</v>
      </c>
      <c r="CH311" s="315">
        <f ca="1">CG311/$CG$316</f>
        <v>0</v>
      </c>
      <c r="CI311" s="1711">
        <f t="shared" ca="1" si="39"/>
        <v>0</v>
      </c>
    </row>
    <row r="312" spans="2:87" ht="15" customHeight="1">
      <c r="B312" s="356"/>
      <c r="C312" s="364"/>
      <c r="H312" s="23"/>
      <c r="CC312" s="23" t="s">
        <v>1226</v>
      </c>
      <c r="CD312" s="1663">
        <f ca="1">Energia!C20</f>
        <v>4381.9798071596342</v>
      </c>
      <c r="CE312" s="23">
        <f>Energia!D20</f>
        <v>0</v>
      </c>
      <c r="CF312" s="1663">
        <f>Energia!E20</f>
        <v>349.15</v>
      </c>
      <c r="CG312" s="1663">
        <f ca="1">Energia!F20</f>
        <v>1529968.2496697861</v>
      </c>
      <c r="CH312" s="315">
        <f ca="1">CG312/$CG$316</f>
        <v>7.2252269626000065E-2</v>
      </c>
      <c r="CI312" s="1711">
        <f t="shared" ca="1" si="39"/>
        <v>1.7746868452362305E-3</v>
      </c>
    </row>
    <row r="313" spans="2:87" ht="15" customHeight="1">
      <c r="H313" s="23"/>
      <c r="CC313" s="23" t="s">
        <v>1227</v>
      </c>
      <c r="CD313" s="1663">
        <f ca="1">Energia!C21</f>
        <v>29227.95051678142</v>
      </c>
      <c r="CE313" s="23">
        <f>Energia!D21</f>
        <v>0</v>
      </c>
      <c r="CF313" s="1663">
        <f>Energia!E21</f>
        <v>145.39655665520965</v>
      </c>
      <c r="CG313" s="1663">
        <f ca="1">Energia!F21</f>
        <v>4249643.3632288743</v>
      </c>
      <c r="CH313" s="315">
        <f ca="1">CG313/$CG$316</f>
        <v>0.20068807189993931</v>
      </c>
      <c r="CI313" s="1711">
        <f t="shared" ca="1" si="39"/>
        <v>4.9293743025683586E-3</v>
      </c>
    </row>
    <row r="314" spans="2:87" ht="15" customHeight="1">
      <c r="H314" s="23"/>
      <c r="CC314" s="23" t="s">
        <v>2369</v>
      </c>
      <c r="CG314" s="315">
        <f ca="1">Energia!N48</f>
        <v>1611287.6016095714</v>
      </c>
      <c r="CH314" s="315">
        <f t="shared" ref="CH314:CH315" ca="1" si="40">CG314/$CG$316</f>
        <v>7.6092550457601021E-2</v>
      </c>
      <c r="CI314" s="1711">
        <f t="shared" ca="1" si="39"/>
        <v>1.8690132367687475E-3</v>
      </c>
    </row>
    <row r="315" spans="2:87" ht="15" customHeight="1">
      <c r="H315" s="23"/>
      <c r="CC315" s="23" t="s">
        <v>2192</v>
      </c>
      <c r="CD315" s="1663">
        <f ca="1">Energia!C22</f>
        <v>87483.01301213869</v>
      </c>
      <c r="CE315" s="23">
        <f>Energia!D22</f>
        <v>0</v>
      </c>
      <c r="CF315" s="1663">
        <f ca="1">Energia!E22</f>
        <v>175.98564340395868</v>
      </c>
      <c r="CG315" s="1663">
        <f ca="1">Energia!N60</f>
        <v>13784466.730248546</v>
      </c>
      <c r="CH315" s="315">
        <f t="shared" ca="1" si="40"/>
        <v>0.65096710801645974</v>
      </c>
      <c r="CI315" s="1711">
        <f t="shared" ca="1" si="39"/>
        <v>1.5989293751715733E-2</v>
      </c>
    </row>
    <row r="316" spans="2:87" ht="15" customHeight="1">
      <c r="B316" s="1799"/>
      <c r="C316" s="1799"/>
      <c r="H316" s="23"/>
      <c r="CC316" s="1189" t="s">
        <v>836</v>
      </c>
      <c r="CD316" s="1189">
        <f ca="1">SUM(CD310:CD315)</f>
        <v>122987.91510000001</v>
      </c>
      <c r="CE316" s="1189"/>
      <c r="CF316" s="1189"/>
      <c r="CG316" s="1710">
        <f ca="1">SUM(CG310:CG315)</f>
        <v>21175365.944756776</v>
      </c>
      <c r="CH316" s="1710">
        <f ca="1">CG316/$CG$316</f>
        <v>1</v>
      </c>
      <c r="CI316" s="1712">
        <f t="shared" ca="1" si="39"/>
        <v>2.4562368136289068E-2</v>
      </c>
    </row>
    <row r="317" spans="2:87" ht="15" customHeight="1">
      <c r="C317" s="24"/>
      <c r="H317" s="23"/>
    </row>
    <row r="318" spans="2:87" ht="15" customHeight="1">
      <c r="C318" s="312"/>
      <c r="H318" s="23"/>
    </row>
    <row r="319" spans="2:87" ht="15" customHeight="1">
      <c r="C319" s="25"/>
      <c r="H319" s="23"/>
    </row>
    <row r="320" spans="2:87" ht="15" customHeight="1">
      <c r="C320" s="25"/>
      <c r="H320" s="23"/>
    </row>
    <row r="321" spans="2:8" ht="15" customHeight="1">
      <c r="C321" s="25"/>
      <c r="H321" s="23"/>
    </row>
    <row r="322" spans="2:8" ht="15" customHeight="1">
      <c r="B322" s="1799"/>
      <c r="C322" s="1799"/>
      <c r="H322" s="23"/>
    </row>
    <row r="323" spans="2:8" ht="15" customHeight="1">
      <c r="B323" s="367"/>
      <c r="C323" s="368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C327" s="312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26"/>
      <c r="H329" s="23"/>
    </row>
    <row r="330" spans="2:8" ht="15" customHeight="1">
      <c r="B330" s="367"/>
      <c r="C330" s="368"/>
      <c r="H330" s="23"/>
    </row>
    <row r="331" spans="2:8" ht="15" customHeight="1">
      <c r="B331" s="1799"/>
      <c r="C331" s="1799"/>
      <c r="H331" s="23"/>
    </row>
    <row r="332" spans="2:8" ht="15" customHeight="1">
      <c r="C332" s="26"/>
      <c r="H332" s="23"/>
    </row>
    <row r="333" spans="2:8" ht="15" customHeight="1">
      <c r="C333" s="26"/>
      <c r="H333" s="23"/>
    </row>
    <row r="334" spans="2:8" ht="15" customHeight="1">
      <c r="C334" s="315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B339" s="367"/>
      <c r="C339" s="26"/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15" customHeight="1">
      <c r="H343" s="23"/>
    </row>
    <row r="344" spans="2:8" ht="30" customHeight="1">
      <c r="B344" s="370"/>
      <c r="C344" s="371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27"/>
      <c r="H348" s="23"/>
    </row>
    <row r="349" spans="2:8" ht="15" customHeight="1">
      <c r="B349" s="372"/>
      <c r="C349" s="373"/>
      <c r="H349" s="23"/>
    </row>
    <row r="350" spans="2:8" ht="15" customHeight="1">
      <c r="B350" s="372"/>
      <c r="C350" s="27"/>
      <c r="H350" s="23"/>
    </row>
    <row r="351" spans="2:8" ht="15" customHeight="1">
      <c r="B351" s="372"/>
      <c r="C351" s="373"/>
      <c r="H351" s="23"/>
    </row>
    <row r="377" ht="31.5" customHeight="1"/>
    <row r="378" ht="15.75" customHeight="1"/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  <row r="393" spans="72:74" ht="15" customHeight="1">
      <c r="BT393" s="430"/>
      <c r="BU393" s="431"/>
      <c r="BV393" s="431"/>
    </row>
  </sheetData>
  <mergeCells count="31">
    <mergeCell ref="B331:C331"/>
    <mergeCell ref="B316:C316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2:C322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9:AN190 AN192:AN196">
    <cfRule type="cellIs" dxfId="440" priority="2" operator="greaterThan">
      <formula>0</formula>
    </cfRule>
  </conditionalFormatting>
  <conditionalFormatting sqref="AN191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 AS212:AT212 AX212 AS208 AU208:AV208 AS229:AX231 AS228 AU228:AX228 AS227:AV227 AS226:AT226 AV226:AX226 AX227 AX208 AS262:AV262 AX262 AX263 AS211:AV211 AX211 AS217:AX218 AS216:AU216 AX216 AS221:AV221 AS219:AU219 AX219 AS220:AU220 AX220 AX221 AS225:AV225 AX225 K84 AW213:AX213 AV212 AW215:AX215 AX265 AU215 AW221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8" zoomScale="90" zoomScaleNormal="90" workbookViewId="0">
      <selection activeCell="B31" sqref="B31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13.140625" style="95" bestFit="1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07" t="s">
        <v>950</v>
      </c>
      <c r="C1" s="1104"/>
      <c r="D1" s="1008"/>
      <c r="E1" s="1008"/>
      <c r="F1" s="1008"/>
      <c r="G1" s="1217" t="s">
        <v>951</v>
      </c>
      <c r="H1" s="1218">
        <f ca="1">LnkTXTIRTEco</f>
        <v>0.1182</v>
      </c>
      <c r="I1" s="70"/>
      <c r="J1" s="70"/>
      <c r="P1" s="1219" t="s">
        <v>952</v>
      </c>
      <c r="Q1" s="1220"/>
      <c r="S1" s="1221" t="s">
        <v>953</v>
      </c>
      <c r="T1" s="1220" t="s">
        <v>954</v>
      </c>
      <c r="W1" s="1219" t="s">
        <v>953</v>
      </c>
      <c r="X1" s="1220" t="s">
        <v>954</v>
      </c>
    </row>
    <row r="2" spans="2:24" ht="14.25">
      <c r="B2" s="138" t="str">
        <f>CAPA!C9</f>
        <v>Certaja</v>
      </c>
      <c r="C2" s="70"/>
      <c r="D2" s="70"/>
      <c r="G2" s="121" t="s">
        <v>955</v>
      </c>
      <c r="H2" s="122">
        <f ca="1">LnkTXTIRTTotal</f>
        <v>-0.2044</v>
      </c>
      <c r="P2" s="1222">
        <f>DATE(YEAR(P4),MONTH(P4)-1,1)</f>
        <v>44378</v>
      </c>
      <c r="Q2" s="692"/>
      <c r="S2" s="691" t="s">
        <v>956</v>
      </c>
      <c r="T2" s="692" t="s">
        <v>957</v>
      </c>
      <c r="W2" s="691" t="s">
        <v>958</v>
      </c>
      <c r="X2" s="692" t="s">
        <v>957</v>
      </c>
    </row>
    <row r="3" spans="2:24" ht="14.25">
      <c r="P3" s="1219" t="s">
        <v>952</v>
      </c>
      <c r="Q3" s="1220"/>
      <c r="S3" s="1221" t="s">
        <v>953</v>
      </c>
      <c r="T3" s="1220" t="s">
        <v>954</v>
      </c>
      <c r="W3" s="1219" t="s">
        <v>953</v>
      </c>
      <c r="X3" s="1220" t="s">
        <v>954</v>
      </c>
    </row>
    <row r="4" spans="2:24" ht="14.25">
      <c r="P4" s="1222">
        <f>DATE(YEAR(P6),MONTH(P6)-1,1)</f>
        <v>44409</v>
      </c>
      <c r="Q4" s="692"/>
      <c r="S4" s="691" t="s">
        <v>601</v>
      </c>
      <c r="T4" s="692" t="s">
        <v>957</v>
      </c>
      <c r="W4" s="691" t="s">
        <v>958</v>
      </c>
      <c r="X4" s="692" t="s">
        <v>957</v>
      </c>
    </row>
    <row r="5" spans="2:24" ht="14.25">
      <c r="P5" s="1219" t="s">
        <v>952</v>
      </c>
      <c r="Q5" s="1220"/>
      <c r="S5" s="1219" t="s">
        <v>953</v>
      </c>
      <c r="T5" s="1220" t="s">
        <v>954</v>
      </c>
      <c r="V5" s="96"/>
      <c r="W5" s="1219" t="s">
        <v>953</v>
      </c>
      <c r="X5" s="1220" t="s">
        <v>954</v>
      </c>
    </row>
    <row r="6" spans="2:24" ht="14.25">
      <c r="B6" s="112" t="s">
        <v>959</v>
      </c>
      <c r="F6" s="112" t="s">
        <v>960</v>
      </c>
      <c r="I6" s="112" t="s">
        <v>961</v>
      </c>
      <c r="P6" s="1222">
        <f>DATE(YEAR(P8),MONTH(P8)-1,1)</f>
        <v>44440</v>
      </c>
      <c r="Q6" s="692"/>
      <c r="S6" s="691" t="str">
        <f>"=A3"</f>
        <v>=A3</v>
      </c>
      <c r="T6" s="692" t="s">
        <v>957</v>
      </c>
      <c r="W6" s="691" t="s">
        <v>958</v>
      </c>
      <c r="X6" s="692" t="s">
        <v>957</v>
      </c>
    </row>
    <row r="7" spans="2:24" ht="14.25">
      <c r="B7" s="1223" t="s">
        <v>854</v>
      </c>
      <c r="C7" s="1223" t="s">
        <v>120</v>
      </c>
      <c r="D7" s="1223" t="s">
        <v>962</v>
      </c>
      <c r="E7" s="97"/>
      <c r="F7" s="1223" t="s">
        <v>854</v>
      </c>
      <c r="G7" s="1223" t="s">
        <v>962</v>
      </c>
      <c r="I7" s="1224" t="s">
        <v>854</v>
      </c>
      <c r="J7" s="1224" t="s">
        <v>963</v>
      </c>
      <c r="L7" s="428" t="s">
        <v>964</v>
      </c>
      <c r="M7" s="428"/>
      <c r="N7" s="428" t="s">
        <v>801</v>
      </c>
      <c r="P7" s="1219" t="s">
        <v>952</v>
      </c>
      <c r="Q7" s="1220"/>
      <c r="S7" s="1219" t="s">
        <v>953</v>
      </c>
      <c r="T7" s="1220" t="s">
        <v>954</v>
      </c>
      <c r="W7" s="1219" t="s">
        <v>953</v>
      </c>
      <c r="X7" s="1220" t="s">
        <v>954</v>
      </c>
    </row>
    <row r="8" spans="2:24" ht="14.25">
      <c r="B8" s="1225" t="s">
        <v>965</v>
      </c>
      <c r="C8" s="1226">
        <f ca="1">SUM(C9:C15)</f>
        <v>107828.46300000002</v>
      </c>
      <c r="D8" s="1227">
        <f ca="1">SUM(D9:D15)</f>
        <v>71503992.823320016</v>
      </c>
      <c r="E8" s="97"/>
      <c r="F8" s="97" t="s">
        <v>966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0.20341415939009497</v>
      </c>
      <c r="L8" s="1228" t="s">
        <v>967</v>
      </c>
      <c r="M8" s="1229"/>
      <c r="N8" s="1230">
        <f>DSUM('BD MERCADO'!A2:AAA999998,"Total",S27:S28)</f>
        <v>18514326.783250008</v>
      </c>
      <c r="P8" s="1222">
        <f>DATE(YEAR(P10),MONTH(P10)-1,1)</f>
        <v>44470</v>
      </c>
      <c r="Q8" s="692"/>
      <c r="S8" s="691" t="str">
        <f>"=A3a"</f>
        <v>=A3a</v>
      </c>
      <c r="T8" s="692" t="s">
        <v>957</v>
      </c>
      <c r="W8" s="691" t="s">
        <v>958</v>
      </c>
      <c r="X8" s="692" t="s">
        <v>957</v>
      </c>
    </row>
    <row r="9" spans="2:24" ht="14.25">
      <c r="B9" s="113" t="s">
        <v>956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31" t="s">
        <v>831</v>
      </c>
      <c r="J9" s="1232">
        <f ca="1">SUM(INDIRECT("dados_MercadoBase[[PisPasep]:[Cofins]]"))/SUM(INDIRECT("dados_MercadoBase[[PisPasep]:[ICMS]]"),INDIRECT("dados_MercadoBase[FinTotAj]"))</f>
        <v>1.7473654678081277E-2</v>
      </c>
      <c r="L9" s="97" t="s">
        <v>968</v>
      </c>
      <c r="M9" s="427"/>
      <c r="N9" s="116">
        <f>DSUM('BD MERCADO'!A2:AAA999998,"Total",S29:S30)</f>
        <v>14314797.034390002</v>
      </c>
      <c r="P9" s="1219" t="s">
        <v>952</v>
      </c>
      <c r="Q9" s="1220"/>
      <c r="S9" s="1219" t="s">
        <v>953</v>
      </c>
      <c r="T9" s="1220" t="s">
        <v>954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969</v>
      </c>
      <c r="G10" s="116">
        <f t="shared" ca="1" si="0"/>
        <v>859785.06388833211</v>
      </c>
      <c r="L10" s="97" t="s">
        <v>970</v>
      </c>
      <c r="M10" s="427"/>
      <c r="N10" s="116">
        <f>DSUM('BD MERCADO'!A2:AAA999998,"Total",S31:S32)</f>
        <v>6811735.3621000014</v>
      </c>
      <c r="P10" s="1222">
        <f>DATE(YEAR(P12),MONTH(P12)-1,1)</f>
        <v>44501</v>
      </c>
      <c r="Q10" s="692"/>
      <c r="S10" s="691" t="s">
        <v>596</v>
      </c>
      <c r="T10" s="692" t="s">
        <v>957</v>
      </c>
      <c r="U10" s="95" t="s">
        <v>971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1063012.1990452236</v>
      </c>
      <c r="L11" s="97" t="s">
        <v>972</v>
      </c>
      <c r="M11" s="427"/>
      <c r="N11" s="116">
        <f>DSUM('BD MERCADO'!A2:AAA999998,"Total",S33:S34)</f>
        <v>30682060.729479991</v>
      </c>
      <c r="P11" s="1219" t="s">
        <v>952</v>
      </c>
      <c r="Q11" s="1220"/>
      <c r="S11" s="1219" t="s">
        <v>953</v>
      </c>
      <c r="T11" s="1220" t="s">
        <v>954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6551838.6932571689</v>
      </c>
      <c r="I12" s="112" t="s">
        <v>973</v>
      </c>
      <c r="L12" s="97" t="s">
        <v>974</v>
      </c>
      <c r="M12" s="427"/>
      <c r="N12" s="116">
        <f>DSUM('BD MERCADO'!A2:AAA999998,"Total",S35:S36)</f>
        <v>1374206.2269000001</v>
      </c>
      <c r="P12" s="1222">
        <f>DATE(YEAR(P14),MONTH(P14)-1,1)</f>
        <v>44531</v>
      </c>
      <c r="Q12" s="692"/>
      <c r="S12" s="691" t="s">
        <v>975</v>
      </c>
      <c r="T12" s="692" t="s">
        <v>957</v>
      </c>
      <c r="X12" s="98"/>
    </row>
    <row r="13" spans="2:24" ht="14.25">
      <c r="B13" s="113" t="s">
        <v>596</v>
      </c>
      <c r="C13" s="99">
        <f t="shared" ca="1" si="2"/>
        <v>32667.811999999984</v>
      </c>
      <c r="D13" s="114">
        <f t="shared" ca="1" si="1"/>
        <v>20861828.496720012</v>
      </c>
      <c r="E13" s="97"/>
      <c r="F13" s="97" t="s">
        <v>40</v>
      </c>
      <c r="G13" s="116">
        <f t="shared" ca="1" si="0"/>
        <v>169588.62193635938</v>
      </c>
      <c r="I13" s="1224" t="s">
        <v>854</v>
      </c>
      <c r="J13" s="1224" t="s">
        <v>976</v>
      </c>
      <c r="L13" s="97" t="s">
        <v>977</v>
      </c>
      <c r="M13" s="427"/>
      <c r="N13" s="116">
        <f>DSUM('BD MERCADO'!A2:AAA999998,"Total",S37:S38)</f>
        <v>2938326.5869499999</v>
      </c>
      <c r="P13" s="1219" t="s">
        <v>952</v>
      </c>
      <c r="Q13" s="1220"/>
      <c r="S13" s="1219" t="s">
        <v>953</v>
      </c>
      <c r="T13" s="1220" t="s">
        <v>954</v>
      </c>
      <c r="X13" s="98"/>
    </row>
    <row r="14" spans="2:24" ht="14.25">
      <c r="B14" s="113" t="s">
        <v>978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33" t="s">
        <v>979</v>
      </c>
      <c r="J14" s="1234">
        <f>CAPA!D41</f>
        <v>113727.004</v>
      </c>
      <c r="L14" s="97" t="s">
        <v>980</v>
      </c>
      <c r="M14" s="427"/>
      <c r="N14" s="116">
        <f>DSUM('BD MERCADO'!A2:AAA999998,"Total",S39:S40)</f>
        <v>333127.51439999999</v>
      </c>
      <c r="P14" s="1222">
        <f>DATE(YEAR(P16),MONTH(P16)-1,1)</f>
        <v>44562</v>
      </c>
      <c r="Q14" s="692"/>
      <c r="S14" s="691" t="s">
        <v>958</v>
      </c>
      <c r="T14" s="692" t="s">
        <v>957</v>
      </c>
      <c r="X14" s="98"/>
    </row>
    <row r="15" spans="2:24" ht="14.25">
      <c r="B15" s="113" t="s">
        <v>603</v>
      </c>
      <c r="C15" s="99">
        <f t="shared" ca="1" si="2"/>
        <v>75160.651000000042</v>
      </c>
      <c r="D15" s="114">
        <f t="shared" ca="1" si="1"/>
        <v>50642164.3266</v>
      </c>
      <c r="E15" s="97"/>
      <c r="F15" s="97" t="s">
        <v>120</v>
      </c>
      <c r="G15" s="116">
        <f ca="1">SUM(C79:C84)</f>
        <v>19319340.721340153</v>
      </c>
      <c r="I15" s="1235" t="s">
        <v>910</v>
      </c>
      <c r="J15" s="1236">
        <f ca="1">IFERROR(Mercado_RA0_MWh/J14-1,0)</f>
        <v>2.1099632590338979E-2</v>
      </c>
      <c r="L15" s="1237" t="s">
        <v>981</v>
      </c>
      <c r="M15" s="1238"/>
      <c r="N15" s="1239">
        <f ca="1">D25-SUM(N8:N14)</f>
        <v>595193.30089999735</v>
      </c>
      <c r="P15" s="1219" t="s">
        <v>952</v>
      </c>
      <c r="Q15" s="1220"/>
      <c r="S15" s="1219" t="s">
        <v>982</v>
      </c>
      <c r="T15" s="1220" t="s">
        <v>954</v>
      </c>
      <c r="X15" s="98"/>
    </row>
    <row r="16" spans="2:24" ht="14.25">
      <c r="B16" s="1225" t="s">
        <v>983</v>
      </c>
      <c r="C16" s="1240">
        <f ca="1">DSUM(MercadoBase,"TUSD_E",INDIRECT("Mercado_CriterioResBr"))</f>
        <v>2028.4019999999994</v>
      </c>
      <c r="D16" s="1241">
        <f ca="1">DSUM(MercadoBase,"Total",INDIRECT("Mercado_CriterioResBr"))</f>
        <v>1257710.6601000002</v>
      </c>
      <c r="E16" s="97"/>
      <c r="F16" s="97" t="s">
        <v>984</v>
      </c>
      <c r="G16" s="116">
        <f ca="1">SUM(C87:C97)</f>
        <v>47649278.618003011</v>
      </c>
      <c r="P16" s="1222">
        <f>DATE(YEAR(P18),MONTH(P18)-1,1)</f>
        <v>44593</v>
      </c>
      <c r="Q16" s="692"/>
      <c r="S16" s="691" t="s">
        <v>985</v>
      </c>
      <c r="T16" s="692" t="s">
        <v>957</v>
      </c>
      <c r="X16" s="98"/>
    </row>
    <row r="17" spans="2:24" ht="14.25">
      <c r="B17" s="1225" t="s">
        <v>986</v>
      </c>
      <c r="C17" s="1240">
        <f ca="1">DSUM(MercadoBase,"TUSD_E",INDIRECT("Mercado_Criterio"&amp;$B17))</f>
        <v>0</v>
      </c>
      <c r="D17" s="1241">
        <f ca="1">DSUM(MercadoBase,"Total",INDIRECT("Mercado_Criterio"&amp;$B17))</f>
        <v>0</v>
      </c>
      <c r="E17" s="97"/>
      <c r="F17" s="1242" t="s">
        <v>836</v>
      </c>
      <c r="G17" s="1243">
        <f ca="1">SUM(G8:G16)</f>
        <v>75612843.917470247</v>
      </c>
      <c r="I17" s="228" t="str">
        <f>"Dado referente à "&amp;TEXT(P20,"mmmm/aaaa")</f>
        <v>Dado referente à abril/2022</v>
      </c>
      <c r="L17" s="79"/>
      <c r="P17" s="1219" t="s">
        <v>952</v>
      </c>
      <c r="Q17" s="1220"/>
      <c r="S17" s="1219" t="s">
        <v>954</v>
      </c>
      <c r="T17" s="1220"/>
      <c r="X17" s="98"/>
    </row>
    <row r="18" spans="2:24" ht="14.25">
      <c r="B18" s="1225" t="s">
        <v>987</v>
      </c>
      <c r="C18" s="1240">
        <f ca="1">DSUM(MercadoBase,"TUSD_E",INDIRECT("Mercado_Criterio"&amp;$B18))</f>
        <v>8298.1389999999992</v>
      </c>
      <c r="D18" s="1241">
        <f ca="1">DSUM(MercadoBase,"Total",INDIRECT("Mercado_Criterio"&amp;$B18))</f>
        <v>3474108.7150500002</v>
      </c>
      <c r="E18" s="97"/>
      <c r="I18" s="1244" t="s">
        <v>988</v>
      </c>
      <c r="J18" s="1245">
        <f>DSUM('BD MERCADO'!B2:BU724,"UC",C101:C102)</f>
        <v>14824</v>
      </c>
      <c r="L18" s="79"/>
      <c r="P18" s="1222">
        <f>DATE(YEAR(P20),MONTH(P20)-1,1)</f>
        <v>44621</v>
      </c>
      <c r="Q18" s="692"/>
      <c r="S18" s="691" t="s">
        <v>866</v>
      </c>
      <c r="T18" s="692"/>
      <c r="X18" s="98"/>
    </row>
    <row r="19" spans="2:24" ht="14.25">
      <c r="B19" s="115" t="s">
        <v>989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19" t="s">
        <v>952</v>
      </c>
      <c r="Q19" s="1220"/>
      <c r="S19" s="1219" t="s">
        <v>954</v>
      </c>
      <c r="T19" s="1220" t="s">
        <v>953</v>
      </c>
      <c r="X19" s="98"/>
    </row>
    <row r="20" spans="2:24" ht="14.25">
      <c r="B20" s="115" t="s">
        <v>990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22">
        <f>DATE(YEAR(P22),MONTH(P22)-1,1)</f>
        <v>44652</v>
      </c>
      <c r="Q20" s="692"/>
      <c r="S20" s="691" t="s">
        <v>987</v>
      </c>
      <c r="T20" s="692" t="s">
        <v>956</v>
      </c>
    </row>
    <row r="21" spans="2:24" ht="14.25">
      <c r="B21" s="115" t="s">
        <v>991</v>
      </c>
      <c r="C21" s="99"/>
      <c r="D21" s="114">
        <f ca="1">DSUM(MercadoBase,"Total",INDIRECT("Mercado_Criterio"&amp;$B21))</f>
        <v>585672</v>
      </c>
      <c r="E21" s="631"/>
      <c r="F21" s="632"/>
      <c r="G21" s="630"/>
      <c r="L21" s="79"/>
      <c r="P21" s="1219" t="s">
        <v>952</v>
      </c>
      <c r="Q21" s="1220"/>
      <c r="S21" s="1219" t="s">
        <v>954</v>
      </c>
      <c r="T21" s="1220"/>
    </row>
    <row r="22" spans="2:24" ht="14.25">
      <c r="B22" s="115" t="s">
        <v>992</v>
      </c>
      <c r="C22" s="99">
        <f ca="1">C18-C19</f>
        <v>8298.1389999999992</v>
      </c>
      <c r="D22" s="114">
        <f ca="1">D18-D19</f>
        <v>3474108.7150500002</v>
      </c>
      <c r="F22" s="633"/>
      <c r="G22" s="634"/>
      <c r="L22" s="79"/>
      <c r="M22" s="101"/>
      <c r="N22" s="98"/>
      <c r="O22" s="98"/>
      <c r="P22" s="1222">
        <f>DATE(YEAR(P24),MONTH(P24)-1,1)</f>
        <v>44682</v>
      </c>
      <c r="Q22" s="692"/>
      <c r="S22" s="691" t="s">
        <v>828</v>
      </c>
      <c r="T22" s="692"/>
      <c r="X22" s="98"/>
    </row>
    <row r="23" spans="2:24" ht="14.25">
      <c r="B23" s="1225" t="s">
        <v>993</v>
      </c>
      <c r="C23" s="1240">
        <v>0</v>
      </c>
      <c r="D23" s="1241">
        <v>0</v>
      </c>
      <c r="E23" s="631"/>
      <c r="F23" s="633"/>
      <c r="G23" s="634"/>
      <c r="L23" s="79"/>
      <c r="M23" s="101"/>
      <c r="N23" s="98"/>
      <c r="O23" s="98"/>
      <c r="P23" s="1219" t="s">
        <v>952</v>
      </c>
      <c r="Q23" s="1220"/>
      <c r="S23" s="1219" t="s">
        <v>954</v>
      </c>
      <c r="T23" s="1220"/>
      <c r="X23" s="98"/>
    </row>
    <row r="24" spans="2:24" ht="14.25">
      <c r="B24" s="1225" t="s">
        <v>994</v>
      </c>
      <c r="C24" s="1246"/>
      <c r="D24" s="1247"/>
      <c r="E24" s="631"/>
      <c r="F24" s="633"/>
      <c r="G24" s="634"/>
      <c r="L24" s="79"/>
      <c r="P24" s="1222">
        <f>SAS_RA0_DataFim</f>
        <v>44713</v>
      </c>
      <c r="Q24" s="692"/>
      <c r="S24" s="691" t="s">
        <v>991</v>
      </c>
      <c r="T24" s="692"/>
      <c r="X24" s="98"/>
    </row>
    <row r="25" spans="2:24" ht="14.25">
      <c r="B25" s="1248" t="s">
        <v>836</v>
      </c>
      <c r="C25" s="1249">
        <f ca="1">C18+C8+C24+C20+C21+SuprimentoE</f>
        <v>116126.60200000001</v>
      </c>
      <c r="D25" s="1250">
        <f ca="1">D18+D8+D24+D20+D21+D17</f>
        <v>75563773.538370013</v>
      </c>
      <c r="E25" s="631"/>
      <c r="N25" s="69">
        <f>SUMIFS('BD MERCADO'!$P$3:$P$6000,'BD MERCADO'!$D$3:$D$6000,"A4",'BD MERCADO'!$I$3:$I$6000,U10)</f>
        <v>2195.6140000000005</v>
      </c>
      <c r="S25" s="102" t="s">
        <v>954</v>
      </c>
      <c r="T25" s="103"/>
      <c r="X25" s="98"/>
    </row>
    <row r="26" spans="2:24" ht="14.25">
      <c r="F26" s="633"/>
      <c r="G26" s="634"/>
      <c r="S26" s="691" t="s">
        <v>995</v>
      </c>
      <c r="T26" s="692"/>
      <c r="X26" s="98"/>
    </row>
    <row r="27" spans="2:24" ht="14.25">
      <c r="F27" s="633"/>
      <c r="G27" s="634"/>
      <c r="I27" s="98"/>
      <c r="S27" s="1251" t="s">
        <v>587</v>
      </c>
      <c r="T27" s="1252"/>
      <c r="X27" s="98"/>
    </row>
    <row r="28" spans="2:24" ht="14.25">
      <c r="F28" s="228"/>
      <c r="G28" s="635"/>
      <c r="I28" s="98"/>
      <c r="S28" s="1253" t="s">
        <v>967</v>
      </c>
      <c r="T28" s="1254"/>
      <c r="X28" s="98"/>
    </row>
    <row r="29" spans="2:24" ht="14.25">
      <c r="I29" s="98"/>
      <c r="S29" s="1251" t="s">
        <v>587</v>
      </c>
      <c r="T29" s="1252"/>
    </row>
    <row r="30" spans="2:24" ht="14.25">
      <c r="I30" s="98"/>
      <c r="S30" s="1253" t="s">
        <v>968</v>
      </c>
      <c r="T30" s="1254"/>
    </row>
    <row r="31" spans="2:24" ht="16.5">
      <c r="B31"/>
      <c r="C31"/>
      <c r="H31" s="98"/>
      <c r="I31" s="98"/>
      <c r="S31" s="1251" t="s">
        <v>587</v>
      </c>
      <c r="T31" s="1252"/>
      <c r="X31" s="98"/>
    </row>
    <row r="32" spans="2:24" ht="14.25">
      <c r="H32" s="98"/>
      <c r="I32" s="98"/>
      <c r="S32" s="1253" t="s">
        <v>996</v>
      </c>
      <c r="T32" s="1254"/>
      <c r="X32" s="98"/>
    </row>
    <row r="33" spans="2:24" ht="14.25">
      <c r="B33" s="1660" t="s">
        <v>997</v>
      </c>
      <c r="C33" s="68" t="s">
        <v>998</v>
      </c>
      <c r="D33" s="68" t="s">
        <v>2370</v>
      </c>
      <c r="S33" s="1251" t="s">
        <v>587</v>
      </c>
      <c r="T33" s="1252"/>
      <c r="X33" s="98"/>
    </row>
    <row r="34" spans="2:24" ht="14.25">
      <c r="B34" s="1661">
        <v>44378</v>
      </c>
      <c r="C34" s="93">
        <v>8509.3189999999995</v>
      </c>
      <c r="D34" s="93">
        <v>7897.4179999999997</v>
      </c>
      <c r="S34" s="1253" t="s">
        <v>972</v>
      </c>
      <c r="T34" s="1254"/>
      <c r="X34" s="98"/>
    </row>
    <row r="35" spans="2:24" ht="14.25">
      <c r="B35" s="1661">
        <v>44409</v>
      </c>
      <c r="C35" s="93">
        <v>8632.9230000000007</v>
      </c>
      <c r="D35" s="93">
        <v>8058.5000000000009</v>
      </c>
      <c r="S35" s="1251" t="s">
        <v>587</v>
      </c>
      <c r="T35" s="1252"/>
    </row>
    <row r="36" spans="2:24" ht="14.25">
      <c r="B36" s="1661">
        <v>44440</v>
      </c>
      <c r="C36" s="93">
        <v>8566.1500000000015</v>
      </c>
      <c r="D36" s="93">
        <v>7875.9420000000009</v>
      </c>
      <c r="M36" s="98"/>
      <c r="S36" s="1253" t="s">
        <v>974</v>
      </c>
      <c r="T36" s="1254"/>
    </row>
    <row r="37" spans="2:24" ht="14.25">
      <c r="B37" s="1661">
        <v>44470</v>
      </c>
      <c r="C37" s="93">
        <v>9210.9570000000003</v>
      </c>
      <c r="D37" s="93">
        <v>8486.473</v>
      </c>
      <c r="M37" s="98"/>
      <c r="S37" s="1251" t="s">
        <v>587</v>
      </c>
      <c r="T37" s="1252"/>
    </row>
    <row r="38" spans="2:24" ht="14.25">
      <c r="B38" s="1661">
        <v>44501</v>
      </c>
      <c r="C38" s="93">
        <v>10258.814999999997</v>
      </c>
      <c r="D38" s="93">
        <v>9604.5609999999979</v>
      </c>
      <c r="M38" s="98"/>
      <c r="S38" s="1253" t="s">
        <v>977</v>
      </c>
      <c r="T38" s="1254"/>
    </row>
    <row r="39" spans="2:24" ht="14.25">
      <c r="B39" s="1661">
        <v>44531</v>
      </c>
      <c r="C39" s="93">
        <v>10616.320999999998</v>
      </c>
      <c r="D39" s="93">
        <v>9963.1139999999978</v>
      </c>
      <c r="S39" s="1251" t="s">
        <v>587</v>
      </c>
      <c r="T39" s="1252"/>
    </row>
    <row r="40" spans="2:24" ht="14.25">
      <c r="B40" s="1661">
        <v>44562</v>
      </c>
      <c r="C40" s="93">
        <v>11949.888000000001</v>
      </c>
      <c r="D40" s="93">
        <v>11357.001000000002</v>
      </c>
      <c r="S40" s="1253" t="s">
        <v>999</v>
      </c>
      <c r="T40" s="1254"/>
    </row>
    <row r="41" spans="2:24" ht="14.25">
      <c r="B41" s="1661">
        <v>44593</v>
      </c>
      <c r="C41" s="93">
        <v>11426.721</v>
      </c>
      <c r="D41" s="93">
        <v>10735.135999999999</v>
      </c>
      <c r="N41" s="98"/>
      <c r="O41" s="98"/>
      <c r="P41" s="98"/>
      <c r="Q41" s="98"/>
      <c r="R41" s="98"/>
      <c r="S41" s="1251" t="s">
        <v>587</v>
      </c>
      <c r="T41" s="1252"/>
    </row>
    <row r="42" spans="2:24" ht="14.25">
      <c r="B42" s="1661">
        <v>44621</v>
      </c>
      <c r="C42" s="93">
        <v>10556.324000000002</v>
      </c>
      <c r="D42" s="93">
        <v>9728.2460000000028</v>
      </c>
      <c r="N42" s="98"/>
      <c r="O42" s="98"/>
      <c r="P42" s="98"/>
      <c r="Q42" s="98"/>
      <c r="R42" s="98"/>
      <c r="S42" s="1253" t="s">
        <v>1000</v>
      </c>
      <c r="T42" s="1254"/>
    </row>
    <row r="43" spans="2:24" ht="14.25">
      <c r="B43" s="1661">
        <v>44652</v>
      </c>
      <c r="C43" s="93">
        <v>8724.4600000000009</v>
      </c>
      <c r="D43" s="93">
        <v>7986.7370000000019</v>
      </c>
      <c r="N43" s="98"/>
      <c r="O43" s="98"/>
      <c r="P43" s="98"/>
      <c r="Q43" s="98"/>
      <c r="R43" s="98"/>
      <c r="S43" s="1219" t="s">
        <v>953</v>
      </c>
      <c r="T43" s="1220" t="s">
        <v>954</v>
      </c>
    </row>
    <row r="44" spans="2:24" ht="14.25">
      <c r="B44" s="1661">
        <v>44682</v>
      </c>
      <c r="C44" s="93">
        <v>8789.3759999999984</v>
      </c>
      <c r="D44" s="93">
        <v>7982.8309999999992</v>
      </c>
      <c r="S44" s="691" t="s">
        <v>601</v>
      </c>
      <c r="T44" s="692" t="s">
        <v>987</v>
      </c>
    </row>
    <row r="45" spans="2:24" ht="14.25">
      <c r="B45" s="1661">
        <v>44713</v>
      </c>
      <c r="C45" s="93">
        <v>8885.348</v>
      </c>
      <c r="D45" s="93">
        <v>8152.5040000000008</v>
      </c>
      <c r="S45" s="1219" t="s">
        <v>953</v>
      </c>
      <c r="T45" s="1220" t="s">
        <v>954</v>
      </c>
    </row>
    <row r="46" spans="2:24" ht="14.25">
      <c r="B46" s="1661" t="s">
        <v>1001</v>
      </c>
      <c r="C46" s="93">
        <v>116126.60200000001</v>
      </c>
      <c r="D46" s="93">
        <v>107828.46300000002</v>
      </c>
      <c r="S46" s="691" t="s">
        <v>598</v>
      </c>
      <c r="T46" s="692" t="s">
        <v>987</v>
      </c>
    </row>
    <row r="47" spans="2:24" ht="16.5">
      <c r="B47"/>
      <c r="C47"/>
      <c r="D47"/>
      <c r="S47" s="1219" t="s">
        <v>953</v>
      </c>
      <c r="T47" s="1220" t="s">
        <v>954</v>
      </c>
    </row>
    <row r="48" spans="2:24" ht="16.5">
      <c r="B48"/>
      <c r="C48"/>
      <c r="D48"/>
      <c r="S48" s="691" t="s">
        <v>600</v>
      </c>
      <c r="T48" s="692" t="s">
        <v>987</v>
      </c>
    </row>
    <row r="49" spans="2:21" ht="16.5">
      <c r="B49"/>
      <c r="C49"/>
      <c r="D49"/>
      <c r="S49" s="1219" t="s">
        <v>953</v>
      </c>
      <c r="T49" s="1220" t="s">
        <v>954</v>
      </c>
    </row>
    <row r="50" spans="2:21" ht="16.5">
      <c r="B50"/>
      <c r="C50"/>
      <c r="D50"/>
      <c r="S50" s="691" t="s">
        <v>596</v>
      </c>
      <c r="T50" s="692" t="s">
        <v>987</v>
      </c>
    </row>
    <row r="51" spans="2:21" ht="16.5">
      <c r="B51"/>
      <c r="C51"/>
      <c r="S51" s="1219" t="s">
        <v>953</v>
      </c>
      <c r="T51" s="1220" t="s">
        <v>954</v>
      </c>
    </row>
    <row r="52" spans="2:21" ht="16.5">
      <c r="B52"/>
      <c r="C52"/>
      <c r="S52" s="691" t="s">
        <v>958</v>
      </c>
      <c r="T52" s="692" t="s">
        <v>987</v>
      </c>
    </row>
    <row r="53" spans="2:21" ht="16.5">
      <c r="B53"/>
      <c r="C53"/>
      <c r="S53" s="1219" t="s">
        <v>953</v>
      </c>
      <c r="T53" s="1220" t="s">
        <v>954</v>
      </c>
    </row>
    <row r="54" spans="2:21" ht="14.25">
      <c r="S54" s="691" t="s">
        <v>975</v>
      </c>
      <c r="T54" s="692" t="s">
        <v>987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1002</v>
      </c>
      <c r="K61" s="68"/>
    </row>
    <row r="62" spans="2:21" ht="14.25">
      <c r="B62" s="1255" t="s">
        <v>1003</v>
      </c>
      <c r="C62" s="1255"/>
      <c r="D62" s="1255" t="s">
        <v>966</v>
      </c>
      <c r="E62" s="1255" t="s">
        <v>49</v>
      </c>
      <c r="F62" s="1255" t="s">
        <v>969</v>
      </c>
      <c r="G62" s="1255" t="s">
        <v>47</v>
      </c>
      <c r="H62" s="1255" t="s">
        <v>41</v>
      </c>
      <c r="I62" s="1255" t="s">
        <v>40</v>
      </c>
      <c r="J62" s="1255" t="s">
        <v>126</v>
      </c>
      <c r="K62" s="1255" t="s">
        <v>1004</v>
      </c>
      <c r="L62" s="1255" t="s">
        <v>1005</v>
      </c>
      <c r="M62" s="1255" t="s">
        <v>1006</v>
      </c>
      <c r="N62" s="1255" t="s">
        <v>1007</v>
      </c>
      <c r="O62" s="1255" t="s">
        <v>1008</v>
      </c>
      <c r="P62" s="1255" t="s">
        <v>1009</v>
      </c>
      <c r="Q62" s="1255" t="s">
        <v>1010</v>
      </c>
      <c r="R62" s="1255" t="s">
        <v>1011</v>
      </c>
      <c r="S62" s="1255" t="s">
        <v>2167</v>
      </c>
      <c r="T62" s="1255" t="s">
        <v>1131</v>
      </c>
      <c r="U62" s="1255" t="s">
        <v>2256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62868.723628623302</v>
      </c>
      <c r="G63" s="104">
        <f t="shared" ca="1" si="4"/>
        <v>77940.743589969061</v>
      </c>
      <c r="H63" s="104">
        <f t="shared" ca="1" si="4"/>
        <v>479005.68424631964</v>
      </c>
      <c r="I63" s="104">
        <f t="shared" ca="1" si="4"/>
        <v>12399.289502701802</v>
      </c>
      <c r="J63" s="104">
        <f t="shared" ca="1" si="4"/>
        <v>0</v>
      </c>
      <c r="K63" s="104">
        <f t="shared" ca="1" si="4"/>
        <v>80361.678776920002</v>
      </c>
      <c r="L63" s="104">
        <f t="shared" ca="1" si="4"/>
        <v>11580.5</v>
      </c>
      <c r="M63" s="104">
        <f t="shared" ca="1" si="4"/>
        <v>0</v>
      </c>
      <c r="N63" s="104">
        <f t="shared" ca="1" si="4"/>
        <v>1304.2402878000007</v>
      </c>
      <c r="O63" s="104">
        <f t="shared" ca="1" si="4"/>
        <v>157931.12040479996</v>
      </c>
      <c r="P63" s="104">
        <f t="shared" ca="1" si="4"/>
        <v>528.93965300000002</v>
      </c>
      <c r="Q63" s="104">
        <f t="shared" ca="1" si="4"/>
        <v>18292.18866</v>
      </c>
      <c r="R63" s="104">
        <f t="shared" ca="1" si="4"/>
        <v>2863501.8743278156</v>
      </c>
      <c r="S63" s="104">
        <f ca="1">DSUM(MercadoBase,S$62,INDIRECT("P"&amp;5+2*(ROW()-65)&amp;":P"&amp;6+2*(ROW()-65)))</f>
        <v>0</v>
      </c>
      <c r="T63" s="104">
        <f t="shared" ca="1" si="4"/>
        <v>-1516072.4325477539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64152.824625396526</v>
      </c>
      <c r="G64" s="104">
        <f t="shared" ca="1" si="4"/>
        <v>79076.349892303842</v>
      </c>
      <c r="H64" s="104">
        <f t="shared" ca="1" si="4"/>
        <v>486601.27706107544</v>
      </c>
      <c r="I64" s="104">
        <f t="shared" ca="1" si="4"/>
        <v>12596.884572929044</v>
      </c>
      <c r="J64" s="104">
        <f t="shared" ca="1" si="4"/>
        <v>0</v>
      </c>
      <c r="K64" s="104">
        <f t="shared" ca="1" si="4"/>
        <v>81130.86923110002</v>
      </c>
      <c r="L64" s="104">
        <f t="shared" ca="1" si="4"/>
        <v>11580.5</v>
      </c>
      <c r="M64" s="104">
        <f t="shared" ca="1" si="4"/>
        <v>0</v>
      </c>
      <c r="N64" s="104">
        <f t="shared" ca="1" si="4"/>
        <v>1288.7544744000006</v>
      </c>
      <c r="O64" s="104">
        <f t="shared" ca="1" si="4"/>
        <v>165684.87941920001</v>
      </c>
      <c r="P64" s="104">
        <f t="shared" ca="1" si="4"/>
        <v>8472.2620289999995</v>
      </c>
      <c r="Q64" s="104">
        <f t="shared" ca="1" si="4"/>
        <v>17794.624</v>
      </c>
      <c r="R64" s="104">
        <f t="shared" ca="1" si="4"/>
        <v>3006461.721935703</v>
      </c>
      <c r="S64" s="104">
        <f t="shared" ca="1" si="4"/>
        <v>0</v>
      </c>
      <c r="T64" s="104">
        <f t="shared" ca="1" si="4"/>
        <v>-1591762.0927720629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62709.939420688708</v>
      </c>
      <c r="G65" s="104">
        <f t="shared" ca="1" si="4"/>
        <v>78515.290620289074</v>
      </c>
      <c r="H65" s="104">
        <f t="shared" ca="1" si="4"/>
        <v>483798.35294714198</v>
      </c>
      <c r="I65" s="104">
        <f t="shared" ca="1" si="4"/>
        <v>12532.133862957437</v>
      </c>
      <c r="J65" s="104">
        <f t="shared" ca="1" si="4"/>
        <v>0</v>
      </c>
      <c r="K65" s="104">
        <f t="shared" ca="1" si="4"/>
        <v>83515.421493000002</v>
      </c>
      <c r="L65" s="104">
        <f t="shared" ca="1" si="4"/>
        <v>11580.5</v>
      </c>
      <c r="M65" s="104">
        <f t="shared" ca="1" si="4"/>
        <v>0</v>
      </c>
      <c r="N65" s="104">
        <f t="shared" ca="1" si="4"/>
        <v>1259.2960110000008</v>
      </c>
      <c r="O65" s="104">
        <f t="shared" ca="1" si="4"/>
        <v>169623.36956080003</v>
      </c>
      <c r="P65" s="104">
        <f t="shared" ca="1" si="4"/>
        <v>19110.851869999995</v>
      </c>
      <c r="Q65" s="104">
        <f t="shared" ca="1" si="4"/>
        <v>17980.758469</v>
      </c>
      <c r="R65" s="104">
        <f t="shared" ca="1" si="4"/>
        <v>3027247.9492599182</v>
      </c>
      <c r="S65" s="104">
        <f t="shared" ca="1" si="4"/>
        <v>0</v>
      </c>
      <c r="T65" s="104">
        <f t="shared" ca="1" si="4"/>
        <v>-1602767.298148544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67617.636424835509</v>
      </c>
      <c r="G66" s="104">
        <f t="shared" ca="1" si="4"/>
        <v>84580.079265492022</v>
      </c>
      <c r="H66" s="104">
        <f t="shared" ca="1" si="4"/>
        <v>517788.92917194334</v>
      </c>
      <c r="I66" s="104">
        <f t="shared" ca="1" si="4"/>
        <v>13322.006646883394</v>
      </c>
      <c r="J66" s="104">
        <f t="shared" ca="1" si="4"/>
        <v>0</v>
      </c>
      <c r="K66" s="104">
        <f t="shared" ca="1" si="4"/>
        <v>82828.112825239994</v>
      </c>
      <c r="L66" s="104">
        <f t="shared" ca="1" si="4"/>
        <v>11580.5</v>
      </c>
      <c r="M66" s="104">
        <f t="shared" ca="1" si="4"/>
        <v>0</v>
      </c>
      <c r="N66" s="104">
        <f t="shared" ca="1" si="4"/>
        <v>1255.3390668000006</v>
      </c>
      <c r="O66" s="104">
        <f t="shared" ca="1" si="4"/>
        <v>175791.93599520001</v>
      </c>
      <c r="P66" s="104">
        <f t="shared" ca="1" si="4"/>
        <v>55564.295908</v>
      </c>
      <c r="Q66" s="104">
        <f t="shared" ca="1" si="4"/>
        <v>18168.908599999999</v>
      </c>
      <c r="R66" s="104">
        <f t="shared" ca="1" si="4"/>
        <v>3045169.4574258872</v>
      </c>
      <c r="S66" s="104">
        <f t="shared" ca="1" si="4"/>
        <v>0</v>
      </c>
      <c r="T66" s="104">
        <f t="shared" ca="1" si="4"/>
        <v>-1612255.7866051763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76704.606158857685</v>
      </c>
      <c r="G67" s="104">
        <f t="shared" ca="1" si="4"/>
        <v>94393.360784746474</v>
      </c>
      <c r="H67" s="104">
        <f t="shared" ca="1" si="4"/>
        <v>580992.87945256871</v>
      </c>
      <c r="I67" s="104">
        <f t="shared" ca="1" si="4"/>
        <v>14943.4077105781</v>
      </c>
      <c r="J67" s="104">
        <f t="shared" ca="1" si="4"/>
        <v>0</v>
      </c>
      <c r="K67" s="104">
        <f t="shared" ca="1" si="4"/>
        <v>81969.836336069988</v>
      </c>
      <c r="L67" s="104">
        <f t="shared" ca="1" si="4"/>
        <v>11580.5</v>
      </c>
      <c r="M67" s="104">
        <f t="shared" ca="1" si="4"/>
        <v>0</v>
      </c>
      <c r="N67" s="104">
        <f t="shared" ca="1" si="4"/>
        <v>1347.0455027999994</v>
      </c>
      <c r="O67" s="104">
        <f t="shared" ca="1" si="4"/>
        <v>211541.94082999998</v>
      </c>
      <c r="P67" s="104">
        <f t="shared" ca="1" si="4"/>
        <v>105557.83378799999</v>
      </c>
      <c r="Q67" s="104">
        <f t="shared" ca="1" si="4"/>
        <v>18713.087445000001</v>
      </c>
      <c r="R67" s="104">
        <f t="shared" ca="1" si="4"/>
        <v>3416645.4772186605</v>
      </c>
      <c r="S67" s="104">
        <f t="shared" ca="1" si="4"/>
        <v>0</v>
      </c>
      <c r="T67" s="104">
        <f t="shared" ca="1" si="4"/>
        <v>-1808932.6451082255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79572.32319324225</v>
      </c>
      <c r="G68" s="104">
        <f t="shared" ca="1" si="4"/>
        <v>97649.268589768224</v>
      </c>
      <c r="H68" s="104">
        <f t="shared" ca="1" si="4"/>
        <v>602714.74195929337</v>
      </c>
      <c r="I68" s="104">
        <f t="shared" ca="1" si="4"/>
        <v>15516.882504380437</v>
      </c>
      <c r="J68" s="104">
        <f t="shared" ca="1" si="4"/>
        <v>0</v>
      </c>
      <c r="K68" s="104">
        <f t="shared" ca="1" si="4"/>
        <v>79297.538294085025</v>
      </c>
      <c r="L68" s="104">
        <f t="shared" ca="1" si="4"/>
        <v>11580.5</v>
      </c>
      <c r="M68" s="104">
        <f t="shared" ca="1" si="4"/>
        <v>0</v>
      </c>
      <c r="N68" s="104">
        <f t="shared" ca="1" si="4"/>
        <v>1473.0490985999998</v>
      </c>
      <c r="O68" s="104">
        <f t="shared" ca="1" si="4"/>
        <v>234538.54841119997</v>
      </c>
      <c r="P68" s="104">
        <f t="shared" ca="1" si="4"/>
        <v>123487.06791300001</v>
      </c>
      <c r="Q68" s="104">
        <f t="shared" ca="1" si="4"/>
        <v>19646.535380000001</v>
      </c>
      <c r="R68" s="104">
        <f t="shared" ca="1" si="4"/>
        <v>3571638.723226564</v>
      </c>
      <c r="S68" s="104">
        <f t="shared" ca="1" si="4"/>
        <v>0</v>
      </c>
      <c r="T68" s="104">
        <f t="shared" ca="1" si="4"/>
        <v>-1890993.351829025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90857.044716994031</v>
      </c>
      <c r="G69" s="104">
        <f t="shared" ca="1" si="4"/>
        <v>109987.27122961772</v>
      </c>
      <c r="H69" s="104">
        <f t="shared" ca="1" si="4"/>
        <v>681979.04033471632</v>
      </c>
      <c r="I69" s="104">
        <f t="shared" ca="1" si="4"/>
        <v>17564.200807216585</v>
      </c>
      <c r="J69" s="104">
        <f t="shared" ca="1" si="4"/>
        <v>0</v>
      </c>
      <c r="K69" s="104">
        <f t="shared" ca="1" si="4"/>
        <v>90062.801292960008</v>
      </c>
      <c r="L69" s="104">
        <f t="shared" ca="1" si="4"/>
        <v>11580.5</v>
      </c>
      <c r="M69" s="104">
        <f t="shared" ca="1" si="4"/>
        <v>0</v>
      </c>
      <c r="N69" s="104">
        <f t="shared" ca="1" si="4"/>
        <v>1456.4518739999999</v>
      </c>
      <c r="O69" s="104">
        <f t="shared" ca="1" si="4"/>
        <v>279675.4369743999</v>
      </c>
      <c r="P69" s="104">
        <f t="shared" ca="1" si="4"/>
        <v>116345.35575299998</v>
      </c>
      <c r="Q69" s="104">
        <f t="shared" ca="1" si="4"/>
        <v>20461.652835000001</v>
      </c>
      <c r="R69" s="104">
        <f t="shared" ca="1" si="4"/>
        <v>4055484.9016128299</v>
      </c>
      <c r="S69" s="104">
        <f t="shared" ca="1" si="4"/>
        <v>0</v>
      </c>
      <c r="T69" s="104">
        <f t="shared" ca="1" si="4"/>
        <v>-2147164.2519501206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86025.658125653004</v>
      </c>
      <c r="G70" s="104">
        <f t="shared" ca="1" si="4"/>
        <v>105257.97764441188</v>
      </c>
      <c r="H70" s="104">
        <f t="shared" ca="1" si="4"/>
        <v>654387.04654429446</v>
      </c>
      <c r="I70" s="104">
        <f t="shared" ca="1" si="4"/>
        <v>16908.179181667325</v>
      </c>
      <c r="J70" s="104">
        <f t="shared" ca="1" si="4"/>
        <v>0</v>
      </c>
      <c r="K70" s="104">
        <f t="shared" ca="1" si="4"/>
        <v>89373.115807695009</v>
      </c>
      <c r="L70" s="104">
        <f t="shared" ca="1" si="4"/>
        <v>11580.5</v>
      </c>
      <c r="M70" s="104">
        <f t="shared" ca="1" si="4"/>
        <v>0</v>
      </c>
      <c r="N70" s="104">
        <f t="shared" ca="1" si="4"/>
        <v>1299.8771255999986</v>
      </c>
      <c r="O70" s="104">
        <f t="shared" ca="1" si="4"/>
        <v>273563.21748599998</v>
      </c>
      <c r="P70" s="104">
        <f t="shared" ca="1" si="4"/>
        <v>89556.675757999998</v>
      </c>
      <c r="Q70" s="104">
        <f t="shared" ca="1" si="4"/>
        <v>20674.372175</v>
      </c>
      <c r="R70" s="104">
        <f t="shared" ca="1" si="4"/>
        <v>4013023.3564948398</v>
      </c>
      <c r="S70" s="104">
        <f t="shared" ca="1" si="4"/>
        <v>0</v>
      </c>
      <c r="T70" s="104">
        <f t="shared" ca="1" si="4"/>
        <v>-2124683.1149290809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77779.232305716956</v>
      </c>
      <c r="G71" s="104">
        <f t="shared" ca="1" si="4"/>
        <v>96437.744558255639</v>
      </c>
      <c r="H71" s="104">
        <f t="shared" ca="1" si="4"/>
        <v>597390.72790404782</v>
      </c>
      <c r="I71" s="104">
        <f t="shared" ca="1" si="4"/>
        <v>15542.237044905798</v>
      </c>
      <c r="J71" s="104">
        <f t="shared" ca="1" si="4"/>
        <v>0</v>
      </c>
      <c r="K71" s="104">
        <f t="shared" ca="1" si="4"/>
        <v>76222.558042500008</v>
      </c>
      <c r="L71" s="104">
        <f t="shared" ca="1" si="4"/>
        <v>11580.5</v>
      </c>
      <c r="M71" s="104">
        <f t="shared" ca="1" si="4"/>
        <v>0</v>
      </c>
      <c r="N71" s="104">
        <f t="shared" ca="1" si="4"/>
        <v>1359.0099143999985</v>
      </c>
      <c r="O71" s="104">
        <f t="shared" ca="1" si="4"/>
        <v>225970.6400552</v>
      </c>
      <c r="P71" s="104">
        <f t="shared" ca="1" si="4"/>
        <v>22755.277259000002</v>
      </c>
      <c r="Q71" s="104">
        <f t="shared" ca="1" si="4"/>
        <v>27635.165689999998</v>
      </c>
      <c r="R71" s="104">
        <f t="shared" ca="1" si="4"/>
        <v>3746995.8977451087</v>
      </c>
      <c r="S71" s="104">
        <f t="shared" ca="1" si="4"/>
        <v>0</v>
      </c>
      <c r="T71" s="104">
        <f t="shared" ca="1" si="4"/>
        <v>-1983835.6790928894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63711.795881471357</v>
      </c>
      <c r="G72" s="104">
        <f t="shared" ca="1" si="4"/>
        <v>79325.540491981243</v>
      </c>
      <c r="H72" s="104">
        <f t="shared" ca="1" si="4"/>
        <v>487214.79994610325</v>
      </c>
      <c r="I72" s="104">
        <f t="shared" ca="1" si="4"/>
        <v>12726.933613526027</v>
      </c>
      <c r="J72" s="104">
        <f t="shared" ca="1" si="4"/>
        <v>0</v>
      </c>
      <c r="K72" s="104">
        <f t="shared" ca="1" si="4"/>
        <v>75731.522349240011</v>
      </c>
      <c r="L72" s="104">
        <f t="shared" ca="1" si="4"/>
        <v>11580.5</v>
      </c>
      <c r="M72" s="104">
        <f t="shared" ca="1" si="4"/>
        <v>0</v>
      </c>
      <c r="N72" s="104">
        <f t="shared" ca="1" si="4"/>
        <v>1256.5962233999992</v>
      </c>
      <c r="O72" s="104">
        <f t="shared" ca="1" si="4"/>
        <v>161886.85443999997</v>
      </c>
      <c r="P72" s="104">
        <f t="shared" ca="1" si="4"/>
        <v>197.35453100000001</v>
      </c>
      <c r="Q72" s="104">
        <f t="shared" ca="1" si="4"/>
        <v>29628.317190000002</v>
      </c>
      <c r="R72" s="104">
        <f t="shared" ca="1" si="4"/>
        <v>2945328.0005542953</v>
      </c>
      <c r="S72" s="104">
        <f t="shared" ca="1" si="4"/>
        <v>0</v>
      </c>
      <c r="T72" s="104">
        <f t="shared" ca="1" si="4"/>
        <v>-1559395.0283338174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63229.090836887684</v>
      </c>
      <c r="G73" s="104">
        <f t="shared" ca="1" si="4"/>
        <v>79292.217822790335</v>
      </c>
      <c r="H73" s="104">
        <f t="shared" ca="1" si="4"/>
        <v>485483.57018688269</v>
      </c>
      <c r="I73" s="104">
        <f t="shared" ca="1" si="4"/>
        <v>12682.327275443862</v>
      </c>
      <c r="J73" s="104">
        <f t="shared" ca="1" si="4"/>
        <v>0</v>
      </c>
      <c r="K73" s="104">
        <f t="shared" ca="1" si="4"/>
        <v>76722.780436770001</v>
      </c>
      <c r="L73" s="104">
        <f t="shared" ca="1" si="4"/>
        <v>11580.5</v>
      </c>
      <c r="M73" s="104">
        <f t="shared" ca="1" si="4"/>
        <v>0</v>
      </c>
      <c r="N73" s="104">
        <f t="shared" ca="1" si="4"/>
        <v>1284.2091006000014</v>
      </c>
      <c r="O73" s="104">
        <f t="shared" ca="1" si="4"/>
        <v>156679.94069480003</v>
      </c>
      <c r="P73" s="104">
        <f t="shared" ca="1" si="4"/>
        <v>523.3133509999999</v>
      </c>
      <c r="Q73" s="104">
        <f t="shared" ca="1" si="4"/>
        <v>32032.738871000001</v>
      </c>
      <c r="R73" s="104">
        <f t="shared" ca="1" si="4"/>
        <v>2919345.4302304424</v>
      </c>
      <c r="S73" s="104">
        <f t="shared" ca="1" si="4"/>
        <v>0</v>
      </c>
      <c r="T73" s="104">
        <f t="shared" ca="1" si="4"/>
        <v>-1545638.6348256154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64556.188569964863</v>
      </c>
      <c r="G74" s="104">
        <f t="shared" ca="1" si="4"/>
        <v>80556.354555597267</v>
      </c>
      <c r="H74" s="104">
        <f t="shared" ca="1" si="4"/>
        <v>494481.643502791</v>
      </c>
      <c r="I74" s="104">
        <f t="shared" ca="1" si="4"/>
        <v>12854.13921316949</v>
      </c>
      <c r="J74" s="104">
        <f t="shared" ca="1" si="4"/>
        <v>0</v>
      </c>
      <c r="K74" s="104">
        <f t="shared" ca="1" si="4"/>
        <v>76048.902593135004</v>
      </c>
      <c r="L74" s="104">
        <f t="shared" ca="1" si="4"/>
        <v>11580.5</v>
      </c>
      <c r="M74" s="104">
        <f t="shared" ca="1" si="4"/>
        <v>0</v>
      </c>
      <c r="N74" s="104">
        <f t="shared" ca="1" si="4"/>
        <v>1271.3009801999999</v>
      </c>
      <c r="O74" s="104">
        <f t="shared" ca="1" si="4"/>
        <v>156646.10215719999</v>
      </c>
      <c r="P74" s="104">
        <f t="shared" ca="1" si="4"/>
        <v>49.508073999999993</v>
      </c>
      <c r="Q74" s="104">
        <f t="shared" ca="1" si="4"/>
        <v>25132.089362000002</v>
      </c>
      <c r="R74" s="104">
        <f t="shared" ca="1" si="4"/>
        <v>3183889.9784893459</v>
      </c>
      <c r="S74" s="104">
        <f t="shared" ca="1" si="4"/>
        <v>0</v>
      </c>
      <c r="T74" s="104">
        <f t="shared" ca="1" si="4"/>
        <v>-1685700.9481741178</v>
      </c>
      <c r="U74" s="104">
        <f t="shared" ca="1" si="4"/>
        <v>0</v>
      </c>
    </row>
    <row r="75" spans="2:21" ht="14.25">
      <c r="B75" s="1256" t="s">
        <v>1012</v>
      </c>
      <c r="C75" s="1257"/>
      <c r="D75" s="1257">
        <f t="shared" ref="D75:Q75" ca="1" si="5">SUM(D63:D74)</f>
        <v>0</v>
      </c>
      <c r="E75" s="1257">
        <f t="shared" ca="1" si="5"/>
        <v>0</v>
      </c>
      <c r="F75" s="1257">
        <f t="shared" ca="1" si="5"/>
        <v>859785.06388833188</v>
      </c>
      <c r="G75" s="1257">
        <f t="shared" ca="1" si="5"/>
        <v>1063012.1990452227</v>
      </c>
      <c r="H75" s="1257">
        <f t="shared" ca="1" si="5"/>
        <v>6551838.6932571782</v>
      </c>
      <c r="I75" s="1257">
        <f t="shared" ca="1" si="5"/>
        <v>169588.62193635927</v>
      </c>
      <c r="J75" s="1257">
        <f t="shared" ca="1" si="5"/>
        <v>0</v>
      </c>
      <c r="K75" s="1257">
        <f t="shared" ca="1" si="5"/>
        <v>973265.13747871516</v>
      </c>
      <c r="L75" s="1257">
        <f t="shared" ca="1" si="5"/>
        <v>138966</v>
      </c>
      <c r="M75" s="1257">
        <f t="shared" ca="1" si="5"/>
        <v>0</v>
      </c>
      <c r="N75" s="1257">
        <f t="shared" ca="1" si="5"/>
        <v>15855.169659599998</v>
      </c>
      <c r="O75" s="1257">
        <f t="shared" ca="1" si="5"/>
        <v>2369533.9864288</v>
      </c>
      <c r="P75" s="1257">
        <f t="shared" ca="1" si="5"/>
        <v>542148.73588699999</v>
      </c>
      <c r="Q75" s="1257">
        <f t="shared" ca="1" si="5"/>
        <v>266160.438677</v>
      </c>
      <c r="R75" s="1257">
        <f t="shared" ref="R75:S75" ca="1" si="6">SUM(R63:R74)</f>
        <v>39794732.768521406</v>
      </c>
      <c r="S75" s="1257">
        <f t="shared" ca="1" si="6"/>
        <v>0</v>
      </c>
      <c r="T75" s="1257">
        <f t="shared" ref="T75:U75" ca="1" si="7">SUM(T63:T74)</f>
        <v>-21069201.264316436</v>
      </c>
      <c r="U75" s="1257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1013</v>
      </c>
    </row>
    <row r="78" spans="2:21" ht="14.25">
      <c r="J78" s="95" t="s">
        <v>1014</v>
      </c>
      <c r="K78" s="1258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59" t="s">
        <v>1015</v>
      </c>
      <c r="C79" s="1260">
        <f t="shared" ref="C79:C84" ca="1" si="8">SUM(INDIRECT("dados_MercadoBase["&amp;B79&amp;"]"))</f>
        <v>17090013.468247946</v>
      </c>
      <c r="J79" s="95" t="s">
        <v>1016</v>
      </c>
      <c r="K79" s="1261"/>
      <c r="L79" s="1261"/>
      <c r="M79" s="1261">
        <f>SUMIFS(M63:M74,$B$63:$B$74,42826)</f>
        <v>0</v>
      </c>
      <c r="N79" s="1261">
        <f>SUMIFS(N63:N74,$B$63:$B$74,42826)</f>
        <v>0</v>
      </c>
      <c r="O79" s="1261">
        <f>SUMIFS(O63:O74,$B$63:$B$74,42826)</f>
        <v>0</v>
      </c>
      <c r="P79" s="1261">
        <f>SUMIFS(P63:P74,$B$63:$B$74,42826)</f>
        <v>0</v>
      </c>
      <c r="Q79" s="1261">
        <f>SUMIFS(Q63:Q74,$B$63:$B$74,42826)</f>
        <v>0</v>
      </c>
    </row>
    <row r="80" spans="2:21" ht="14.25">
      <c r="B80" s="118" t="s">
        <v>1017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1018</v>
      </c>
      <c r="C81" s="104">
        <f t="shared" ca="1" si="8"/>
        <v>510366.57036076579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1019</v>
      </c>
      <c r="C82" s="104">
        <f t="shared" ca="1" si="8"/>
        <v>48440.855983052352</v>
      </c>
    </row>
    <row r="83" spans="2:13" ht="14.25">
      <c r="B83" s="118" t="s">
        <v>1020</v>
      </c>
      <c r="C83" s="104">
        <f t="shared" ca="1" si="8"/>
        <v>1622078.9707653366</v>
      </c>
    </row>
    <row r="84" spans="2:13" ht="14.25">
      <c r="B84" s="118" t="s">
        <v>1019</v>
      </c>
      <c r="C84" s="104">
        <f t="shared" ca="1" si="8"/>
        <v>48440.855983052352</v>
      </c>
    </row>
    <row r="85" spans="2:13" ht="14.25">
      <c r="B85" s="1262"/>
      <c r="C85" s="1263"/>
    </row>
    <row r="86" spans="2:13" ht="14.25"/>
    <row r="87" spans="2:13" ht="14.25">
      <c r="B87" s="1259" t="s">
        <v>1021</v>
      </c>
      <c r="C87" s="1260">
        <f t="shared" ref="C87:C97" ca="1" si="9">SUM(INDIRECT("dados_MercadoBase["&amp;B87&amp;"]"))</f>
        <v>0</v>
      </c>
    </row>
    <row r="88" spans="2:13" ht="14.25">
      <c r="B88" s="118" t="s">
        <v>1022</v>
      </c>
      <c r="C88" s="104">
        <f t="shared" ca="1" si="9"/>
        <v>0</v>
      </c>
    </row>
    <row r="89" spans="2:13" ht="14.25">
      <c r="B89" s="118" t="s">
        <v>1023</v>
      </c>
      <c r="C89" s="104">
        <f t="shared" ca="1" si="9"/>
        <v>762419.84274428466</v>
      </c>
    </row>
    <row r="90" spans="2:13" ht="14.25">
      <c r="B90" s="118" t="s">
        <v>1024</v>
      </c>
      <c r="C90" s="104">
        <f t="shared" ca="1" si="9"/>
        <v>0</v>
      </c>
    </row>
    <row r="91" spans="2:13" ht="14.25">
      <c r="B91" s="118" t="s">
        <v>1025</v>
      </c>
      <c r="C91" s="104">
        <f t="shared" ca="1" si="9"/>
        <v>2512371.1955021746</v>
      </c>
    </row>
    <row r="92" spans="2:13" ht="14.25">
      <c r="B92" s="118" t="s">
        <v>1026</v>
      </c>
      <c r="C92" s="104">
        <f t="shared" ca="1" si="9"/>
        <v>0</v>
      </c>
      <c r="G92" s="105"/>
    </row>
    <row r="93" spans="2:13" ht="14.25">
      <c r="B93" s="118" t="s">
        <v>1027</v>
      </c>
      <c r="C93" s="104">
        <f t="shared" ca="1" si="9"/>
        <v>0</v>
      </c>
      <c r="E93" s="106"/>
      <c r="G93" s="79"/>
    </row>
    <row r="94" spans="2:13" ht="14.25">
      <c r="B94" s="118" t="s">
        <v>1028</v>
      </c>
      <c r="C94" s="104">
        <f t="shared" ca="1" si="9"/>
        <v>0</v>
      </c>
      <c r="E94" s="106"/>
      <c r="G94" s="106"/>
    </row>
    <row r="95" spans="2:13" ht="14.25">
      <c r="B95" s="118" t="s">
        <v>1029</v>
      </c>
      <c r="C95" s="104">
        <f t="shared" ca="1" si="9"/>
        <v>358285.69640434074</v>
      </c>
      <c r="E95" s="106"/>
      <c r="G95" s="106"/>
    </row>
    <row r="96" spans="2:13" ht="14.25">
      <c r="B96" s="118" t="s">
        <v>1030</v>
      </c>
      <c r="C96" s="104">
        <f ca="1">SUM(INDIRECT("dados_MercadoBase["&amp;B96&amp;"]"))</f>
        <v>4221469.1148308115</v>
      </c>
      <c r="E96" s="106"/>
      <c r="G96" s="106"/>
    </row>
    <row r="97" spans="1:7" ht="14.25">
      <c r="B97" s="1262" t="s">
        <v>1031</v>
      </c>
      <c r="C97" s="1263">
        <f t="shared" ca="1" si="9"/>
        <v>39794732.768521398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1032</v>
      </c>
      <c r="C100" s="231"/>
      <c r="D100" s="232"/>
      <c r="E100" s="106"/>
      <c r="G100" s="252"/>
    </row>
    <row r="101" spans="1:7" ht="12.75" customHeight="1">
      <c r="A101" s="232"/>
      <c r="B101" s="1251" t="s">
        <v>1033</v>
      </c>
      <c r="C101" s="1252" t="s">
        <v>952</v>
      </c>
      <c r="D101" s="232"/>
    </row>
    <row r="102" spans="1:7" ht="12.75" customHeight="1">
      <c r="A102" s="232"/>
      <c r="B102" s="1253" t="s">
        <v>1034</v>
      </c>
      <c r="C102" s="1264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1035</v>
      </c>
      <c r="E109" s="111"/>
    </row>
    <row r="111" spans="1:7" ht="12.75" customHeight="1">
      <c r="B111" s="1223" t="s">
        <v>854</v>
      </c>
      <c r="C111" s="1223" t="s">
        <v>120</v>
      </c>
      <c r="D111" s="1223" t="s">
        <v>962</v>
      </c>
    </row>
    <row r="112" spans="1:7" ht="12.75" customHeight="1">
      <c r="B112" s="1225" t="s">
        <v>987</v>
      </c>
      <c r="C112" s="1226"/>
      <c r="D112" s="1227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8298.1389999999992</v>
      </c>
      <c r="D117" s="114">
        <f t="shared" ca="1" si="11"/>
        <v>3474108.7150500002</v>
      </c>
    </row>
    <row r="118" spans="2:4" ht="12.75" customHeight="1">
      <c r="B118" s="113" t="s">
        <v>975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48" t="s">
        <v>845</v>
      </c>
      <c r="C120" s="1249">
        <f ca="1">SUM(C114:C119)</f>
        <v>8298.1389999999992</v>
      </c>
      <c r="D120" s="1250">
        <f ca="1">SUM(D114:D119)</f>
        <v>3474108.7150500002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696" activePane="bottomLeft" state="frozen"/>
      <selection pane="bottomLeft" activeCell="BG667" sqref="BG667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7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2"/>
      <c r="S1" s="502"/>
      <c r="T1" s="502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1036</v>
      </c>
      <c r="B2" s="264" t="s">
        <v>1033</v>
      </c>
      <c r="C2" s="265" t="s">
        <v>58</v>
      </c>
      <c r="D2" s="264" t="s">
        <v>953</v>
      </c>
      <c r="E2" s="265" t="s">
        <v>587</v>
      </c>
      <c r="F2" s="265" t="s">
        <v>982</v>
      </c>
      <c r="G2" s="265" t="s">
        <v>1037</v>
      </c>
      <c r="H2" s="265" t="s">
        <v>1038</v>
      </c>
      <c r="I2" s="265" t="s">
        <v>1039</v>
      </c>
      <c r="J2" s="265" t="s">
        <v>1040</v>
      </c>
      <c r="K2" s="497" t="s">
        <v>952</v>
      </c>
      <c r="L2" s="291" t="s">
        <v>1041</v>
      </c>
      <c r="M2" s="291" t="s">
        <v>1042</v>
      </c>
      <c r="N2" s="291" t="s">
        <v>1043</v>
      </c>
      <c r="O2" s="291" t="s">
        <v>1044</v>
      </c>
      <c r="P2" s="291" t="s">
        <v>1045</v>
      </c>
      <c r="Q2" s="291" t="s">
        <v>1046</v>
      </c>
      <c r="R2" s="265" t="s">
        <v>1047</v>
      </c>
      <c r="S2" s="265" t="s">
        <v>1048</v>
      </c>
      <c r="T2" s="265" t="s">
        <v>1049</v>
      </c>
      <c r="U2" s="265" t="s">
        <v>1050</v>
      </c>
      <c r="V2" s="265" t="s">
        <v>1051</v>
      </c>
      <c r="W2" s="265" t="s">
        <v>845</v>
      </c>
      <c r="X2" s="265" t="s">
        <v>1052</v>
      </c>
      <c r="Y2" s="265" t="s">
        <v>39</v>
      </c>
      <c r="Z2" s="265" t="s">
        <v>41</v>
      </c>
      <c r="AA2" s="265" t="s">
        <v>126</v>
      </c>
      <c r="AB2" s="265" t="s">
        <v>1028</v>
      </c>
      <c r="AC2" s="265" t="s">
        <v>1029</v>
      </c>
      <c r="AD2" s="265" t="s">
        <v>1030</v>
      </c>
      <c r="AE2" s="265" t="s">
        <v>1031</v>
      </c>
      <c r="AF2" s="265" t="s">
        <v>1015</v>
      </c>
      <c r="AG2" s="265" t="s">
        <v>969</v>
      </c>
      <c r="AH2" s="265" t="s">
        <v>1053</v>
      </c>
      <c r="AI2" s="265" t="s">
        <v>49</v>
      </c>
      <c r="AJ2" s="265" t="s">
        <v>1027</v>
      </c>
      <c r="AK2" s="265" t="s">
        <v>966</v>
      </c>
      <c r="AL2" s="265" t="s">
        <v>47</v>
      </c>
      <c r="AM2" s="265" t="s">
        <v>38</v>
      </c>
      <c r="AN2" s="265" t="s">
        <v>40</v>
      </c>
      <c r="AO2" s="265" t="s">
        <v>1023</v>
      </c>
      <c r="AP2" s="265" t="s">
        <v>1025</v>
      </c>
      <c r="AQ2" s="265" t="s">
        <v>1024</v>
      </c>
      <c r="AR2" s="265" t="s">
        <v>1021</v>
      </c>
      <c r="AS2" s="265" t="s">
        <v>1022</v>
      </c>
      <c r="AT2" s="265" t="s">
        <v>1026</v>
      </c>
      <c r="AU2" s="265" t="s">
        <v>1054</v>
      </c>
      <c r="AV2" s="265" t="s">
        <v>1055</v>
      </c>
      <c r="AW2" s="265" t="s">
        <v>1056</v>
      </c>
      <c r="AX2" s="265" t="s">
        <v>1057</v>
      </c>
      <c r="AY2" s="265" t="s">
        <v>1058</v>
      </c>
      <c r="AZ2" s="265" t="s">
        <v>1059</v>
      </c>
      <c r="BA2" s="265" t="s">
        <v>1060</v>
      </c>
      <c r="BB2" s="265" t="s">
        <v>1061</v>
      </c>
      <c r="BC2" s="265" t="s">
        <v>1062</v>
      </c>
      <c r="BD2" s="265" t="s">
        <v>1063</v>
      </c>
      <c r="BE2" s="265" t="s">
        <v>1064</v>
      </c>
      <c r="BF2" s="265" t="s">
        <v>1065</v>
      </c>
      <c r="BG2" s="265" t="s">
        <v>1066</v>
      </c>
      <c r="BH2" s="265" t="s">
        <v>1067</v>
      </c>
      <c r="BI2" s="265" t="s">
        <v>1068</v>
      </c>
      <c r="BJ2" s="265" t="s">
        <v>1069</v>
      </c>
      <c r="BK2" s="265" t="s">
        <v>232</v>
      </c>
      <c r="BL2" s="265" t="s">
        <v>1070</v>
      </c>
      <c r="BM2" s="265" t="s">
        <v>1071</v>
      </c>
      <c r="BN2" s="265" t="s">
        <v>1004</v>
      </c>
      <c r="BO2" s="265" t="s">
        <v>1005</v>
      </c>
      <c r="BP2" s="265" t="s">
        <v>1006</v>
      </c>
      <c r="BQ2" s="265" t="s">
        <v>1007</v>
      </c>
      <c r="BR2" s="291" t="s">
        <v>1008</v>
      </c>
      <c r="BS2" s="291" t="s">
        <v>1009</v>
      </c>
      <c r="BT2" s="291" t="s">
        <v>1010</v>
      </c>
      <c r="BU2" s="291" t="s">
        <v>1072</v>
      </c>
      <c r="BV2" s="291" t="s">
        <v>1073</v>
      </c>
      <c r="BW2" s="266" t="s">
        <v>1074</v>
      </c>
      <c r="BX2" s="266" t="s">
        <v>1075</v>
      </c>
      <c r="BY2" s="266" t="s">
        <v>1076</v>
      </c>
      <c r="BZ2" s="266" t="s">
        <v>1077</v>
      </c>
      <c r="CA2" s="266" t="s">
        <v>1078</v>
      </c>
      <c r="CB2" s="266" t="s">
        <v>1079</v>
      </c>
      <c r="CC2" s="266" t="s">
        <v>1080</v>
      </c>
      <c r="CD2" s="266" t="s">
        <v>1081</v>
      </c>
      <c r="CE2" s="266" t="s">
        <v>1082</v>
      </c>
      <c r="CF2" s="266" t="s">
        <v>1083</v>
      </c>
      <c r="CG2" s="266" t="s">
        <v>1084</v>
      </c>
      <c r="CH2" s="266" t="s">
        <v>1085</v>
      </c>
      <c r="CI2" s="266" t="s">
        <v>1086</v>
      </c>
      <c r="CJ2" s="291" t="s">
        <v>1087</v>
      </c>
      <c r="CK2" s="266" t="s">
        <v>1088</v>
      </c>
      <c r="CL2" s="266" t="s">
        <v>1089</v>
      </c>
      <c r="CM2" s="266" t="s">
        <v>1090</v>
      </c>
      <c r="CN2" s="266" t="s">
        <v>1091</v>
      </c>
      <c r="CO2" s="291" t="s">
        <v>1092</v>
      </c>
      <c r="CP2" s="291" t="s">
        <v>1093</v>
      </c>
      <c r="CQ2" s="291" t="s">
        <v>1094</v>
      </c>
      <c r="CR2" s="291" t="s">
        <v>1095</v>
      </c>
      <c r="CS2" s="291" t="s">
        <v>1096</v>
      </c>
      <c r="CT2" s="291" t="s">
        <v>1097</v>
      </c>
      <c r="CU2" s="291" t="s">
        <v>1098</v>
      </c>
      <c r="CV2" s="291" t="s">
        <v>1099</v>
      </c>
      <c r="CW2" s="291" t="s">
        <v>1100</v>
      </c>
      <c r="CX2" s="291" t="s">
        <v>1101</v>
      </c>
      <c r="CY2" s="291" t="s">
        <v>1102</v>
      </c>
      <c r="CZ2" s="291" t="s">
        <v>1103</v>
      </c>
      <c r="DA2" s="291" t="s">
        <v>1104</v>
      </c>
      <c r="DB2" s="291" t="s">
        <v>1105</v>
      </c>
      <c r="DC2" s="291" t="s">
        <v>1106</v>
      </c>
      <c r="DD2" s="291" t="s">
        <v>1107</v>
      </c>
      <c r="DE2" s="291" t="s">
        <v>1108</v>
      </c>
      <c r="DF2" s="291" t="s">
        <v>1109</v>
      </c>
      <c r="DG2" s="291" t="s">
        <v>1110</v>
      </c>
      <c r="DH2" s="291" t="s">
        <v>1111</v>
      </c>
      <c r="DI2" s="291" t="s">
        <v>1112</v>
      </c>
      <c r="DJ2" s="291" t="s">
        <v>1113</v>
      </c>
      <c r="DK2" s="291" t="s">
        <v>1114</v>
      </c>
      <c r="DL2" s="291" t="s">
        <v>1115</v>
      </c>
      <c r="DM2" s="291" t="s">
        <v>1116</v>
      </c>
      <c r="DN2" s="291" t="s">
        <v>1117</v>
      </c>
      <c r="DO2" s="291" t="s">
        <v>1118</v>
      </c>
      <c r="DP2" s="291" t="s">
        <v>1119</v>
      </c>
      <c r="DQ2" s="291" t="s">
        <v>1120</v>
      </c>
      <c r="DR2" s="291" t="s">
        <v>2256</v>
      </c>
      <c r="DS2" s="291" t="s">
        <v>1121</v>
      </c>
      <c r="DT2" s="266" t="s">
        <v>1122</v>
      </c>
      <c r="DU2" s="266" t="s">
        <v>1123</v>
      </c>
      <c r="DV2" s="266" t="s">
        <v>1124</v>
      </c>
      <c r="DW2" s="266" t="s">
        <v>1125</v>
      </c>
      <c r="DX2" s="266" t="s">
        <v>1126</v>
      </c>
      <c r="DY2" s="291" t="s">
        <v>1127</v>
      </c>
      <c r="DZ2" s="266" t="s">
        <v>1128</v>
      </c>
      <c r="EA2" s="266" t="s">
        <v>1129</v>
      </c>
      <c r="EB2" s="266" t="s">
        <v>1130</v>
      </c>
      <c r="EC2" s="291" t="s">
        <v>1131</v>
      </c>
      <c r="ED2" s="266" t="s">
        <v>1132</v>
      </c>
      <c r="EE2" s="266" t="s">
        <v>1133</v>
      </c>
      <c r="EF2" s="266" t="s">
        <v>1134</v>
      </c>
      <c r="EG2" s="266" t="s">
        <v>1135</v>
      </c>
      <c r="EH2" s="266" t="s">
        <v>1136</v>
      </c>
      <c r="EI2" s="266" t="s">
        <v>1137</v>
      </c>
      <c r="EJ2" s="266" t="s">
        <v>1138</v>
      </c>
      <c r="EK2" s="266" t="s">
        <v>1139</v>
      </c>
      <c r="EL2" s="266" t="s">
        <v>1140</v>
      </c>
      <c r="EM2" s="266" t="s">
        <v>1141</v>
      </c>
      <c r="EN2" s="266" t="s">
        <v>1142</v>
      </c>
      <c r="EO2" s="266" t="s">
        <v>1143</v>
      </c>
      <c r="EP2" s="291" t="s">
        <v>2167</v>
      </c>
      <c r="EQ2" s="266" t="s">
        <v>2168</v>
      </c>
      <c r="ER2" s="266" t="s">
        <v>2169</v>
      </c>
      <c r="ES2" s="266" t="s">
        <v>2170</v>
      </c>
      <c r="ET2" s="266" t="s">
        <v>2171</v>
      </c>
      <c r="EU2" s="266" t="s">
        <v>2172</v>
      </c>
      <c r="EV2" s="266" t="s">
        <v>1144</v>
      </c>
      <c r="EW2" s="266" t="s">
        <v>1145</v>
      </c>
      <c r="EX2" s="266" t="s">
        <v>1146</v>
      </c>
      <c r="EY2" s="266" t="s">
        <v>1147</v>
      </c>
      <c r="EZ2" s="266" t="s">
        <v>1148</v>
      </c>
      <c r="FA2" s="266" t="s">
        <v>1149</v>
      </c>
      <c r="FB2" s="266" t="s">
        <v>1150</v>
      </c>
      <c r="FC2" s="266" t="s">
        <v>1151</v>
      </c>
      <c r="FD2" s="266" t="s">
        <v>1152</v>
      </c>
      <c r="FE2" s="266" t="s">
        <v>1153</v>
      </c>
      <c r="FF2" s="266" t="s">
        <v>1154</v>
      </c>
      <c r="FG2" s="266" t="s">
        <v>1155</v>
      </c>
      <c r="FH2" s="266" t="s">
        <v>1156</v>
      </c>
      <c r="FI2" s="266" t="s">
        <v>1157</v>
      </c>
    </row>
    <row r="3" spans="1:165" customFormat="1">
      <c r="A3" s="408">
        <v>1</v>
      </c>
      <c r="B3" s="408" t="s">
        <v>1034</v>
      </c>
      <c r="C3" s="408" t="s">
        <v>2233</v>
      </c>
      <c r="D3" s="408" t="s">
        <v>1953</v>
      </c>
      <c r="E3" s="408" t="s">
        <v>967</v>
      </c>
      <c r="F3" s="408" t="s">
        <v>967</v>
      </c>
      <c r="G3" s="408" t="s">
        <v>1320</v>
      </c>
      <c r="H3" s="408" t="s">
        <v>1320</v>
      </c>
      <c r="I3" s="408" t="s">
        <v>1320</v>
      </c>
      <c r="J3" s="408" t="s">
        <v>2234</v>
      </c>
      <c r="K3" s="827">
        <v>44378</v>
      </c>
      <c r="L3" s="408">
        <v>0</v>
      </c>
      <c r="M3" s="408">
        <v>0</v>
      </c>
      <c r="N3" s="408">
        <v>1852.9190000000001</v>
      </c>
      <c r="O3" s="408">
        <v>1852.9190000000001</v>
      </c>
      <c r="P3" s="408">
        <v>1852.9190000000001</v>
      </c>
      <c r="Q3" s="408">
        <v>1852.9190000000001</v>
      </c>
      <c r="R3" s="408"/>
      <c r="S3" s="408">
        <v>516.83000000000004</v>
      </c>
      <c r="T3" s="408">
        <v>173.82</v>
      </c>
      <c r="U3" s="408"/>
      <c r="V3" s="408">
        <v>1279718.5073500001</v>
      </c>
      <c r="W3" s="408">
        <v>1279718.5073500001</v>
      </c>
      <c r="X3" s="408">
        <v>966204.61254999996</v>
      </c>
      <c r="Y3" s="408">
        <v>0</v>
      </c>
      <c r="Z3" s="408">
        <v>113304.98841370152</v>
      </c>
      <c r="AA3" s="408">
        <v>0</v>
      </c>
      <c r="AB3" s="408">
        <v>0</v>
      </c>
      <c r="AC3" s="408">
        <v>5037.056674023338</v>
      </c>
      <c r="AD3" s="408">
        <v>63789.722594855011</v>
      </c>
      <c r="AE3" s="408">
        <v>673750.61556448473</v>
      </c>
      <c r="AF3" s="408">
        <v>298175.68246530759</v>
      </c>
      <c r="AG3" s="408">
        <v>15000.982806402893</v>
      </c>
      <c r="AH3" s="408">
        <v>0</v>
      </c>
      <c r="AI3" s="408">
        <v>0</v>
      </c>
      <c r="AJ3" s="408">
        <v>0</v>
      </c>
      <c r="AK3" s="408">
        <v>0</v>
      </c>
      <c r="AL3" s="408">
        <v>17512.857735339185</v>
      </c>
      <c r="AM3" s="408"/>
      <c r="AN3" s="408">
        <v>2874.8816044965129</v>
      </c>
      <c r="AO3" s="408">
        <v>10744.157823931861</v>
      </c>
      <c r="AP3" s="408">
        <v>35185.664138447311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1028.0228395755714</v>
      </c>
      <c r="BF3" s="408">
        <v>8904.5512285603254</v>
      </c>
      <c r="BG3" s="408">
        <v>34424.128056808288</v>
      </c>
      <c r="BH3" s="408">
        <v>0</v>
      </c>
      <c r="BI3" s="408">
        <v>0</v>
      </c>
      <c r="BJ3" s="408">
        <v>0</v>
      </c>
      <c r="BK3" s="408">
        <v>502084.42</v>
      </c>
      <c r="BL3" s="408">
        <v>12943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342532.38459025184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966205.13400000008</v>
      </c>
      <c r="CJ3" s="408">
        <v>-313513.40335000004</v>
      </c>
      <c r="CK3" s="408"/>
      <c r="CL3" s="408"/>
      <c r="CM3" s="408"/>
      <c r="CN3" s="408"/>
      <c r="CO3" s="408">
        <v>-352777.24841000012</v>
      </c>
      <c r="CP3" s="408">
        <v>39263.353609999998</v>
      </c>
      <c r="CQ3" s="408">
        <v>31</v>
      </c>
      <c r="CR3" s="408">
        <v>43183.906036756933</v>
      </c>
      <c r="CS3" s="408">
        <v>1043.1898461455567</v>
      </c>
      <c r="CT3" s="408">
        <v>3416.3056947427904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-1223.1174064416409</v>
      </c>
      <c r="DA3" s="408">
        <v>0</v>
      </c>
      <c r="DB3" s="408">
        <v>0</v>
      </c>
      <c r="DC3" s="408">
        <v>38274.144297667022</v>
      </c>
      <c r="DD3" s="408">
        <v>1142.9975637517855</v>
      </c>
      <c r="DE3" s="408">
        <v>131.95809322173318</v>
      </c>
      <c r="DF3" s="408">
        <v>0</v>
      </c>
      <c r="DG3" s="408">
        <v>4418.7172933557085</v>
      </c>
      <c r="DH3" s="408">
        <v>0</v>
      </c>
      <c r="DI3" s="408">
        <v>-3311.3955644107773</v>
      </c>
      <c r="DJ3" s="408"/>
      <c r="DK3" s="408">
        <v>0</v>
      </c>
      <c r="DL3" s="408">
        <v>0</v>
      </c>
      <c r="DM3" s="408">
        <v>-166.73041826376357</v>
      </c>
      <c r="DN3" s="408">
        <v>0</v>
      </c>
      <c r="DO3" s="408">
        <v>-453.5769663126448</v>
      </c>
      <c r="DP3" s="408">
        <v>-88.586396698839053</v>
      </c>
      <c r="DQ3" s="408">
        <v>0</v>
      </c>
      <c r="DR3" s="408">
        <v>0</v>
      </c>
      <c r="DS3" s="408"/>
      <c r="DT3" s="408"/>
      <c r="DU3" s="408"/>
      <c r="DV3" s="408">
        <v>673750.61556448473</v>
      </c>
      <c r="DW3" s="408">
        <v>0</v>
      </c>
      <c r="DX3" s="408">
        <v>0</v>
      </c>
      <c r="DY3" s="408">
        <v>-352777.24841000012</v>
      </c>
      <c r="DZ3" s="408">
        <v>39263.353609999991</v>
      </c>
      <c r="EA3" s="408">
        <v>0</v>
      </c>
      <c r="EB3" s="408">
        <v>0</v>
      </c>
      <c r="EC3" s="408">
        <v>-356715.23173323338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239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2235</v>
      </c>
      <c r="C4" s="408" t="s">
        <v>2233</v>
      </c>
      <c r="D4" s="408" t="s">
        <v>1953</v>
      </c>
      <c r="E4" s="408" t="s">
        <v>967</v>
      </c>
      <c r="F4" s="408" t="s">
        <v>967</v>
      </c>
      <c r="G4" s="408" t="s">
        <v>1320</v>
      </c>
      <c r="H4" s="408" t="s">
        <v>1320</v>
      </c>
      <c r="I4" s="408" t="s">
        <v>1320</v>
      </c>
      <c r="J4" s="408" t="s">
        <v>2234</v>
      </c>
      <c r="K4" s="827">
        <v>44378</v>
      </c>
      <c r="L4" s="408">
        <v>0</v>
      </c>
      <c r="M4" s="408">
        <v>0</v>
      </c>
      <c r="N4" s="408">
        <v>-2.5550000000000002</v>
      </c>
      <c r="O4" s="408">
        <v>-2.5550000000000002</v>
      </c>
      <c r="P4" s="408">
        <v>-2.5550000000000002</v>
      </c>
      <c r="Q4" s="408">
        <v>-2.5550000000000002</v>
      </c>
      <c r="R4" s="408"/>
      <c r="S4" s="408">
        <v>516.83000000000004</v>
      </c>
      <c r="T4" s="408">
        <v>173.82</v>
      </c>
      <c r="U4" s="408"/>
      <c r="V4" s="408">
        <v>-1764.6107500000003</v>
      </c>
      <c r="W4" s="408">
        <v>-1764.6107500000003</v>
      </c>
      <c r="X4" s="408">
        <v>-1332.30475</v>
      </c>
      <c r="Y4" s="408">
        <v>0</v>
      </c>
      <c r="Z4" s="408">
        <v>-156.23685946175056</v>
      </c>
      <c r="AA4" s="408">
        <v>0</v>
      </c>
      <c r="AB4" s="408">
        <v>0</v>
      </c>
      <c r="AC4" s="408">
        <v>-6.9456246075136736</v>
      </c>
      <c r="AD4" s="408">
        <v>-87.959992438878629</v>
      </c>
      <c r="AE4" s="408">
        <v>-929.03835665091606</v>
      </c>
      <c r="AF4" s="408">
        <v>-411.15605630837666</v>
      </c>
      <c r="AG4" s="408">
        <v>-20.684936076730494</v>
      </c>
      <c r="AH4" s="408">
        <v>0</v>
      </c>
      <c r="AI4" s="408">
        <v>0</v>
      </c>
      <c r="AJ4" s="408">
        <v>0</v>
      </c>
      <c r="AK4" s="408">
        <v>0</v>
      </c>
      <c r="AL4" s="408">
        <v>-24.14857396021716</v>
      </c>
      <c r="AM4" s="408"/>
      <c r="AN4" s="408">
        <v>-3.9641897457409581</v>
      </c>
      <c r="AO4" s="408">
        <v>-14.81517715569105</v>
      </c>
      <c r="AP4" s="408">
        <v>-48.517702000860744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-1.4175462365681311</v>
      </c>
      <c r="BF4" s="408">
        <v>-12.278533702213442</v>
      </c>
      <c r="BG4" s="408">
        <v>-47.467615791702265</v>
      </c>
      <c r="BH4" s="408">
        <v>0</v>
      </c>
      <c r="BI4" s="408">
        <v>0</v>
      </c>
      <c r="BJ4" s="408">
        <v>0</v>
      </c>
      <c r="BK4" s="408">
        <v>-708.91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-472.31975203886049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-1334.912</v>
      </c>
      <c r="CJ4" s="408">
        <v>429.66875000000027</v>
      </c>
      <c r="CK4" s="408"/>
      <c r="CL4" s="408"/>
      <c r="CM4" s="408"/>
      <c r="CN4" s="408"/>
      <c r="CO4" s="408">
        <v>486.44645000000014</v>
      </c>
      <c r="CP4" s="408">
        <v>-54.140449999999994</v>
      </c>
      <c r="CQ4" s="408">
        <v>31</v>
      </c>
      <c r="CR4" s="408">
        <v>-59.546520880790695</v>
      </c>
      <c r="CS4" s="408">
        <v>-1.4384601037076621</v>
      </c>
      <c r="CT4" s="408">
        <v>-4.7107623431287706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1.6865631867655253</v>
      </c>
      <c r="DA4" s="408">
        <v>0</v>
      </c>
      <c r="DB4" s="408">
        <v>0</v>
      </c>
      <c r="DC4" s="408">
        <v>-52.776423945428348</v>
      </c>
      <c r="DD4" s="408">
        <v>-1.5760855036759924</v>
      </c>
      <c r="DE4" s="408">
        <v>-0.18195772625869155</v>
      </c>
      <c r="DF4" s="408">
        <v>0</v>
      </c>
      <c r="DG4" s="408">
        <v>-6.0929931014382461</v>
      </c>
      <c r="DH4" s="408">
        <v>0</v>
      </c>
      <c r="DI4" s="408">
        <v>4.5661011987407676</v>
      </c>
      <c r="DJ4" s="408"/>
      <c r="DK4" s="408">
        <v>0</v>
      </c>
      <c r="DL4" s="408">
        <v>0</v>
      </c>
      <c r="DM4" s="408">
        <v>0.22990547275078654</v>
      </c>
      <c r="DN4" s="408">
        <v>0</v>
      </c>
      <c r="DO4" s="408">
        <v>0.62543972452590424</v>
      </c>
      <c r="DP4" s="408">
        <v>0.12215226006400393</v>
      </c>
      <c r="DQ4" s="408">
        <v>0</v>
      </c>
      <c r="DR4" s="408">
        <v>0</v>
      </c>
      <c r="DS4" s="408"/>
      <c r="DT4" s="408"/>
      <c r="DU4" s="408"/>
      <c r="DV4" s="408">
        <v>-929.03835665091606</v>
      </c>
      <c r="DW4" s="408">
        <v>0</v>
      </c>
      <c r="DX4" s="408">
        <v>0</v>
      </c>
      <c r="DY4" s="408">
        <v>486.44645000000014</v>
      </c>
      <c r="DZ4" s="408">
        <v>-54.140450000000044</v>
      </c>
      <c r="EA4" s="408">
        <v>0</v>
      </c>
      <c r="EB4" s="408">
        <v>0</v>
      </c>
      <c r="EC4" s="408">
        <v>491.87655643792925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239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2236</v>
      </c>
      <c r="C5" s="408" t="s">
        <v>2233</v>
      </c>
      <c r="D5" s="408" t="s">
        <v>1953</v>
      </c>
      <c r="E5" s="408" t="s">
        <v>967</v>
      </c>
      <c r="F5" s="408" t="s">
        <v>967</v>
      </c>
      <c r="G5" s="408" t="s">
        <v>1320</v>
      </c>
      <c r="H5" s="408" t="s">
        <v>1320</v>
      </c>
      <c r="I5" s="408" t="s">
        <v>1320</v>
      </c>
      <c r="J5" s="408" t="s">
        <v>2234</v>
      </c>
      <c r="K5" s="827">
        <v>44378</v>
      </c>
      <c r="L5" s="408">
        <v>0</v>
      </c>
      <c r="M5" s="408">
        <v>0</v>
      </c>
      <c r="N5" s="408">
        <v>28.902999999999999</v>
      </c>
      <c r="O5" s="408">
        <v>28.902999999999999</v>
      </c>
      <c r="P5" s="408">
        <v>28.902999999999999</v>
      </c>
      <c r="Q5" s="408">
        <v>28.902999999999999</v>
      </c>
      <c r="R5" s="408"/>
      <c r="S5" s="408">
        <v>516.83000000000004</v>
      </c>
      <c r="T5" s="408">
        <v>173.82</v>
      </c>
      <c r="U5" s="408"/>
      <c r="V5" s="408">
        <v>19961.856950000001</v>
      </c>
      <c r="W5" s="408">
        <v>19961.856950000001</v>
      </c>
      <c r="X5" s="408">
        <v>15071.469349999999</v>
      </c>
      <c r="Y5" s="408">
        <v>0</v>
      </c>
      <c r="Z5" s="408">
        <v>1767.4027197741589</v>
      </c>
      <c r="AA5" s="408">
        <v>0</v>
      </c>
      <c r="AB5" s="408">
        <v>0</v>
      </c>
      <c r="AC5" s="408">
        <v>78.571189053216315</v>
      </c>
      <c r="AD5" s="408">
        <v>995.03235282227342</v>
      </c>
      <c r="AE5" s="408">
        <v>10509.587327703101</v>
      </c>
      <c r="AF5" s="408">
        <v>4651.1324835542109</v>
      </c>
      <c r="AG5" s="408">
        <v>233.99479742690465</v>
      </c>
      <c r="AH5" s="408">
        <v>0</v>
      </c>
      <c r="AI5" s="408">
        <v>0</v>
      </c>
      <c r="AJ5" s="408">
        <v>0</v>
      </c>
      <c r="AK5" s="408">
        <v>0</v>
      </c>
      <c r="AL5" s="408">
        <v>273.17660789516884</v>
      </c>
      <c r="AM5" s="408"/>
      <c r="AN5" s="408">
        <v>44.844217699080588</v>
      </c>
      <c r="AO5" s="408">
        <v>167.59415472835161</v>
      </c>
      <c r="AP5" s="408">
        <v>548.84819605905204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16.035749070657019</v>
      </c>
      <c r="BF5" s="408">
        <v>138.89881001764192</v>
      </c>
      <c r="BG5" s="408">
        <v>536.96927562722919</v>
      </c>
      <c r="BH5" s="408">
        <v>0</v>
      </c>
      <c r="BI5" s="408">
        <v>0</v>
      </c>
      <c r="BJ5" s="408">
        <v>0</v>
      </c>
      <c r="BK5" s="408">
        <v>16481.48</v>
      </c>
      <c r="BL5" s="408">
        <v>224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5343.0363182697392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15069.904999999999</v>
      </c>
      <c r="CJ5" s="408">
        <v>-4891.9819499999976</v>
      </c>
      <c r="CK5" s="408"/>
      <c r="CL5" s="408"/>
      <c r="CM5" s="408"/>
      <c r="CN5" s="408"/>
      <c r="CO5" s="408">
        <v>-5502.8421700000008</v>
      </c>
      <c r="CP5" s="408">
        <v>612.45456999999988</v>
      </c>
      <c r="CQ5" s="408">
        <v>31</v>
      </c>
      <c r="CR5" s="408">
        <v>673.60982114187573</v>
      </c>
      <c r="CS5" s="408">
        <v>16.272333611531337</v>
      </c>
      <c r="CT5" s="408">
        <v>53.289692369256727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-19.078957255218711</v>
      </c>
      <c r="DA5" s="408">
        <v>0</v>
      </c>
      <c r="DB5" s="408">
        <v>0</v>
      </c>
      <c r="DC5" s="408">
        <v>597.02425882376338</v>
      </c>
      <c r="DD5" s="408">
        <v>17.829197382679922</v>
      </c>
      <c r="DE5" s="408">
        <v>2.0583656211565433</v>
      </c>
      <c r="DF5" s="408">
        <v>0</v>
      </c>
      <c r="DG5" s="408">
        <v>68.925941139283509</v>
      </c>
      <c r="DH5" s="408">
        <v>0</v>
      </c>
      <c r="DI5" s="408">
        <v>-51.653237944111197</v>
      </c>
      <c r="DJ5" s="408"/>
      <c r="DK5" s="408">
        <v>0</v>
      </c>
      <c r="DL5" s="408">
        <v>0</v>
      </c>
      <c r="DM5" s="408">
        <v>-2.600766293117772</v>
      </c>
      <c r="DN5" s="408">
        <v>0</v>
      </c>
      <c r="DO5" s="408">
        <v>-7.0751797878560296</v>
      </c>
      <c r="DP5" s="408">
        <v>-1.3818265254911566</v>
      </c>
      <c r="DQ5" s="408">
        <v>0</v>
      </c>
      <c r="DR5" s="408">
        <v>0</v>
      </c>
      <c r="DS5" s="408"/>
      <c r="DT5" s="408"/>
      <c r="DU5" s="408"/>
      <c r="DV5" s="408">
        <v>10509.587327703101</v>
      </c>
      <c r="DW5" s="408">
        <v>0</v>
      </c>
      <c r="DX5" s="408">
        <v>0</v>
      </c>
      <c r="DY5" s="408">
        <v>-5502.8421699999999</v>
      </c>
      <c r="DZ5" s="408">
        <v>612.45456999999988</v>
      </c>
      <c r="EA5" s="408">
        <v>0</v>
      </c>
      <c r="EB5" s="408">
        <v>0</v>
      </c>
      <c r="EC5" s="408">
        <v>-5564.2693192663273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239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1034</v>
      </c>
      <c r="C6" s="408" t="s">
        <v>2233</v>
      </c>
      <c r="D6" s="408" t="s">
        <v>1953</v>
      </c>
      <c r="E6" s="408" t="s">
        <v>967</v>
      </c>
      <c r="F6" s="408" t="s">
        <v>2237</v>
      </c>
      <c r="G6" s="408" t="s">
        <v>1320</v>
      </c>
      <c r="H6" s="408" t="s">
        <v>1320</v>
      </c>
      <c r="I6" s="408" t="s">
        <v>1320</v>
      </c>
      <c r="J6" s="408" t="s">
        <v>2234</v>
      </c>
      <c r="K6" s="827">
        <v>44378</v>
      </c>
      <c r="L6" s="408">
        <v>0</v>
      </c>
      <c r="M6" s="408">
        <v>0</v>
      </c>
      <c r="N6" s="408">
        <v>24.78</v>
      </c>
      <c r="O6" s="408">
        <v>24.78</v>
      </c>
      <c r="P6" s="408">
        <v>24.78</v>
      </c>
      <c r="Q6" s="408">
        <v>24.78</v>
      </c>
      <c r="R6" s="408"/>
      <c r="S6" s="408">
        <v>446.23</v>
      </c>
      <c r="T6" s="408">
        <v>173.82</v>
      </c>
      <c r="U6" s="408"/>
      <c r="V6" s="408">
        <v>15364.839</v>
      </c>
      <c r="W6" s="408">
        <v>15364.839</v>
      </c>
      <c r="X6" s="408">
        <v>11222.366399999999</v>
      </c>
      <c r="Y6" s="408">
        <v>0</v>
      </c>
      <c r="Z6" s="408">
        <v>0</v>
      </c>
      <c r="AA6" s="408">
        <v>0</v>
      </c>
      <c r="AB6" s="408">
        <v>0</v>
      </c>
      <c r="AC6" s="408">
        <v>67.363044138625767</v>
      </c>
      <c r="AD6" s="408">
        <v>853.09143351679541</v>
      </c>
      <c r="AE6" s="408">
        <v>9010.3994042308022</v>
      </c>
      <c r="AF6" s="408">
        <v>3987.6505187168582</v>
      </c>
      <c r="AG6" s="408">
        <v>200.61554441541355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38.447210136775318</v>
      </c>
      <c r="AO6" s="408">
        <v>143.6869236469762</v>
      </c>
      <c r="AP6" s="408">
        <v>470.55524680286857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13.748256650551189</v>
      </c>
      <c r="BF6" s="408">
        <v>119.08495700228927</v>
      </c>
      <c r="BG6" s="408">
        <v>460.37084904829049</v>
      </c>
      <c r="BH6" s="408">
        <v>0</v>
      </c>
      <c r="BI6" s="408">
        <v>0</v>
      </c>
      <c r="BJ6" s="408">
        <v>0</v>
      </c>
      <c r="BK6" s="408">
        <v>1781.52</v>
      </c>
      <c r="BL6" s="408">
        <v>43</v>
      </c>
      <c r="BM6" s="408"/>
      <c r="BN6" s="408"/>
      <c r="BO6" s="408"/>
      <c r="BP6" s="408"/>
      <c r="BQ6" s="408"/>
      <c r="BR6" s="408"/>
      <c r="BS6" s="408"/>
      <c r="BT6" s="408">
        <v>7294.4886000000006</v>
      </c>
      <c r="BU6" s="408"/>
      <c r="BV6" s="408">
        <v>4580.8545814179897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3927.8778000000002</v>
      </c>
      <c r="CJ6" s="408">
        <v>-1449.9078000000009</v>
      </c>
      <c r="CK6" s="408"/>
      <c r="CL6" s="408"/>
      <c r="CM6" s="408"/>
      <c r="CN6" s="408"/>
      <c r="CO6" s="408">
        <v>-4667.5608000000002</v>
      </c>
      <c r="CP6" s="408">
        <v>525.08819999999992</v>
      </c>
      <c r="CQ6" s="408">
        <v>31</v>
      </c>
      <c r="CR6" s="408">
        <v>627.87051722291289</v>
      </c>
      <c r="CS6" s="408">
        <v>13.951092512671579</v>
      </c>
      <c r="CT6" s="408">
        <v>45.687941629248996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-16.357352551095687</v>
      </c>
      <c r="DA6" s="408">
        <v>0</v>
      </c>
      <c r="DB6" s="408">
        <v>0</v>
      </c>
      <c r="DC6" s="408">
        <v>511.85901579949723</v>
      </c>
      <c r="DD6" s="408">
        <v>15.28587036441921</v>
      </c>
      <c r="DE6" s="408">
        <v>1.7647406875500486</v>
      </c>
      <c r="DF6" s="408">
        <v>0</v>
      </c>
      <c r="DG6" s="408">
        <v>59.093686518058519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-2.2297681466788504</v>
      </c>
      <c r="DN6" s="408">
        <v>0</v>
      </c>
      <c r="DO6" s="408">
        <v>0</v>
      </c>
      <c r="DP6" s="408">
        <v>-1.1847095907577341</v>
      </c>
      <c r="DQ6" s="408">
        <v>0</v>
      </c>
      <c r="DR6" s="408">
        <v>0</v>
      </c>
      <c r="DS6" s="408"/>
      <c r="DT6" s="408"/>
      <c r="DU6" s="408"/>
      <c r="DV6" s="408">
        <v>9010.3994042308022</v>
      </c>
      <c r="DW6" s="408">
        <v>0</v>
      </c>
      <c r="DX6" s="408">
        <v>0</v>
      </c>
      <c r="DY6" s="408">
        <v>-4667.5608000000002</v>
      </c>
      <c r="DZ6" s="408">
        <v>525.08819999999923</v>
      </c>
      <c r="EA6" s="408">
        <v>0</v>
      </c>
      <c r="EB6" s="408">
        <v>0</v>
      </c>
      <c r="EC6" s="408">
        <v>-4770.528793945944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239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2235</v>
      </c>
      <c r="C7" s="408" t="s">
        <v>2233</v>
      </c>
      <c r="D7" s="408" t="s">
        <v>1953</v>
      </c>
      <c r="E7" s="408" t="s">
        <v>967</v>
      </c>
      <c r="F7" s="408" t="s">
        <v>2237</v>
      </c>
      <c r="G7" s="408" t="s">
        <v>1320</v>
      </c>
      <c r="H7" s="408" t="s">
        <v>1320</v>
      </c>
      <c r="I7" s="408" t="s">
        <v>1320</v>
      </c>
      <c r="J7" s="408" t="s">
        <v>2234</v>
      </c>
      <c r="K7" s="827">
        <v>44378</v>
      </c>
      <c r="L7" s="408">
        <v>0</v>
      </c>
      <c r="M7" s="408">
        <v>0</v>
      </c>
      <c r="N7" s="408">
        <v>0.21</v>
      </c>
      <c r="O7" s="408">
        <v>0.21</v>
      </c>
      <c r="P7" s="408">
        <v>0.21</v>
      </c>
      <c r="Q7" s="408">
        <v>0.21</v>
      </c>
      <c r="R7" s="408"/>
      <c r="S7" s="408">
        <v>446.23</v>
      </c>
      <c r="T7" s="408">
        <v>173.82</v>
      </c>
      <c r="U7" s="408"/>
      <c r="V7" s="408">
        <v>130.2105</v>
      </c>
      <c r="W7" s="408">
        <v>130.2105</v>
      </c>
      <c r="X7" s="408">
        <v>95.104799999999983</v>
      </c>
      <c r="Y7" s="408">
        <v>0</v>
      </c>
      <c r="Z7" s="408">
        <v>0</v>
      </c>
      <c r="AA7" s="408">
        <v>0</v>
      </c>
      <c r="AB7" s="408">
        <v>0</v>
      </c>
      <c r="AC7" s="408">
        <v>0.57087325541208267</v>
      </c>
      <c r="AD7" s="408">
        <v>7.2295884196338589</v>
      </c>
      <c r="AE7" s="408">
        <v>76.359316985006785</v>
      </c>
      <c r="AF7" s="408">
        <v>33.793648463702183</v>
      </c>
      <c r="AG7" s="408">
        <v>1.700131732334013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0.32582381471843486</v>
      </c>
      <c r="AO7" s="408">
        <v>1.2176857936184424</v>
      </c>
      <c r="AP7" s="408">
        <v>3.987756328837869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0.11651064958094226</v>
      </c>
      <c r="BF7" s="408">
        <v>1.0091945508668583</v>
      </c>
      <c r="BG7" s="408">
        <v>3.9014478732905968</v>
      </c>
      <c r="BH7" s="408">
        <v>0</v>
      </c>
      <c r="BI7" s="408">
        <v>0</v>
      </c>
      <c r="BJ7" s="408">
        <v>0</v>
      </c>
      <c r="BK7" s="408">
        <v>14.67</v>
      </c>
      <c r="BL7" s="408">
        <v>0</v>
      </c>
      <c r="BM7" s="408"/>
      <c r="BN7" s="408"/>
      <c r="BO7" s="408"/>
      <c r="BP7" s="408"/>
      <c r="BQ7" s="408"/>
      <c r="BR7" s="408"/>
      <c r="BS7" s="408"/>
      <c r="BT7" s="408">
        <v>61.817700000000002</v>
      </c>
      <c r="BU7" s="408"/>
      <c r="BV7" s="408">
        <v>38.820801537440587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33.287099999999995</v>
      </c>
      <c r="CJ7" s="408">
        <v>-12.317100000000003</v>
      </c>
      <c r="CK7" s="408"/>
      <c r="CL7" s="408"/>
      <c r="CM7" s="408"/>
      <c r="CN7" s="408"/>
      <c r="CO7" s="408">
        <v>-39.555599999999998</v>
      </c>
      <c r="CP7" s="408">
        <v>4.4498999999999995</v>
      </c>
      <c r="CQ7" s="408">
        <v>31</v>
      </c>
      <c r="CR7" s="408">
        <v>5.3209365866348506</v>
      </c>
      <c r="CS7" s="408">
        <v>0.11822959756501317</v>
      </c>
      <c r="CT7" s="408">
        <v>0.3871859460105842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-0.13862163178894704</v>
      </c>
      <c r="DA7" s="408">
        <v>0</v>
      </c>
      <c r="DB7" s="408">
        <v>0</v>
      </c>
      <c r="DC7" s="408">
        <v>4.3377882694872625</v>
      </c>
      <c r="DD7" s="408">
        <v>0.12954127427473905</v>
      </c>
      <c r="DE7" s="408">
        <v>1.4955429555508909E-2</v>
      </c>
      <c r="DF7" s="408">
        <v>0</v>
      </c>
      <c r="DG7" s="408">
        <v>0.50079395354286893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-1.889634022609199E-2</v>
      </c>
      <c r="DN7" s="408">
        <v>0</v>
      </c>
      <c r="DO7" s="408">
        <v>0</v>
      </c>
      <c r="DP7" s="408">
        <v>-1.0039911786082489E-2</v>
      </c>
      <c r="DQ7" s="408">
        <v>0</v>
      </c>
      <c r="DR7" s="408">
        <v>0</v>
      </c>
      <c r="DS7" s="408"/>
      <c r="DT7" s="408"/>
      <c r="DU7" s="408"/>
      <c r="DV7" s="408">
        <v>76.359316985006785</v>
      </c>
      <c r="DW7" s="408">
        <v>0</v>
      </c>
      <c r="DX7" s="408">
        <v>0</v>
      </c>
      <c r="DY7" s="408">
        <v>-39.555599999999998</v>
      </c>
      <c r="DZ7" s="408">
        <v>4.4498999999999995</v>
      </c>
      <c r="EA7" s="408">
        <v>0</v>
      </c>
      <c r="EB7" s="408">
        <v>0</v>
      </c>
      <c r="EC7" s="408">
        <v>-40.428210118185959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239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1034</v>
      </c>
      <c r="C8" s="408" t="s">
        <v>2233</v>
      </c>
      <c r="D8" s="408" t="s">
        <v>1953</v>
      </c>
      <c r="E8" s="408" t="s">
        <v>967</v>
      </c>
      <c r="F8" s="408" t="s">
        <v>2238</v>
      </c>
      <c r="G8" s="408" t="s">
        <v>1320</v>
      </c>
      <c r="H8" s="408" t="s">
        <v>1320</v>
      </c>
      <c r="I8" s="408" t="s">
        <v>1320</v>
      </c>
      <c r="J8" s="408" t="s">
        <v>2234</v>
      </c>
      <c r="K8" s="827">
        <v>44378</v>
      </c>
      <c r="L8" s="408">
        <v>0</v>
      </c>
      <c r="M8" s="408">
        <v>0</v>
      </c>
      <c r="N8" s="408">
        <v>49.234000000000002</v>
      </c>
      <c r="O8" s="408">
        <v>49.234000000000002</v>
      </c>
      <c r="P8" s="408">
        <v>49.234000000000002</v>
      </c>
      <c r="Q8" s="408">
        <v>49.234000000000002</v>
      </c>
      <c r="R8" s="408"/>
      <c r="S8" s="408">
        <v>446.23</v>
      </c>
      <c r="T8" s="408">
        <v>173.82</v>
      </c>
      <c r="U8" s="408"/>
      <c r="V8" s="408">
        <v>30527.541700000002</v>
      </c>
      <c r="W8" s="408">
        <v>30527.541700000002</v>
      </c>
      <c r="X8" s="408">
        <v>22297.093919999999</v>
      </c>
      <c r="Y8" s="408">
        <v>0</v>
      </c>
      <c r="Z8" s="408">
        <v>0</v>
      </c>
      <c r="AA8" s="408">
        <v>0</v>
      </c>
      <c r="AB8" s="408">
        <v>0</v>
      </c>
      <c r="AC8" s="408">
        <v>133.83987550932611</v>
      </c>
      <c r="AD8" s="408">
        <v>1694.9597916773973</v>
      </c>
      <c r="AE8" s="408">
        <v>17902.260059237258</v>
      </c>
      <c r="AF8" s="408">
        <v>7922.8404212472078</v>
      </c>
      <c r="AG8" s="408">
        <v>398.59183671301338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76.388617589749643</v>
      </c>
      <c r="AO8" s="408">
        <v>285.48353506195429</v>
      </c>
      <c r="AP8" s="408">
        <v>934.91997663811264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27.31564438794339</v>
      </c>
      <c r="BF8" s="408">
        <v>236.60325960656618</v>
      </c>
      <c r="BG8" s="408">
        <v>914.68516473137743</v>
      </c>
      <c r="BH8" s="408">
        <v>0</v>
      </c>
      <c r="BI8" s="408">
        <v>0</v>
      </c>
      <c r="BJ8" s="408">
        <v>0</v>
      </c>
      <c r="BK8" s="408">
        <v>6703.12</v>
      </c>
      <c r="BL8" s="408">
        <v>192</v>
      </c>
      <c r="BM8" s="408"/>
      <c r="BN8" s="408"/>
      <c r="BO8" s="408"/>
      <c r="BP8" s="408"/>
      <c r="BQ8" s="408"/>
      <c r="BR8" s="408"/>
      <c r="BS8" s="408"/>
      <c r="BT8" s="408">
        <v>8919.2314399999996</v>
      </c>
      <c r="BU8" s="408"/>
      <c r="BV8" s="408">
        <v>9101.4444899730952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13376.775599999999</v>
      </c>
      <c r="CJ8" s="408">
        <v>-4939.7794200000008</v>
      </c>
      <c r="CK8" s="408"/>
      <c r="CL8" s="408"/>
      <c r="CM8" s="408"/>
      <c r="CN8" s="408"/>
      <c r="CO8" s="408">
        <v>-9273.7162400000016</v>
      </c>
      <c r="CP8" s="408">
        <v>1043.26846</v>
      </c>
      <c r="CQ8" s="408">
        <v>31</v>
      </c>
      <c r="CR8" s="408">
        <v>1247.4809138399087</v>
      </c>
      <c r="CS8" s="408">
        <v>27.718647650075525</v>
      </c>
      <c r="CT8" s="408">
        <v>90.774823170881405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-32.499511521414433</v>
      </c>
      <c r="DA8" s="408">
        <v>0</v>
      </c>
      <c r="DB8" s="408">
        <v>0</v>
      </c>
      <c r="DC8" s="408">
        <v>1016.9841317139808</v>
      </c>
      <c r="DD8" s="408">
        <v>30.370643322107156</v>
      </c>
      <c r="DE8" s="408">
        <v>3.5062648511234507</v>
      </c>
      <c r="DF8" s="408">
        <v>0</v>
      </c>
      <c r="DG8" s="408">
        <v>117.40995004156957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-4.4302019747210011</v>
      </c>
      <c r="DN8" s="408">
        <v>0</v>
      </c>
      <c r="DO8" s="408">
        <v>0</v>
      </c>
      <c r="DP8" s="408">
        <v>-2.3538334136951704</v>
      </c>
      <c r="DQ8" s="408">
        <v>0</v>
      </c>
      <c r="DR8" s="408">
        <v>0</v>
      </c>
      <c r="DS8" s="408"/>
      <c r="DT8" s="408"/>
      <c r="DU8" s="408"/>
      <c r="DV8" s="408">
        <v>17902.260059237258</v>
      </c>
      <c r="DW8" s="408">
        <v>0</v>
      </c>
      <c r="DX8" s="408">
        <v>0</v>
      </c>
      <c r="DY8" s="408">
        <v>-9273.7162400000016</v>
      </c>
      <c r="DZ8" s="408">
        <v>1043.2684599999993</v>
      </c>
      <c r="EA8" s="408">
        <v>0</v>
      </c>
      <c r="EB8" s="408">
        <v>0</v>
      </c>
      <c r="EC8" s="408">
        <v>-9478.2976045655596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239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2235</v>
      </c>
      <c r="C9" s="408" t="s">
        <v>2233</v>
      </c>
      <c r="D9" s="408" t="s">
        <v>1953</v>
      </c>
      <c r="E9" s="408" t="s">
        <v>967</v>
      </c>
      <c r="F9" s="408" t="s">
        <v>2238</v>
      </c>
      <c r="G9" s="408" t="s">
        <v>1320</v>
      </c>
      <c r="H9" s="408" t="s">
        <v>1320</v>
      </c>
      <c r="I9" s="408" t="s">
        <v>1320</v>
      </c>
      <c r="J9" s="408" t="s">
        <v>2234</v>
      </c>
      <c r="K9" s="827">
        <v>44378</v>
      </c>
      <c r="L9" s="408">
        <v>0</v>
      </c>
      <c r="M9" s="408">
        <v>0</v>
      </c>
      <c r="N9" s="408">
        <v>0.38900000000000001</v>
      </c>
      <c r="O9" s="408">
        <v>0.38900000000000001</v>
      </c>
      <c r="P9" s="408">
        <v>0.38900000000000001</v>
      </c>
      <c r="Q9" s="408">
        <v>0.38900000000000001</v>
      </c>
      <c r="R9" s="408"/>
      <c r="S9" s="408">
        <v>446.23</v>
      </c>
      <c r="T9" s="408">
        <v>173.82</v>
      </c>
      <c r="U9" s="408"/>
      <c r="V9" s="408">
        <v>241.19945000000001</v>
      </c>
      <c r="W9" s="408">
        <v>241.19945000000001</v>
      </c>
      <c r="X9" s="408">
        <v>176.17032</v>
      </c>
      <c r="Y9" s="408">
        <v>0</v>
      </c>
      <c r="Z9" s="408">
        <v>0</v>
      </c>
      <c r="AA9" s="408">
        <v>0</v>
      </c>
      <c r="AB9" s="408">
        <v>0</v>
      </c>
      <c r="AC9" s="408">
        <v>1.0574747445490484</v>
      </c>
      <c r="AD9" s="408">
        <v>13.391951882083672</v>
      </c>
      <c r="AE9" s="408">
        <v>141.44654431984591</v>
      </c>
      <c r="AF9" s="408">
        <v>62.598710725619767</v>
      </c>
      <c r="AG9" s="408">
        <v>3.1492916375139579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0.60354982821652936</v>
      </c>
      <c r="AO9" s="408">
        <v>2.2556179700836863</v>
      </c>
      <c r="AP9" s="408">
        <v>7.3868438662758624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0.21582210803326926</v>
      </c>
      <c r="BF9" s="408">
        <v>1.8694127632724185</v>
      </c>
      <c r="BG9" s="408">
        <v>7.2269677271906776</v>
      </c>
      <c r="BH9" s="408">
        <v>0</v>
      </c>
      <c r="BI9" s="408">
        <v>0</v>
      </c>
      <c r="BJ9" s="408">
        <v>0</v>
      </c>
      <c r="BK9" s="408">
        <v>52.57</v>
      </c>
      <c r="BL9" s="408">
        <v>0</v>
      </c>
      <c r="BM9" s="408"/>
      <c r="BN9" s="408"/>
      <c r="BO9" s="408"/>
      <c r="BP9" s="408"/>
      <c r="BQ9" s="408"/>
      <c r="BR9" s="408"/>
      <c r="BS9" s="408"/>
      <c r="BT9" s="408">
        <v>70.471239999999995</v>
      </c>
      <c r="BU9" s="408"/>
      <c r="BV9" s="408">
        <v>71.910913324116137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105.9708</v>
      </c>
      <c r="CJ9" s="408">
        <v>-38.778870000000012</v>
      </c>
      <c r="CK9" s="408"/>
      <c r="CL9" s="408"/>
      <c r="CM9" s="408"/>
      <c r="CN9" s="408"/>
      <c r="CO9" s="408">
        <v>-73.272040000000004</v>
      </c>
      <c r="CP9" s="408">
        <v>8.2429100000000002</v>
      </c>
      <c r="CQ9" s="408">
        <v>31</v>
      </c>
      <c r="CR9" s="408">
        <v>9.8564015819093242</v>
      </c>
      <c r="CS9" s="408">
        <v>0.2190062545370961</v>
      </c>
      <c r="CT9" s="408">
        <v>0.71721587141960619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-0.25678007031381078</v>
      </c>
      <c r="DA9" s="408">
        <v>0</v>
      </c>
      <c r="DB9" s="408">
        <v>0</v>
      </c>
      <c r="DC9" s="408">
        <v>8.0352363658597454</v>
      </c>
      <c r="DD9" s="408">
        <v>0.23995978901368331</v>
      </c>
      <c r="DE9" s="408">
        <v>2.77031528432998E-2</v>
      </c>
      <c r="DF9" s="408">
        <v>0</v>
      </c>
      <c r="DG9" s="408">
        <v>0.92766118061036273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-3.5003220704522775E-2</v>
      </c>
      <c r="DN9" s="408">
        <v>0</v>
      </c>
      <c r="DO9" s="408">
        <v>0</v>
      </c>
      <c r="DP9" s="408">
        <v>-1.8597741356124242E-2</v>
      </c>
      <c r="DQ9" s="408">
        <v>0</v>
      </c>
      <c r="DR9" s="408">
        <v>0</v>
      </c>
      <c r="DS9" s="408"/>
      <c r="DT9" s="408"/>
      <c r="DU9" s="408"/>
      <c r="DV9" s="408">
        <v>141.44654431984591</v>
      </c>
      <c r="DW9" s="408">
        <v>0</v>
      </c>
      <c r="DX9" s="408">
        <v>0</v>
      </c>
      <c r="DY9" s="408">
        <v>-73.272040000000004</v>
      </c>
      <c r="DZ9" s="408">
        <v>8.2429100000000091</v>
      </c>
      <c r="EA9" s="408">
        <v>0</v>
      </c>
      <c r="EB9" s="408">
        <v>0</v>
      </c>
      <c r="EC9" s="408">
        <v>-74.88844636178257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239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1034</v>
      </c>
      <c r="C10" s="408" t="s">
        <v>2233</v>
      </c>
      <c r="D10" s="408" t="s">
        <v>1953</v>
      </c>
      <c r="E10" s="408" t="s">
        <v>967</v>
      </c>
      <c r="F10" s="408" t="s">
        <v>2239</v>
      </c>
      <c r="G10" s="408" t="s">
        <v>1320</v>
      </c>
      <c r="H10" s="408" t="s">
        <v>1320</v>
      </c>
      <c r="I10" s="408" t="s">
        <v>1320</v>
      </c>
      <c r="J10" s="408" t="s">
        <v>2234</v>
      </c>
      <c r="K10" s="827">
        <v>44378</v>
      </c>
      <c r="L10" s="408">
        <v>0</v>
      </c>
      <c r="M10" s="408">
        <v>0</v>
      </c>
      <c r="N10" s="408">
        <v>42.829000000000001</v>
      </c>
      <c r="O10" s="408">
        <v>42.829000000000001</v>
      </c>
      <c r="P10" s="408">
        <v>42.829000000000001</v>
      </c>
      <c r="Q10" s="408">
        <v>42.829000000000001</v>
      </c>
      <c r="R10" s="408"/>
      <c r="S10" s="408">
        <v>446.23</v>
      </c>
      <c r="T10" s="408">
        <v>173.82</v>
      </c>
      <c r="U10" s="408"/>
      <c r="V10" s="408">
        <v>26556.121449999999</v>
      </c>
      <c r="W10" s="408">
        <v>26556.121449999999</v>
      </c>
      <c r="X10" s="408">
        <v>19396.397519999999</v>
      </c>
      <c r="Y10" s="408">
        <v>0</v>
      </c>
      <c r="Z10" s="408">
        <v>0</v>
      </c>
      <c r="AA10" s="408">
        <v>0</v>
      </c>
      <c r="AB10" s="408">
        <v>0</v>
      </c>
      <c r="AC10" s="408">
        <v>116.42824121925757</v>
      </c>
      <c r="AD10" s="408">
        <v>1474.4573448785645</v>
      </c>
      <c r="AE10" s="408">
        <v>15573.300891194553</v>
      </c>
      <c r="AF10" s="408">
        <v>6892.1341431042911</v>
      </c>
      <c r="AG10" s="408">
        <v>346.73781887682594</v>
      </c>
      <c r="AH10" s="408">
        <v>0</v>
      </c>
      <c r="AI10" s="408">
        <v>0</v>
      </c>
      <c r="AJ10" s="408">
        <v>0</v>
      </c>
      <c r="AK10" s="408">
        <v>0</v>
      </c>
      <c r="AL10" s="408">
        <v>0</v>
      </c>
      <c r="AM10" s="408"/>
      <c r="AN10" s="408">
        <v>66.450991240837368</v>
      </c>
      <c r="AO10" s="408">
        <v>248.34411835659176</v>
      </c>
      <c r="AP10" s="408">
        <v>813.29340860855757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23.762069575724649</v>
      </c>
      <c r="BF10" s="408">
        <v>205.822825805127</v>
      </c>
      <c r="BG10" s="408">
        <v>795.69100459601418</v>
      </c>
      <c r="BH10" s="408">
        <v>0</v>
      </c>
      <c r="BI10" s="408">
        <v>0</v>
      </c>
      <c r="BJ10" s="408">
        <v>0</v>
      </c>
      <c r="BK10" s="408">
        <v>9969.42</v>
      </c>
      <c r="BL10" s="408">
        <v>423</v>
      </c>
      <c r="BM10" s="408"/>
      <c r="BN10" s="408"/>
      <c r="BO10" s="408"/>
      <c r="BP10" s="408"/>
      <c r="BQ10" s="408"/>
      <c r="BR10" s="408"/>
      <c r="BS10" s="408"/>
      <c r="BT10" s="408">
        <v>1939.2971200000002</v>
      </c>
      <c r="BU10" s="408"/>
      <c r="BV10" s="408">
        <v>7917.4100430811568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17457.507999999998</v>
      </c>
      <c r="CJ10" s="408">
        <v>-6443.2454499999985</v>
      </c>
      <c r="CK10" s="408"/>
      <c r="CL10" s="408"/>
      <c r="CM10" s="408"/>
      <c r="CN10" s="408"/>
      <c r="CO10" s="408">
        <v>-8067.2704400000011</v>
      </c>
      <c r="CP10" s="408">
        <v>907.5465099999999</v>
      </c>
      <c r="CQ10" s="408">
        <v>31</v>
      </c>
      <c r="CR10" s="408">
        <v>1085.1923479475463</v>
      </c>
      <c r="CS10" s="408">
        <v>24.112644924342646</v>
      </c>
      <c r="CT10" s="408">
        <v>78.965651817558637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-28.271551751851348</v>
      </c>
      <c r="DA10" s="408">
        <v>0</v>
      </c>
      <c r="DB10" s="408">
        <v>0</v>
      </c>
      <c r="DC10" s="408">
        <v>884.68158949461849</v>
      </c>
      <c r="DD10" s="408">
        <v>26.419634456727636</v>
      </c>
      <c r="DE10" s="408">
        <v>3.0501242496804331</v>
      </c>
      <c r="DF10" s="408">
        <v>0</v>
      </c>
      <c r="DG10" s="408">
        <v>102.13573445851216</v>
      </c>
      <c r="DH10" s="408">
        <v>0</v>
      </c>
      <c r="DI10" s="408">
        <v>0</v>
      </c>
      <c r="DJ10" s="408"/>
      <c r="DK10" s="408">
        <v>0</v>
      </c>
      <c r="DL10" s="408">
        <v>0</v>
      </c>
      <c r="DM10" s="408">
        <v>-3.8538635978251818</v>
      </c>
      <c r="DN10" s="408">
        <v>0</v>
      </c>
      <c r="DO10" s="408">
        <v>0</v>
      </c>
      <c r="DP10" s="408">
        <v>-2.0476161042196566</v>
      </c>
      <c r="DQ10" s="408">
        <v>0</v>
      </c>
      <c r="DR10" s="408">
        <v>0</v>
      </c>
      <c r="DS10" s="408"/>
      <c r="DT10" s="408"/>
      <c r="DU10" s="408"/>
      <c r="DV10" s="408">
        <v>15573.300891194553</v>
      </c>
      <c r="DW10" s="408">
        <v>0</v>
      </c>
      <c r="DX10" s="408">
        <v>0</v>
      </c>
      <c r="DY10" s="408">
        <v>-8067.2704400000002</v>
      </c>
      <c r="DZ10" s="408">
        <v>907.54651000000104</v>
      </c>
      <c r="EA10" s="408">
        <v>0</v>
      </c>
      <c r="EB10" s="408">
        <v>0</v>
      </c>
      <c r="EC10" s="408">
        <v>-8245.2371959608899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239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2235</v>
      </c>
      <c r="C11" s="408" t="s">
        <v>2233</v>
      </c>
      <c r="D11" s="408" t="s">
        <v>1953</v>
      </c>
      <c r="E11" s="408" t="s">
        <v>967</v>
      </c>
      <c r="F11" s="408" t="s">
        <v>2239</v>
      </c>
      <c r="G11" s="408" t="s">
        <v>1320</v>
      </c>
      <c r="H11" s="408" t="s">
        <v>1320</v>
      </c>
      <c r="I11" s="408" t="s">
        <v>1320</v>
      </c>
      <c r="J11" s="408" t="s">
        <v>2234</v>
      </c>
      <c r="K11" s="827">
        <v>44378</v>
      </c>
      <c r="L11" s="408">
        <v>0</v>
      </c>
      <c r="M11" s="408">
        <v>0</v>
      </c>
      <c r="N11" s="408">
        <v>0.152</v>
      </c>
      <c r="O11" s="408">
        <v>0.152</v>
      </c>
      <c r="P11" s="408">
        <v>0.152</v>
      </c>
      <c r="Q11" s="408">
        <v>0.152</v>
      </c>
      <c r="R11" s="408"/>
      <c r="S11" s="408">
        <v>446.23</v>
      </c>
      <c r="T11" s="408">
        <v>173.82</v>
      </c>
      <c r="U11" s="408"/>
      <c r="V11" s="408">
        <v>94.247600000000006</v>
      </c>
      <c r="W11" s="408">
        <v>94.247600000000006</v>
      </c>
      <c r="X11" s="408">
        <v>68.837760000000003</v>
      </c>
      <c r="Y11" s="408">
        <v>0</v>
      </c>
      <c r="Z11" s="408">
        <v>0</v>
      </c>
      <c r="AA11" s="408">
        <v>0</v>
      </c>
      <c r="AB11" s="408">
        <v>0</v>
      </c>
      <c r="AC11" s="408">
        <v>0.41320349915541227</v>
      </c>
      <c r="AD11" s="408">
        <v>5.2328449513540312</v>
      </c>
      <c r="AE11" s="408">
        <v>55.269600865338248</v>
      </c>
      <c r="AF11" s="408">
        <v>24.460164602298725</v>
      </c>
      <c r="AG11" s="408">
        <v>1.2305715395941428</v>
      </c>
      <c r="AH11" s="408">
        <v>0</v>
      </c>
      <c r="AI11" s="408">
        <v>0</v>
      </c>
      <c r="AJ11" s="408">
        <v>0</v>
      </c>
      <c r="AK11" s="408">
        <v>0</v>
      </c>
      <c r="AL11" s="408">
        <v>0</v>
      </c>
      <c r="AM11" s="408"/>
      <c r="AN11" s="408">
        <v>0.23583438017715286</v>
      </c>
      <c r="AO11" s="408">
        <v>0.88137257442858685</v>
      </c>
      <c r="AP11" s="408">
        <v>2.886376009444553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8.4331517791920121E-2</v>
      </c>
      <c r="BF11" s="408">
        <v>0.73046462729410688</v>
      </c>
      <c r="BG11" s="408">
        <v>2.8239051273341462</v>
      </c>
      <c r="BH11" s="408">
        <v>0</v>
      </c>
      <c r="BI11" s="408">
        <v>0</v>
      </c>
      <c r="BJ11" s="408">
        <v>0</v>
      </c>
      <c r="BK11" s="408">
        <v>35.880000000000003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>
        <v>6.8825599999999998</v>
      </c>
      <c r="BU11" s="408"/>
      <c r="BV11" s="408">
        <v>28.0988658747189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61.14</v>
      </c>
      <c r="CJ11" s="408">
        <v>-23.7136</v>
      </c>
      <c r="CK11" s="408"/>
      <c r="CL11" s="408"/>
      <c r="CM11" s="408"/>
      <c r="CN11" s="408"/>
      <c r="CO11" s="408">
        <v>-28.63072</v>
      </c>
      <c r="CP11" s="408">
        <v>3.2208799999999997</v>
      </c>
      <c r="CQ11" s="408">
        <v>31</v>
      </c>
      <c r="CR11" s="408">
        <v>3.8513445769928438</v>
      </c>
      <c r="CS11" s="408">
        <v>8.5575708713723886E-2</v>
      </c>
      <c r="CT11" s="408">
        <v>0.28024887520766084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-0.10033565729485705</v>
      </c>
      <c r="DA11" s="408">
        <v>0</v>
      </c>
      <c r="DB11" s="408">
        <v>0</v>
      </c>
      <c r="DC11" s="408">
        <v>3.1397324617241154</v>
      </c>
      <c r="DD11" s="408">
        <v>9.3763208046477753E-2</v>
      </c>
      <c r="DE11" s="408">
        <v>1.0824882344939765E-2</v>
      </c>
      <c r="DF11" s="408">
        <v>0</v>
      </c>
      <c r="DG11" s="408">
        <v>0.36247943304055319</v>
      </c>
      <c r="DH11" s="408">
        <v>0</v>
      </c>
      <c r="DI11" s="408">
        <v>0</v>
      </c>
      <c r="DJ11" s="408"/>
      <c r="DK11" s="408">
        <v>0</v>
      </c>
      <c r="DL11" s="408">
        <v>0</v>
      </c>
      <c r="DM11" s="408">
        <v>-1.3677351020790374E-2</v>
      </c>
      <c r="DN11" s="408">
        <v>0</v>
      </c>
      <c r="DO11" s="408">
        <v>0</v>
      </c>
      <c r="DP11" s="408">
        <v>-7.2669837689740002E-3</v>
      </c>
      <c r="DQ11" s="408">
        <v>0</v>
      </c>
      <c r="DR11" s="408">
        <v>0</v>
      </c>
      <c r="DS11" s="408"/>
      <c r="DT11" s="408"/>
      <c r="DU11" s="408"/>
      <c r="DV11" s="408">
        <v>55.269600865338248</v>
      </c>
      <c r="DW11" s="408">
        <v>0</v>
      </c>
      <c r="DX11" s="408">
        <v>0</v>
      </c>
      <c r="DY11" s="408">
        <v>-28.630719999999997</v>
      </c>
      <c r="DZ11" s="408">
        <v>3.2208799999999975</v>
      </c>
      <c r="EA11" s="408">
        <v>0</v>
      </c>
      <c r="EB11" s="408">
        <v>0</v>
      </c>
      <c r="EC11" s="408">
        <v>-29.262323514115554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239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1034</v>
      </c>
      <c r="C12" s="408" t="s">
        <v>2233</v>
      </c>
      <c r="D12" s="408" t="s">
        <v>1953</v>
      </c>
      <c r="E12" s="408" t="s">
        <v>967</v>
      </c>
      <c r="F12" s="408" t="s">
        <v>2240</v>
      </c>
      <c r="G12" s="408" t="s">
        <v>1320</v>
      </c>
      <c r="H12" s="408" t="s">
        <v>1320</v>
      </c>
      <c r="I12" s="408" t="s">
        <v>1320</v>
      </c>
      <c r="J12" s="408" t="s">
        <v>2234</v>
      </c>
      <c r="K12" s="827">
        <v>44378</v>
      </c>
      <c r="L12" s="408">
        <v>0</v>
      </c>
      <c r="M12" s="408">
        <v>0</v>
      </c>
      <c r="N12" s="408">
        <v>13.45</v>
      </c>
      <c r="O12" s="408">
        <v>13.45</v>
      </c>
      <c r="P12" s="408">
        <v>13.45</v>
      </c>
      <c r="Q12" s="408">
        <v>13.45</v>
      </c>
      <c r="R12" s="408"/>
      <c r="S12" s="408">
        <v>446.23</v>
      </c>
      <c r="T12" s="408">
        <v>173.82</v>
      </c>
      <c r="U12" s="408"/>
      <c r="V12" s="408">
        <v>8339.6725000000006</v>
      </c>
      <c r="W12" s="408">
        <v>8339.6725000000006</v>
      </c>
      <c r="X12" s="408">
        <v>6091.235999999999</v>
      </c>
      <c r="Y12" s="408">
        <v>0</v>
      </c>
      <c r="Z12" s="408">
        <v>0</v>
      </c>
      <c r="AA12" s="408">
        <v>0</v>
      </c>
      <c r="AB12" s="408">
        <v>0</v>
      </c>
      <c r="AC12" s="408">
        <v>36.563072787107203</v>
      </c>
      <c r="AD12" s="408">
        <v>463.03792497178762</v>
      </c>
      <c r="AE12" s="408">
        <v>4890.6324449921012</v>
      </c>
      <c r="AF12" s="408">
        <v>2164.4027230323545</v>
      </c>
      <c r="AG12" s="408">
        <v>108.8893895232975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/>
      <c r="AN12" s="408">
        <v>20.868239561728327</v>
      </c>
      <c r="AO12" s="408">
        <v>77.98987582937167</v>
      </c>
      <c r="AP12" s="408">
        <v>255.40629820413969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7.4622296993508259</v>
      </c>
      <c r="BF12" s="408">
        <v>64.636508138853529</v>
      </c>
      <c r="BG12" s="408">
        <v>249.87844712265965</v>
      </c>
      <c r="BH12" s="408">
        <v>0</v>
      </c>
      <c r="BI12" s="408">
        <v>0</v>
      </c>
      <c r="BJ12" s="408">
        <v>0</v>
      </c>
      <c r="BK12" s="408">
        <v>4354.0600000000004</v>
      </c>
      <c r="BL12" s="408">
        <v>168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2486.3799079932182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6091.235999999999</v>
      </c>
      <c r="CJ12" s="408">
        <v>-2248.4665000000023</v>
      </c>
      <c r="CK12" s="408"/>
      <c r="CL12" s="408"/>
      <c r="CM12" s="408"/>
      <c r="CN12" s="408"/>
      <c r="CO12" s="408">
        <v>-2533.442</v>
      </c>
      <c r="CP12" s="408">
        <v>285.00549999999993</v>
      </c>
      <c r="CQ12" s="408">
        <v>31</v>
      </c>
      <c r="CR12" s="408">
        <v>340.79331947732862</v>
      </c>
      <c r="CS12" s="408">
        <v>7.5723242249972742</v>
      </c>
      <c r="CT12" s="408">
        <v>24.79833797067792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-8.8783854645777751</v>
      </c>
      <c r="DA12" s="408">
        <v>0</v>
      </c>
      <c r="DB12" s="408">
        <v>0</v>
      </c>
      <c r="DC12" s="408">
        <v>277.82501059335073</v>
      </c>
      <c r="DD12" s="408">
        <v>8.2968101856916263</v>
      </c>
      <c r="DE12" s="408">
        <v>0.95785965486473668</v>
      </c>
      <c r="DF12" s="408">
        <v>0</v>
      </c>
      <c r="DG12" s="408">
        <v>32.074660357864701</v>
      </c>
      <c r="DH12" s="408">
        <v>0</v>
      </c>
      <c r="DI12" s="408">
        <v>0</v>
      </c>
      <c r="DJ12" s="408"/>
      <c r="DK12" s="408">
        <v>0</v>
      </c>
      <c r="DL12" s="408">
        <v>0</v>
      </c>
      <c r="DM12" s="408">
        <v>-1.2102656001949299</v>
      </c>
      <c r="DN12" s="408">
        <v>0</v>
      </c>
      <c r="DO12" s="408">
        <v>0</v>
      </c>
      <c r="DP12" s="408">
        <v>-0.64303244534671222</v>
      </c>
      <c r="DQ12" s="408">
        <v>0</v>
      </c>
      <c r="DR12" s="408">
        <v>0</v>
      </c>
      <c r="DS12" s="408"/>
      <c r="DT12" s="408"/>
      <c r="DU12" s="408"/>
      <c r="DV12" s="408">
        <v>4890.6324449921012</v>
      </c>
      <c r="DW12" s="408">
        <v>0</v>
      </c>
      <c r="DX12" s="408">
        <v>0</v>
      </c>
      <c r="DY12" s="408">
        <v>-2533.442</v>
      </c>
      <c r="DZ12" s="408">
        <v>285.00549999999976</v>
      </c>
      <c r="EA12" s="408">
        <v>0</v>
      </c>
      <c r="EB12" s="408">
        <v>0</v>
      </c>
      <c r="EC12" s="408">
        <v>-2589.3306004266719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239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1034</v>
      </c>
      <c r="C13" s="408" t="s">
        <v>2233</v>
      </c>
      <c r="D13" s="408" t="s">
        <v>1956</v>
      </c>
      <c r="E13" s="408" t="s">
        <v>968</v>
      </c>
      <c r="F13" s="408" t="s">
        <v>1320</v>
      </c>
      <c r="G13" s="408" t="s">
        <v>1320</v>
      </c>
      <c r="H13" s="408" t="s">
        <v>1320</v>
      </c>
      <c r="I13" s="408" t="s">
        <v>1320</v>
      </c>
      <c r="J13" s="408" t="s">
        <v>2234</v>
      </c>
      <c r="K13" s="827">
        <v>44378</v>
      </c>
      <c r="L13" s="408">
        <v>0</v>
      </c>
      <c r="M13" s="408">
        <v>0</v>
      </c>
      <c r="N13" s="408">
        <v>76.03</v>
      </c>
      <c r="O13" s="408">
        <v>76.03</v>
      </c>
      <c r="P13" s="408">
        <v>76.03</v>
      </c>
      <c r="Q13" s="408">
        <v>76.03</v>
      </c>
      <c r="R13" s="408"/>
      <c r="S13" s="408">
        <v>516.83000000000004</v>
      </c>
      <c r="T13" s="408">
        <v>173.82</v>
      </c>
      <c r="U13" s="408"/>
      <c r="V13" s="408">
        <v>52510.119500000001</v>
      </c>
      <c r="W13" s="408">
        <v>52510.119500000001</v>
      </c>
      <c r="X13" s="408">
        <v>39645.843500000003</v>
      </c>
      <c r="Y13" s="408">
        <v>0</v>
      </c>
      <c r="Z13" s="408">
        <v>4649.1931212825421</v>
      </c>
      <c r="AA13" s="408">
        <v>0</v>
      </c>
      <c r="AB13" s="408">
        <v>0</v>
      </c>
      <c r="AC13" s="408">
        <v>206.68330289990786</v>
      </c>
      <c r="AD13" s="408">
        <v>2617.4552740226777</v>
      </c>
      <c r="AE13" s="408">
        <v>27645.708906524127</v>
      </c>
      <c r="AF13" s="408">
        <v>12234.909965215607</v>
      </c>
      <c r="AG13" s="408">
        <v>615.52864575883348</v>
      </c>
      <c r="AH13" s="408">
        <v>0</v>
      </c>
      <c r="AI13" s="408">
        <v>0</v>
      </c>
      <c r="AJ13" s="408">
        <v>0</v>
      </c>
      <c r="AK13" s="408">
        <v>0</v>
      </c>
      <c r="AL13" s="408">
        <v>718.59729087879077</v>
      </c>
      <c r="AM13" s="408"/>
      <c r="AN13" s="408">
        <v>117.96373634782192</v>
      </c>
      <c r="AO13" s="408">
        <v>440.86024232766749</v>
      </c>
      <c r="AP13" s="408">
        <v>1443.7576841978248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0</v>
      </c>
      <c r="BE13" s="408">
        <v>42.182403274471625</v>
      </c>
      <c r="BF13" s="408">
        <v>365.37648429717729</v>
      </c>
      <c r="BG13" s="408">
        <v>1412.5099133632577</v>
      </c>
      <c r="BH13" s="408">
        <v>0</v>
      </c>
      <c r="BI13" s="408">
        <v>0</v>
      </c>
      <c r="BJ13" s="408">
        <v>0</v>
      </c>
      <c r="BK13" s="408">
        <v>10832.63</v>
      </c>
      <c r="BL13" s="408">
        <v>29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14054.978766150514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39645.843500000003</v>
      </c>
      <c r="CJ13" s="408">
        <v>-12864.306000000004</v>
      </c>
      <c r="CK13" s="408"/>
      <c r="CL13" s="408"/>
      <c r="CM13" s="408"/>
      <c r="CN13" s="408"/>
      <c r="CO13" s="408">
        <v>-14475.351700000003</v>
      </c>
      <c r="CP13" s="408">
        <v>1611.0756999999999</v>
      </c>
      <c r="CQ13" s="408">
        <v>31</v>
      </c>
      <c r="CR13" s="408">
        <v>1771.9459814350339</v>
      </c>
      <c r="CS13" s="408">
        <v>42.804744299371237</v>
      </c>
      <c r="CT13" s="408">
        <v>140.17974988183187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-50.187631737684114</v>
      </c>
      <c r="DA13" s="408">
        <v>0</v>
      </c>
      <c r="DB13" s="408">
        <v>0</v>
      </c>
      <c r="DC13" s="408">
        <v>1570.4859149005551</v>
      </c>
      <c r="DD13" s="408">
        <v>46.900109919563874</v>
      </c>
      <c r="DE13" s="408">
        <v>5.414577662406387</v>
      </c>
      <c r="DF13" s="408">
        <v>0</v>
      </c>
      <c r="DG13" s="408">
        <v>181.31125851363959</v>
      </c>
      <c r="DH13" s="408">
        <v>0</v>
      </c>
      <c r="DI13" s="408">
        <v>-135.87501923297896</v>
      </c>
      <c r="DJ13" s="408"/>
      <c r="DK13" s="408">
        <v>0</v>
      </c>
      <c r="DL13" s="408">
        <v>0</v>
      </c>
      <c r="DM13" s="408">
        <v>-6.8413749875703616</v>
      </c>
      <c r="DN13" s="408">
        <v>0</v>
      </c>
      <c r="DO13" s="408">
        <v>-18.611421626498782</v>
      </c>
      <c r="DP13" s="408">
        <v>-3.6349261575992955</v>
      </c>
      <c r="DQ13" s="408">
        <v>0</v>
      </c>
      <c r="DR13" s="408">
        <v>0</v>
      </c>
      <c r="DS13" s="408"/>
      <c r="DT13" s="408"/>
      <c r="DU13" s="408"/>
      <c r="DV13" s="408">
        <v>27645.708906524127</v>
      </c>
      <c r="DW13" s="408">
        <v>0</v>
      </c>
      <c r="DX13" s="408">
        <v>0</v>
      </c>
      <c r="DY13" s="408">
        <v>-14475.351700000003</v>
      </c>
      <c r="DZ13" s="408">
        <v>1611.0757000000012</v>
      </c>
      <c r="EA13" s="408">
        <v>0</v>
      </c>
      <c r="EB13" s="408">
        <v>0</v>
      </c>
      <c r="EC13" s="408">
        <v>-14636.93721564609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239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2236</v>
      </c>
      <c r="C14" s="408" t="s">
        <v>2233</v>
      </c>
      <c r="D14" s="408" t="s">
        <v>1956</v>
      </c>
      <c r="E14" s="408" t="s">
        <v>968</v>
      </c>
      <c r="F14" s="408" t="s">
        <v>1320</v>
      </c>
      <c r="G14" s="408" t="s">
        <v>1320</v>
      </c>
      <c r="H14" s="408" t="s">
        <v>1320</v>
      </c>
      <c r="I14" s="408" t="s">
        <v>1320</v>
      </c>
      <c r="J14" s="408" t="s">
        <v>2234</v>
      </c>
      <c r="K14" s="827">
        <v>44378</v>
      </c>
      <c r="L14" s="408">
        <v>0</v>
      </c>
      <c r="M14" s="408">
        <v>0</v>
      </c>
      <c r="N14" s="408">
        <v>0.60799999999999998</v>
      </c>
      <c r="O14" s="408">
        <v>0.60799999999999998</v>
      </c>
      <c r="P14" s="408">
        <v>0.60799999999999998</v>
      </c>
      <c r="Q14" s="408">
        <v>0.60799999999999998</v>
      </c>
      <c r="R14" s="408"/>
      <c r="S14" s="408">
        <v>516.83000000000004</v>
      </c>
      <c r="T14" s="408">
        <v>173.82</v>
      </c>
      <c r="U14" s="408"/>
      <c r="V14" s="408">
        <v>419.91520000000003</v>
      </c>
      <c r="W14" s="408">
        <v>419.91520000000003</v>
      </c>
      <c r="X14" s="408">
        <v>317.04159999999996</v>
      </c>
      <c r="Y14" s="408">
        <v>0</v>
      </c>
      <c r="Z14" s="408">
        <v>37.178869100878408</v>
      </c>
      <c r="AA14" s="408">
        <v>0</v>
      </c>
      <c r="AB14" s="408">
        <v>0</v>
      </c>
      <c r="AC14" s="408">
        <v>1.6528139966216491</v>
      </c>
      <c r="AD14" s="408">
        <v>20.931379805416125</v>
      </c>
      <c r="AE14" s="408">
        <v>221.07840346135299</v>
      </c>
      <c r="AF14" s="408">
        <v>97.840658409194901</v>
      </c>
      <c r="AG14" s="408">
        <v>4.9222861583765711</v>
      </c>
      <c r="AH14" s="408">
        <v>0</v>
      </c>
      <c r="AI14" s="408">
        <v>0</v>
      </c>
      <c r="AJ14" s="408">
        <v>0</v>
      </c>
      <c r="AK14" s="408">
        <v>0</v>
      </c>
      <c r="AL14" s="408">
        <v>5.7465099678324973</v>
      </c>
      <c r="AM14" s="408"/>
      <c r="AN14" s="408">
        <v>0.94333752070861143</v>
      </c>
      <c r="AO14" s="408">
        <v>3.5254902977143474</v>
      </c>
      <c r="AP14" s="408">
        <v>11.545504037778212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0.33732607116768049</v>
      </c>
      <c r="BF14" s="408">
        <v>2.9218585091764275</v>
      </c>
      <c r="BG14" s="408">
        <v>11.295620509336585</v>
      </c>
      <c r="BH14" s="408">
        <v>0</v>
      </c>
      <c r="BI14" s="408">
        <v>0</v>
      </c>
      <c r="BJ14" s="408">
        <v>0</v>
      </c>
      <c r="BK14" s="408">
        <v>203.76</v>
      </c>
      <c r="BL14" s="408">
        <v>3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112.3954634988756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318.08449999999999</v>
      </c>
      <c r="CJ14" s="408">
        <v>-101.86070000000001</v>
      </c>
      <c r="CK14" s="408"/>
      <c r="CL14" s="408"/>
      <c r="CM14" s="408"/>
      <c r="CN14" s="408"/>
      <c r="CO14" s="408">
        <v>-115.75712000000003</v>
      </c>
      <c r="CP14" s="408">
        <v>12.883519999999999</v>
      </c>
      <c r="CQ14" s="408">
        <v>31</v>
      </c>
      <c r="CR14" s="408">
        <v>14.169974440516938</v>
      </c>
      <c r="CS14" s="408">
        <v>0.34230283485489554</v>
      </c>
      <c r="CT14" s="408">
        <v>1.1209955008306434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-0.4013426291794282</v>
      </c>
      <c r="DA14" s="408">
        <v>0</v>
      </c>
      <c r="DB14" s="408">
        <v>0</v>
      </c>
      <c r="DC14" s="408">
        <v>12.558929846896461</v>
      </c>
      <c r="DD14" s="408">
        <v>0.37505283218591101</v>
      </c>
      <c r="DE14" s="408">
        <v>4.3299529379759061E-2</v>
      </c>
      <c r="DF14" s="408">
        <v>0</v>
      </c>
      <c r="DG14" s="408">
        <v>1.4499177321622128</v>
      </c>
      <c r="DH14" s="408">
        <v>0</v>
      </c>
      <c r="DI14" s="408">
        <v>-1.0865712441621866</v>
      </c>
      <c r="DJ14" s="408"/>
      <c r="DK14" s="408">
        <v>0</v>
      </c>
      <c r="DL14" s="408">
        <v>0</v>
      </c>
      <c r="DM14" s="408">
        <v>-5.4709404083161495E-2</v>
      </c>
      <c r="DN14" s="408">
        <v>0</v>
      </c>
      <c r="DO14" s="408">
        <v>-0.14883262329226987</v>
      </c>
      <c r="DP14" s="408">
        <v>-2.9067935075896001E-2</v>
      </c>
      <c r="DQ14" s="408">
        <v>0</v>
      </c>
      <c r="DR14" s="408">
        <v>0</v>
      </c>
      <c r="DS14" s="408"/>
      <c r="DT14" s="408"/>
      <c r="DU14" s="408"/>
      <c r="DV14" s="408">
        <v>221.07840346135299</v>
      </c>
      <c r="DW14" s="408">
        <v>0</v>
      </c>
      <c r="DX14" s="408">
        <v>0</v>
      </c>
      <c r="DY14" s="408">
        <v>-115.75712000000001</v>
      </c>
      <c r="DZ14" s="408">
        <v>12.88351999999999</v>
      </c>
      <c r="EA14" s="408">
        <v>0</v>
      </c>
      <c r="EB14" s="408">
        <v>0</v>
      </c>
      <c r="EC14" s="408">
        <v>-117.04929405646222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239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1034</v>
      </c>
      <c r="C15" s="408" t="s">
        <v>2245</v>
      </c>
      <c r="D15" s="408" t="s">
        <v>596</v>
      </c>
      <c r="E15" s="408" t="s">
        <v>968</v>
      </c>
      <c r="F15" s="408" t="s">
        <v>1320</v>
      </c>
      <c r="G15" s="408" t="s">
        <v>1320</v>
      </c>
      <c r="H15" s="408" t="s">
        <v>1320</v>
      </c>
      <c r="I15" s="408" t="s">
        <v>971</v>
      </c>
      <c r="J15" s="408" t="s">
        <v>2234</v>
      </c>
      <c r="K15" s="827">
        <v>44378</v>
      </c>
      <c r="L15" s="408">
        <v>1200</v>
      </c>
      <c r="M15" s="408">
        <v>1200</v>
      </c>
      <c r="N15" s="408">
        <v>54.167999999999999</v>
      </c>
      <c r="O15" s="408">
        <v>54.167999999999999</v>
      </c>
      <c r="P15" s="408">
        <v>54.167999999999999</v>
      </c>
      <c r="Q15" s="408">
        <v>54.167999999999999</v>
      </c>
      <c r="R15" s="408">
        <v>67.099999999999994</v>
      </c>
      <c r="S15" s="408">
        <v>70.33</v>
      </c>
      <c r="T15" s="408">
        <v>173.82</v>
      </c>
      <c r="U15" s="408">
        <v>80520</v>
      </c>
      <c r="V15" s="408">
        <v>13225.117199999999</v>
      </c>
      <c r="W15" s="408">
        <v>93745.117199999993</v>
      </c>
      <c r="X15" s="408">
        <v>64766.227439999995</v>
      </c>
      <c r="Y15" s="408">
        <v>0</v>
      </c>
      <c r="Z15" s="408">
        <v>2881.7390359655506</v>
      </c>
      <c r="AA15" s="408">
        <v>0</v>
      </c>
      <c r="AB15" s="408">
        <v>0</v>
      </c>
      <c r="AC15" s="408">
        <v>898.10170336085525</v>
      </c>
      <c r="AD15" s="408">
        <v>13700.67976876248</v>
      </c>
      <c r="AE15" s="408">
        <v>57794.157302940846</v>
      </c>
      <c r="AF15" s="408">
        <v>8716.8302380086679</v>
      </c>
      <c r="AG15" s="408">
        <v>438.53683655747056</v>
      </c>
      <c r="AH15" s="408">
        <v>0</v>
      </c>
      <c r="AI15" s="408">
        <v>0</v>
      </c>
      <c r="AJ15" s="408">
        <v>0</v>
      </c>
      <c r="AK15" s="408">
        <v>0</v>
      </c>
      <c r="AL15" s="408">
        <v>511.96867094991899</v>
      </c>
      <c r="AM15" s="408"/>
      <c r="AN15" s="408">
        <v>67.316234698487065</v>
      </c>
      <c r="AO15" s="408">
        <v>1928.760364929756</v>
      </c>
      <c r="AP15" s="408">
        <v>6201.9566025339363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10.10740346255167</v>
      </c>
      <c r="BF15" s="408">
        <v>260.3145258635999</v>
      </c>
      <c r="BG15" s="408">
        <v>338.45410600055891</v>
      </c>
      <c r="BH15" s="408">
        <v>0</v>
      </c>
      <c r="BI15" s="408">
        <v>0</v>
      </c>
      <c r="BJ15" s="408">
        <v>0</v>
      </c>
      <c r="BK15" s="408">
        <v>0</v>
      </c>
      <c r="BL15" s="408">
        <v>0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9325.7062733353778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64766.756099999999</v>
      </c>
      <c r="CJ15" s="408">
        <v>-28978.391099999979</v>
      </c>
      <c r="CK15" s="408"/>
      <c r="CL15" s="408"/>
      <c r="CM15" s="408"/>
      <c r="CN15" s="408"/>
      <c r="CO15" s="408">
        <v>-30126.709679999993</v>
      </c>
      <c r="CP15" s="408">
        <v>1147.8199199999999</v>
      </c>
      <c r="CQ15" s="408">
        <v>31</v>
      </c>
      <c r="CR15" s="408">
        <v>1619.3704898386204</v>
      </c>
      <c r="CS15" s="408">
        <v>187.27044607078801</v>
      </c>
      <c r="CT15" s="408">
        <v>602.17080389378407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-262.69968301452172</v>
      </c>
      <c r="DA15" s="408">
        <v>0</v>
      </c>
      <c r="DB15" s="408">
        <v>0</v>
      </c>
      <c r="DC15" s="408">
        <v>1118.9014999123137</v>
      </c>
      <c r="DD15" s="408">
        <v>33.414246404352696</v>
      </c>
      <c r="DE15" s="408">
        <v>1.2973969419704101</v>
      </c>
      <c r="DF15" s="408">
        <v>0</v>
      </c>
      <c r="DG15" s="408">
        <v>43.444325117659332</v>
      </c>
      <c r="DH15" s="408">
        <v>0</v>
      </c>
      <c r="DI15" s="408">
        <v>-84.220280104913854</v>
      </c>
      <c r="DJ15" s="408"/>
      <c r="DK15" s="408">
        <v>0</v>
      </c>
      <c r="DL15" s="408">
        <v>0</v>
      </c>
      <c r="DM15" s="408">
        <v>-4.8741759874616264</v>
      </c>
      <c r="DN15" s="408">
        <v>0</v>
      </c>
      <c r="DO15" s="408">
        <v>-13.259811740946816</v>
      </c>
      <c r="DP15" s="408">
        <v>-2.0742776544070693</v>
      </c>
      <c r="DQ15" s="408">
        <v>0</v>
      </c>
      <c r="DR15" s="408">
        <v>0</v>
      </c>
      <c r="DS15" s="408"/>
      <c r="DT15" s="408"/>
      <c r="DU15" s="408">
        <v>57794.157302940846</v>
      </c>
      <c r="DV15" s="408">
        <v>0</v>
      </c>
      <c r="DW15" s="408">
        <v>0</v>
      </c>
      <c r="DX15" s="408">
        <v>0</v>
      </c>
      <c r="DY15" s="408">
        <v>-30126.70968</v>
      </c>
      <c r="DZ15" s="408">
        <v>1147.8199199999999</v>
      </c>
      <c r="EA15" s="408">
        <v>0</v>
      </c>
      <c r="EB15" s="408">
        <v>0</v>
      </c>
      <c r="EC15" s="408">
        <v>-30598.942307270285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239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1034</v>
      </c>
      <c r="C16" s="408" t="s">
        <v>2245</v>
      </c>
      <c r="D16" s="408" t="s">
        <v>596</v>
      </c>
      <c r="E16" s="408" t="s">
        <v>968</v>
      </c>
      <c r="F16" s="408" t="s">
        <v>1320</v>
      </c>
      <c r="G16" s="408" t="s">
        <v>1320</v>
      </c>
      <c r="H16" s="408" t="s">
        <v>1320</v>
      </c>
      <c r="I16" s="408" t="s">
        <v>2242</v>
      </c>
      <c r="J16" s="408" t="s">
        <v>2234</v>
      </c>
      <c r="K16" s="827">
        <v>44378</v>
      </c>
      <c r="L16" s="408">
        <v>1200</v>
      </c>
      <c r="M16" s="408">
        <v>1200</v>
      </c>
      <c r="N16" s="408">
        <v>535.59500000000003</v>
      </c>
      <c r="O16" s="408">
        <v>535.59500000000003</v>
      </c>
      <c r="P16" s="408">
        <v>535.59500000000003</v>
      </c>
      <c r="Q16" s="408">
        <v>535.59500000000003</v>
      </c>
      <c r="R16" s="408">
        <v>59.12</v>
      </c>
      <c r="S16" s="408">
        <v>70.33</v>
      </c>
      <c r="T16" s="408">
        <v>173.82</v>
      </c>
      <c r="U16" s="408">
        <v>70944</v>
      </c>
      <c r="V16" s="408">
        <v>130765.51925000001</v>
      </c>
      <c r="W16" s="408">
        <v>201709.51925000001</v>
      </c>
      <c r="X16" s="408">
        <v>182409.82634999999</v>
      </c>
      <c r="Y16" s="408">
        <v>0</v>
      </c>
      <c r="Z16" s="408">
        <v>28493.668198345316</v>
      </c>
      <c r="AA16" s="408">
        <v>0</v>
      </c>
      <c r="AB16" s="408">
        <v>0</v>
      </c>
      <c r="AC16" s="408">
        <v>686.4724360004185</v>
      </c>
      <c r="AD16" s="408">
        <v>6140.4271808585163</v>
      </c>
      <c r="AE16" s="408">
        <v>57794.157302940846</v>
      </c>
      <c r="AF16" s="408">
        <v>86189.091185317026</v>
      </c>
      <c r="AG16" s="408">
        <v>4336.1050246639797</v>
      </c>
      <c r="AH16" s="408">
        <v>0</v>
      </c>
      <c r="AI16" s="408">
        <v>0</v>
      </c>
      <c r="AJ16" s="408">
        <v>0</v>
      </c>
      <c r="AK16" s="408">
        <v>0</v>
      </c>
      <c r="AL16" s="408">
        <v>5062.1743523375771</v>
      </c>
      <c r="AM16" s="408"/>
      <c r="AN16" s="408">
        <v>665.60033088421551</v>
      </c>
      <c r="AO16" s="408">
        <v>1449.6865388280721</v>
      </c>
      <c r="AP16" s="408">
        <v>4873.1854368239283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99.938612419239433</v>
      </c>
      <c r="BF16" s="408">
        <v>2573.9026451025475</v>
      </c>
      <c r="BG16" s="408">
        <v>3346.5205823247925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92209.453025163602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182411.14799999999</v>
      </c>
      <c r="CJ16" s="408">
        <v>-19298.401250000024</v>
      </c>
      <c r="CK16" s="408"/>
      <c r="CL16" s="408"/>
      <c r="CM16" s="408"/>
      <c r="CN16" s="408"/>
      <c r="CO16" s="408">
        <v>-30648.950949999999</v>
      </c>
      <c r="CP16" s="408">
        <v>11349.258049999999</v>
      </c>
      <c r="CQ16" s="408">
        <v>31</v>
      </c>
      <c r="CR16" s="408">
        <v>11299.721092992957</v>
      </c>
      <c r="CS16" s="408">
        <v>140.75540420960397</v>
      </c>
      <c r="CT16" s="408">
        <v>473.15551850471911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-117.73782769987247</v>
      </c>
      <c r="DA16" s="408">
        <v>0</v>
      </c>
      <c r="DB16" s="408">
        <v>0</v>
      </c>
      <c r="DC16" s="408">
        <v>11063.322419981094</v>
      </c>
      <c r="DD16" s="408">
        <v>330.38885140561342</v>
      </c>
      <c r="DE16" s="408">
        <v>12.82822543078278</v>
      </c>
      <c r="DF16" s="408">
        <v>0</v>
      </c>
      <c r="DG16" s="408">
        <v>429.56290266195447</v>
      </c>
      <c r="DH16" s="408">
        <v>0</v>
      </c>
      <c r="DI16" s="408">
        <v>-832.74185723658229</v>
      </c>
      <c r="DJ16" s="408"/>
      <c r="DK16" s="408">
        <v>0</v>
      </c>
      <c r="DL16" s="408">
        <v>0</v>
      </c>
      <c r="DM16" s="408">
        <v>-48.194215920922034</v>
      </c>
      <c r="DN16" s="408">
        <v>0</v>
      </c>
      <c r="DO16" s="408">
        <v>-131.10856722405151</v>
      </c>
      <c r="DP16" s="408">
        <v>-20.509761119335394</v>
      </c>
      <c r="DQ16" s="408">
        <v>0</v>
      </c>
      <c r="DR16" s="408">
        <v>0</v>
      </c>
      <c r="DS16" s="408"/>
      <c r="DT16" s="408"/>
      <c r="DU16" s="408">
        <v>57794.157302940846</v>
      </c>
      <c r="DV16" s="408">
        <v>0</v>
      </c>
      <c r="DW16" s="408">
        <v>0</v>
      </c>
      <c r="DX16" s="408">
        <v>0</v>
      </c>
      <c r="DY16" s="408">
        <v>-30648.950949999999</v>
      </c>
      <c r="DZ16" s="408">
        <v>11349.258050000004</v>
      </c>
      <c r="EA16" s="408">
        <v>0</v>
      </c>
      <c r="EB16" s="408">
        <v>0</v>
      </c>
      <c r="EC16" s="408">
        <v>-30598.942307270285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239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1034</v>
      </c>
      <c r="C17" s="408" t="s">
        <v>2245</v>
      </c>
      <c r="D17" s="408" t="s">
        <v>596</v>
      </c>
      <c r="E17" s="408" t="s">
        <v>968</v>
      </c>
      <c r="F17" s="408" t="s">
        <v>1320</v>
      </c>
      <c r="G17" s="408" t="s">
        <v>1320</v>
      </c>
      <c r="H17" s="408" t="s">
        <v>1320</v>
      </c>
      <c r="I17" s="408" t="s">
        <v>1320</v>
      </c>
      <c r="J17" s="408" t="s">
        <v>2234</v>
      </c>
      <c r="K17" s="827">
        <v>44378</v>
      </c>
      <c r="L17" s="408">
        <v>0</v>
      </c>
      <c r="M17" s="408">
        <v>0</v>
      </c>
      <c r="N17" s="408">
        <v>0</v>
      </c>
      <c r="O17" s="408">
        <v>0</v>
      </c>
      <c r="P17" s="408">
        <v>0</v>
      </c>
      <c r="Q17" s="408">
        <v>0</v>
      </c>
      <c r="R17" s="408"/>
      <c r="S17" s="408"/>
      <c r="T17" s="408"/>
      <c r="U17" s="408"/>
      <c r="V17" s="408"/>
      <c r="W17" s="408"/>
      <c r="X17" s="408"/>
      <c r="Y17" s="408"/>
      <c r="Z17" s="408"/>
      <c r="AA17" s="408">
        <v>0</v>
      </c>
      <c r="AB17" s="408"/>
      <c r="AC17" s="408"/>
      <c r="AD17" s="408"/>
      <c r="AE17" s="408"/>
      <c r="AF17" s="408"/>
      <c r="AG17" s="408"/>
      <c r="AH17" s="408"/>
      <c r="AI17" s="408"/>
      <c r="AJ17" s="408"/>
      <c r="AK17" s="408"/>
      <c r="AL17" s="408"/>
      <c r="AM17" s="408"/>
      <c r="AN17" s="408"/>
      <c r="AO17" s="408"/>
      <c r="AP17" s="408"/>
      <c r="AQ17" s="408"/>
      <c r="AR17" s="408"/>
      <c r="AS17" s="408"/>
      <c r="AT17" s="408"/>
      <c r="AU17" s="408"/>
      <c r="AV17" s="408"/>
      <c r="AW17" s="408"/>
      <c r="AX17" s="408"/>
      <c r="AY17" s="408"/>
      <c r="AZ17" s="408">
        <v>0</v>
      </c>
      <c r="BA17" s="408"/>
      <c r="BB17" s="408"/>
      <c r="BC17" s="408"/>
      <c r="BD17" s="408"/>
      <c r="BE17" s="408"/>
      <c r="BF17" s="408"/>
      <c r="BG17" s="408"/>
      <c r="BH17" s="408"/>
      <c r="BI17" s="408">
        <v>0</v>
      </c>
      <c r="BJ17" s="408">
        <v>0</v>
      </c>
      <c r="BK17" s="408">
        <v>65520.69</v>
      </c>
      <c r="BL17" s="408">
        <v>1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/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/>
      <c r="CJ17" s="408">
        <v>-0.03</v>
      </c>
      <c r="CK17" s="408"/>
      <c r="CL17" s="408"/>
      <c r="CM17" s="408"/>
      <c r="CN17" s="408"/>
      <c r="CO17" s="408">
        <v>0</v>
      </c>
      <c r="CP17" s="408">
        <v>0</v>
      </c>
      <c r="CQ17" s="408">
        <v>31</v>
      </c>
      <c r="CR17" s="408"/>
      <c r="CS17" s="408"/>
      <c r="CT17" s="408"/>
      <c r="CU17" s="408"/>
      <c r="CV17" s="408"/>
      <c r="CW17" s="408"/>
      <c r="CX17" s="408"/>
      <c r="CY17" s="408"/>
      <c r="CZ17" s="408"/>
      <c r="DA17" s="408"/>
      <c r="DB17" s="408"/>
      <c r="DC17" s="408"/>
      <c r="DD17" s="408"/>
      <c r="DE17" s="408"/>
      <c r="DF17" s="408"/>
      <c r="DG17" s="408"/>
      <c r="DH17" s="408"/>
      <c r="DI17" s="408"/>
      <c r="DJ17" s="408"/>
      <c r="DK17" s="408">
        <v>0</v>
      </c>
      <c r="DL17" s="408"/>
      <c r="DM17" s="408"/>
      <c r="DN17" s="408"/>
      <c r="DO17" s="408"/>
      <c r="DP17" s="408"/>
      <c r="DQ17" s="408"/>
      <c r="DR17" s="408"/>
      <c r="DS17" s="408"/>
      <c r="DT17" s="408"/>
      <c r="DU17" s="408"/>
      <c r="DV17" s="408"/>
      <c r="DW17" s="408"/>
      <c r="DX17" s="408"/>
      <c r="DY17" s="408"/>
      <c r="DZ17" s="408"/>
      <c r="EA17" s="408"/>
      <c r="EB17" s="408"/>
      <c r="EC17" s="408"/>
      <c r="ED17" s="408"/>
      <c r="EE17" s="408"/>
      <c r="EF17" s="408"/>
      <c r="EG17" s="408"/>
      <c r="EH17" s="408"/>
      <c r="EI17" s="408"/>
      <c r="EJ17" s="408"/>
      <c r="EK17" s="408"/>
      <c r="EL17" s="408"/>
      <c r="EM17" s="408"/>
      <c r="EN17" s="408"/>
      <c r="EO17" s="408"/>
      <c r="EP17" s="408"/>
      <c r="EQ17" s="408"/>
      <c r="ER17" s="408"/>
      <c r="ES17" s="408"/>
      <c r="ET17" s="408"/>
      <c r="EU17" s="408"/>
      <c r="EV17" s="408">
        <v>239</v>
      </c>
      <c r="EW17" s="408"/>
      <c r="EX17" s="408"/>
      <c r="EY17" s="408"/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1034</v>
      </c>
      <c r="C18" s="408" t="s">
        <v>2241</v>
      </c>
      <c r="D18" s="408" t="s">
        <v>596</v>
      </c>
      <c r="E18" s="408" t="s">
        <v>968</v>
      </c>
      <c r="F18" s="408" t="s">
        <v>1320</v>
      </c>
      <c r="G18" s="408" t="s">
        <v>1320</v>
      </c>
      <c r="H18" s="408" t="s">
        <v>1320</v>
      </c>
      <c r="I18" s="408" t="s">
        <v>971</v>
      </c>
      <c r="J18" s="408" t="s">
        <v>2234</v>
      </c>
      <c r="K18" s="827">
        <v>44378</v>
      </c>
      <c r="L18" s="408">
        <v>0</v>
      </c>
      <c r="M18" s="408">
        <v>0</v>
      </c>
      <c r="N18" s="408">
        <v>34.345999999999997</v>
      </c>
      <c r="O18" s="408">
        <v>34.345999999999997</v>
      </c>
      <c r="P18" s="408">
        <v>34.345999999999997</v>
      </c>
      <c r="Q18" s="408">
        <v>34.345999999999997</v>
      </c>
      <c r="R18" s="408"/>
      <c r="S18" s="408">
        <v>1684.16</v>
      </c>
      <c r="T18" s="408">
        <v>173.82</v>
      </c>
      <c r="U18" s="408"/>
      <c r="V18" s="408">
        <v>63814.181079999995</v>
      </c>
      <c r="W18" s="408">
        <v>63814.181079999995</v>
      </c>
      <c r="X18" s="408">
        <v>43806.949159999996</v>
      </c>
      <c r="Y18" s="408">
        <v>0</v>
      </c>
      <c r="Z18" s="408">
        <v>1827.208110494624</v>
      </c>
      <c r="AA18" s="408">
        <v>0</v>
      </c>
      <c r="AB18" s="408">
        <v>0</v>
      </c>
      <c r="AC18" s="408">
        <v>618.20738758247205</v>
      </c>
      <c r="AD18" s="408">
        <v>9430.9283236173433</v>
      </c>
      <c r="AE18" s="408">
        <v>39782.712676453593</v>
      </c>
      <c r="AF18" s="408">
        <v>5527.0316673062634</v>
      </c>
      <c r="AG18" s="408">
        <v>278.06059275592384</v>
      </c>
      <c r="AH18" s="408">
        <v>0</v>
      </c>
      <c r="AI18" s="408">
        <v>0</v>
      </c>
      <c r="AJ18" s="408">
        <v>0</v>
      </c>
      <c r="AK18" s="408">
        <v>0</v>
      </c>
      <c r="AL18" s="408">
        <v>324.62110420259035</v>
      </c>
      <c r="AM18" s="408"/>
      <c r="AN18" s="408">
        <v>42.682827443402687</v>
      </c>
      <c r="AO18" s="408">
        <v>1327.6839090841893</v>
      </c>
      <c r="AP18" s="408">
        <v>4269.1621544672826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6.4087446338206986</v>
      </c>
      <c r="BF18" s="408">
        <v>165.05617163844337</v>
      </c>
      <c r="BG18" s="408">
        <v>214.60169702952288</v>
      </c>
      <c r="BH18" s="408">
        <v>0</v>
      </c>
      <c r="BI18" s="408">
        <v>0</v>
      </c>
      <c r="BJ18" s="408">
        <v>0</v>
      </c>
      <c r="BK18" s="408">
        <v>0</v>
      </c>
      <c r="BL18" s="408">
        <v>0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5913.098280608051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43812.051000000007</v>
      </c>
      <c r="CJ18" s="408">
        <v>-20002.160079999994</v>
      </c>
      <c r="CK18" s="408"/>
      <c r="CL18" s="408"/>
      <c r="CM18" s="408"/>
      <c r="CN18" s="408"/>
      <c r="CO18" s="408">
        <v>-20735.023659999999</v>
      </c>
      <c r="CP18" s="408">
        <v>727.79173999999989</v>
      </c>
      <c r="CQ18" s="408">
        <v>31</v>
      </c>
      <c r="CR18" s="408">
        <v>1055.3849065463583</v>
      </c>
      <c r="CS18" s="408">
        <v>128.90971963967081</v>
      </c>
      <c r="CT18" s="408">
        <v>414.50867383657805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-180.83058088814687</v>
      </c>
      <c r="DA18" s="408">
        <v>0</v>
      </c>
      <c r="DB18" s="408">
        <v>0</v>
      </c>
      <c r="DC18" s="408">
        <v>709.4555995419496</v>
      </c>
      <c r="DD18" s="408">
        <v>21.186783839238984</v>
      </c>
      <c r="DE18" s="408">
        <v>0.82263320353189506</v>
      </c>
      <c r="DF18" s="408">
        <v>0</v>
      </c>
      <c r="DG18" s="408">
        <v>27.546499602922893</v>
      </c>
      <c r="DH18" s="408">
        <v>0</v>
      </c>
      <c r="DI18" s="408">
        <v>-53.401080720782829</v>
      </c>
      <c r="DJ18" s="408"/>
      <c r="DK18" s="408">
        <v>0</v>
      </c>
      <c r="DL18" s="408">
        <v>0</v>
      </c>
      <c r="DM18" s="408">
        <v>-3.0905414352635603</v>
      </c>
      <c r="DN18" s="408">
        <v>0</v>
      </c>
      <c r="DO18" s="408">
        <v>-8.4075744730201905</v>
      </c>
      <c r="DP18" s="408">
        <v>-1.3152256003224352</v>
      </c>
      <c r="DQ18" s="408">
        <v>0</v>
      </c>
      <c r="DR18" s="408">
        <v>0</v>
      </c>
      <c r="DS18" s="408"/>
      <c r="DT18" s="408"/>
      <c r="DU18" s="408"/>
      <c r="DV18" s="408">
        <v>39782.712676453593</v>
      </c>
      <c r="DW18" s="408">
        <v>0</v>
      </c>
      <c r="DX18" s="408">
        <v>0</v>
      </c>
      <c r="DY18" s="408">
        <v>-20735.023659999999</v>
      </c>
      <c r="DZ18" s="408">
        <v>727.79174000000057</v>
      </c>
      <c r="EA18" s="408">
        <v>0</v>
      </c>
      <c r="EB18" s="408">
        <v>0</v>
      </c>
      <c r="EC18" s="408">
        <v>-21062.837262817371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239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1034</v>
      </c>
      <c r="C19" s="408" t="s">
        <v>2241</v>
      </c>
      <c r="D19" s="408" t="s">
        <v>596</v>
      </c>
      <c r="E19" s="408" t="s">
        <v>968</v>
      </c>
      <c r="F19" s="408" t="s">
        <v>1320</v>
      </c>
      <c r="G19" s="408" t="s">
        <v>1320</v>
      </c>
      <c r="H19" s="408" t="s">
        <v>1320</v>
      </c>
      <c r="I19" s="408" t="s">
        <v>2242</v>
      </c>
      <c r="J19" s="408" t="s">
        <v>2234</v>
      </c>
      <c r="K19" s="827">
        <v>44378</v>
      </c>
      <c r="L19" s="408">
        <v>0</v>
      </c>
      <c r="M19" s="408">
        <v>0</v>
      </c>
      <c r="N19" s="408">
        <v>885.33399999999995</v>
      </c>
      <c r="O19" s="408">
        <v>885.33399999999995</v>
      </c>
      <c r="P19" s="408">
        <v>885.33399999999995</v>
      </c>
      <c r="Q19" s="408">
        <v>885.33399999999995</v>
      </c>
      <c r="R19" s="408"/>
      <c r="S19" s="408">
        <v>70.33</v>
      </c>
      <c r="T19" s="408">
        <v>173.82</v>
      </c>
      <c r="U19" s="408"/>
      <c r="V19" s="408">
        <v>216154.29609999998</v>
      </c>
      <c r="W19" s="408">
        <v>216154.29609999998</v>
      </c>
      <c r="X19" s="408">
        <v>234020.33621999997</v>
      </c>
      <c r="Y19" s="408">
        <v>0</v>
      </c>
      <c r="Z19" s="408">
        <v>47099.792269744583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142469.83794744435</v>
      </c>
      <c r="AG19" s="408">
        <v>7167.5448910200048</v>
      </c>
      <c r="AH19" s="408">
        <v>0</v>
      </c>
      <c r="AI19" s="408">
        <v>0</v>
      </c>
      <c r="AJ19" s="408">
        <v>0</v>
      </c>
      <c r="AK19" s="408">
        <v>0</v>
      </c>
      <c r="AL19" s="408">
        <v>8367.7313418766716</v>
      </c>
      <c r="AM19" s="408"/>
      <c r="AN19" s="408">
        <v>1100.2317111680393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165.19768012691478</v>
      </c>
      <c r="BF19" s="408">
        <v>4254.6392785579001</v>
      </c>
      <c r="BG19" s="408">
        <v>5531.7701868612248</v>
      </c>
      <c r="BH19" s="408">
        <v>0</v>
      </c>
      <c r="BI19" s="408">
        <v>0</v>
      </c>
      <c r="BJ19" s="408">
        <v>0</v>
      </c>
      <c r="BK19" s="408">
        <v>0</v>
      </c>
      <c r="BL19" s="408">
        <v>0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152421.44509299038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234019.27889999998</v>
      </c>
      <c r="CJ19" s="408">
        <v>17864.95279999997</v>
      </c>
      <c r="CK19" s="408"/>
      <c r="CL19" s="408"/>
      <c r="CM19" s="408"/>
      <c r="CN19" s="408"/>
      <c r="CO19" s="408">
        <v>-894.1873400000045</v>
      </c>
      <c r="CP19" s="408">
        <v>18760.227459999998</v>
      </c>
      <c r="CQ19" s="408">
        <v>31</v>
      </c>
      <c r="CR19" s="408">
        <v>17858.173364654911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0</v>
      </c>
      <c r="DA19" s="408">
        <v>0</v>
      </c>
      <c r="DB19" s="408">
        <v>0</v>
      </c>
      <c r="DC19" s="408">
        <v>18287.578284658259</v>
      </c>
      <c r="DD19" s="408">
        <v>546.12997389881821</v>
      </c>
      <c r="DE19" s="408">
        <v>21.204948017693681</v>
      </c>
      <c r="DF19" s="408">
        <v>0</v>
      </c>
      <c r="DG19" s="408">
        <v>710.06384089716721</v>
      </c>
      <c r="DH19" s="408">
        <v>0</v>
      </c>
      <c r="DI19" s="408">
        <v>-1376.5152390046424</v>
      </c>
      <c r="DJ19" s="408"/>
      <c r="DK19" s="408">
        <v>0</v>
      </c>
      <c r="DL19" s="408">
        <v>0</v>
      </c>
      <c r="DM19" s="408">
        <v>-79.664630846317777</v>
      </c>
      <c r="DN19" s="408">
        <v>0</v>
      </c>
      <c r="DO19" s="408">
        <v>-216.7213514964451</v>
      </c>
      <c r="DP19" s="408">
        <v>-33.902461469628633</v>
      </c>
      <c r="DQ19" s="408">
        <v>0</v>
      </c>
      <c r="DR19" s="408">
        <v>0</v>
      </c>
      <c r="DS19" s="408"/>
      <c r="DT19" s="408"/>
      <c r="DU19" s="408"/>
      <c r="DV19" s="408">
        <v>0</v>
      </c>
      <c r="DW19" s="408">
        <v>0</v>
      </c>
      <c r="DX19" s="408">
        <v>0</v>
      </c>
      <c r="DY19" s="408">
        <v>-894.18734000000404</v>
      </c>
      <c r="DZ19" s="408">
        <v>18760.227459999995</v>
      </c>
      <c r="EA19" s="408">
        <v>0</v>
      </c>
      <c r="EB19" s="408">
        <v>0</v>
      </c>
      <c r="EC19" s="408">
        <v>0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239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1034</v>
      </c>
      <c r="C20" s="408" t="s">
        <v>2241</v>
      </c>
      <c r="D20" s="408" t="s">
        <v>596</v>
      </c>
      <c r="E20" s="408" t="s">
        <v>968</v>
      </c>
      <c r="F20" s="408" t="s">
        <v>1320</v>
      </c>
      <c r="G20" s="408" t="s">
        <v>1320</v>
      </c>
      <c r="H20" s="408" t="s">
        <v>1320</v>
      </c>
      <c r="I20" s="408" t="s">
        <v>1320</v>
      </c>
      <c r="J20" s="408" t="s">
        <v>2234</v>
      </c>
      <c r="K20" s="827">
        <v>44378</v>
      </c>
      <c r="L20" s="408">
        <v>5083</v>
      </c>
      <c r="M20" s="408">
        <v>5083</v>
      </c>
      <c r="N20" s="408">
        <v>0</v>
      </c>
      <c r="O20" s="408">
        <v>0</v>
      </c>
      <c r="P20" s="408">
        <v>0</v>
      </c>
      <c r="Q20" s="408">
        <v>0</v>
      </c>
      <c r="R20" s="408">
        <v>59.12</v>
      </c>
      <c r="S20" s="408"/>
      <c r="T20" s="408"/>
      <c r="U20" s="408">
        <v>300506.95999999996</v>
      </c>
      <c r="V20" s="408"/>
      <c r="W20" s="408">
        <v>300506.95999999996</v>
      </c>
      <c r="X20" s="408">
        <v>172974.49000000002</v>
      </c>
      <c r="Y20" s="408">
        <v>0</v>
      </c>
      <c r="Z20" s="408">
        <v>0</v>
      </c>
      <c r="AA20" s="408">
        <v>0</v>
      </c>
      <c r="AB20" s="408">
        <v>0</v>
      </c>
      <c r="AC20" s="408">
        <v>2907.782826825106</v>
      </c>
      <c r="AD20" s="408">
        <v>26009.826133586532</v>
      </c>
      <c r="AE20" s="408">
        <v>244806.41797570692</v>
      </c>
      <c r="AF20" s="408"/>
      <c r="AG20" s="408"/>
      <c r="AH20" s="408"/>
      <c r="AI20" s="408">
        <v>0</v>
      </c>
      <c r="AJ20" s="408">
        <v>0</v>
      </c>
      <c r="AK20" s="408">
        <v>0</v>
      </c>
      <c r="AL20" s="408">
        <v>0</v>
      </c>
      <c r="AM20" s="408"/>
      <c r="AN20" s="408">
        <v>0</v>
      </c>
      <c r="AO20" s="408">
        <v>6140.6305640525752</v>
      </c>
      <c r="AP20" s="408">
        <v>20642.001312813354</v>
      </c>
      <c r="AQ20" s="408">
        <v>0</v>
      </c>
      <c r="AR20" s="408">
        <v>0</v>
      </c>
      <c r="AS20" s="408"/>
      <c r="AT20" s="408"/>
      <c r="AU20" s="408">
        <v>0</v>
      </c>
      <c r="AV20" s="408">
        <v>0</v>
      </c>
      <c r="AW20" s="408">
        <v>0</v>
      </c>
      <c r="AX20" s="408"/>
      <c r="AY20" s="408"/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/>
      <c r="BG20" s="408">
        <v>0</v>
      </c>
      <c r="BH20" s="408">
        <v>0</v>
      </c>
      <c r="BI20" s="408">
        <v>0</v>
      </c>
      <c r="BJ20" s="408">
        <v>0</v>
      </c>
      <c r="BK20" s="408">
        <v>117131.8</v>
      </c>
      <c r="BL20" s="408">
        <v>26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0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172974.49000000002</v>
      </c>
      <c r="CJ20" s="408">
        <v>-127532.49999999997</v>
      </c>
      <c r="CK20" s="408"/>
      <c r="CL20" s="408"/>
      <c r="CM20" s="408"/>
      <c r="CN20" s="408"/>
      <c r="CO20" s="408">
        <v>-127532.46999999999</v>
      </c>
      <c r="CP20" s="408">
        <v>0</v>
      </c>
      <c r="CQ20" s="408">
        <v>31</v>
      </c>
      <c r="CR20" s="408">
        <v>2101.7065349653858</v>
      </c>
      <c r="CS20" s="408">
        <v>596.21643299784773</v>
      </c>
      <c r="CT20" s="408">
        <v>2004.2079171329096</v>
      </c>
      <c r="CU20" s="408">
        <v>0</v>
      </c>
      <c r="CV20" s="408">
        <v>0</v>
      </c>
      <c r="CW20" s="408"/>
      <c r="CX20" s="408"/>
      <c r="CY20" s="408"/>
      <c r="CZ20" s="408">
        <v>-498.71781516537521</v>
      </c>
      <c r="DA20" s="408">
        <v>0</v>
      </c>
      <c r="DB20" s="408">
        <v>0</v>
      </c>
      <c r="DC20" s="408"/>
      <c r="DD20" s="408"/>
      <c r="DE20" s="408">
        <v>0</v>
      </c>
      <c r="DF20" s="408">
        <v>0</v>
      </c>
      <c r="DG20" s="408">
        <v>0</v>
      </c>
      <c r="DH20" s="408">
        <v>0</v>
      </c>
      <c r="DI20" s="408">
        <v>0</v>
      </c>
      <c r="DJ20" s="408"/>
      <c r="DK20" s="408">
        <v>0</v>
      </c>
      <c r="DL20" s="408">
        <v>0</v>
      </c>
      <c r="DM20" s="408"/>
      <c r="DN20" s="408">
        <v>0</v>
      </c>
      <c r="DO20" s="408">
        <v>0</v>
      </c>
      <c r="DP20" s="408">
        <v>0</v>
      </c>
      <c r="DQ20" s="408">
        <v>0</v>
      </c>
      <c r="DR20" s="408">
        <v>0</v>
      </c>
      <c r="DS20" s="408"/>
      <c r="DT20" s="408"/>
      <c r="DU20" s="408">
        <v>244806.41797570692</v>
      </c>
      <c r="DV20" s="408"/>
      <c r="DW20" s="408">
        <v>0</v>
      </c>
      <c r="DX20" s="408">
        <v>0</v>
      </c>
      <c r="DY20" s="408">
        <v>-127532.46999999994</v>
      </c>
      <c r="DZ20" s="408"/>
      <c r="EA20" s="408">
        <v>0</v>
      </c>
      <c r="EB20" s="408"/>
      <c r="EC20" s="408">
        <v>-129612.01978987904</v>
      </c>
      <c r="ED20" s="408"/>
      <c r="EE20" s="408">
        <v>0</v>
      </c>
      <c r="EF20" s="408">
        <v>0</v>
      </c>
      <c r="EG20" s="408"/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/>
      <c r="EN20" s="408"/>
      <c r="EO20" s="408">
        <v>0</v>
      </c>
      <c r="EP20" s="408">
        <v>0</v>
      </c>
      <c r="EQ20" s="408"/>
      <c r="ER20" s="408">
        <v>0</v>
      </c>
      <c r="ES20" s="408"/>
      <c r="ET20" s="408">
        <v>0</v>
      </c>
      <c r="EU20" s="408"/>
      <c r="EV20" s="408">
        <v>239</v>
      </c>
      <c r="EW20" s="408"/>
      <c r="EX20" s="408"/>
      <c r="EY20" s="408"/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1034</v>
      </c>
      <c r="C21" s="408" t="s">
        <v>2233</v>
      </c>
      <c r="D21" s="408" t="s">
        <v>1956</v>
      </c>
      <c r="E21" s="408" t="s">
        <v>996</v>
      </c>
      <c r="F21" s="408" t="s">
        <v>1320</v>
      </c>
      <c r="G21" s="408" t="s">
        <v>1320</v>
      </c>
      <c r="H21" s="408" t="s">
        <v>1320</v>
      </c>
      <c r="I21" s="408" t="s">
        <v>1320</v>
      </c>
      <c r="J21" s="408" t="s">
        <v>2234</v>
      </c>
      <c r="K21" s="827">
        <v>44378</v>
      </c>
      <c r="L21" s="408">
        <v>0</v>
      </c>
      <c r="M21" s="408">
        <v>0</v>
      </c>
      <c r="N21" s="408">
        <v>362.012</v>
      </c>
      <c r="O21" s="408">
        <v>362.012</v>
      </c>
      <c r="P21" s="408">
        <v>362.012</v>
      </c>
      <c r="Q21" s="408">
        <v>362.012</v>
      </c>
      <c r="R21" s="408"/>
      <c r="S21" s="408">
        <v>516.83000000000004</v>
      </c>
      <c r="T21" s="408">
        <v>173.82</v>
      </c>
      <c r="U21" s="408"/>
      <c r="V21" s="408">
        <v>250023.58780000004</v>
      </c>
      <c r="W21" s="408">
        <v>250023.58780000004</v>
      </c>
      <c r="X21" s="408">
        <v>188771.1574</v>
      </c>
      <c r="Y21" s="408">
        <v>0</v>
      </c>
      <c r="Z21" s="408">
        <v>22136.836777873676</v>
      </c>
      <c r="AA21" s="408">
        <v>0</v>
      </c>
      <c r="AB21" s="408">
        <v>0</v>
      </c>
      <c r="AC21" s="408">
        <v>984.1093758963757</v>
      </c>
      <c r="AD21" s="408">
        <v>12462.846490326156</v>
      </c>
      <c r="AE21" s="408">
        <v>131633.28123988703</v>
      </c>
      <c r="AF21" s="408">
        <v>58255.744131627413</v>
      </c>
      <c r="AG21" s="408">
        <v>2930.800422312861</v>
      </c>
      <c r="AH21" s="408">
        <v>0</v>
      </c>
      <c r="AI21" s="408">
        <v>0</v>
      </c>
      <c r="AJ21" s="408">
        <v>0</v>
      </c>
      <c r="AK21" s="408">
        <v>0</v>
      </c>
      <c r="AL21" s="408">
        <v>3421.555208018056</v>
      </c>
      <c r="AM21" s="408"/>
      <c r="AN21" s="408">
        <v>561.67681339928595</v>
      </c>
      <c r="AO21" s="408">
        <v>2099.1279500923788</v>
      </c>
      <c r="AP21" s="408">
        <v>6874.3602100726412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200.84882512426702</v>
      </c>
      <c r="BF21" s="408">
        <v>1739.7168464210147</v>
      </c>
      <c r="BG21" s="408">
        <v>6725.5759405032177</v>
      </c>
      <c r="BH21" s="408">
        <v>0</v>
      </c>
      <c r="BI21" s="408">
        <v>0</v>
      </c>
      <c r="BJ21" s="408">
        <v>0</v>
      </c>
      <c r="BK21" s="408">
        <v>103195.43</v>
      </c>
      <c r="BL21" s="408">
        <v>524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66921.885743675914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188770.1145</v>
      </c>
      <c r="CJ21" s="408">
        <v>-61253.503300000069</v>
      </c>
      <c r="CK21" s="408"/>
      <c r="CL21" s="408"/>
      <c r="CM21" s="408"/>
      <c r="CN21" s="408"/>
      <c r="CO21" s="408">
        <v>-68923.464680000019</v>
      </c>
      <c r="CP21" s="408">
        <v>7671.0342799999989</v>
      </c>
      <c r="CQ21" s="408">
        <v>31</v>
      </c>
      <c r="CR21" s="408">
        <v>8437.0078736190771</v>
      </c>
      <c r="CS21" s="408">
        <v>203.81206225574078</v>
      </c>
      <c r="CT21" s="408">
        <v>667.4569461294459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-238.96521031990596</v>
      </c>
      <c r="DA21" s="408">
        <v>0</v>
      </c>
      <c r="DB21" s="408">
        <v>0</v>
      </c>
      <c r="DC21" s="408">
        <v>7477.7686048267715</v>
      </c>
      <c r="DD21" s="408">
        <v>223.31188467974675</v>
      </c>
      <c r="DE21" s="408">
        <v>25.781166496423253</v>
      </c>
      <c r="DF21" s="408">
        <v>0</v>
      </c>
      <c r="DG21" s="408">
        <v>863.30200338076702</v>
      </c>
      <c r="DH21" s="408">
        <v>0</v>
      </c>
      <c r="DI21" s="408">
        <v>-646.96024546322587</v>
      </c>
      <c r="DJ21" s="408"/>
      <c r="DK21" s="408">
        <v>0</v>
      </c>
      <c r="DL21" s="408">
        <v>0</v>
      </c>
      <c r="DM21" s="408">
        <v>-32.574771037752726</v>
      </c>
      <c r="DN21" s="408">
        <v>0</v>
      </c>
      <c r="DO21" s="408">
        <v>-88.617098064607035</v>
      </c>
      <c r="DP21" s="408">
        <v>-17.307469264301403</v>
      </c>
      <c r="DQ21" s="408">
        <v>0</v>
      </c>
      <c r="DR21" s="408">
        <v>0</v>
      </c>
      <c r="DS21" s="408"/>
      <c r="DT21" s="408"/>
      <c r="DU21" s="408"/>
      <c r="DV21" s="408">
        <v>131633.28123988703</v>
      </c>
      <c r="DW21" s="408">
        <v>0</v>
      </c>
      <c r="DX21" s="408">
        <v>0</v>
      </c>
      <c r="DY21" s="408">
        <v>-68923.464680000034</v>
      </c>
      <c r="DZ21" s="408">
        <v>7671.0342800000071</v>
      </c>
      <c r="EA21" s="408">
        <v>0</v>
      </c>
      <c r="EB21" s="408">
        <v>0</v>
      </c>
      <c r="EC21" s="408">
        <v>-69692.843815736822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239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2236</v>
      </c>
      <c r="C22" s="408" t="s">
        <v>2233</v>
      </c>
      <c r="D22" s="408" t="s">
        <v>1956</v>
      </c>
      <c r="E22" s="408" t="s">
        <v>996</v>
      </c>
      <c r="F22" s="408" t="s">
        <v>1320</v>
      </c>
      <c r="G22" s="408" t="s">
        <v>1320</v>
      </c>
      <c r="H22" s="408" t="s">
        <v>1320</v>
      </c>
      <c r="I22" s="408" t="s">
        <v>1320</v>
      </c>
      <c r="J22" s="408" t="s">
        <v>2234</v>
      </c>
      <c r="K22" s="827">
        <v>44378</v>
      </c>
      <c r="L22" s="408">
        <v>0</v>
      </c>
      <c r="M22" s="408">
        <v>0</v>
      </c>
      <c r="N22" s="408">
        <v>30.004999999999999</v>
      </c>
      <c r="O22" s="408">
        <v>30.004999999999999</v>
      </c>
      <c r="P22" s="408">
        <v>30.004999999999999</v>
      </c>
      <c r="Q22" s="408">
        <v>30.004999999999999</v>
      </c>
      <c r="R22" s="408"/>
      <c r="S22" s="408">
        <v>516.83000000000004</v>
      </c>
      <c r="T22" s="408">
        <v>173.82</v>
      </c>
      <c r="U22" s="408"/>
      <c r="V22" s="408">
        <v>20722.953249999999</v>
      </c>
      <c r="W22" s="408">
        <v>20722.953249999999</v>
      </c>
      <c r="X22" s="408">
        <v>15646.107249999997</v>
      </c>
      <c r="Y22" s="408">
        <v>0</v>
      </c>
      <c r="Z22" s="408">
        <v>1834.789420019501</v>
      </c>
      <c r="AA22" s="408">
        <v>0</v>
      </c>
      <c r="AB22" s="408">
        <v>0</v>
      </c>
      <c r="AC22" s="408">
        <v>81.566914422093049</v>
      </c>
      <c r="AD22" s="408">
        <v>1032.9704787195901</v>
      </c>
      <c r="AE22" s="408">
        <v>10910.291933976803</v>
      </c>
      <c r="AF22" s="408">
        <v>4828.4686769208765</v>
      </c>
      <c r="AG22" s="408">
        <v>242.91644108896219</v>
      </c>
      <c r="AH22" s="408">
        <v>0</v>
      </c>
      <c r="AI22" s="408">
        <v>0</v>
      </c>
      <c r="AJ22" s="408">
        <v>0</v>
      </c>
      <c r="AK22" s="408">
        <v>0</v>
      </c>
      <c r="AL22" s="408">
        <v>283.5921572118653</v>
      </c>
      <c r="AM22" s="408"/>
      <c r="AN22" s="408">
        <v>46.554016955364943</v>
      </c>
      <c r="AO22" s="408">
        <v>173.98410589295887</v>
      </c>
      <c r="AP22" s="408">
        <v>569.77442212752499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16.647152574648441</v>
      </c>
      <c r="BF22" s="408">
        <v>144.19467856552419</v>
      </c>
      <c r="BG22" s="408">
        <v>557.44258780040172</v>
      </c>
      <c r="BH22" s="408">
        <v>0</v>
      </c>
      <c r="BI22" s="408">
        <v>0</v>
      </c>
      <c r="BJ22" s="408">
        <v>0</v>
      </c>
      <c r="BK22" s="408">
        <v>12241.78</v>
      </c>
      <c r="BL22" s="408">
        <v>32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5546.7530958614516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15648.714500000002</v>
      </c>
      <c r="CJ22" s="408">
        <v>-5074.2687499999956</v>
      </c>
      <c r="CK22" s="408"/>
      <c r="CL22" s="408"/>
      <c r="CM22" s="408"/>
      <c r="CN22" s="408"/>
      <c r="CO22" s="408">
        <v>-5712.6519500000013</v>
      </c>
      <c r="CP22" s="408">
        <v>635.80594999999994</v>
      </c>
      <c r="CQ22" s="408">
        <v>31</v>
      </c>
      <c r="CR22" s="408">
        <v>699.29289981531474</v>
      </c>
      <c r="CS22" s="408">
        <v>16.892757499705823</v>
      </c>
      <c r="CT22" s="408">
        <v>55.321496714512364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-19.806390770606413</v>
      </c>
      <c r="DA22" s="408">
        <v>0</v>
      </c>
      <c r="DB22" s="408">
        <v>0</v>
      </c>
      <c r="DC22" s="408">
        <v>619.78731917126333</v>
      </c>
      <c r="DD22" s="408">
        <v>18.508980641016876</v>
      </c>
      <c r="DE22" s="408">
        <v>2.1368460181573532</v>
      </c>
      <c r="DF22" s="408">
        <v>0</v>
      </c>
      <c r="DG22" s="408">
        <v>71.553917028827527</v>
      </c>
      <c r="DH22" s="408">
        <v>0</v>
      </c>
      <c r="DI22" s="408">
        <v>-53.622648324155307</v>
      </c>
      <c r="DJ22" s="408"/>
      <c r="DK22" s="408">
        <v>0</v>
      </c>
      <c r="DL22" s="408">
        <v>0</v>
      </c>
      <c r="DM22" s="408">
        <v>-2.6999270880185122</v>
      </c>
      <c r="DN22" s="408">
        <v>0</v>
      </c>
      <c r="DO22" s="408">
        <v>-7.3449389175733018</v>
      </c>
      <c r="DP22" s="408">
        <v>-1.434512157816215</v>
      </c>
      <c r="DQ22" s="408">
        <v>0</v>
      </c>
      <c r="DR22" s="408">
        <v>0</v>
      </c>
      <c r="DS22" s="408"/>
      <c r="DT22" s="408"/>
      <c r="DU22" s="408"/>
      <c r="DV22" s="408">
        <v>10910.291933976803</v>
      </c>
      <c r="DW22" s="408">
        <v>0</v>
      </c>
      <c r="DX22" s="408">
        <v>0</v>
      </c>
      <c r="DY22" s="408">
        <v>-5712.6519500000013</v>
      </c>
      <c r="DZ22" s="408">
        <v>635.80594999999994</v>
      </c>
      <c r="EA22" s="408">
        <v>0</v>
      </c>
      <c r="EB22" s="408">
        <v>0</v>
      </c>
      <c r="EC22" s="408">
        <v>-5776.421164743665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239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1034</v>
      </c>
      <c r="C23" s="408" t="s">
        <v>2241</v>
      </c>
      <c r="D23" s="408" t="s">
        <v>596</v>
      </c>
      <c r="E23" s="408" t="s">
        <v>996</v>
      </c>
      <c r="F23" s="408" t="s">
        <v>1320</v>
      </c>
      <c r="G23" s="408" t="s">
        <v>1320</v>
      </c>
      <c r="H23" s="408" t="s">
        <v>1320</v>
      </c>
      <c r="I23" s="408" t="s">
        <v>971</v>
      </c>
      <c r="J23" s="408" t="s">
        <v>2234</v>
      </c>
      <c r="K23" s="827">
        <v>44378</v>
      </c>
      <c r="L23" s="408">
        <v>0</v>
      </c>
      <c r="M23" s="408">
        <v>0</v>
      </c>
      <c r="N23" s="408">
        <v>17.472000000000001</v>
      </c>
      <c r="O23" s="408">
        <v>17.472000000000001</v>
      </c>
      <c r="P23" s="408">
        <v>17.472000000000001</v>
      </c>
      <c r="Q23" s="408">
        <v>17.472000000000001</v>
      </c>
      <c r="R23" s="408"/>
      <c r="S23" s="408">
        <v>1684.16</v>
      </c>
      <c r="T23" s="408">
        <v>173.82</v>
      </c>
      <c r="U23" s="408"/>
      <c r="V23" s="408">
        <v>32462.626560000004</v>
      </c>
      <c r="W23" s="408">
        <v>32462.626560000004</v>
      </c>
      <c r="X23" s="408">
        <v>22284.837120000004</v>
      </c>
      <c r="Y23" s="408">
        <v>0</v>
      </c>
      <c r="Z23" s="408">
        <v>929.51086317364684</v>
      </c>
      <c r="AA23" s="408">
        <v>0</v>
      </c>
      <c r="AB23" s="408">
        <v>0</v>
      </c>
      <c r="AC23" s="408">
        <v>314.48551434929698</v>
      </c>
      <c r="AD23" s="408">
        <v>4797.5653546335016</v>
      </c>
      <c r="AE23" s="408">
        <v>20237.685782419998</v>
      </c>
      <c r="AF23" s="408">
        <v>2811.631552180022</v>
      </c>
      <c r="AG23" s="408">
        <v>141.45096013018991</v>
      </c>
      <c r="AH23" s="408">
        <v>0</v>
      </c>
      <c r="AI23" s="408">
        <v>0</v>
      </c>
      <c r="AJ23" s="408">
        <v>0</v>
      </c>
      <c r="AK23" s="408">
        <v>0</v>
      </c>
      <c r="AL23" s="408">
        <v>165.13654960192338</v>
      </c>
      <c r="AM23" s="408"/>
      <c r="AN23" s="408">
        <v>21.712990190739298</v>
      </c>
      <c r="AO23" s="408">
        <v>675.40014148718797</v>
      </c>
      <c r="AP23" s="408">
        <v>2171.7463798652648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3.2601638106945576</v>
      </c>
      <c r="BF23" s="408">
        <v>83.964986632122603</v>
      </c>
      <c r="BG23" s="408">
        <v>109.16906919291401</v>
      </c>
      <c r="BH23" s="408">
        <v>0</v>
      </c>
      <c r="BI23" s="408">
        <v>0</v>
      </c>
      <c r="BJ23" s="408">
        <v>0</v>
      </c>
      <c r="BK23" s="408">
        <v>0</v>
      </c>
      <c r="BL23" s="408">
        <v>0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3008.0257718157527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22282.286200000002</v>
      </c>
      <c r="CJ23" s="408">
        <v>-10180.370359999997</v>
      </c>
      <c r="CK23" s="408"/>
      <c r="CL23" s="408"/>
      <c r="CM23" s="408"/>
      <c r="CN23" s="408"/>
      <c r="CO23" s="408">
        <v>-10548.021120000001</v>
      </c>
      <c r="CP23" s="408">
        <v>370.23167999999998</v>
      </c>
      <c r="CQ23" s="408">
        <v>31</v>
      </c>
      <c r="CR23" s="408">
        <v>536.88013414016132</v>
      </c>
      <c r="CS23" s="408">
        <v>65.577086750839385</v>
      </c>
      <c r="CT23" s="408">
        <v>210.86285300392137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-91.98951578867127</v>
      </c>
      <c r="DA23" s="408">
        <v>0</v>
      </c>
      <c r="DB23" s="408">
        <v>0</v>
      </c>
      <c r="DC23" s="408">
        <v>360.90398402134042</v>
      </c>
      <c r="DD23" s="408">
        <v>10.7778340196583</v>
      </c>
      <c r="DE23" s="408">
        <v>0.418478056603659</v>
      </c>
      <c r="DF23" s="408">
        <v>0</v>
      </c>
      <c r="DG23" s="408">
        <v>14.013056573175007</v>
      </c>
      <c r="DH23" s="408">
        <v>0</v>
      </c>
      <c r="DI23" s="408">
        <v>-27.165424863259659</v>
      </c>
      <c r="DJ23" s="408"/>
      <c r="DK23" s="408">
        <v>0</v>
      </c>
      <c r="DL23" s="408">
        <v>0</v>
      </c>
      <c r="DM23" s="408">
        <v>-1.5721755068108507</v>
      </c>
      <c r="DN23" s="408">
        <v>0</v>
      </c>
      <c r="DO23" s="408">
        <v>-4.276979595662084</v>
      </c>
      <c r="DP23" s="408">
        <v>-0.66906253097401702</v>
      </c>
      <c r="DQ23" s="408">
        <v>0</v>
      </c>
      <c r="DR23" s="408">
        <v>0</v>
      </c>
      <c r="DS23" s="408"/>
      <c r="DT23" s="408"/>
      <c r="DU23" s="408"/>
      <c r="DV23" s="408">
        <v>20237.685782419998</v>
      </c>
      <c r="DW23" s="408">
        <v>0</v>
      </c>
      <c r="DX23" s="408">
        <v>0</v>
      </c>
      <c r="DY23" s="408">
        <v>-10548.021120000001</v>
      </c>
      <c r="DZ23" s="408">
        <v>370.23167999999987</v>
      </c>
      <c r="EA23" s="408">
        <v>0</v>
      </c>
      <c r="EB23" s="408">
        <v>0</v>
      </c>
      <c r="EC23" s="408">
        <v>-10714.781711289383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239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2236</v>
      </c>
      <c r="C24" s="408" t="s">
        <v>2241</v>
      </c>
      <c r="D24" s="408" t="s">
        <v>596</v>
      </c>
      <c r="E24" s="408" t="s">
        <v>996</v>
      </c>
      <c r="F24" s="408" t="s">
        <v>1320</v>
      </c>
      <c r="G24" s="408" t="s">
        <v>1320</v>
      </c>
      <c r="H24" s="408" t="s">
        <v>1320</v>
      </c>
      <c r="I24" s="408" t="s">
        <v>971</v>
      </c>
      <c r="J24" s="408" t="s">
        <v>2234</v>
      </c>
      <c r="K24" s="827">
        <v>44378</v>
      </c>
      <c r="L24" s="408">
        <v>0</v>
      </c>
      <c r="M24" s="408">
        <v>0</v>
      </c>
      <c r="N24" s="408">
        <v>2.9329999999999998</v>
      </c>
      <c r="O24" s="408">
        <v>2.9329999999999998</v>
      </c>
      <c r="P24" s="408">
        <v>2.9329999999999998</v>
      </c>
      <c r="Q24" s="408">
        <v>2.9329999999999998</v>
      </c>
      <c r="R24" s="408"/>
      <c r="S24" s="408">
        <v>1684.16</v>
      </c>
      <c r="T24" s="408">
        <v>173.82</v>
      </c>
      <c r="U24" s="408"/>
      <c r="V24" s="408">
        <v>5449.4553399999995</v>
      </c>
      <c r="W24" s="408">
        <v>5449.4553399999995</v>
      </c>
      <c r="X24" s="408">
        <v>3740.9241799999995</v>
      </c>
      <c r="Y24" s="408">
        <v>0</v>
      </c>
      <c r="Z24" s="408">
        <v>156.0356777523069</v>
      </c>
      <c r="AA24" s="408">
        <v>0</v>
      </c>
      <c r="AB24" s="408">
        <v>0</v>
      </c>
      <c r="AC24" s="408">
        <v>52.792239788603929</v>
      </c>
      <c r="AD24" s="408">
        <v>805.36053028503079</v>
      </c>
      <c r="AE24" s="408">
        <v>3397.2717719687416</v>
      </c>
      <c r="AF24" s="408">
        <v>471.98462354304053</v>
      </c>
      <c r="AG24" s="408">
        <v>23.745173194931716</v>
      </c>
      <c r="AH24" s="408">
        <v>0</v>
      </c>
      <c r="AI24" s="408">
        <v>0</v>
      </c>
      <c r="AJ24" s="408">
        <v>0</v>
      </c>
      <c r="AK24" s="408">
        <v>0</v>
      </c>
      <c r="AL24" s="408">
        <v>27.721239696797227</v>
      </c>
      <c r="AM24" s="408"/>
      <c r="AN24" s="408">
        <v>3.6449290424358027</v>
      </c>
      <c r="AO24" s="408">
        <v>113.37846926407521</v>
      </c>
      <c r="AP24" s="408">
        <v>364.56800206872828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0.54727910123438273</v>
      </c>
      <c r="BF24" s="408">
        <v>14.095083893773786</v>
      </c>
      <c r="BG24" s="408">
        <v>18.32605768903484</v>
      </c>
      <c r="BH24" s="408">
        <v>0</v>
      </c>
      <c r="BI24" s="408">
        <v>0</v>
      </c>
      <c r="BJ24" s="408">
        <v>0</v>
      </c>
      <c r="BK24" s="408">
        <v>0</v>
      </c>
      <c r="BL24" s="408">
        <v>0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504.95304422708352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3737.0978000000005</v>
      </c>
      <c r="CJ24" s="408">
        <v>-1712.3875399999997</v>
      </c>
      <c r="CK24" s="408"/>
      <c r="CL24" s="408"/>
      <c r="CM24" s="408"/>
      <c r="CN24" s="408"/>
      <c r="CO24" s="408">
        <v>-1770.6814300000001</v>
      </c>
      <c r="CP24" s="408">
        <v>62.150269999999992</v>
      </c>
      <c r="CQ24" s="408">
        <v>31</v>
      </c>
      <c r="CR24" s="408">
        <v>90.125310979457481</v>
      </c>
      <c r="CS24" s="408">
        <v>11.00833307235645</v>
      </c>
      <c r="CT24" s="408">
        <v>35.39724976307815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-15.442150286639958</v>
      </c>
      <c r="DA24" s="408">
        <v>0</v>
      </c>
      <c r="DB24" s="408">
        <v>0</v>
      </c>
      <c r="DC24" s="408">
        <v>60.584442830505452</v>
      </c>
      <c r="DD24" s="408">
        <v>1.8092597973705207</v>
      </c>
      <c r="DE24" s="408">
        <v>7.0249321200694381E-2</v>
      </c>
      <c r="DF24" s="408">
        <v>0</v>
      </c>
      <c r="DG24" s="408">
        <v>2.3523520449360298</v>
      </c>
      <c r="DH24" s="408">
        <v>0</v>
      </c>
      <c r="DI24" s="408">
        <v>-4.5602215615808745</v>
      </c>
      <c r="DJ24" s="408"/>
      <c r="DK24" s="408">
        <v>0</v>
      </c>
      <c r="DL24" s="408">
        <v>0</v>
      </c>
      <c r="DM24" s="408">
        <v>-0.26391888515775008</v>
      </c>
      <c r="DN24" s="408">
        <v>0</v>
      </c>
      <c r="DO24" s="408">
        <v>-0.71797053308589653</v>
      </c>
      <c r="DP24" s="408">
        <v>-0.11231458352488488</v>
      </c>
      <c r="DQ24" s="408">
        <v>0</v>
      </c>
      <c r="DR24" s="408">
        <v>0</v>
      </c>
      <c r="DS24" s="408"/>
      <c r="DT24" s="408"/>
      <c r="DU24" s="408"/>
      <c r="DV24" s="408">
        <v>3397.2717719687416</v>
      </c>
      <c r="DW24" s="408">
        <v>0</v>
      </c>
      <c r="DX24" s="408">
        <v>0</v>
      </c>
      <c r="DY24" s="408">
        <v>-1770.6814300000001</v>
      </c>
      <c r="DZ24" s="408">
        <v>62.150269999999978</v>
      </c>
      <c r="EA24" s="408">
        <v>0</v>
      </c>
      <c r="EB24" s="408">
        <v>0</v>
      </c>
      <c r="EC24" s="408">
        <v>-1798.6752952845561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239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1034</v>
      </c>
      <c r="C25" s="408" t="s">
        <v>2241</v>
      </c>
      <c r="D25" s="408" t="s">
        <v>596</v>
      </c>
      <c r="E25" s="408" t="s">
        <v>996</v>
      </c>
      <c r="F25" s="408" t="s">
        <v>1320</v>
      </c>
      <c r="G25" s="408" t="s">
        <v>1320</v>
      </c>
      <c r="H25" s="408" t="s">
        <v>1320</v>
      </c>
      <c r="I25" s="408" t="s">
        <v>2242</v>
      </c>
      <c r="J25" s="408" t="s">
        <v>2234</v>
      </c>
      <c r="K25" s="827">
        <v>44378</v>
      </c>
      <c r="L25" s="408">
        <v>0</v>
      </c>
      <c r="M25" s="408">
        <v>0</v>
      </c>
      <c r="N25" s="408">
        <v>261.52499999999998</v>
      </c>
      <c r="O25" s="408">
        <v>261.52499999999998</v>
      </c>
      <c r="P25" s="408">
        <v>261.52499999999998</v>
      </c>
      <c r="Q25" s="408">
        <v>261.52499999999998</v>
      </c>
      <c r="R25" s="408"/>
      <c r="S25" s="408">
        <v>70.33</v>
      </c>
      <c r="T25" s="408">
        <v>173.82</v>
      </c>
      <c r="U25" s="408"/>
      <c r="V25" s="408">
        <v>63851.328749999993</v>
      </c>
      <c r="W25" s="408">
        <v>63851.328749999993</v>
      </c>
      <c r="X25" s="408">
        <v>69128.903249999988</v>
      </c>
      <c r="Y25" s="408">
        <v>0</v>
      </c>
      <c r="Z25" s="408">
        <v>13913.136932891939</v>
      </c>
      <c r="AA25" s="408">
        <v>0</v>
      </c>
      <c r="AB25" s="408">
        <v>0</v>
      </c>
      <c r="AC25" s="408">
        <v>0</v>
      </c>
      <c r="AD25" s="408">
        <v>0</v>
      </c>
      <c r="AE25" s="408">
        <v>0</v>
      </c>
      <c r="AF25" s="408">
        <v>42085.16149747483</v>
      </c>
      <c r="AG25" s="408">
        <v>2117.271196660251</v>
      </c>
      <c r="AH25" s="408">
        <v>0</v>
      </c>
      <c r="AI25" s="408">
        <v>0</v>
      </c>
      <c r="AJ25" s="408">
        <v>0</v>
      </c>
      <c r="AK25" s="408">
        <v>0</v>
      </c>
      <c r="AL25" s="408">
        <v>2471.8026633838713</v>
      </c>
      <c r="AM25" s="408"/>
      <c r="AN25" s="408">
        <v>325.00513734163769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48.798897698711883</v>
      </c>
      <c r="BF25" s="408">
        <v>1256.8076424545479</v>
      </c>
      <c r="BG25" s="408">
        <v>1634.0682704141959</v>
      </c>
      <c r="BH25" s="408">
        <v>0</v>
      </c>
      <c r="BI25" s="408">
        <v>0</v>
      </c>
      <c r="BJ25" s="408">
        <v>0</v>
      </c>
      <c r="BK25" s="408">
        <v>0</v>
      </c>
      <c r="BL25" s="408">
        <v>0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45024.836308042286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69130.224899999987</v>
      </c>
      <c r="CJ25" s="408">
        <v>5278.8661499999944</v>
      </c>
      <c r="CK25" s="408"/>
      <c r="CL25" s="408"/>
      <c r="CM25" s="408"/>
      <c r="CN25" s="408"/>
      <c r="CO25" s="408">
        <v>-264.14025000000129</v>
      </c>
      <c r="CP25" s="408">
        <v>5541.7147499999992</v>
      </c>
      <c r="CQ25" s="408">
        <v>31</v>
      </c>
      <c r="CR25" s="408">
        <v>5275.2506841388386</v>
      </c>
      <c r="CS25" s="408">
        <v>0</v>
      </c>
      <c r="CT25" s="408">
        <v>0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0</v>
      </c>
      <c r="DA25" s="408">
        <v>0</v>
      </c>
      <c r="DB25" s="408">
        <v>0</v>
      </c>
      <c r="DC25" s="408">
        <v>5402.0956056078867</v>
      </c>
      <c r="DD25" s="408">
        <v>161.32515121286247</v>
      </c>
      <c r="DE25" s="408">
        <v>6.2638778476002699</v>
      </c>
      <c r="DF25" s="408">
        <v>0</v>
      </c>
      <c r="DG25" s="408">
        <v>209.75072231568174</v>
      </c>
      <c r="DH25" s="408">
        <v>0</v>
      </c>
      <c r="DI25" s="408">
        <v>-406.61846024290207</v>
      </c>
      <c r="DJ25" s="408"/>
      <c r="DK25" s="408">
        <v>0</v>
      </c>
      <c r="DL25" s="408">
        <v>0</v>
      </c>
      <c r="DM25" s="408">
        <v>-23.532692274422061</v>
      </c>
      <c r="DN25" s="408">
        <v>0</v>
      </c>
      <c r="DO25" s="408">
        <v>-64.01883520807678</v>
      </c>
      <c r="DP25" s="408">
        <v>-10.014685119790499</v>
      </c>
      <c r="DQ25" s="408">
        <v>0</v>
      </c>
      <c r="DR25" s="408">
        <v>0</v>
      </c>
      <c r="DS25" s="408"/>
      <c r="DT25" s="408"/>
      <c r="DU25" s="408"/>
      <c r="DV25" s="408">
        <v>0</v>
      </c>
      <c r="DW25" s="408">
        <v>0</v>
      </c>
      <c r="DX25" s="408">
        <v>0</v>
      </c>
      <c r="DY25" s="408">
        <v>-264.14025000000038</v>
      </c>
      <c r="DZ25" s="408">
        <v>5541.7147499999992</v>
      </c>
      <c r="EA25" s="408">
        <v>0</v>
      </c>
      <c r="EB25" s="408">
        <v>0</v>
      </c>
      <c r="EC25" s="408">
        <v>0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239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2236</v>
      </c>
      <c r="C26" s="408" t="s">
        <v>2241</v>
      </c>
      <c r="D26" s="408" t="s">
        <v>596</v>
      </c>
      <c r="E26" s="408" t="s">
        <v>996</v>
      </c>
      <c r="F26" s="408" t="s">
        <v>1320</v>
      </c>
      <c r="G26" s="408" t="s">
        <v>1320</v>
      </c>
      <c r="H26" s="408" t="s">
        <v>1320</v>
      </c>
      <c r="I26" s="408" t="s">
        <v>2242</v>
      </c>
      <c r="J26" s="408" t="s">
        <v>2234</v>
      </c>
      <c r="K26" s="827">
        <v>44378</v>
      </c>
      <c r="L26" s="408">
        <v>0</v>
      </c>
      <c r="M26" s="408">
        <v>0</v>
      </c>
      <c r="N26" s="408">
        <v>28.341000000000001</v>
      </c>
      <c r="O26" s="408">
        <v>28.341000000000001</v>
      </c>
      <c r="P26" s="408">
        <v>28.341000000000001</v>
      </c>
      <c r="Q26" s="408">
        <v>28.341000000000001</v>
      </c>
      <c r="R26" s="408"/>
      <c r="S26" s="408">
        <v>70.33</v>
      </c>
      <c r="T26" s="408">
        <v>173.82</v>
      </c>
      <c r="U26" s="408"/>
      <c r="V26" s="408">
        <v>6919.4551499999998</v>
      </c>
      <c r="W26" s="408">
        <v>6919.4551499999998</v>
      </c>
      <c r="X26" s="408">
        <v>7491.3765299999995</v>
      </c>
      <c r="Y26" s="408">
        <v>0</v>
      </c>
      <c r="Z26" s="408">
        <v>1507.7419513051925</v>
      </c>
      <c r="AA26" s="408">
        <v>0</v>
      </c>
      <c r="AB26" s="408">
        <v>0</v>
      </c>
      <c r="AC26" s="408">
        <v>0</v>
      </c>
      <c r="AD26" s="408">
        <v>0</v>
      </c>
      <c r="AE26" s="408">
        <v>0</v>
      </c>
      <c r="AF26" s="408">
        <v>4560.6942433799222</v>
      </c>
      <c r="AG26" s="408">
        <v>229.44492107656319</v>
      </c>
      <c r="AH26" s="408">
        <v>0</v>
      </c>
      <c r="AI26" s="408">
        <v>0</v>
      </c>
      <c r="AJ26" s="408">
        <v>0</v>
      </c>
      <c r="AK26" s="408">
        <v>0</v>
      </c>
      <c r="AL26" s="408">
        <v>267.86486677358687</v>
      </c>
      <c r="AM26" s="408"/>
      <c r="AN26" s="408">
        <v>35.220229796001739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5.288249917519142</v>
      </c>
      <c r="BF26" s="408">
        <v>136.19801317198872</v>
      </c>
      <c r="BG26" s="408">
        <v>177.08107772415153</v>
      </c>
      <c r="BH26" s="408">
        <v>0</v>
      </c>
      <c r="BI26" s="408">
        <v>0</v>
      </c>
      <c r="BJ26" s="408">
        <v>0</v>
      </c>
      <c r="BK26" s="408">
        <v>0</v>
      </c>
      <c r="BL26" s="408">
        <v>0</v>
      </c>
      <c r="BM26" s="408"/>
      <c r="BN26" s="408"/>
      <c r="BO26" s="408"/>
      <c r="BP26" s="408"/>
      <c r="BQ26" s="408"/>
      <c r="BR26" s="408"/>
      <c r="BS26" s="408"/>
      <c r="BT26" s="408"/>
      <c r="BU26" s="408"/>
      <c r="BV26" s="408">
        <v>4879.2615841935813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7491.1121999999996</v>
      </c>
      <c r="CJ26" s="408">
        <v>571.62704999999914</v>
      </c>
      <c r="CK26" s="408"/>
      <c r="CL26" s="408"/>
      <c r="CM26" s="408"/>
      <c r="CN26" s="408"/>
      <c r="CO26" s="408">
        <v>-28.624410000000147</v>
      </c>
      <c r="CP26" s="408">
        <v>600.54579000000001</v>
      </c>
      <c r="CQ26" s="408">
        <v>31</v>
      </c>
      <c r="CR26" s="408">
        <v>571.66955220028285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0</v>
      </c>
      <c r="DA26" s="408">
        <v>0</v>
      </c>
      <c r="DB26" s="408">
        <v>0</v>
      </c>
      <c r="DC26" s="408">
        <v>585.41551116923165</v>
      </c>
      <c r="DD26" s="408">
        <v>17.482520258192267</v>
      </c>
      <c r="DE26" s="408">
        <v>0.67880532292835927</v>
      </c>
      <c r="DF26" s="408">
        <v>0</v>
      </c>
      <c r="DG26" s="408">
        <v>22.73031343523084</v>
      </c>
      <c r="DH26" s="408">
        <v>0</v>
      </c>
      <c r="DI26" s="408">
        <v>-44.064520721705776</v>
      </c>
      <c r="DJ26" s="408"/>
      <c r="DK26" s="408">
        <v>0</v>
      </c>
      <c r="DL26" s="408">
        <v>0</v>
      </c>
      <c r="DM26" s="408">
        <v>-2.5501960873698692</v>
      </c>
      <c r="DN26" s="408">
        <v>0</v>
      </c>
      <c r="DO26" s="408">
        <v>-6.937607527510238</v>
      </c>
      <c r="DP26" s="408">
        <v>-1.0852736487142067</v>
      </c>
      <c r="DQ26" s="408">
        <v>0</v>
      </c>
      <c r="DR26" s="408">
        <v>0</v>
      </c>
      <c r="DS26" s="408"/>
      <c r="DT26" s="408"/>
      <c r="DU26" s="408"/>
      <c r="DV26" s="408">
        <v>0</v>
      </c>
      <c r="DW26" s="408">
        <v>0</v>
      </c>
      <c r="DX26" s="408">
        <v>0</v>
      </c>
      <c r="DY26" s="408">
        <v>-28.624410000000125</v>
      </c>
      <c r="DZ26" s="408">
        <v>600.54579000000012</v>
      </c>
      <c r="EA26" s="408">
        <v>0</v>
      </c>
      <c r="EB26" s="408">
        <v>0</v>
      </c>
      <c r="EC26" s="408">
        <v>0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239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1034</v>
      </c>
      <c r="C27" s="408" t="s">
        <v>2241</v>
      </c>
      <c r="D27" s="408" t="s">
        <v>596</v>
      </c>
      <c r="E27" s="408" t="s">
        <v>996</v>
      </c>
      <c r="F27" s="408" t="s">
        <v>1320</v>
      </c>
      <c r="G27" s="408" t="s">
        <v>1320</v>
      </c>
      <c r="H27" s="408" t="s">
        <v>1320</v>
      </c>
      <c r="I27" s="408" t="s">
        <v>1320</v>
      </c>
      <c r="J27" s="408" t="s">
        <v>2234</v>
      </c>
      <c r="K27" s="827">
        <v>44378</v>
      </c>
      <c r="L27" s="408">
        <v>2519</v>
      </c>
      <c r="M27" s="408">
        <v>2519</v>
      </c>
      <c r="N27" s="408">
        <v>0</v>
      </c>
      <c r="O27" s="408">
        <v>0</v>
      </c>
      <c r="P27" s="408">
        <v>0</v>
      </c>
      <c r="Q27" s="408">
        <v>0</v>
      </c>
      <c r="R27" s="408">
        <v>59.12</v>
      </c>
      <c r="S27" s="408"/>
      <c r="T27" s="408"/>
      <c r="U27" s="408">
        <v>148923.28</v>
      </c>
      <c r="V27" s="408"/>
      <c r="W27" s="408">
        <v>148923.28</v>
      </c>
      <c r="X27" s="408">
        <v>85721.57</v>
      </c>
      <c r="Y27" s="408">
        <v>0</v>
      </c>
      <c r="Z27" s="408">
        <v>0</v>
      </c>
      <c r="AA27" s="408">
        <v>0</v>
      </c>
      <c r="AB27" s="408">
        <v>0</v>
      </c>
      <c r="AC27" s="408">
        <v>1441.020055237545</v>
      </c>
      <c r="AD27" s="408">
        <v>12889.780057152169</v>
      </c>
      <c r="AE27" s="408">
        <v>121319.56853842332</v>
      </c>
      <c r="AF27" s="408"/>
      <c r="AG27" s="408"/>
      <c r="AH27" s="408"/>
      <c r="AI27" s="408">
        <v>0</v>
      </c>
      <c r="AJ27" s="408">
        <v>0</v>
      </c>
      <c r="AK27" s="408">
        <v>0</v>
      </c>
      <c r="AL27" s="408">
        <v>0</v>
      </c>
      <c r="AM27" s="408"/>
      <c r="AN27" s="408">
        <v>0</v>
      </c>
      <c r="AO27" s="408">
        <v>3043.1336594232612</v>
      </c>
      <c r="AP27" s="408">
        <v>10229.628429466229</v>
      </c>
      <c r="AQ27" s="408">
        <v>0</v>
      </c>
      <c r="AR27" s="408">
        <v>0</v>
      </c>
      <c r="AS27" s="408"/>
      <c r="AT27" s="408"/>
      <c r="AU27" s="408">
        <v>0</v>
      </c>
      <c r="AV27" s="408">
        <v>0</v>
      </c>
      <c r="AW27" s="408">
        <v>0</v>
      </c>
      <c r="AX27" s="408"/>
      <c r="AY27" s="408"/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/>
      <c r="BG27" s="408">
        <v>0</v>
      </c>
      <c r="BH27" s="408">
        <v>0</v>
      </c>
      <c r="BI27" s="408">
        <v>0</v>
      </c>
      <c r="BJ27" s="408">
        <v>0</v>
      </c>
      <c r="BK27" s="408">
        <v>79972.02</v>
      </c>
      <c r="BL27" s="408">
        <v>15</v>
      </c>
      <c r="BM27" s="408"/>
      <c r="BN27" s="408"/>
      <c r="BO27" s="408"/>
      <c r="BP27" s="408"/>
      <c r="BQ27" s="408"/>
      <c r="BR27" s="408"/>
      <c r="BS27" s="408"/>
      <c r="BT27" s="408"/>
      <c r="BU27" s="408"/>
      <c r="BV27" s="408">
        <v>0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85721.57</v>
      </c>
      <c r="CJ27" s="408">
        <v>-63201.74000000002</v>
      </c>
      <c r="CK27" s="408"/>
      <c r="CL27" s="408"/>
      <c r="CM27" s="408"/>
      <c r="CN27" s="408"/>
      <c r="CO27" s="408">
        <v>-63201.709999999992</v>
      </c>
      <c r="CP27" s="408">
        <v>0</v>
      </c>
      <c r="CQ27" s="408">
        <v>31</v>
      </c>
      <c r="CR27" s="408">
        <v>1041.5500219511669</v>
      </c>
      <c r="CS27" s="408">
        <v>295.46905266999374</v>
      </c>
      <c r="CT27" s="408">
        <v>993.23229259448999</v>
      </c>
      <c r="CU27" s="408">
        <v>0</v>
      </c>
      <c r="CV27" s="408">
        <v>0</v>
      </c>
      <c r="CW27" s="408"/>
      <c r="CX27" s="408"/>
      <c r="CY27" s="408"/>
      <c r="CZ27" s="408">
        <v>-247.15132331331552</v>
      </c>
      <c r="DA27" s="408">
        <v>0</v>
      </c>
      <c r="DB27" s="408">
        <v>0</v>
      </c>
      <c r="DC27" s="408"/>
      <c r="DD27" s="408"/>
      <c r="DE27" s="408">
        <v>0</v>
      </c>
      <c r="DF27" s="408">
        <v>0</v>
      </c>
      <c r="DG27" s="408">
        <v>0</v>
      </c>
      <c r="DH27" s="408">
        <v>0</v>
      </c>
      <c r="DI27" s="408">
        <v>0</v>
      </c>
      <c r="DJ27" s="408"/>
      <c r="DK27" s="408">
        <v>0</v>
      </c>
      <c r="DL27" s="408">
        <v>0</v>
      </c>
      <c r="DM27" s="408"/>
      <c r="DN27" s="408">
        <v>0</v>
      </c>
      <c r="DO27" s="408">
        <v>0</v>
      </c>
      <c r="DP27" s="408">
        <v>0</v>
      </c>
      <c r="DQ27" s="408">
        <v>0</v>
      </c>
      <c r="DR27" s="408">
        <v>0</v>
      </c>
      <c r="DS27" s="408"/>
      <c r="DT27" s="408"/>
      <c r="DU27" s="408">
        <v>121319.56853842332</v>
      </c>
      <c r="DV27" s="408"/>
      <c r="DW27" s="408">
        <v>0</v>
      </c>
      <c r="DX27" s="408">
        <v>0</v>
      </c>
      <c r="DY27" s="408">
        <v>-63201.709999999992</v>
      </c>
      <c r="DZ27" s="408"/>
      <c r="EA27" s="408">
        <v>0</v>
      </c>
      <c r="EB27" s="408"/>
      <c r="EC27" s="408">
        <v>-64232.2797266782</v>
      </c>
      <c r="ED27" s="408"/>
      <c r="EE27" s="408">
        <v>0</v>
      </c>
      <c r="EF27" s="408">
        <v>0</v>
      </c>
      <c r="EG27" s="408"/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/>
      <c r="EN27" s="408"/>
      <c r="EO27" s="408">
        <v>0</v>
      </c>
      <c r="EP27" s="408">
        <v>0</v>
      </c>
      <c r="EQ27" s="408"/>
      <c r="ER27" s="408">
        <v>0</v>
      </c>
      <c r="ES27" s="408"/>
      <c r="ET27" s="408">
        <v>0</v>
      </c>
      <c r="EU27" s="408"/>
      <c r="EV27" s="408">
        <v>239</v>
      </c>
      <c r="EW27" s="408"/>
      <c r="EX27" s="408"/>
      <c r="EY27" s="408"/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2236</v>
      </c>
      <c r="C28" s="408" t="s">
        <v>2241</v>
      </c>
      <c r="D28" s="408" t="s">
        <v>596</v>
      </c>
      <c r="E28" s="408" t="s">
        <v>996</v>
      </c>
      <c r="F28" s="408" t="s">
        <v>1320</v>
      </c>
      <c r="G28" s="408" t="s">
        <v>1320</v>
      </c>
      <c r="H28" s="408" t="s">
        <v>1320</v>
      </c>
      <c r="I28" s="408" t="s">
        <v>1320</v>
      </c>
      <c r="J28" s="408" t="s">
        <v>2234</v>
      </c>
      <c r="K28" s="827">
        <v>44378</v>
      </c>
      <c r="L28" s="408">
        <v>100</v>
      </c>
      <c r="M28" s="408">
        <v>100</v>
      </c>
      <c r="N28" s="408">
        <v>0</v>
      </c>
      <c r="O28" s="408">
        <v>0</v>
      </c>
      <c r="P28" s="408">
        <v>0</v>
      </c>
      <c r="Q28" s="408">
        <v>0</v>
      </c>
      <c r="R28" s="408">
        <v>59.12</v>
      </c>
      <c r="S28" s="408"/>
      <c r="T28" s="408"/>
      <c r="U28" s="408">
        <v>5912</v>
      </c>
      <c r="V28" s="408"/>
      <c r="W28" s="408">
        <v>5912</v>
      </c>
      <c r="X28" s="408">
        <v>3403</v>
      </c>
      <c r="Y28" s="408">
        <v>0</v>
      </c>
      <c r="Z28" s="408">
        <v>0</v>
      </c>
      <c r="AA28" s="408">
        <v>0</v>
      </c>
      <c r="AB28" s="408">
        <v>0</v>
      </c>
      <c r="AC28" s="408">
        <v>57.206036333368203</v>
      </c>
      <c r="AD28" s="408">
        <v>511.70226507154302</v>
      </c>
      <c r="AE28" s="408">
        <v>4816.1797752450702</v>
      </c>
      <c r="AF28" s="408"/>
      <c r="AG28" s="408"/>
      <c r="AH28" s="408"/>
      <c r="AI28" s="408">
        <v>0</v>
      </c>
      <c r="AJ28" s="408">
        <v>0</v>
      </c>
      <c r="AK28" s="408">
        <v>0</v>
      </c>
      <c r="AL28" s="408">
        <v>0</v>
      </c>
      <c r="AM28" s="408"/>
      <c r="AN28" s="408">
        <v>0</v>
      </c>
      <c r="AO28" s="408">
        <v>120.807211569006</v>
      </c>
      <c r="AP28" s="408">
        <v>406.098786401994</v>
      </c>
      <c r="AQ28" s="408">
        <v>0</v>
      </c>
      <c r="AR28" s="408">
        <v>0</v>
      </c>
      <c r="AS28" s="408"/>
      <c r="AT28" s="408"/>
      <c r="AU28" s="408">
        <v>0</v>
      </c>
      <c r="AV28" s="408">
        <v>0</v>
      </c>
      <c r="AW28" s="408">
        <v>0</v>
      </c>
      <c r="AX28" s="408"/>
      <c r="AY28" s="408"/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/>
      <c r="BG28" s="408">
        <v>0</v>
      </c>
      <c r="BH28" s="408">
        <v>0</v>
      </c>
      <c r="BI28" s="408">
        <v>0</v>
      </c>
      <c r="BJ28" s="408">
        <v>0</v>
      </c>
      <c r="BK28" s="408">
        <v>8010.81</v>
      </c>
      <c r="BL28" s="408">
        <v>1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0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3403</v>
      </c>
      <c r="CJ28" s="408">
        <v>-2509.0300000000007</v>
      </c>
      <c r="CK28" s="408"/>
      <c r="CL28" s="408"/>
      <c r="CM28" s="408"/>
      <c r="CN28" s="408"/>
      <c r="CO28" s="408">
        <v>-2508.9999999999995</v>
      </c>
      <c r="CP28" s="408">
        <v>0</v>
      </c>
      <c r="CQ28" s="408">
        <v>31</v>
      </c>
      <c r="CR28" s="408">
        <v>41.347757917871149</v>
      </c>
      <c r="CS28" s="408">
        <v>11.729617017467007</v>
      </c>
      <c r="CT28" s="408">
        <v>39.429626542059964</v>
      </c>
      <c r="CU28" s="408">
        <v>0</v>
      </c>
      <c r="CV28" s="408">
        <v>0</v>
      </c>
      <c r="CW28" s="408"/>
      <c r="CX28" s="408"/>
      <c r="CY28" s="408"/>
      <c r="CZ28" s="408">
        <v>-9.8114856416560201</v>
      </c>
      <c r="DA28" s="408">
        <v>0</v>
      </c>
      <c r="DB28" s="408">
        <v>0</v>
      </c>
      <c r="DC28" s="408"/>
      <c r="DD28" s="408"/>
      <c r="DE28" s="408">
        <v>0</v>
      </c>
      <c r="DF28" s="408">
        <v>0</v>
      </c>
      <c r="DG28" s="408">
        <v>0</v>
      </c>
      <c r="DH28" s="408">
        <v>0</v>
      </c>
      <c r="DI28" s="408">
        <v>0</v>
      </c>
      <c r="DJ28" s="408"/>
      <c r="DK28" s="408">
        <v>0</v>
      </c>
      <c r="DL28" s="408">
        <v>0</v>
      </c>
      <c r="DM28" s="408"/>
      <c r="DN28" s="408">
        <v>0</v>
      </c>
      <c r="DO28" s="408">
        <v>0</v>
      </c>
      <c r="DP28" s="408">
        <v>0</v>
      </c>
      <c r="DQ28" s="408">
        <v>0</v>
      </c>
      <c r="DR28" s="408">
        <v>0</v>
      </c>
      <c r="DS28" s="408"/>
      <c r="DT28" s="408"/>
      <c r="DU28" s="408">
        <v>4816.1797752450702</v>
      </c>
      <c r="DV28" s="408"/>
      <c r="DW28" s="408">
        <v>0</v>
      </c>
      <c r="DX28" s="408">
        <v>0</v>
      </c>
      <c r="DY28" s="408">
        <v>-2509</v>
      </c>
      <c r="DZ28" s="408"/>
      <c r="EA28" s="408">
        <v>0</v>
      </c>
      <c r="EB28" s="408"/>
      <c r="EC28" s="408">
        <v>-2549.9118589391901</v>
      </c>
      <c r="ED28" s="408"/>
      <c r="EE28" s="408">
        <v>0</v>
      </c>
      <c r="EF28" s="408">
        <v>0</v>
      </c>
      <c r="EG28" s="408"/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/>
      <c r="EN28" s="408"/>
      <c r="EO28" s="408">
        <v>0</v>
      </c>
      <c r="EP28" s="408">
        <v>0</v>
      </c>
      <c r="EQ28" s="408"/>
      <c r="ER28" s="408">
        <v>0</v>
      </c>
      <c r="ES28" s="408"/>
      <c r="ET28" s="408">
        <v>0</v>
      </c>
      <c r="EU28" s="408"/>
      <c r="EV28" s="408">
        <v>239</v>
      </c>
      <c r="EW28" s="408"/>
      <c r="EX28" s="408"/>
      <c r="EY28" s="408"/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1034</v>
      </c>
      <c r="C29" s="408" t="s">
        <v>2233</v>
      </c>
      <c r="D29" s="408" t="s">
        <v>2243</v>
      </c>
      <c r="E29" s="408" t="s">
        <v>972</v>
      </c>
      <c r="F29" s="408" t="s">
        <v>1320</v>
      </c>
      <c r="G29" s="408" t="s">
        <v>1320</v>
      </c>
      <c r="H29" s="408" t="s">
        <v>1320</v>
      </c>
      <c r="I29" s="408" t="s">
        <v>1320</v>
      </c>
      <c r="J29" s="408" t="s">
        <v>2234</v>
      </c>
      <c r="K29" s="827">
        <v>44378</v>
      </c>
      <c r="L29" s="408">
        <v>0</v>
      </c>
      <c r="M29" s="408">
        <v>0</v>
      </c>
      <c r="N29" s="408">
        <v>2323.567</v>
      </c>
      <c r="O29" s="408">
        <v>2323.567</v>
      </c>
      <c r="P29" s="408">
        <v>2323.567</v>
      </c>
      <c r="Q29" s="408">
        <v>2323.567</v>
      </c>
      <c r="R29" s="408"/>
      <c r="S29" s="408">
        <v>516.83000000000004</v>
      </c>
      <c r="T29" s="408">
        <v>173.82</v>
      </c>
      <c r="U29" s="408"/>
      <c r="V29" s="408">
        <v>1604771.5485500002</v>
      </c>
      <c r="W29" s="408">
        <v>1604771.5485500002</v>
      </c>
      <c r="X29" s="408">
        <v>1211624.0121499998</v>
      </c>
      <c r="Y29" s="408">
        <v>0</v>
      </c>
      <c r="Z29" s="408">
        <v>142084.85746730384</v>
      </c>
      <c r="AA29" s="408">
        <v>0</v>
      </c>
      <c r="AB29" s="408">
        <v>0</v>
      </c>
      <c r="AC29" s="408">
        <v>6316.4869402766044</v>
      </c>
      <c r="AD29" s="408">
        <v>79992.538454492329</v>
      </c>
      <c r="AE29" s="408">
        <v>844885.66232810135</v>
      </c>
      <c r="AF29" s="408">
        <v>373913.36371361476</v>
      </c>
      <c r="AG29" s="408">
        <v>18811.285661448313</v>
      </c>
      <c r="AH29" s="408">
        <v>0</v>
      </c>
      <c r="AI29" s="408">
        <v>0</v>
      </c>
      <c r="AJ29" s="408">
        <v>0</v>
      </c>
      <c r="AK29" s="408">
        <v>0</v>
      </c>
      <c r="AL29" s="408">
        <v>21961.185734254363</v>
      </c>
      <c r="AM29" s="408"/>
      <c r="AN29" s="408">
        <v>3605.1117318755696</v>
      </c>
      <c r="AO29" s="408">
        <v>13473.212030574397</v>
      </c>
      <c r="AP29" s="408">
        <v>44122.947665375337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1289.1442881659109</v>
      </c>
      <c r="BF29" s="408">
        <v>11166.338833209777</v>
      </c>
      <c r="BG29" s="408">
        <v>43167.978717134349</v>
      </c>
      <c r="BH29" s="408">
        <v>0</v>
      </c>
      <c r="BI29" s="408">
        <v>0</v>
      </c>
      <c r="BJ29" s="408">
        <v>0</v>
      </c>
      <c r="BK29" s="408">
        <v>91764.82</v>
      </c>
      <c r="BL29" s="408">
        <v>10260</v>
      </c>
      <c r="BM29" s="408"/>
      <c r="BN29" s="408"/>
      <c r="BO29" s="408"/>
      <c r="BP29" s="408"/>
      <c r="BQ29" s="408"/>
      <c r="BR29" s="408">
        <v>145385.58718999999</v>
      </c>
      <c r="BS29" s="408"/>
      <c r="BT29" s="408"/>
      <c r="BU29" s="408"/>
      <c r="BV29" s="408">
        <v>429536.82555212476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1066239.8015999999</v>
      </c>
      <c r="CJ29" s="408">
        <v>-345954.54399000015</v>
      </c>
      <c r="CK29" s="408"/>
      <c r="CL29" s="408"/>
      <c r="CM29" s="408"/>
      <c r="CN29" s="408"/>
      <c r="CO29" s="408">
        <v>-442383.92113000009</v>
      </c>
      <c r="CP29" s="408">
        <v>49236.384729999998</v>
      </c>
      <c r="CQ29" s="408">
        <v>31</v>
      </c>
      <c r="CR29" s="408">
        <v>54152.771382941748</v>
      </c>
      <c r="CS29" s="408">
        <v>1308.1637682159289</v>
      </c>
      <c r="CT29" s="408">
        <v>4284.0594619713083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-1533.7935671949963</v>
      </c>
      <c r="DA29" s="408">
        <v>0</v>
      </c>
      <c r="DB29" s="408">
        <v>0</v>
      </c>
      <c r="DC29" s="408">
        <v>47995.912742703396</v>
      </c>
      <c r="DD29" s="408">
        <v>1433.3230002034888</v>
      </c>
      <c r="DE29" s="408">
        <v>165.47591707621496</v>
      </c>
      <c r="DF29" s="408">
        <v>0</v>
      </c>
      <c r="DG29" s="408">
        <v>5541.0871631035407</v>
      </c>
      <c r="DH29" s="408">
        <v>0</v>
      </c>
      <c r="DI29" s="408">
        <v>-4152.5017863226822</v>
      </c>
      <c r="DJ29" s="408"/>
      <c r="DK29" s="408">
        <v>0</v>
      </c>
      <c r="DL29" s="408">
        <v>0</v>
      </c>
      <c r="DM29" s="408">
        <v>-209.08053604818997</v>
      </c>
      <c r="DN29" s="408">
        <v>0</v>
      </c>
      <c r="DO29" s="408">
        <v>-568.78712500879556</v>
      </c>
      <c r="DP29" s="408">
        <v>-111.08765575739244</v>
      </c>
      <c r="DQ29" s="408">
        <v>0</v>
      </c>
      <c r="DR29" s="408">
        <v>0</v>
      </c>
      <c r="DS29" s="408"/>
      <c r="DT29" s="408"/>
      <c r="DU29" s="408"/>
      <c r="DV29" s="408">
        <v>844885.66232810135</v>
      </c>
      <c r="DW29" s="408">
        <v>0</v>
      </c>
      <c r="DX29" s="408">
        <v>0</v>
      </c>
      <c r="DY29" s="408">
        <v>-442383.92113000026</v>
      </c>
      <c r="DZ29" s="408">
        <v>49236.384729999991</v>
      </c>
      <c r="EA29" s="408">
        <v>0</v>
      </c>
      <c r="EB29" s="408">
        <v>0</v>
      </c>
      <c r="EC29" s="408">
        <v>-447322.16618896672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239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2235</v>
      </c>
      <c r="C30" s="408" t="s">
        <v>2233</v>
      </c>
      <c r="D30" s="408" t="s">
        <v>2243</v>
      </c>
      <c r="E30" s="408" t="s">
        <v>972</v>
      </c>
      <c r="F30" s="408" t="s">
        <v>1320</v>
      </c>
      <c r="G30" s="408" t="s">
        <v>1320</v>
      </c>
      <c r="H30" s="408" t="s">
        <v>1320</v>
      </c>
      <c r="I30" s="408" t="s">
        <v>1320</v>
      </c>
      <c r="J30" s="408" t="s">
        <v>2234</v>
      </c>
      <c r="K30" s="827">
        <v>44378</v>
      </c>
      <c r="L30" s="408">
        <v>0</v>
      </c>
      <c r="M30" s="408">
        <v>0</v>
      </c>
      <c r="N30" s="408">
        <v>-1.052</v>
      </c>
      <c r="O30" s="408">
        <v>-1.052</v>
      </c>
      <c r="P30" s="408">
        <v>-1.052</v>
      </c>
      <c r="Q30" s="408">
        <v>-1.052</v>
      </c>
      <c r="R30" s="408"/>
      <c r="S30" s="408">
        <v>516.83000000000004</v>
      </c>
      <c r="T30" s="408">
        <v>173.82</v>
      </c>
      <c r="U30" s="408"/>
      <c r="V30" s="408">
        <v>-726.56380000000013</v>
      </c>
      <c r="W30" s="408">
        <v>-726.56380000000013</v>
      </c>
      <c r="X30" s="408">
        <v>-548.56540000000007</v>
      </c>
      <c r="Y30" s="408">
        <v>0</v>
      </c>
      <c r="Z30" s="408">
        <v>-64.329227457440936</v>
      </c>
      <c r="AA30" s="408">
        <v>0</v>
      </c>
      <c r="AB30" s="408">
        <v>0</v>
      </c>
      <c r="AC30" s="408">
        <v>-2.8598031652071954</v>
      </c>
      <c r="AD30" s="408">
        <v>-36.216795321213432</v>
      </c>
      <c r="AE30" s="408">
        <v>-382.52381651536734</v>
      </c>
      <c r="AF30" s="408">
        <v>-169.29008658959381</v>
      </c>
      <c r="AG30" s="408">
        <v>-8.5168503924541987</v>
      </c>
      <c r="AH30" s="408">
        <v>0</v>
      </c>
      <c r="AI30" s="408">
        <v>0</v>
      </c>
      <c r="AJ30" s="408">
        <v>0</v>
      </c>
      <c r="AK30" s="408">
        <v>0</v>
      </c>
      <c r="AL30" s="408">
        <v>-9.9429744838154406</v>
      </c>
      <c r="AM30" s="408"/>
      <c r="AN30" s="408">
        <v>-1.6322221575418738</v>
      </c>
      <c r="AO30" s="408">
        <v>-6.1000259756504827</v>
      </c>
      <c r="AP30" s="408">
        <v>-19.976760275892563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-0.5836628731388156</v>
      </c>
      <c r="BF30" s="408">
        <v>-5.0555841310092138</v>
      </c>
      <c r="BG30" s="408">
        <v>-19.544396012865278</v>
      </c>
      <c r="BH30" s="408">
        <v>0</v>
      </c>
      <c r="BI30" s="408">
        <v>0</v>
      </c>
      <c r="BJ30" s="408">
        <v>0</v>
      </c>
      <c r="BK30" s="408">
        <v>28</v>
      </c>
      <c r="BL30" s="408">
        <v>0</v>
      </c>
      <c r="BM30" s="408"/>
      <c r="BN30" s="408"/>
      <c r="BO30" s="408"/>
      <c r="BP30" s="408"/>
      <c r="BQ30" s="408"/>
      <c r="BR30" s="408">
        <v>-65.823639999999997</v>
      </c>
      <c r="BS30" s="408"/>
      <c r="BT30" s="408"/>
      <c r="BU30" s="408"/>
      <c r="BV30" s="408">
        <v>-194.47372960660715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-481.82399999999996</v>
      </c>
      <c r="CJ30" s="408">
        <v>157.52004000000011</v>
      </c>
      <c r="CK30" s="408"/>
      <c r="CL30" s="408"/>
      <c r="CM30" s="408"/>
      <c r="CN30" s="408"/>
      <c r="CO30" s="408">
        <v>200.29028000000005</v>
      </c>
      <c r="CP30" s="408">
        <v>-22.291879999999999</v>
      </c>
      <c r="CQ30" s="408">
        <v>31</v>
      </c>
      <c r="CR30" s="408">
        <v>-24.517784722736394</v>
      </c>
      <c r="CS30" s="408">
        <v>-0.59227398399235298</v>
      </c>
      <c r="CT30" s="408">
        <v>-1.9396172152530227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0.69442836496177307</v>
      </c>
      <c r="DA30" s="408">
        <v>0</v>
      </c>
      <c r="DB30" s="408">
        <v>0</v>
      </c>
      <c r="DC30" s="408">
        <v>-21.730253616669529</v>
      </c>
      <c r="DD30" s="408">
        <v>-0.64894009779535988</v>
      </c>
      <c r="DE30" s="408">
        <v>-7.4919580439977818E-2</v>
      </c>
      <c r="DF30" s="408">
        <v>0</v>
      </c>
      <c r="DG30" s="408">
        <v>-2.508739233938563</v>
      </c>
      <c r="DH30" s="408">
        <v>0</v>
      </c>
      <c r="DI30" s="408">
        <v>1.8800541922016833</v>
      </c>
      <c r="DJ30" s="408"/>
      <c r="DK30" s="408">
        <v>0</v>
      </c>
      <c r="DL30" s="408">
        <v>0</v>
      </c>
      <c r="DM30" s="408">
        <v>9.4661666275468903E-2</v>
      </c>
      <c r="DN30" s="408">
        <v>0</v>
      </c>
      <c r="DO30" s="408">
        <v>0.25751960477544067</v>
      </c>
      <c r="DP30" s="408">
        <v>5.0295177137898994E-2</v>
      </c>
      <c r="DQ30" s="408">
        <v>0</v>
      </c>
      <c r="DR30" s="408">
        <v>0</v>
      </c>
      <c r="DS30" s="408"/>
      <c r="DT30" s="408"/>
      <c r="DU30" s="408"/>
      <c r="DV30" s="408">
        <v>-382.52381651536734</v>
      </c>
      <c r="DW30" s="408">
        <v>0</v>
      </c>
      <c r="DX30" s="408">
        <v>0</v>
      </c>
      <c r="DY30" s="408">
        <v>200.29028000000005</v>
      </c>
      <c r="DZ30" s="408">
        <v>-22.291879999999992</v>
      </c>
      <c r="EA30" s="408">
        <v>0</v>
      </c>
      <c r="EB30" s="408">
        <v>0</v>
      </c>
      <c r="EC30" s="408">
        <v>202.52608116348395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239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2236</v>
      </c>
      <c r="C31" s="408" t="s">
        <v>2233</v>
      </c>
      <c r="D31" s="408" t="s">
        <v>2243</v>
      </c>
      <c r="E31" s="408" t="s">
        <v>972</v>
      </c>
      <c r="F31" s="408" t="s">
        <v>1320</v>
      </c>
      <c r="G31" s="408" t="s">
        <v>1320</v>
      </c>
      <c r="H31" s="408" t="s">
        <v>1320</v>
      </c>
      <c r="I31" s="408" t="s">
        <v>1320</v>
      </c>
      <c r="J31" s="408" t="s">
        <v>2234</v>
      </c>
      <c r="K31" s="827">
        <v>44378</v>
      </c>
      <c r="L31" s="408">
        <v>0</v>
      </c>
      <c r="M31" s="408">
        <v>0</v>
      </c>
      <c r="N31" s="408">
        <v>40.668999999999997</v>
      </c>
      <c r="O31" s="408">
        <v>40.668999999999997</v>
      </c>
      <c r="P31" s="408">
        <v>40.668999999999997</v>
      </c>
      <c r="Q31" s="408">
        <v>40.668999999999997</v>
      </c>
      <c r="R31" s="408"/>
      <c r="S31" s="408">
        <v>516.83000000000004</v>
      </c>
      <c r="T31" s="408">
        <v>173.82</v>
      </c>
      <c r="U31" s="408"/>
      <c r="V31" s="408">
        <v>28088.044849999998</v>
      </c>
      <c r="W31" s="408">
        <v>28088.044849999998</v>
      </c>
      <c r="X31" s="408">
        <v>21206.850049999997</v>
      </c>
      <c r="Y31" s="408">
        <v>0</v>
      </c>
      <c r="Z31" s="408">
        <v>2486.8872162230655</v>
      </c>
      <c r="AA31" s="408">
        <v>0</v>
      </c>
      <c r="AB31" s="408">
        <v>0</v>
      </c>
      <c r="AC31" s="408">
        <v>110.55640202073329</v>
      </c>
      <c r="AD31" s="408">
        <v>1400.095863990902</v>
      </c>
      <c r="AE31" s="408">
        <v>14787.890773634481</v>
      </c>
      <c r="AF31" s="408">
        <v>6544.5423303347816</v>
      </c>
      <c r="AG31" s="408">
        <v>329.25074962996177</v>
      </c>
      <c r="AH31" s="408">
        <v>0</v>
      </c>
      <c r="AI31" s="408">
        <v>0</v>
      </c>
      <c r="AJ31" s="408">
        <v>0</v>
      </c>
      <c r="AK31" s="408">
        <v>0</v>
      </c>
      <c r="AL31" s="408">
        <v>384.38291756871683</v>
      </c>
      <c r="AM31" s="408"/>
      <c r="AN31" s="408">
        <v>63.099660575162034</v>
      </c>
      <c r="AO31" s="408">
        <v>235.81935019365918</v>
      </c>
      <c r="AP31" s="408">
        <v>772.27648636908225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22.563674322892098</v>
      </c>
      <c r="BF31" s="408">
        <v>195.44253899621074</v>
      </c>
      <c r="BG31" s="408">
        <v>755.56182647073945</v>
      </c>
      <c r="BH31" s="408">
        <v>0</v>
      </c>
      <c r="BI31" s="408">
        <v>0</v>
      </c>
      <c r="BJ31" s="408">
        <v>0</v>
      </c>
      <c r="BK31" s="408">
        <v>1295.93</v>
      </c>
      <c r="BL31" s="408">
        <v>149</v>
      </c>
      <c r="BM31" s="408"/>
      <c r="BN31" s="408"/>
      <c r="BO31" s="408"/>
      <c r="BP31" s="408"/>
      <c r="BQ31" s="408"/>
      <c r="BR31" s="408">
        <v>2544.6593299999995</v>
      </c>
      <c r="BS31" s="408"/>
      <c r="BT31" s="408"/>
      <c r="BU31" s="408"/>
      <c r="BV31" s="408">
        <v>7518.1103701246238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18662.649600000001</v>
      </c>
      <c r="CJ31" s="408">
        <v>-6054.7785299999923</v>
      </c>
      <c r="CK31" s="408"/>
      <c r="CL31" s="408"/>
      <c r="CM31" s="408"/>
      <c r="CN31" s="408"/>
      <c r="CO31" s="408">
        <v>-7742.9709100000009</v>
      </c>
      <c r="CP31" s="408">
        <v>861.77610999999979</v>
      </c>
      <c r="CQ31" s="408">
        <v>31</v>
      </c>
      <c r="CR31" s="408">
        <v>947.82679362069575</v>
      </c>
      <c r="CS31" s="408">
        <v>22.896569063673923</v>
      </c>
      <c r="CT31" s="408">
        <v>74.983167801449781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-26.845729253451054</v>
      </c>
      <c r="DA31" s="408">
        <v>0</v>
      </c>
      <c r="DB31" s="408">
        <v>0</v>
      </c>
      <c r="DC31" s="408">
        <v>840.06433872275011</v>
      </c>
      <c r="DD31" s="408">
        <v>25.087209921330299</v>
      </c>
      <c r="DE31" s="408">
        <v>2.8962969742523406</v>
      </c>
      <c r="DF31" s="408">
        <v>0</v>
      </c>
      <c r="DG31" s="408">
        <v>96.984710936356919</v>
      </c>
      <c r="DH31" s="408">
        <v>0</v>
      </c>
      <c r="DI31" s="408">
        <v>-72.680536067157846</v>
      </c>
      <c r="DJ31" s="408"/>
      <c r="DK31" s="408">
        <v>0</v>
      </c>
      <c r="DL31" s="408">
        <v>0</v>
      </c>
      <c r="DM31" s="408">
        <v>-3.6595012412139454</v>
      </c>
      <c r="DN31" s="408">
        <v>0</v>
      </c>
      <c r="DO31" s="408">
        <v>-9.9553847971600931</v>
      </c>
      <c r="DP31" s="408">
        <v>-1.9443484401342346</v>
      </c>
      <c r="DQ31" s="408">
        <v>0</v>
      </c>
      <c r="DR31" s="408">
        <v>0</v>
      </c>
      <c r="DS31" s="408"/>
      <c r="DT31" s="408"/>
      <c r="DU31" s="408"/>
      <c r="DV31" s="408">
        <v>14787.890773634481</v>
      </c>
      <c r="DW31" s="408">
        <v>0</v>
      </c>
      <c r="DX31" s="408">
        <v>0</v>
      </c>
      <c r="DY31" s="408">
        <v>-7742.97091</v>
      </c>
      <c r="DZ31" s="408">
        <v>861.77610999999979</v>
      </c>
      <c r="EA31" s="408">
        <v>0</v>
      </c>
      <c r="EB31" s="408">
        <v>0</v>
      </c>
      <c r="EC31" s="408">
        <v>-7829.4041776024033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239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1034</v>
      </c>
      <c r="C32" s="408" t="s">
        <v>2241</v>
      </c>
      <c r="D32" s="408" t="s">
        <v>596</v>
      </c>
      <c r="E32" s="408" t="s">
        <v>972</v>
      </c>
      <c r="F32" s="408" t="s">
        <v>1320</v>
      </c>
      <c r="G32" s="408" t="s">
        <v>1320</v>
      </c>
      <c r="H32" s="408" t="s">
        <v>1320</v>
      </c>
      <c r="I32" s="408" t="s">
        <v>971</v>
      </c>
      <c r="J32" s="408" t="s">
        <v>2234</v>
      </c>
      <c r="K32" s="827">
        <v>44378</v>
      </c>
      <c r="L32" s="408">
        <v>0</v>
      </c>
      <c r="M32" s="408">
        <v>0</v>
      </c>
      <c r="N32" s="408">
        <v>43.212000000000003</v>
      </c>
      <c r="O32" s="408">
        <v>41.483519999999999</v>
      </c>
      <c r="P32" s="408">
        <v>43.212000000000003</v>
      </c>
      <c r="Q32" s="408">
        <v>41.483519999999999</v>
      </c>
      <c r="R32" s="408"/>
      <c r="S32" s="408">
        <v>1684.16</v>
      </c>
      <c r="T32" s="408">
        <v>173.82</v>
      </c>
      <c r="U32" s="408"/>
      <c r="V32" s="408">
        <v>80287.031760000013</v>
      </c>
      <c r="W32" s="408">
        <v>80287.031760000013</v>
      </c>
      <c r="X32" s="408">
        <v>55115.177520000005</v>
      </c>
      <c r="Y32" s="408">
        <v>0</v>
      </c>
      <c r="Z32" s="408">
        <v>2298.8795455276804</v>
      </c>
      <c r="AA32" s="408">
        <v>0</v>
      </c>
      <c r="AB32" s="408">
        <v>0</v>
      </c>
      <c r="AC32" s="408">
        <v>777.79006673888625</v>
      </c>
      <c r="AD32" s="408">
        <v>11865.4071717275</v>
      </c>
      <c r="AE32" s="408">
        <v>50052.133586878037</v>
      </c>
      <c r="AF32" s="408">
        <v>6953.7673210166622</v>
      </c>
      <c r="AG32" s="408">
        <v>349.83853532198754</v>
      </c>
      <c r="AH32" s="408">
        <v>0</v>
      </c>
      <c r="AI32" s="408">
        <v>0</v>
      </c>
      <c r="AJ32" s="408">
        <v>0</v>
      </c>
      <c r="AK32" s="408">
        <v>0</v>
      </c>
      <c r="AL32" s="408">
        <v>408.41807356904263</v>
      </c>
      <c r="AM32" s="408"/>
      <c r="AN32" s="408">
        <v>53.700877525310581</v>
      </c>
      <c r="AO32" s="408">
        <v>1670.409278499563</v>
      </c>
      <c r="AP32" s="408">
        <v>5371.1941716310566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8.0630837103785034</v>
      </c>
      <c r="BF32" s="408">
        <v>207.66340443837467</v>
      </c>
      <c r="BG32" s="408">
        <v>269.99850148604622</v>
      </c>
      <c r="BH32" s="408">
        <v>0</v>
      </c>
      <c r="BI32" s="408">
        <v>0</v>
      </c>
      <c r="BJ32" s="408">
        <v>0</v>
      </c>
      <c r="BK32" s="408">
        <v>0</v>
      </c>
      <c r="BL32" s="408">
        <v>0</v>
      </c>
      <c r="BM32" s="408"/>
      <c r="BN32" s="408"/>
      <c r="BO32" s="408"/>
      <c r="BP32" s="408"/>
      <c r="BQ32" s="408"/>
      <c r="BR32" s="408">
        <v>2204.6071008000063</v>
      </c>
      <c r="BS32" s="408"/>
      <c r="BT32" s="408"/>
      <c r="BU32" s="408"/>
      <c r="BV32" s="408">
        <v>7439.4923106514607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52906.080799999996</v>
      </c>
      <c r="CJ32" s="408">
        <v>-24169.499689599994</v>
      </c>
      <c r="CK32" s="408"/>
      <c r="CL32" s="408"/>
      <c r="CM32" s="408"/>
      <c r="CN32" s="408"/>
      <c r="CO32" s="408">
        <v>-26087.516520000005</v>
      </c>
      <c r="CP32" s="408">
        <v>915.66228000000001</v>
      </c>
      <c r="CQ32" s="408">
        <v>31</v>
      </c>
      <c r="CR32" s="408">
        <v>1327.8196174716395</v>
      </c>
      <c r="CS32" s="408">
        <v>162.18618776770109</v>
      </c>
      <c r="CT32" s="408">
        <v>521.50902037576998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-227.50978458448299</v>
      </c>
      <c r="DA32" s="408">
        <v>0</v>
      </c>
      <c r="DB32" s="408">
        <v>0</v>
      </c>
      <c r="DC32" s="408">
        <v>892.59288905277936</v>
      </c>
      <c r="DD32" s="408">
        <v>26.655893066476324</v>
      </c>
      <c r="DE32" s="408">
        <v>1.0349859078501211</v>
      </c>
      <c r="DF32" s="408">
        <v>0</v>
      </c>
      <c r="DG32" s="408">
        <v>34.657291703298938</v>
      </c>
      <c r="DH32" s="408">
        <v>0</v>
      </c>
      <c r="DI32" s="408">
        <v>-67.18591684931198</v>
      </c>
      <c r="DJ32" s="408"/>
      <c r="DK32" s="408">
        <v>0</v>
      </c>
      <c r="DL32" s="408">
        <v>0</v>
      </c>
      <c r="DM32" s="408">
        <v>-3.8883269230947235</v>
      </c>
      <c r="DN32" s="408">
        <v>0</v>
      </c>
      <c r="DO32" s="408">
        <v>-10.577887035699973</v>
      </c>
      <c r="DP32" s="408">
        <v>-1.6547350096410938</v>
      </c>
      <c r="DQ32" s="408">
        <v>0</v>
      </c>
      <c r="DR32" s="408">
        <v>0</v>
      </c>
      <c r="DS32" s="408"/>
      <c r="DT32" s="408"/>
      <c r="DU32" s="408"/>
      <c r="DV32" s="408">
        <v>50052.133586878037</v>
      </c>
      <c r="DW32" s="408">
        <v>0</v>
      </c>
      <c r="DX32" s="408">
        <v>0</v>
      </c>
      <c r="DY32" s="408">
        <v>-26087.516520000005</v>
      </c>
      <c r="DZ32" s="408">
        <v>915.66227999999956</v>
      </c>
      <c r="EA32" s="408">
        <v>0</v>
      </c>
      <c r="EB32" s="408">
        <v>0</v>
      </c>
      <c r="EC32" s="408">
        <v>-26499.951196671071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239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1034</v>
      </c>
      <c r="C33" s="408" t="s">
        <v>2241</v>
      </c>
      <c r="D33" s="408" t="s">
        <v>596</v>
      </c>
      <c r="E33" s="408" t="s">
        <v>972</v>
      </c>
      <c r="F33" s="408" t="s">
        <v>1320</v>
      </c>
      <c r="G33" s="408" t="s">
        <v>1320</v>
      </c>
      <c r="H33" s="408" t="s">
        <v>1320</v>
      </c>
      <c r="I33" s="408" t="s">
        <v>2242</v>
      </c>
      <c r="J33" s="408" t="s">
        <v>2234</v>
      </c>
      <c r="K33" s="827">
        <v>44378</v>
      </c>
      <c r="L33" s="408">
        <v>0</v>
      </c>
      <c r="M33" s="408">
        <v>0</v>
      </c>
      <c r="N33" s="408">
        <v>465.87599999999998</v>
      </c>
      <c r="O33" s="408">
        <v>447.24095999999997</v>
      </c>
      <c r="P33" s="408">
        <v>465.87599999999998</v>
      </c>
      <c r="Q33" s="408">
        <v>447.24095999999997</v>
      </c>
      <c r="R33" s="408"/>
      <c r="S33" s="408">
        <v>70.33</v>
      </c>
      <c r="T33" s="408">
        <v>173.82</v>
      </c>
      <c r="U33" s="408"/>
      <c r="V33" s="408">
        <v>113743.62539999999</v>
      </c>
      <c r="W33" s="408">
        <v>113743.62539999999</v>
      </c>
      <c r="X33" s="408">
        <v>123145.00307999999</v>
      </c>
      <c r="Y33" s="408">
        <v>0</v>
      </c>
      <c r="Z33" s="408">
        <v>24784.615550130831</v>
      </c>
      <c r="AA33" s="408">
        <v>0</v>
      </c>
      <c r="AB33" s="408">
        <v>0</v>
      </c>
      <c r="AC33" s="408">
        <v>0</v>
      </c>
      <c r="AD33" s="408">
        <v>0</v>
      </c>
      <c r="AE33" s="408">
        <v>0</v>
      </c>
      <c r="AF33" s="408">
        <v>74969.760817503426</v>
      </c>
      <c r="AG33" s="408">
        <v>3771.6693853944794</v>
      </c>
      <c r="AH33" s="408">
        <v>0</v>
      </c>
      <c r="AI33" s="408">
        <v>0</v>
      </c>
      <c r="AJ33" s="408">
        <v>0</v>
      </c>
      <c r="AK33" s="408">
        <v>0</v>
      </c>
      <c r="AL33" s="408">
        <v>4403.2254568650205</v>
      </c>
      <c r="AM33" s="408"/>
      <c r="AN33" s="408">
        <v>578.95839160375795</v>
      </c>
      <c r="AO33" s="408">
        <v>0</v>
      </c>
      <c r="AP33" s="408">
        <v>0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86.929491499034881</v>
      </c>
      <c r="BF33" s="408">
        <v>2238.8548599030878</v>
      </c>
      <c r="BG33" s="408">
        <v>2910.9002563712224</v>
      </c>
      <c r="BH33" s="408">
        <v>0</v>
      </c>
      <c r="BI33" s="408">
        <v>0</v>
      </c>
      <c r="BJ33" s="408">
        <v>0</v>
      </c>
      <c r="BK33" s="408">
        <v>0</v>
      </c>
      <c r="BL33" s="408">
        <v>0</v>
      </c>
      <c r="BM33" s="408"/>
      <c r="BN33" s="408"/>
      <c r="BO33" s="408"/>
      <c r="BP33" s="408"/>
      <c r="BQ33" s="408"/>
      <c r="BR33" s="408">
        <v>4925.8001232000006</v>
      </c>
      <c r="BS33" s="408"/>
      <c r="BT33" s="408"/>
      <c r="BU33" s="408"/>
      <c r="BV33" s="408">
        <v>80206.445425276775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118218.9492</v>
      </c>
      <c r="CJ33" s="408">
        <v>9025.0388160000148</v>
      </c>
      <c r="CK33" s="408"/>
      <c r="CL33" s="408"/>
      <c r="CM33" s="408"/>
      <c r="CN33" s="408"/>
      <c r="CO33" s="408">
        <v>-470.53476000000234</v>
      </c>
      <c r="CP33" s="408">
        <v>9871.9124399999982</v>
      </c>
      <c r="CQ33" s="408">
        <v>31</v>
      </c>
      <c r="CR33" s="408">
        <v>9397.2380756098428</v>
      </c>
      <c r="CS33" s="408">
        <v>0</v>
      </c>
      <c r="CT33" s="408">
        <v>0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0</v>
      </c>
      <c r="DA33" s="408">
        <v>0</v>
      </c>
      <c r="DB33" s="408">
        <v>0</v>
      </c>
      <c r="DC33" s="408">
        <v>9623.1973706459394</v>
      </c>
      <c r="DD33" s="408">
        <v>287.38176520961088</v>
      </c>
      <c r="DE33" s="408">
        <v>11.158360983189453</v>
      </c>
      <c r="DF33" s="408">
        <v>0</v>
      </c>
      <c r="DG33" s="408">
        <v>373.64621932717955</v>
      </c>
      <c r="DH33" s="408">
        <v>0</v>
      </c>
      <c r="DI33" s="408">
        <v>-724.34291858951474</v>
      </c>
      <c r="DJ33" s="408"/>
      <c r="DK33" s="408">
        <v>0</v>
      </c>
      <c r="DL33" s="408">
        <v>0</v>
      </c>
      <c r="DM33" s="408">
        <v>-41.920720948432518</v>
      </c>
      <c r="DN33" s="408">
        <v>0</v>
      </c>
      <c r="DO33" s="408">
        <v>-114.04201843570627</v>
      </c>
      <c r="DP33" s="408">
        <v>-17.839982582420475</v>
      </c>
      <c r="DQ33" s="408">
        <v>0</v>
      </c>
      <c r="DR33" s="408">
        <v>0</v>
      </c>
      <c r="DS33" s="408"/>
      <c r="DT33" s="408"/>
      <c r="DU33" s="408"/>
      <c r="DV33" s="408">
        <v>0</v>
      </c>
      <c r="DW33" s="408">
        <v>0</v>
      </c>
      <c r="DX33" s="408">
        <v>0</v>
      </c>
      <c r="DY33" s="408">
        <v>-470.53476000000228</v>
      </c>
      <c r="DZ33" s="408">
        <v>9871.9124400000001</v>
      </c>
      <c r="EA33" s="408">
        <v>0</v>
      </c>
      <c r="EB33" s="408">
        <v>0</v>
      </c>
      <c r="EC33" s="408">
        <v>0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239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1034</v>
      </c>
      <c r="C34" s="408" t="s">
        <v>2241</v>
      </c>
      <c r="D34" s="408" t="s">
        <v>596</v>
      </c>
      <c r="E34" s="408" t="s">
        <v>972</v>
      </c>
      <c r="F34" s="408" t="s">
        <v>1320</v>
      </c>
      <c r="G34" s="408" t="s">
        <v>1320</v>
      </c>
      <c r="H34" s="408" t="s">
        <v>1320</v>
      </c>
      <c r="I34" s="408" t="s">
        <v>1320</v>
      </c>
      <c r="J34" s="408" t="s">
        <v>2234</v>
      </c>
      <c r="K34" s="827">
        <v>44378</v>
      </c>
      <c r="L34" s="408">
        <v>1629</v>
      </c>
      <c r="M34" s="408">
        <v>1563.84</v>
      </c>
      <c r="N34" s="408">
        <v>0</v>
      </c>
      <c r="O34" s="408">
        <v>0</v>
      </c>
      <c r="P34" s="408">
        <v>0</v>
      </c>
      <c r="Q34" s="408">
        <v>0</v>
      </c>
      <c r="R34" s="408">
        <v>59.12</v>
      </c>
      <c r="S34" s="408"/>
      <c r="T34" s="408"/>
      <c r="U34" s="408">
        <v>96306.48</v>
      </c>
      <c r="V34" s="408"/>
      <c r="W34" s="408">
        <v>96306.48</v>
      </c>
      <c r="X34" s="408">
        <v>55434.87</v>
      </c>
      <c r="Y34" s="408">
        <v>0</v>
      </c>
      <c r="Z34" s="408">
        <v>0</v>
      </c>
      <c r="AA34" s="408">
        <v>0</v>
      </c>
      <c r="AB34" s="408">
        <v>0</v>
      </c>
      <c r="AC34" s="408">
        <v>931.88633187056803</v>
      </c>
      <c r="AD34" s="408">
        <v>8335.629898015437</v>
      </c>
      <c r="AE34" s="408">
        <v>78455.568538742198</v>
      </c>
      <c r="AF34" s="408"/>
      <c r="AG34" s="408"/>
      <c r="AH34" s="408"/>
      <c r="AI34" s="408">
        <v>0</v>
      </c>
      <c r="AJ34" s="408">
        <v>0</v>
      </c>
      <c r="AK34" s="408">
        <v>0</v>
      </c>
      <c r="AL34" s="408">
        <v>0</v>
      </c>
      <c r="AM34" s="408"/>
      <c r="AN34" s="408">
        <v>0</v>
      </c>
      <c r="AO34" s="408">
        <v>1967.9494764591077</v>
      </c>
      <c r="AP34" s="408">
        <v>6615.3492304884821</v>
      </c>
      <c r="AQ34" s="408">
        <v>0</v>
      </c>
      <c r="AR34" s="408">
        <v>0</v>
      </c>
      <c r="AS34" s="408"/>
      <c r="AT34" s="408"/>
      <c r="AU34" s="408">
        <v>0</v>
      </c>
      <c r="AV34" s="408">
        <v>0</v>
      </c>
      <c r="AW34" s="408">
        <v>0</v>
      </c>
      <c r="AX34" s="408"/>
      <c r="AY34" s="408"/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/>
      <c r="BG34" s="408">
        <v>0</v>
      </c>
      <c r="BH34" s="408">
        <v>0</v>
      </c>
      <c r="BI34" s="408">
        <v>0</v>
      </c>
      <c r="BJ34" s="408">
        <v>0</v>
      </c>
      <c r="BK34" s="408">
        <v>7872.83</v>
      </c>
      <c r="BL34" s="408">
        <v>14</v>
      </c>
      <c r="BM34" s="408"/>
      <c r="BN34" s="408"/>
      <c r="BO34" s="408"/>
      <c r="BP34" s="408"/>
      <c r="BQ34" s="408"/>
      <c r="BR34" s="408">
        <v>2217.3948000000028</v>
      </c>
      <c r="BS34" s="408"/>
      <c r="BT34" s="408"/>
      <c r="BU34" s="408"/>
      <c r="BV34" s="408">
        <v>0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53217.475200000001</v>
      </c>
      <c r="CJ34" s="408">
        <v>-39236.775599999979</v>
      </c>
      <c r="CK34" s="408"/>
      <c r="CL34" s="408"/>
      <c r="CM34" s="408"/>
      <c r="CN34" s="408"/>
      <c r="CO34" s="408">
        <v>-40871.609999999993</v>
      </c>
      <c r="CP34" s="408">
        <v>0</v>
      </c>
      <c r="CQ34" s="408">
        <v>31</v>
      </c>
      <c r="CR34" s="408">
        <v>673.55497648211531</v>
      </c>
      <c r="CS34" s="408">
        <v>191.07546121453743</v>
      </c>
      <c r="CT34" s="408">
        <v>642.30861637015732</v>
      </c>
      <c r="CU34" s="408">
        <v>0</v>
      </c>
      <c r="CV34" s="408">
        <v>0</v>
      </c>
      <c r="CW34" s="408"/>
      <c r="CX34" s="408"/>
      <c r="CY34" s="408"/>
      <c r="CZ34" s="408">
        <v>-159.82910110257853</v>
      </c>
      <c r="DA34" s="408">
        <v>0</v>
      </c>
      <c r="DB34" s="408">
        <v>0</v>
      </c>
      <c r="DC34" s="408"/>
      <c r="DD34" s="408"/>
      <c r="DE34" s="408">
        <v>0</v>
      </c>
      <c r="DF34" s="408">
        <v>0</v>
      </c>
      <c r="DG34" s="408">
        <v>0</v>
      </c>
      <c r="DH34" s="408">
        <v>0</v>
      </c>
      <c r="DI34" s="408">
        <v>0</v>
      </c>
      <c r="DJ34" s="408"/>
      <c r="DK34" s="408">
        <v>0</v>
      </c>
      <c r="DL34" s="408">
        <v>0</v>
      </c>
      <c r="DM34" s="408"/>
      <c r="DN34" s="408">
        <v>0</v>
      </c>
      <c r="DO34" s="408">
        <v>0</v>
      </c>
      <c r="DP34" s="408">
        <v>0</v>
      </c>
      <c r="DQ34" s="408">
        <v>0</v>
      </c>
      <c r="DR34" s="408">
        <v>0</v>
      </c>
      <c r="DS34" s="408"/>
      <c r="DT34" s="408"/>
      <c r="DU34" s="408">
        <v>78455.568538742198</v>
      </c>
      <c r="DV34" s="408"/>
      <c r="DW34" s="408">
        <v>0</v>
      </c>
      <c r="DX34" s="408">
        <v>0</v>
      </c>
      <c r="DY34" s="408">
        <v>-40871.609999999993</v>
      </c>
      <c r="DZ34" s="408"/>
      <c r="EA34" s="408">
        <v>0</v>
      </c>
      <c r="EB34" s="408"/>
      <c r="EC34" s="408">
        <v>-41538.064182119415</v>
      </c>
      <c r="ED34" s="408"/>
      <c r="EE34" s="408">
        <v>0</v>
      </c>
      <c r="EF34" s="408">
        <v>0</v>
      </c>
      <c r="EG34" s="408"/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/>
      <c r="EN34" s="408"/>
      <c r="EO34" s="408">
        <v>0</v>
      </c>
      <c r="EP34" s="408">
        <v>0</v>
      </c>
      <c r="EQ34" s="408"/>
      <c r="ER34" s="408">
        <v>0</v>
      </c>
      <c r="ES34" s="408"/>
      <c r="ET34" s="408">
        <v>0</v>
      </c>
      <c r="EU34" s="408"/>
      <c r="EV34" s="408">
        <v>239</v>
      </c>
      <c r="EW34" s="408"/>
      <c r="EX34" s="408"/>
      <c r="EY34" s="408"/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1034</v>
      </c>
      <c r="C35" s="408" t="s">
        <v>2233</v>
      </c>
      <c r="D35" s="408" t="s">
        <v>1956</v>
      </c>
      <c r="E35" s="408" t="s">
        <v>2244</v>
      </c>
      <c r="F35" s="408" t="s">
        <v>1320</v>
      </c>
      <c r="G35" s="408" t="s">
        <v>1320</v>
      </c>
      <c r="H35" s="408" t="s">
        <v>1320</v>
      </c>
      <c r="I35" s="408" t="s">
        <v>1320</v>
      </c>
      <c r="J35" s="408" t="s">
        <v>2234</v>
      </c>
      <c r="K35" s="827">
        <v>44378</v>
      </c>
      <c r="L35" s="408">
        <v>0</v>
      </c>
      <c r="M35" s="408">
        <v>0</v>
      </c>
      <c r="N35" s="408">
        <v>182.28800000000001</v>
      </c>
      <c r="O35" s="408">
        <v>182.28800000000001</v>
      </c>
      <c r="P35" s="408">
        <v>182.28800000000001</v>
      </c>
      <c r="Q35" s="408">
        <v>182.28800000000001</v>
      </c>
      <c r="R35" s="408"/>
      <c r="S35" s="408">
        <v>516.83000000000004</v>
      </c>
      <c r="T35" s="408">
        <v>173.82</v>
      </c>
      <c r="U35" s="408"/>
      <c r="V35" s="408">
        <v>125897.20720000002</v>
      </c>
      <c r="W35" s="408">
        <v>125897.20720000002</v>
      </c>
      <c r="X35" s="408">
        <v>95054.077600000004</v>
      </c>
      <c r="Y35" s="408">
        <v>0</v>
      </c>
      <c r="Z35" s="408">
        <v>11146.811991218625</v>
      </c>
      <c r="AA35" s="408">
        <v>0</v>
      </c>
      <c r="AB35" s="408">
        <v>0</v>
      </c>
      <c r="AC35" s="408">
        <v>495.53973325027499</v>
      </c>
      <c r="AD35" s="408">
        <v>6275.5581611343669</v>
      </c>
      <c r="AE35" s="408">
        <v>66282.796069347227</v>
      </c>
      <c r="AF35" s="408">
        <v>29334.174243577832</v>
      </c>
      <c r="AG35" s="408">
        <v>1475.7791105890601</v>
      </c>
      <c r="AH35" s="408">
        <v>0</v>
      </c>
      <c r="AI35" s="408">
        <v>0</v>
      </c>
      <c r="AJ35" s="408">
        <v>0</v>
      </c>
      <c r="AK35" s="408">
        <v>0</v>
      </c>
      <c r="AL35" s="408">
        <v>1722.8944227240961</v>
      </c>
      <c r="AM35" s="408"/>
      <c r="AN35" s="408">
        <v>282.82748351140032</v>
      </c>
      <c r="AO35" s="408">
        <v>1056.9976568910411</v>
      </c>
      <c r="AP35" s="408">
        <v>3461.5244079580834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101.13568233719431</v>
      </c>
      <c r="BF35" s="408">
        <v>876.01931565913264</v>
      </c>
      <c r="BG35" s="408">
        <v>3386.6053806018876</v>
      </c>
      <c r="BH35" s="408">
        <v>0</v>
      </c>
      <c r="BI35" s="408">
        <v>0</v>
      </c>
      <c r="BJ35" s="408">
        <v>0</v>
      </c>
      <c r="BK35" s="408">
        <v>49798.25</v>
      </c>
      <c r="BL35" s="408">
        <v>243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>
        <v>33697.93462217605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95055.12049999999</v>
      </c>
      <c r="CJ35" s="408">
        <v>-30842.116700000013</v>
      </c>
      <c r="CK35" s="408"/>
      <c r="CL35" s="408"/>
      <c r="CM35" s="408"/>
      <c r="CN35" s="408"/>
      <c r="CO35" s="408">
        <v>-34705.812320000012</v>
      </c>
      <c r="CP35" s="408">
        <v>3862.6827199999998</v>
      </c>
      <c r="CQ35" s="408">
        <v>31</v>
      </c>
      <c r="CR35" s="408">
        <v>4248.3820737055066</v>
      </c>
      <c r="CS35" s="408">
        <v>102.62779467110067</v>
      </c>
      <c r="CT35" s="408">
        <v>336.09215107798764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-120.32885721687398</v>
      </c>
      <c r="DA35" s="408">
        <v>0</v>
      </c>
      <c r="DB35" s="408">
        <v>0</v>
      </c>
      <c r="DC35" s="408">
        <v>3765.3654669918797</v>
      </c>
      <c r="DD35" s="408">
        <v>112.44676097616025</v>
      </c>
      <c r="DE35" s="408">
        <v>12.981882584831453</v>
      </c>
      <c r="DF35" s="408">
        <v>0</v>
      </c>
      <c r="DG35" s="408">
        <v>434.70822954010737</v>
      </c>
      <c r="DH35" s="408">
        <v>0</v>
      </c>
      <c r="DI35" s="408">
        <v>-325.77121538788924</v>
      </c>
      <c r="DJ35" s="408"/>
      <c r="DK35" s="408">
        <v>0</v>
      </c>
      <c r="DL35" s="408">
        <v>0</v>
      </c>
      <c r="DM35" s="408">
        <v>-16.402743176827926</v>
      </c>
      <c r="DN35" s="408">
        <v>0</v>
      </c>
      <c r="DO35" s="408">
        <v>-44.622370451811321</v>
      </c>
      <c r="DP35" s="408">
        <v>-8.7150259031495807</v>
      </c>
      <c r="DQ35" s="408">
        <v>0</v>
      </c>
      <c r="DR35" s="408">
        <v>0</v>
      </c>
      <c r="DS35" s="408"/>
      <c r="DT35" s="408"/>
      <c r="DU35" s="408"/>
      <c r="DV35" s="408">
        <v>66282.796069347227</v>
      </c>
      <c r="DW35" s="408">
        <v>0</v>
      </c>
      <c r="DX35" s="408">
        <v>0</v>
      </c>
      <c r="DY35" s="408">
        <v>-34705.812320000019</v>
      </c>
      <c r="DZ35" s="408">
        <v>3862.6827200000043</v>
      </c>
      <c r="EA35" s="408">
        <v>0</v>
      </c>
      <c r="EB35" s="408">
        <v>0</v>
      </c>
      <c r="EC35" s="408">
        <v>-35093.226504875624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0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239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1034</v>
      </c>
      <c r="C36" s="408" t="s">
        <v>2245</v>
      </c>
      <c r="D36" s="408" t="s">
        <v>596</v>
      </c>
      <c r="E36" s="408" t="s">
        <v>2244</v>
      </c>
      <c r="F36" s="408" t="s">
        <v>1320</v>
      </c>
      <c r="G36" s="408" t="s">
        <v>1320</v>
      </c>
      <c r="H36" s="408" t="s">
        <v>1320</v>
      </c>
      <c r="I36" s="408" t="s">
        <v>971</v>
      </c>
      <c r="J36" s="408" t="s">
        <v>2234</v>
      </c>
      <c r="K36" s="827">
        <v>44378</v>
      </c>
      <c r="L36" s="408">
        <v>537</v>
      </c>
      <c r="M36" s="408">
        <v>537</v>
      </c>
      <c r="N36" s="408">
        <v>27.978000000000002</v>
      </c>
      <c r="O36" s="408">
        <v>27.978000000000002</v>
      </c>
      <c r="P36" s="408">
        <v>27.978000000000002</v>
      </c>
      <c r="Q36" s="408">
        <v>27.978000000000002</v>
      </c>
      <c r="R36" s="408">
        <v>67.099999999999994</v>
      </c>
      <c r="S36" s="408">
        <v>70.33</v>
      </c>
      <c r="T36" s="408">
        <v>173.82</v>
      </c>
      <c r="U36" s="408">
        <v>36032.699999999997</v>
      </c>
      <c r="V36" s="408">
        <v>6830.8287</v>
      </c>
      <c r="W36" s="408">
        <v>42863.528699999995</v>
      </c>
      <c r="X36" s="408">
        <v>29970.904739999998</v>
      </c>
      <c r="Y36" s="408">
        <v>0</v>
      </c>
      <c r="Z36" s="408">
        <v>1488.4303416822511</v>
      </c>
      <c r="AA36" s="408">
        <v>0</v>
      </c>
      <c r="AB36" s="408">
        <v>0</v>
      </c>
      <c r="AC36" s="408">
        <v>401.9005122539827</v>
      </c>
      <c r="AD36" s="408">
        <v>6131.0541965212096</v>
      </c>
      <c r="AE36" s="408">
        <v>25862.885393066026</v>
      </c>
      <c r="AF36" s="408">
        <v>4502.2795081783806</v>
      </c>
      <c r="AG36" s="408">
        <v>226.50612193924297</v>
      </c>
      <c r="AH36" s="408">
        <v>0</v>
      </c>
      <c r="AI36" s="408">
        <v>0</v>
      </c>
      <c r="AJ36" s="408">
        <v>0</v>
      </c>
      <c r="AK36" s="408">
        <v>0</v>
      </c>
      <c r="AL36" s="408">
        <v>264.43397348687108</v>
      </c>
      <c r="AM36" s="408"/>
      <c r="AN36" s="408">
        <v>34.769118564360348</v>
      </c>
      <c r="AO36" s="408">
        <v>863.12026330606579</v>
      </c>
      <c r="AP36" s="408">
        <v>2775.3755796339365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5.2205164317543682</v>
      </c>
      <c r="BF36" s="408">
        <v>134.4535483054903</v>
      </c>
      <c r="BG36" s="408">
        <v>174.81297034565864</v>
      </c>
      <c r="BH36" s="408">
        <v>0</v>
      </c>
      <c r="BI36" s="408">
        <v>0</v>
      </c>
      <c r="BJ36" s="408">
        <v>0</v>
      </c>
      <c r="BK36" s="408">
        <v>0</v>
      </c>
      <c r="BL36" s="408">
        <v>0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>
        <v>4816.7665432612848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29971.433399999998</v>
      </c>
      <c r="CJ36" s="408">
        <v>-12892.125300000003</v>
      </c>
      <c r="CK36" s="408"/>
      <c r="CL36" s="408"/>
      <c r="CM36" s="408"/>
      <c r="CN36" s="408"/>
      <c r="CO36" s="408">
        <v>-13485.477779999997</v>
      </c>
      <c r="CP36" s="408">
        <v>592.85381999999993</v>
      </c>
      <c r="CQ36" s="408">
        <v>31</v>
      </c>
      <c r="CR36" s="408">
        <v>800.06428889616654</v>
      </c>
      <c r="CS36" s="408">
        <v>83.803524616677691</v>
      </c>
      <c r="CT36" s="408">
        <v>269.47143474246832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-117.55810814899814</v>
      </c>
      <c r="DA36" s="408">
        <v>0</v>
      </c>
      <c r="DB36" s="408">
        <v>0</v>
      </c>
      <c r="DC36" s="408">
        <v>577.91733430340264</v>
      </c>
      <c r="DD36" s="408">
        <v>17.258598912660233</v>
      </c>
      <c r="DE36" s="408">
        <v>0.670110981436423</v>
      </c>
      <c r="DF36" s="408">
        <v>0</v>
      </c>
      <c r="DG36" s="408">
        <v>22.439176785959859</v>
      </c>
      <c r="DH36" s="408">
        <v>0</v>
      </c>
      <c r="DI36" s="408">
        <v>-43.500129168056219</v>
      </c>
      <c r="DJ36" s="408"/>
      <c r="DK36" s="408">
        <v>0</v>
      </c>
      <c r="DL36" s="408">
        <v>0</v>
      </c>
      <c r="DM36" s="408">
        <v>-2.5175324135504979</v>
      </c>
      <c r="DN36" s="408">
        <v>0</v>
      </c>
      <c r="DO36" s="408">
        <v>-6.8487485764327403</v>
      </c>
      <c r="DP36" s="408">
        <v>-1.0713731393996682</v>
      </c>
      <c r="DQ36" s="408">
        <v>0</v>
      </c>
      <c r="DR36" s="408">
        <v>0</v>
      </c>
      <c r="DS36" s="408"/>
      <c r="DT36" s="408"/>
      <c r="DU36" s="408">
        <v>25862.885393066026</v>
      </c>
      <c r="DV36" s="408">
        <v>0</v>
      </c>
      <c r="DW36" s="408">
        <v>0</v>
      </c>
      <c r="DX36" s="408">
        <v>0</v>
      </c>
      <c r="DY36" s="408">
        <v>-13485.477779999997</v>
      </c>
      <c r="DZ36" s="408">
        <v>592.85381999999936</v>
      </c>
      <c r="EA36" s="408">
        <v>0</v>
      </c>
      <c r="EB36" s="408">
        <v>0</v>
      </c>
      <c r="EC36" s="408">
        <v>-13693.026682503451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0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239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1034</v>
      </c>
      <c r="C37" s="408" t="s">
        <v>2245</v>
      </c>
      <c r="D37" s="408" t="s">
        <v>596</v>
      </c>
      <c r="E37" s="408" t="s">
        <v>2244</v>
      </c>
      <c r="F37" s="408" t="s">
        <v>1320</v>
      </c>
      <c r="G37" s="408" t="s">
        <v>1320</v>
      </c>
      <c r="H37" s="408" t="s">
        <v>1320</v>
      </c>
      <c r="I37" s="408" t="s">
        <v>2242</v>
      </c>
      <c r="J37" s="408" t="s">
        <v>2234</v>
      </c>
      <c r="K37" s="827">
        <v>44378</v>
      </c>
      <c r="L37" s="408">
        <v>532</v>
      </c>
      <c r="M37" s="408">
        <v>532</v>
      </c>
      <c r="N37" s="408">
        <v>162.83000000000001</v>
      </c>
      <c r="O37" s="408">
        <v>162.83000000000001</v>
      </c>
      <c r="P37" s="408">
        <v>162.83000000000001</v>
      </c>
      <c r="Q37" s="408">
        <v>162.83000000000001</v>
      </c>
      <c r="R37" s="408">
        <v>59.12</v>
      </c>
      <c r="S37" s="408">
        <v>70.33</v>
      </c>
      <c r="T37" s="408">
        <v>173.82</v>
      </c>
      <c r="U37" s="408">
        <v>31451.84</v>
      </c>
      <c r="V37" s="408">
        <v>39754.944499999998</v>
      </c>
      <c r="W37" s="408">
        <v>71206.784500000009</v>
      </c>
      <c r="X37" s="408">
        <v>61144.813900000001</v>
      </c>
      <c r="Y37" s="408">
        <v>0</v>
      </c>
      <c r="Z37" s="408">
        <v>8662.5603165387438</v>
      </c>
      <c r="AA37" s="408">
        <v>0</v>
      </c>
      <c r="AB37" s="408">
        <v>0</v>
      </c>
      <c r="AC37" s="408">
        <v>304.33611329351885</v>
      </c>
      <c r="AD37" s="408">
        <v>2722.2560501806088</v>
      </c>
      <c r="AE37" s="408">
        <v>25622.076404303774</v>
      </c>
      <c r="AF37" s="408">
        <v>26202.951330212512</v>
      </c>
      <c r="AG37" s="408">
        <v>1318.2497617902256</v>
      </c>
      <c r="AH37" s="408">
        <v>0</v>
      </c>
      <c r="AI37" s="408">
        <v>0</v>
      </c>
      <c r="AJ37" s="408">
        <v>0</v>
      </c>
      <c r="AK37" s="408">
        <v>0</v>
      </c>
      <c r="AL37" s="408">
        <v>1538.9872007601409</v>
      </c>
      <c r="AM37" s="408"/>
      <c r="AN37" s="408">
        <v>202.3538342924725</v>
      </c>
      <c r="AO37" s="408">
        <v>642.69436554711194</v>
      </c>
      <c r="AP37" s="408">
        <v>2160.4455436586081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30.383039909306021</v>
      </c>
      <c r="BF37" s="408">
        <v>782.51023198881205</v>
      </c>
      <c r="BG37" s="408">
        <v>1017.3992408815354</v>
      </c>
      <c r="BH37" s="408">
        <v>0</v>
      </c>
      <c r="BI37" s="408">
        <v>0</v>
      </c>
      <c r="BJ37" s="408">
        <v>0</v>
      </c>
      <c r="BK37" s="408">
        <v>0</v>
      </c>
      <c r="BL37" s="408">
        <v>0</v>
      </c>
      <c r="BM37" s="408"/>
      <c r="BN37" s="408"/>
      <c r="BO37" s="408"/>
      <c r="BP37" s="408"/>
      <c r="BQ37" s="408"/>
      <c r="BR37" s="408"/>
      <c r="BS37" s="408"/>
      <c r="BT37" s="408"/>
      <c r="BU37" s="408"/>
      <c r="BV37" s="408">
        <v>28033.243842992168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61144.813900000001</v>
      </c>
      <c r="CJ37" s="408">
        <v>-10062.000599999992</v>
      </c>
      <c r="CK37" s="408"/>
      <c r="CL37" s="408"/>
      <c r="CM37" s="408"/>
      <c r="CN37" s="408"/>
      <c r="CO37" s="408">
        <v>-13512.338299999998</v>
      </c>
      <c r="CP37" s="408">
        <v>3450.3676999999998</v>
      </c>
      <c r="CQ37" s="408">
        <v>31</v>
      </c>
      <c r="CR37" s="408">
        <v>3504.4326240715673</v>
      </c>
      <c r="CS37" s="408">
        <v>62.401562532924459</v>
      </c>
      <c r="CT37" s="408">
        <v>209.76561320375913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-52.197103613610125</v>
      </c>
      <c r="DA37" s="408">
        <v>0</v>
      </c>
      <c r="DB37" s="408">
        <v>0</v>
      </c>
      <c r="DC37" s="408">
        <v>3363.4383996219585</v>
      </c>
      <c r="DD37" s="408">
        <v>100.44383661978941</v>
      </c>
      <c r="DE37" s="408">
        <v>3.899998967306189</v>
      </c>
      <c r="DF37" s="408">
        <v>0</v>
      </c>
      <c r="DG37" s="408">
        <v>130.59443691678598</v>
      </c>
      <c r="DH37" s="408">
        <v>0</v>
      </c>
      <c r="DI37" s="408">
        <v>-253.16770435465878</v>
      </c>
      <c r="DJ37" s="408"/>
      <c r="DK37" s="408">
        <v>0</v>
      </c>
      <c r="DL37" s="408">
        <v>0</v>
      </c>
      <c r="DM37" s="408">
        <v>-14.651862281021749</v>
      </c>
      <c r="DN37" s="408">
        <v>0</v>
      </c>
      <c r="DO37" s="408">
        <v>-39.859236925460891</v>
      </c>
      <c r="DP37" s="408">
        <v>-6.2353166162144475</v>
      </c>
      <c r="DQ37" s="408">
        <v>0</v>
      </c>
      <c r="DR37" s="408">
        <v>0</v>
      </c>
      <c r="DS37" s="408"/>
      <c r="DT37" s="408"/>
      <c r="DU37" s="408">
        <v>25622.076404303774</v>
      </c>
      <c r="DV37" s="408">
        <v>0</v>
      </c>
      <c r="DW37" s="408">
        <v>0</v>
      </c>
      <c r="DX37" s="408">
        <v>0</v>
      </c>
      <c r="DY37" s="408">
        <v>-13512.338300000003</v>
      </c>
      <c r="DZ37" s="408">
        <v>3450.3677000000025</v>
      </c>
      <c r="EA37" s="408">
        <v>0</v>
      </c>
      <c r="EB37" s="408">
        <v>0</v>
      </c>
      <c r="EC37" s="408">
        <v>-13565.531089556493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239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1034</v>
      </c>
      <c r="C38" s="408" t="s">
        <v>2245</v>
      </c>
      <c r="D38" s="408" t="s">
        <v>596</v>
      </c>
      <c r="E38" s="408" t="s">
        <v>2244</v>
      </c>
      <c r="F38" s="408" t="s">
        <v>1320</v>
      </c>
      <c r="G38" s="408" t="s">
        <v>1320</v>
      </c>
      <c r="H38" s="408" t="s">
        <v>1320</v>
      </c>
      <c r="I38" s="408" t="s">
        <v>1320</v>
      </c>
      <c r="J38" s="408" t="s">
        <v>2234</v>
      </c>
      <c r="K38" s="827">
        <v>44378</v>
      </c>
      <c r="L38" s="408">
        <v>0</v>
      </c>
      <c r="M38" s="408">
        <v>0</v>
      </c>
      <c r="N38" s="408">
        <v>0</v>
      </c>
      <c r="O38" s="408">
        <v>0</v>
      </c>
      <c r="P38" s="408">
        <v>0</v>
      </c>
      <c r="Q38" s="408">
        <v>0</v>
      </c>
      <c r="R38" s="408"/>
      <c r="S38" s="408"/>
      <c r="T38" s="408"/>
      <c r="U38" s="408"/>
      <c r="V38" s="408"/>
      <c r="W38" s="408"/>
      <c r="X38" s="408"/>
      <c r="Y38" s="408"/>
      <c r="Z38" s="408"/>
      <c r="AA38" s="408">
        <v>0</v>
      </c>
      <c r="AB38" s="408"/>
      <c r="AC38" s="408"/>
      <c r="AD38" s="408"/>
      <c r="AE38" s="408"/>
      <c r="AF38" s="408"/>
      <c r="AG38" s="408"/>
      <c r="AH38" s="408"/>
      <c r="AI38" s="408"/>
      <c r="AJ38" s="408"/>
      <c r="AK38" s="408"/>
      <c r="AL38" s="408"/>
      <c r="AM38" s="408"/>
      <c r="AN38" s="408"/>
      <c r="AO38" s="408"/>
      <c r="AP38" s="408"/>
      <c r="AQ38" s="408"/>
      <c r="AR38" s="408"/>
      <c r="AS38" s="408"/>
      <c r="AT38" s="408"/>
      <c r="AU38" s="408"/>
      <c r="AV38" s="408"/>
      <c r="AW38" s="408"/>
      <c r="AX38" s="408"/>
      <c r="AY38" s="408"/>
      <c r="AZ38" s="408">
        <v>0</v>
      </c>
      <c r="BA38" s="408"/>
      <c r="BB38" s="408"/>
      <c r="BC38" s="408"/>
      <c r="BD38" s="408"/>
      <c r="BE38" s="408"/>
      <c r="BF38" s="408"/>
      <c r="BG38" s="408"/>
      <c r="BH38" s="408"/>
      <c r="BI38" s="408">
        <v>0</v>
      </c>
      <c r="BJ38" s="408">
        <v>0</v>
      </c>
      <c r="BK38" s="408">
        <v>0</v>
      </c>
      <c r="BL38" s="408">
        <v>1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/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/>
      <c r="CJ38" s="408">
        <v>-0.03</v>
      </c>
      <c r="CK38" s="408"/>
      <c r="CL38" s="408"/>
      <c r="CM38" s="408"/>
      <c r="CN38" s="408"/>
      <c r="CO38" s="408">
        <v>0</v>
      </c>
      <c r="CP38" s="408">
        <v>0</v>
      </c>
      <c r="CQ38" s="408">
        <v>31</v>
      </c>
      <c r="CR38" s="408"/>
      <c r="CS38" s="408"/>
      <c r="CT38" s="408"/>
      <c r="CU38" s="408"/>
      <c r="CV38" s="408"/>
      <c r="CW38" s="408"/>
      <c r="CX38" s="408"/>
      <c r="CY38" s="408"/>
      <c r="CZ38" s="408"/>
      <c r="DA38" s="408"/>
      <c r="DB38" s="408"/>
      <c r="DC38" s="408"/>
      <c r="DD38" s="408"/>
      <c r="DE38" s="408"/>
      <c r="DF38" s="408"/>
      <c r="DG38" s="408"/>
      <c r="DH38" s="408"/>
      <c r="DI38" s="408"/>
      <c r="DJ38" s="408"/>
      <c r="DK38" s="408">
        <v>0</v>
      </c>
      <c r="DL38" s="408"/>
      <c r="DM38" s="408"/>
      <c r="DN38" s="408"/>
      <c r="DO38" s="408"/>
      <c r="DP38" s="408"/>
      <c r="DQ38" s="408"/>
      <c r="DR38" s="408"/>
      <c r="DS38" s="408"/>
      <c r="DT38" s="408"/>
      <c r="DU38" s="408"/>
      <c r="DV38" s="408"/>
      <c r="DW38" s="408"/>
      <c r="DX38" s="408"/>
      <c r="DY38" s="408"/>
      <c r="DZ38" s="408"/>
      <c r="EA38" s="408"/>
      <c r="EB38" s="408"/>
      <c r="EC38" s="408"/>
      <c r="ED38" s="408"/>
      <c r="EE38" s="408"/>
      <c r="EF38" s="408"/>
      <c r="EG38" s="408"/>
      <c r="EH38" s="408"/>
      <c r="EI38" s="408"/>
      <c r="EJ38" s="408"/>
      <c r="EK38" s="408"/>
      <c r="EL38" s="408"/>
      <c r="EM38" s="408"/>
      <c r="EN38" s="408"/>
      <c r="EO38" s="408"/>
      <c r="EP38" s="408"/>
      <c r="EQ38" s="408"/>
      <c r="ER38" s="408"/>
      <c r="ES38" s="408"/>
      <c r="ET38" s="408"/>
      <c r="EU38" s="408"/>
      <c r="EV38" s="408">
        <v>239</v>
      </c>
      <c r="EW38" s="408"/>
      <c r="EX38" s="408"/>
      <c r="EY38" s="408"/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1034</v>
      </c>
      <c r="C39" s="408" t="s">
        <v>2233</v>
      </c>
      <c r="D39" s="408" t="s">
        <v>2246</v>
      </c>
      <c r="E39" s="408" t="s">
        <v>2247</v>
      </c>
      <c r="F39" s="408" t="s">
        <v>2248</v>
      </c>
      <c r="G39" s="408" t="s">
        <v>1320</v>
      </c>
      <c r="H39" s="408" t="s">
        <v>1320</v>
      </c>
      <c r="I39" s="408" t="s">
        <v>1320</v>
      </c>
      <c r="J39" s="408" t="s">
        <v>2234</v>
      </c>
      <c r="K39" s="827">
        <v>44378</v>
      </c>
      <c r="L39" s="408">
        <v>0</v>
      </c>
      <c r="M39" s="408">
        <v>0</v>
      </c>
      <c r="N39" s="408">
        <v>293.07400000000001</v>
      </c>
      <c r="O39" s="408">
        <v>293.07400000000001</v>
      </c>
      <c r="P39" s="408">
        <v>293.07400000000001</v>
      </c>
      <c r="Q39" s="408">
        <v>293.07400000000001</v>
      </c>
      <c r="R39" s="408"/>
      <c r="S39" s="408">
        <v>284.26</v>
      </c>
      <c r="T39" s="408">
        <v>95.6</v>
      </c>
      <c r="U39" s="408"/>
      <c r="V39" s="408">
        <v>111327.08964000001</v>
      </c>
      <c r="W39" s="408">
        <v>111327.08964000001</v>
      </c>
      <c r="X39" s="408">
        <v>84050.692460000006</v>
      </c>
      <c r="Y39" s="408">
        <v>0</v>
      </c>
      <c r="Z39" s="408">
        <v>9856.7235782548905</v>
      </c>
      <c r="AA39" s="408">
        <v>0</v>
      </c>
      <c r="AB39" s="408">
        <v>0</v>
      </c>
      <c r="AC39" s="408">
        <v>438.18790310072615</v>
      </c>
      <c r="AD39" s="408">
        <v>5549.2496098698839</v>
      </c>
      <c r="AE39" s="408">
        <v>58611.484553976697</v>
      </c>
      <c r="AF39" s="408">
        <v>25939.151673419477</v>
      </c>
      <c r="AG39" s="408">
        <v>1304.9782096530105</v>
      </c>
      <c r="AH39" s="408">
        <v>0</v>
      </c>
      <c r="AI39" s="408">
        <v>0</v>
      </c>
      <c r="AJ39" s="408">
        <v>0</v>
      </c>
      <c r="AK39" s="408">
        <v>0</v>
      </c>
      <c r="AL39" s="408">
        <v>1523.4933622893052</v>
      </c>
      <c r="AM39" s="408"/>
      <c r="AN39" s="408">
        <v>250.09413700540469</v>
      </c>
      <c r="AO39" s="408">
        <v>934.66488311148646</v>
      </c>
      <c r="AP39" s="408">
        <v>3060.9011146419361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89.430634111460819</v>
      </c>
      <c r="BF39" s="408">
        <v>774.632267097213</v>
      </c>
      <c r="BG39" s="408">
        <v>2994.6529224248593</v>
      </c>
      <c r="BH39" s="408">
        <v>0</v>
      </c>
      <c r="BI39" s="408">
        <v>0</v>
      </c>
      <c r="BJ39" s="408">
        <v>0</v>
      </c>
      <c r="BK39" s="408">
        <v>30306.67</v>
      </c>
      <c r="BL39" s="408">
        <v>15</v>
      </c>
      <c r="BM39" s="408"/>
      <c r="BN39" s="408"/>
      <c r="BO39" s="408"/>
      <c r="BP39" s="408"/>
      <c r="BQ39" s="408"/>
      <c r="BR39" s="408"/>
      <c r="BS39" s="408"/>
      <c r="BT39" s="408"/>
      <c r="BU39" s="408"/>
      <c r="BV39" s="408">
        <v>29797.867497053008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84049.545299999998</v>
      </c>
      <c r="CJ39" s="408">
        <v>-27277.574339999992</v>
      </c>
      <c r="CK39" s="408"/>
      <c r="CL39" s="408"/>
      <c r="CM39" s="408"/>
      <c r="CN39" s="408"/>
      <c r="CO39" s="408">
        <v>-30690.709280000003</v>
      </c>
      <c r="CP39" s="408">
        <v>3414.3121000000019</v>
      </c>
      <c r="CQ39" s="408">
        <v>31</v>
      </c>
      <c r="CR39" s="408">
        <v>3756.69095238312</v>
      </c>
      <c r="CS39" s="408">
        <v>90.750055201061969</v>
      </c>
      <c r="CT39" s="408">
        <v>297.1941603219384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-106.40246601523995</v>
      </c>
      <c r="DA39" s="408">
        <v>0</v>
      </c>
      <c r="DB39" s="408">
        <v>0</v>
      </c>
      <c r="DC39" s="408">
        <v>3329.5767981448334</v>
      </c>
      <c r="DD39" s="408">
        <v>99.432612758272285</v>
      </c>
      <c r="DE39" s="408">
        <v>11.479410280253191</v>
      </c>
      <c r="DF39" s="408">
        <v>0</v>
      </c>
      <c r="DG39" s="408">
        <v>384.39679965401365</v>
      </c>
      <c r="DH39" s="408">
        <v>0</v>
      </c>
      <c r="DI39" s="408">
        <v>-288.06772935260778</v>
      </c>
      <c r="DJ39" s="408"/>
      <c r="DK39" s="408">
        <v>0</v>
      </c>
      <c r="DL39" s="408">
        <v>0</v>
      </c>
      <c r="DM39" s="408">
        <v>-14.504353849914196</v>
      </c>
      <c r="DN39" s="408">
        <v>0</v>
      </c>
      <c r="DO39" s="408">
        <v>-39.45795186071814</v>
      </c>
      <c r="DP39" s="408">
        <v>-7.7063828987475631</v>
      </c>
      <c r="DQ39" s="408">
        <v>0</v>
      </c>
      <c r="DR39" s="408">
        <v>0</v>
      </c>
      <c r="DS39" s="408"/>
      <c r="DT39" s="408"/>
      <c r="DU39" s="408"/>
      <c r="DV39" s="408">
        <v>58611.484553976697</v>
      </c>
      <c r="DW39" s="408">
        <v>0</v>
      </c>
      <c r="DX39" s="408">
        <v>0</v>
      </c>
      <c r="DY39" s="408">
        <v>-30690.709280000003</v>
      </c>
      <c r="DZ39" s="408">
        <v>3414.3120999999992</v>
      </c>
      <c r="EA39" s="408">
        <v>0</v>
      </c>
      <c r="EB39" s="408">
        <v>0</v>
      </c>
      <c r="EC39" s="408">
        <v>-31031.673755702184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239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1034</v>
      </c>
      <c r="C40" s="408" t="s">
        <v>2233</v>
      </c>
      <c r="D40" s="408" t="s">
        <v>1956</v>
      </c>
      <c r="E40" s="408" t="s">
        <v>999</v>
      </c>
      <c r="F40" s="408" t="s">
        <v>2249</v>
      </c>
      <c r="G40" s="408" t="s">
        <v>1320</v>
      </c>
      <c r="H40" s="408" t="s">
        <v>1320</v>
      </c>
      <c r="I40" s="408" t="s">
        <v>1320</v>
      </c>
      <c r="J40" s="408" t="s">
        <v>2234</v>
      </c>
      <c r="K40" s="827">
        <v>44378</v>
      </c>
      <c r="L40" s="408">
        <v>0</v>
      </c>
      <c r="M40" s="408">
        <v>0</v>
      </c>
      <c r="N40" s="408">
        <v>8.3520000000000003</v>
      </c>
      <c r="O40" s="408">
        <v>7.8508800000000001</v>
      </c>
      <c r="P40" s="408">
        <v>8.3520000000000003</v>
      </c>
      <c r="Q40" s="408">
        <v>7.8508800000000001</v>
      </c>
      <c r="R40" s="408"/>
      <c r="S40" s="408">
        <v>516.83000000000004</v>
      </c>
      <c r="T40" s="408">
        <v>173.82</v>
      </c>
      <c r="U40" s="408"/>
      <c r="V40" s="408">
        <v>5768.3088000000007</v>
      </c>
      <c r="W40" s="408">
        <v>5768.3088000000007</v>
      </c>
      <c r="X40" s="408">
        <v>4355.1504000000004</v>
      </c>
      <c r="Y40" s="408">
        <v>0</v>
      </c>
      <c r="Z40" s="408">
        <v>510.72025449101397</v>
      </c>
      <c r="AA40" s="408">
        <v>0</v>
      </c>
      <c r="AB40" s="408">
        <v>0</v>
      </c>
      <c r="AC40" s="408">
        <v>22.704444900960549</v>
      </c>
      <c r="AD40" s="408">
        <v>287.53105943229519</v>
      </c>
      <c r="AE40" s="408">
        <v>3036.9191212322703</v>
      </c>
      <c r="AF40" s="408">
        <v>1344.0216760420985</v>
      </c>
      <c r="AG40" s="408">
        <v>67.616667754541325</v>
      </c>
      <c r="AH40" s="408">
        <v>0</v>
      </c>
      <c r="AI40" s="408">
        <v>0</v>
      </c>
      <c r="AJ40" s="408">
        <v>0</v>
      </c>
      <c r="AK40" s="408">
        <v>0</v>
      </c>
      <c r="AL40" s="408">
        <v>78.938900084435886</v>
      </c>
      <c r="AM40" s="408"/>
      <c r="AN40" s="408">
        <v>12.95847857394461</v>
      </c>
      <c r="AO40" s="408">
        <v>48.429103563339197</v>
      </c>
      <c r="AP40" s="408">
        <v>158.59876599263754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4.63379497761919</v>
      </c>
      <c r="BF40" s="408">
        <v>40.137108994476193</v>
      </c>
      <c r="BG40" s="408">
        <v>155.1661554177289</v>
      </c>
      <c r="BH40" s="408">
        <v>0</v>
      </c>
      <c r="BI40" s="408">
        <v>0</v>
      </c>
      <c r="BJ40" s="408">
        <v>0</v>
      </c>
      <c r="BK40" s="408">
        <v>2402.2800000000002</v>
      </c>
      <c r="BL40" s="408">
        <v>8</v>
      </c>
      <c r="BM40" s="408"/>
      <c r="BN40" s="408"/>
      <c r="BO40" s="408"/>
      <c r="BP40" s="408"/>
      <c r="BQ40" s="408">
        <v>261.30902400000014</v>
      </c>
      <c r="BR40" s="408"/>
      <c r="BS40" s="408"/>
      <c r="BT40" s="408"/>
      <c r="BU40" s="408"/>
      <c r="BV40" s="408">
        <v>1543.9587354319228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4093.3824999999997</v>
      </c>
      <c r="CJ40" s="408">
        <v>-1328.8577720000012</v>
      </c>
      <c r="CK40" s="408"/>
      <c r="CL40" s="408"/>
      <c r="CM40" s="408"/>
      <c r="CN40" s="408"/>
      <c r="CO40" s="408">
        <v>-1590.1372800000004</v>
      </c>
      <c r="CP40" s="408">
        <v>176.97887999999998</v>
      </c>
      <c r="CQ40" s="408">
        <v>31</v>
      </c>
      <c r="CR40" s="408">
        <v>194.65070152499629</v>
      </c>
      <c r="CS40" s="408">
        <v>4.7021599945856707</v>
      </c>
      <c r="CT40" s="408">
        <v>15.398938195620957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-5.513180327148973</v>
      </c>
      <c r="DA40" s="408">
        <v>0</v>
      </c>
      <c r="DB40" s="408">
        <v>0</v>
      </c>
      <c r="DC40" s="408">
        <v>172.5200363178933</v>
      </c>
      <c r="DD40" s="408">
        <v>5.1520415368696177</v>
      </c>
      <c r="DE40" s="408">
        <v>0.59479879832195337</v>
      </c>
      <c r="DF40" s="408">
        <v>0</v>
      </c>
      <c r="DG40" s="408">
        <v>19.917290952333531</v>
      </c>
      <c r="DH40" s="408">
        <v>0</v>
      </c>
      <c r="DI40" s="408">
        <v>-14.926057617175331</v>
      </c>
      <c r="DJ40" s="408"/>
      <c r="DK40" s="408">
        <v>0</v>
      </c>
      <c r="DL40" s="408">
        <v>0</v>
      </c>
      <c r="DM40" s="408">
        <v>-0.75153444556342208</v>
      </c>
      <c r="DN40" s="408">
        <v>0</v>
      </c>
      <c r="DO40" s="408">
        <v>-2.0444902462780163</v>
      </c>
      <c r="DP40" s="408">
        <v>-0.39930163446362421</v>
      </c>
      <c r="DQ40" s="408">
        <v>0</v>
      </c>
      <c r="DR40" s="408">
        <v>0</v>
      </c>
      <c r="DS40" s="408"/>
      <c r="DT40" s="408"/>
      <c r="DU40" s="408"/>
      <c r="DV40" s="408">
        <v>3036.9191212322703</v>
      </c>
      <c r="DW40" s="408">
        <v>0</v>
      </c>
      <c r="DX40" s="408">
        <v>0</v>
      </c>
      <c r="DY40" s="408">
        <v>-1590.1372800000008</v>
      </c>
      <c r="DZ40" s="408">
        <v>176.97888000000012</v>
      </c>
      <c r="EA40" s="408">
        <v>0</v>
      </c>
      <c r="EB40" s="408">
        <v>0</v>
      </c>
      <c r="EC40" s="408">
        <v>-1607.887670986139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239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1034</v>
      </c>
      <c r="C41" s="408" t="s">
        <v>2245</v>
      </c>
      <c r="D41" s="408" t="s">
        <v>596</v>
      </c>
      <c r="E41" s="408" t="s">
        <v>999</v>
      </c>
      <c r="F41" s="408" t="s">
        <v>2249</v>
      </c>
      <c r="G41" s="408" t="s">
        <v>1320</v>
      </c>
      <c r="H41" s="408" t="s">
        <v>1320</v>
      </c>
      <c r="I41" s="408" t="s">
        <v>971</v>
      </c>
      <c r="J41" s="408" t="s">
        <v>2234</v>
      </c>
      <c r="K41" s="827">
        <v>44378</v>
      </c>
      <c r="L41" s="408">
        <v>100</v>
      </c>
      <c r="M41" s="408">
        <v>94</v>
      </c>
      <c r="N41" s="408">
        <v>3.2</v>
      </c>
      <c r="O41" s="408">
        <v>3.008</v>
      </c>
      <c r="P41" s="408">
        <v>3.2</v>
      </c>
      <c r="Q41" s="408">
        <v>3.008</v>
      </c>
      <c r="R41" s="408">
        <v>67.099999999999994</v>
      </c>
      <c r="S41" s="408">
        <v>70.33</v>
      </c>
      <c r="T41" s="408">
        <v>173.82</v>
      </c>
      <c r="U41" s="408">
        <v>6709.9999999999991</v>
      </c>
      <c r="V41" s="408">
        <v>781.28000000000009</v>
      </c>
      <c r="W41" s="408">
        <v>7491.2799999999988</v>
      </c>
      <c r="X41" s="408">
        <v>5049.8559999999998</v>
      </c>
      <c r="Y41" s="408">
        <v>0</v>
      </c>
      <c r="Z41" s="408">
        <v>170.24008483033825</v>
      </c>
      <c r="AA41" s="408">
        <v>0</v>
      </c>
      <c r="AB41" s="408">
        <v>0</v>
      </c>
      <c r="AC41" s="408">
        <v>74.841808613404609</v>
      </c>
      <c r="AD41" s="408">
        <v>1141.7233140635399</v>
      </c>
      <c r="AE41" s="408">
        <v>4816.1797752450702</v>
      </c>
      <c r="AF41" s="408">
        <v>514.95083373260479</v>
      </c>
      <c r="AG41" s="408">
        <v>25.906769254613536</v>
      </c>
      <c r="AH41" s="408">
        <v>0</v>
      </c>
      <c r="AI41" s="408">
        <v>0</v>
      </c>
      <c r="AJ41" s="408">
        <v>0</v>
      </c>
      <c r="AK41" s="408">
        <v>0</v>
      </c>
      <c r="AL41" s="408">
        <v>30.24478930438157</v>
      </c>
      <c r="AM41" s="408"/>
      <c r="AN41" s="408">
        <v>3.9767381301720324</v>
      </c>
      <c r="AO41" s="408">
        <v>160.73003041081299</v>
      </c>
      <c r="AP41" s="408">
        <v>516.82971687782799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0.59709959902830723</v>
      </c>
      <c r="BF41" s="408">
        <v>15.378202679875935</v>
      </c>
      <c r="BG41" s="408">
        <v>19.994335017017217</v>
      </c>
      <c r="BH41" s="408">
        <v>0</v>
      </c>
      <c r="BI41" s="408">
        <v>0</v>
      </c>
      <c r="BJ41" s="408">
        <v>0</v>
      </c>
      <c r="BK41" s="408">
        <v>0</v>
      </c>
      <c r="BL41" s="408">
        <v>0</v>
      </c>
      <c r="BM41" s="408"/>
      <c r="BN41" s="408"/>
      <c r="BO41" s="408"/>
      <c r="BP41" s="408"/>
      <c r="BQ41" s="408">
        <v>302.99136000000004</v>
      </c>
      <c r="BR41" s="408"/>
      <c r="BS41" s="408"/>
      <c r="BT41" s="408"/>
      <c r="BU41" s="408"/>
      <c r="BV41" s="408">
        <v>550.92047102852621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4747.3932999999997</v>
      </c>
      <c r="CJ41" s="408">
        <v>-2294.4399000000003</v>
      </c>
      <c r="CK41" s="408"/>
      <c r="CL41" s="408"/>
      <c r="CM41" s="408"/>
      <c r="CN41" s="408"/>
      <c r="CO41" s="408">
        <v>-2509.2319999999995</v>
      </c>
      <c r="CP41" s="408">
        <v>67.807999999999993</v>
      </c>
      <c r="CQ41" s="408">
        <v>31</v>
      </c>
      <c r="CR41" s="408">
        <v>108.442696545118</v>
      </c>
      <c r="CS41" s="408">
        <v>15.60587050589902</v>
      </c>
      <c r="CT41" s="408">
        <v>50.180900324482081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-21.891640251209992</v>
      </c>
      <c r="DA41" s="408">
        <v>0</v>
      </c>
      <c r="DB41" s="408">
        <v>0</v>
      </c>
      <c r="DC41" s="408">
        <v>66.099630773139211</v>
      </c>
      <c r="DD41" s="408">
        <v>1.973962274662691</v>
      </c>
      <c r="DE41" s="408">
        <v>7.6644332711292895E-2</v>
      </c>
      <c r="DF41" s="408">
        <v>0</v>
      </c>
      <c r="DG41" s="408">
        <v>2.5664938778708795</v>
      </c>
      <c r="DH41" s="408">
        <v>0</v>
      </c>
      <c r="DI41" s="408">
        <v>-4.975352539058548</v>
      </c>
      <c r="DJ41" s="408"/>
      <c r="DK41" s="408">
        <v>0</v>
      </c>
      <c r="DL41" s="408">
        <v>0</v>
      </c>
      <c r="DM41" s="408">
        <v>-0.28794423201664188</v>
      </c>
      <c r="DN41" s="408">
        <v>0</v>
      </c>
      <c r="DO41" s="408">
        <v>-0.7833295962751059</v>
      </c>
      <c r="DP41" s="408">
        <v>-0.12253892508681652</v>
      </c>
      <c r="DQ41" s="408">
        <v>0</v>
      </c>
      <c r="DR41" s="408">
        <v>0</v>
      </c>
      <c r="DS41" s="408"/>
      <c r="DT41" s="408"/>
      <c r="DU41" s="408">
        <v>4816.1797752450702</v>
      </c>
      <c r="DV41" s="408">
        <v>0</v>
      </c>
      <c r="DW41" s="408">
        <v>0</v>
      </c>
      <c r="DX41" s="408">
        <v>0</v>
      </c>
      <c r="DY41" s="408">
        <v>-2509.2319999999991</v>
      </c>
      <c r="DZ41" s="408">
        <v>67.807999999999993</v>
      </c>
      <c r="EA41" s="408">
        <v>0</v>
      </c>
      <c r="EB41" s="408">
        <v>0</v>
      </c>
      <c r="EC41" s="408">
        <v>-2549.9118589391901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239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1034</v>
      </c>
      <c r="C42" s="408" t="s">
        <v>2245</v>
      </c>
      <c r="D42" s="408" t="s">
        <v>596</v>
      </c>
      <c r="E42" s="408" t="s">
        <v>999</v>
      </c>
      <c r="F42" s="408" t="s">
        <v>2249</v>
      </c>
      <c r="G42" s="408" t="s">
        <v>1320</v>
      </c>
      <c r="H42" s="408" t="s">
        <v>1320</v>
      </c>
      <c r="I42" s="408" t="s">
        <v>2242</v>
      </c>
      <c r="J42" s="408" t="s">
        <v>2234</v>
      </c>
      <c r="K42" s="827">
        <v>44378</v>
      </c>
      <c r="L42" s="408">
        <v>100</v>
      </c>
      <c r="M42" s="408">
        <v>94</v>
      </c>
      <c r="N42" s="408">
        <v>33.780999999999999</v>
      </c>
      <c r="O42" s="408">
        <v>31.754139999999996</v>
      </c>
      <c r="P42" s="408">
        <v>33.780999999999999</v>
      </c>
      <c r="Q42" s="408">
        <v>31.754139999999996</v>
      </c>
      <c r="R42" s="408">
        <v>59.12</v>
      </c>
      <c r="S42" s="408">
        <v>70.33</v>
      </c>
      <c r="T42" s="408">
        <v>173.82</v>
      </c>
      <c r="U42" s="408">
        <v>5912</v>
      </c>
      <c r="V42" s="408">
        <v>8247.6311499999993</v>
      </c>
      <c r="W42" s="408">
        <v>14159.631149999997</v>
      </c>
      <c r="X42" s="408">
        <v>12332.331729999998</v>
      </c>
      <c r="Y42" s="408">
        <v>0</v>
      </c>
      <c r="Z42" s="408">
        <v>1797.1500955167676</v>
      </c>
      <c r="AA42" s="408">
        <v>0</v>
      </c>
      <c r="AB42" s="408">
        <v>0</v>
      </c>
      <c r="AC42" s="408">
        <v>57.206036333368203</v>
      </c>
      <c r="AD42" s="408">
        <v>511.70226507154302</v>
      </c>
      <c r="AE42" s="408">
        <v>4816.1797752450702</v>
      </c>
      <c r="AF42" s="408">
        <v>5436.1106607253505</v>
      </c>
      <c r="AG42" s="408">
        <v>273.48642880940616</v>
      </c>
      <c r="AH42" s="408">
        <v>0</v>
      </c>
      <c r="AI42" s="408">
        <v>0</v>
      </c>
      <c r="AJ42" s="408">
        <v>0</v>
      </c>
      <c r="AK42" s="408">
        <v>0</v>
      </c>
      <c r="AL42" s="408">
        <v>319.28100859103552</v>
      </c>
      <c r="AM42" s="408"/>
      <c r="AN42" s="408">
        <v>41.980684617294187</v>
      </c>
      <c r="AO42" s="408">
        <v>120.807211569006</v>
      </c>
      <c r="AP42" s="408">
        <v>406.098786401994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6.3033192358672636</v>
      </c>
      <c r="BF42" s="408">
        <v>162.34095772777778</v>
      </c>
      <c r="BG42" s="408">
        <v>211.07144725308078</v>
      </c>
      <c r="BH42" s="408">
        <v>0</v>
      </c>
      <c r="BI42" s="408">
        <v>0</v>
      </c>
      <c r="BJ42" s="408">
        <v>0</v>
      </c>
      <c r="BK42" s="408">
        <v>0</v>
      </c>
      <c r="BL42" s="408">
        <v>0</v>
      </c>
      <c r="BM42" s="408"/>
      <c r="BN42" s="408"/>
      <c r="BO42" s="408"/>
      <c r="BP42" s="408"/>
      <c r="BQ42" s="408">
        <v>739.93990380000071</v>
      </c>
      <c r="BR42" s="408"/>
      <c r="BS42" s="408"/>
      <c r="BT42" s="408"/>
      <c r="BU42" s="408"/>
      <c r="BV42" s="408">
        <v>5815.8263849420764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11591.297500000001</v>
      </c>
      <c r="CJ42" s="408">
        <v>-1718.7857809999987</v>
      </c>
      <c r="CK42" s="408"/>
      <c r="CL42" s="408"/>
      <c r="CM42" s="408"/>
      <c r="CN42" s="408"/>
      <c r="CO42" s="408">
        <v>-2543.1188099999999</v>
      </c>
      <c r="CP42" s="408">
        <v>715.81938999999988</v>
      </c>
      <c r="CQ42" s="408">
        <v>31</v>
      </c>
      <c r="CR42" s="408">
        <v>722.74817226026062</v>
      </c>
      <c r="CS42" s="408">
        <v>11.729617017467007</v>
      </c>
      <c r="CT42" s="408">
        <v>39.429626542059964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-9.8114856416560201</v>
      </c>
      <c r="DA42" s="408">
        <v>0</v>
      </c>
      <c r="DB42" s="408">
        <v>0</v>
      </c>
      <c r="DC42" s="408">
        <v>697.78488348356768</v>
      </c>
      <c r="DD42" s="408">
        <v>20.838256125118875</v>
      </c>
      <c r="DE42" s="408">
        <v>0.80910068853755757</v>
      </c>
      <c r="DF42" s="408">
        <v>0</v>
      </c>
      <c r="DG42" s="408">
        <v>27.093353027611329</v>
      </c>
      <c r="DH42" s="408">
        <v>0</v>
      </c>
      <c r="DI42" s="408">
        <v>-52.522620038105515</v>
      </c>
      <c r="DJ42" s="408"/>
      <c r="DK42" s="408">
        <v>0</v>
      </c>
      <c r="DL42" s="408">
        <v>0</v>
      </c>
      <c r="DM42" s="408">
        <v>-3.039701281798159</v>
      </c>
      <c r="DN42" s="408">
        <v>0</v>
      </c>
      <c r="DO42" s="408">
        <v>-8.269267841177907</v>
      </c>
      <c r="DP42" s="408">
        <v>-1.2935898213617918</v>
      </c>
      <c r="DQ42" s="408">
        <v>0</v>
      </c>
      <c r="DR42" s="408">
        <v>0</v>
      </c>
      <c r="DS42" s="408"/>
      <c r="DT42" s="408"/>
      <c r="DU42" s="408">
        <v>4816.1797752450702</v>
      </c>
      <c r="DV42" s="408">
        <v>0</v>
      </c>
      <c r="DW42" s="408">
        <v>0</v>
      </c>
      <c r="DX42" s="408">
        <v>0</v>
      </c>
      <c r="DY42" s="408">
        <v>-2543.118809999999</v>
      </c>
      <c r="DZ42" s="408">
        <v>715.81938999999966</v>
      </c>
      <c r="EA42" s="408">
        <v>0</v>
      </c>
      <c r="EB42" s="408">
        <v>0</v>
      </c>
      <c r="EC42" s="408">
        <v>-2549.9118589391901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239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1034</v>
      </c>
      <c r="C43" s="408" t="s">
        <v>2245</v>
      </c>
      <c r="D43" s="408" t="s">
        <v>596</v>
      </c>
      <c r="E43" s="408" t="s">
        <v>999</v>
      </c>
      <c r="F43" s="408" t="s">
        <v>2249</v>
      </c>
      <c r="G43" s="408" t="s">
        <v>1320</v>
      </c>
      <c r="H43" s="408" t="s">
        <v>1320</v>
      </c>
      <c r="I43" s="408" t="s">
        <v>1320</v>
      </c>
      <c r="J43" s="408" t="s">
        <v>2234</v>
      </c>
      <c r="K43" s="827">
        <v>44378</v>
      </c>
      <c r="L43" s="408">
        <v>0</v>
      </c>
      <c r="M43" s="408">
        <v>0</v>
      </c>
      <c r="N43" s="408">
        <v>0</v>
      </c>
      <c r="O43" s="408">
        <v>0</v>
      </c>
      <c r="P43" s="408">
        <v>0</v>
      </c>
      <c r="Q43" s="408">
        <v>0</v>
      </c>
      <c r="R43" s="408"/>
      <c r="S43" s="408"/>
      <c r="T43" s="408"/>
      <c r="U43" s="408"/>
      <c r="V43" s="408"/>
      <c r="W43" s="408"/>
      <c r="X43" s="408"/>
      <c r="Y43" s="408"/>
      <c r="Z43" s="408"/>
      <c r="AA43" s="408">
        <v>0</v>
      </c>
      <c r="AB43" s="408"/>
      <c r="AC43" s="408"/>
      <c r="AD43" s="408"/>
      <c r="AE43" s="408"/>
      <c r="AF43" s="408"/>
      <c r="AG43" s="408"/>
      <c r="AH43" s="408"/>
      <c r="AI43" s="408"/>
      <c r="AJ43" s="408"/>
      <c r="AK43" s="408"/>
      <c r="AL43" s="408"/>
      <c r="AM43" s="408"/>
      <c r="AN43" s="408"/>
      <c r="AO43" s="408"/>
      <c r="AP43" s="408"/>
      <c r="AQ43" s="408"/>
      <c r="AR43" s="408"/>
      <c r="AS43" s="408"/>
      <c r="AT43" s="408"/>
      <c r="AU43" s="408"/>
      <c r="AV43" s="408"/>
      <c r="AW43" s="408"/>
      <c r="AX43" s="408"/>
      <c r="AY43" s="408"/>
      <c r="AZ43" s="408">
        <v>0</v>
      </c>
      <c r="BA43" s="408"/>
      <c r="BB43" s="408"/>
      <c r="BC43" s="408"/>
      <c r="BD43" s="408"/>
      <c r="BE43" s="408"/>
      <c r="BF43" s="408"/>
      <c r="BG43" s="408"/>
      <c r="BH43" s="408"/>
      <c r="BI43" s="408">
        <v>0</v>
      </c>
      <c r="BJ43" s="408">
        <v>0</v>
      </c>
      <c r="BK43" s="408">
        <v>9237.24</v>
      </c>
      <c r="BL43" s="408">
        <v>1</v>
      </c>
      <c r="BM43" s="408"/>
      <c r="BN43" s="408"/>
      <c r="BO43" s="408"/>
      <c r="BP43" s="408"/>
      <c r="BQ43" s="408"/>
      <c r="BR43" s="408"/>
      <c r="BS43" s="408"/>
      <c r="BT43" s="408"/>
      <c r="BU43" s="408"/>
      <c r="BV43" s="408"/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/>
      <c r="CJ43" s="408">
        <v>-0.03</v>
      </c>
      <c r="CK43" s="408"/>
      <c r="CL43" s="408"/>
      <c r="CM43" s="408"/>
      <c r="CN43" s="408"/>
      <c r="CO43" s="408">
        <v>0</v>
      </c>
      <c r="CP43" s="408">
        <v>0</v>
      </c>
      <c r="CQ43" s="408">
        <v>31</v>
      </c>
      <c r="CR43" s="408"/>
      <c r="CS43" s="408"/>
      <c r="CT43" s="408"/>
      <c r="CU43" s="408"/>
      <c r="CV43" s="408"/>
      <c r="CW43" s="408"/>
      <c r="CX43" s="408"/>
      <c r="CY43" s="408"/>
      <c r="CZ43" s="408"/>
      <c r="DA43" s="408"/>
      <c r="DB43" s="408"/>
      <c r="DC43" s="408"/>
      <c r="DD43" s="408"/>
      <c r="DE43" s="408"/>
      <c r="DF43" s="408"/>
      <c r="DG43" s="408"/>
      <c r="DH43" s="408"/>
      <c r="DI43" s="408"/>
      <c r="DJ43" s="408"/>
      <c r="DK43" s="408">
        <v>0</v>
      </c>
      <c r="DL43" s="408"/>
      <c r="DM43" s="408"/>
      <c r="DN43" s="408"/>
      <c r="DO43" s="408"/>
      <c r="DP43" s="408"/>
      <c r="DQ43" s="408"/>
      <c r="DR43" s="408"/>
      <c r="DS43" s="408"/>
      <c r="DT43" s="408"/>
      <c r="DU43" s="408"/>
      <c r="DV43" s="408"/>
      <c r="DW43" s="408"/>
      <c r="DX43" s="408"/>
      <c r="DY43" s="408"/>
      <c r="DZ43" s="408"/>
      <c r="EA43" s="408"/>
      <c r="EB43" s="408"/>
      <c r="EC43" s="408"/>
      <c r="ED43" s="408"/>
      <c r="EE43" s="408"/>
      <c r="EF43" s="408"/>
      <c r="EG43" s="408"/>
      <c r="EH43" s="408"/>
      <c r="EI43" s="408"/>
      <c r="EJ43" s="408"/>
      <c r="EK43" s="408"/>
      <c r="EL43" s="408"/>
      <c r="EM43" s="408"/>
      <c r="EN43" s="408"/>
      <c r="EO43" s="408"/>
      <c r="EP43" s="408"/>
      <c r="EQ43" s="408"/>
      <c r="ER43" s="408"/>
      <c r="ES43" s="408"/>
      <c r="ET43" s="408"/>
      <c r="EU43" s="408"/>
      <c r="EV43" s="408">
        <v>239</v>
      </c>
      <c r="EW43" s="408"/>
      <c r="EX43" s="408"/>
      <c r="EY43" s="408"/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1034</v>
      </c>
      <c r="C44" s="408" t="s">
        <v>2233</v>
      </c>
      <c r="D44" s="408" t="s">
        <v>1956</v>
      </c>
      <c r="E44" s="408" t="s">
        <v>2250</v>
      </c>
      <c r="F44" s="408" t="s">
        <v>1320</v>
      </c>
      <c r="G44" s="408" t="s">
        <v>1320</v>
      </c>
      <c r="H44" s="408" t="s">
        <v>1320</v>
      </c>
      <c r="I44" s="408" t="s">
        <v>1320</v>
      </c>
      <c r="J44" s="408" t="s">
        <v>2234</v>
      </c>
      <c r="K44" s="827">
        <v>44378</v>
      </c>
      <c r="L44" s="408">
        <v>0</v>
      </c>
      <c r="M44" s="408">
        <v>0</v>
      </c>
      <c r="N44" s="408">
        <v>0.70899999999999996</v>
      </c>
      <c r="O44" s="408">
        <v>0.70899999999999996</v>
      </c>
      <c r="P44" s="408">
        <v>0.70899999999999996</v>
      </c>
      <c r="Q44" s="408">
        <v>0.70899999999999996</v>
      </c>
      <c r="R44" s="408"/>
      <c r="S44" s="408">
        <v>516.83000000000004</v>
      </c>
      <c r="T44" s="408">
        <v>173.82</v>
      </c>
      <c r="U44" s="408"/>
      <c r="V44" s="408">
        <v>489.67085000000003</v>
      </c>
      <c r="W44" s="408">
        <v>489.67085000000003</v>
      </c>
      <c r="X44" s="408">
        <v>369.70804999999996</v>
      </c>
      <c r="Y44" s="408">
        <v>0</v>
      </c>
      <c r="Z44" s="408">
        <v>43.354964132438802</v>
      </c>
      <c r="AA44" s="408">
        <v>0</v>
      </c>
      <c r="AB44" s="408">
        <v>0</v>
      </c>
      <c r="AC44" s="408">
        <v>1.9273768480341269</v>
      </c>
      <c r="AD44" s="408">
        <v>24.40846756914479</v>
      </c>
      <c r="AE44" s="408">
        <v>257.80359877318961</v>
      </c>
      <c r="AF44" s="408">
        <v>114.09379409888024</v>
      </c>
      <c r="AG44" s="408">
        <v>5.739968562975311</v>
      </c>
      <c r="AH44" s="408">
        <v>0</v>
      </c>
      <c r="AI44" s="408">
        <v>0</v>
      </c>
      <c r="AJ44" s="408">
        <v>0</v>
      </c>
      <c r="AK44" s="408">
        <v>0</v>
      </c>
      <c r="AL44" s="408">
        <v>6.7011111302520403</v>
      </c>
      <c r="AM44" s="408"/>
      <c r="AN44" s="408">
        <v>1.10004326016843</v>
      </c>
      <c r="AO44" s="408">
        <v>4.1111391794070267</v>
      </c>
      <c r="AP44" s="408">
        <v>13.463424938790709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0.39336214548994319</v>
      </c>
      <c r="BF44" s="408">
        <v>3.4072330312600116</v>
      </c>
      <c r="BG44" s="408">
        <v>13.172031153157301</v>
      </c>
      <c r="BH44" s="408">
        <v>0</v>
      </c>
      <c r="BI44" s="408">
        <v>0</v>
      </c>
      <c r="BJ44" s="408">
        <v>0</v>
      </c>
      <c r="BK44" s="408">
        <v>200.98</v>
      </c>
      <c r="BL44" s="408">
        <v>6</v>
      </c>
      <c r="BM44" s="408"/>
      <c r="BN44" s="408"/>
      <c r="BO44" s="408"/>
      <c r="BP44" s="408"/>
      <c r="BQ44" s="408"/>
      <c r="BR44" s="408"/>
      <c r="BS44" s="408"/>
      <c r="BT44" s="408"/>
      <c r="BU44" s="408"/>
      <c r="BV44" s="408">
        <v>131.0664204287875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370.22949999999997</v>
      </c>
      <c r="CJ44" s="408">
        <v>-119.47135000000003</v>
      </c>
      <c r="CK44" s="408"/>
      <c r="CL44" s="408"/>
      <c r="CM44" s="408"/>
      <c r="CN44" s="408"/>
      <c r="CO44" s="408">
        <v>-134.98651000000001</v>
      </c>
      <c r="CP44" s="408">
        <v>15.023709999999998</v>
      </c>
      <c r="CQ44" s="408">
        <v>31</v>
      </c>
      <c r="CR44" s="408">
        <v>16.523868220931803</v>
      </c>
      <c r="CS44" s="408">
        <v>0.39916564130283039</v>
      </c>
      <c r="CT44" s="408">
        <v>1.3072135034357348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-0.46801303303982422</v>
      </c>
      <c r="DA44" s="408">
        <v>0</v>
      </c>
      <c r="DB44" s="408">
        <v>0</v>
      </c>
      <c r="DC44" s="408">
        <v>14.645199443173652</v>
      </c>
      <c r="DD44" s="408">
        <v>0.43735601647995237</v>
      </c>
      <c r="DE44" s="408">
        <v>5.0492378832646678E-2</v>
      </c>
      <c r="DF44" s="408">
        <v>0</v>
      </c>
      <c r="DG44" s="408">
        <v>1.6907757764852107</v>
      </c>
      <c r="DH44" s="408">
        <v>0</v>
      </c>
      <c r="DI44" s="408">
        <v>-1.2670707436036039</v>
      </c>
      <c r="DJ44" s="408"/>
      <c r="DK44" s="408">
        <v>0</v>
      </c>
      <c r="DL44" s="408">
        <v>0</v>
      </c>
      <c r="DM44" s="408">
        <v>-6.379764390618714E-2</v>
      </c>
      <c r="DN44" s="408">
        <v>0</v>
      </c>
      <c r="DO44" s="408">
        <v>-0.17355646367470268</v>
      </c>
      <c r="DP44" s="408">
        <v>-3.3896654553964067E-2</v>
      </c>
      <c r="DQ44" s="408">
        <v>0</v>
      </c>
      <c r="DR44" s="408">
        <v>0</v>
      </c>
      <c r="DS44" s="408"/>
      <c r="DT44" s="408"/>
      <c r="DU44" s="408"/>
      <c r="DV44" s="408">
        <v>257.80359877318961</v>
      </c>
      <c r="DW44" s="408">
        <v>0</v>
      </c>
      <c r="DX44" s="408">
        <v>0</v>
      </c>
      <c r="DY44" s="408">
        <v>-134.98651000000004</v>
      </c>
      <c r="DZ44" s="408">
        <v>15.023710000000008</v>
      </c>
      <c r="EA44" s="408">
        <v>0</v>
      </c>
      <c r="EB44" s="408">
        <v>0</v>
      </c>
      <c r="EC44" s="408">
        <v>-136.4933379704469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239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1034</v>
      </c>
      <c r="C45" s="408" t="s">
        <v>2233</v>
      </c>
      <c r="D45" s="408" t="s">
        <v>2243</v>
      </c>
      <c r="E45" s="408" t="s">
        <v>972</v>
      </c>
      <c r="F45" s="408" t="s">
        <v>2251</v>
      </c>
      <c r="G45" s="408" t="s">
        <v>2252</v>
      </c>
      <c r="H45" s="408" t="s">
        <v>1320</v>
      </c>
      <c r="I45" s="408" t="s">
        <v>1320</v>
      </c>
      <c r="J45" s="408" t="s">
        <v>2234</v>
      </c>
      <c r="K45" s="827">
        <v>44378</v>
      </c>
      <c r="L45" s="408">
        <v>0</v>
      </c>
      <c r="M45" s="408">
        <v>0</v>
      </c>
      <c r="N45" s="408">
        <v>0</v>
      </c>
      <c r="O45" s="408">
        <v>0</v>
      </c>
      <c r="P45" s="408">
        <v>0</v>
      </c>
      <c r="Q45" s="408">
        <v>0</v>
      </c>
      <c r="R45" s="408"/>
      <c r="S45" s="408"/>
      <c r="T45" s="408"/>
      <c r="U45" s="408"/>
      <c r="V45" s="408"/>
      <c r="W45" s="408"/>
      <c r="X45" s="408"/>
      <c r="Y45" s="408"/>
      <c r="Z45" s="408"/>
      <c r="AA45" s="408">
        <v>0</v>
      </c>
      <c r="AB45" s="408"/>
      <c r="AC45" s="408"/>
      <c r="AD45" s="408"/>
      <c r="AE45" s="408"/>
      <c r="AF45" s="408"/>
      <c r="AG45" s="408"/>
      <c r="AH45" s="408"/>
      <c r="AI45" s="408"/>
      <c r="AJ45" s="408"/>
      <c r="AK45" s="408"/>
      <c r="AL45" s="408"/>
      <c r="AM45" s="408"/>
      <c r="AN45" s="408"/>
      <c r="AO45" s="408"/>
      <c r="AP45" s="408"/>
      <c r="AQ45" s="408"/>
      <c r="AR45" s="408"/>
      <c r="AS45" s="408"/>
      <c r="AT45" s="408"/>
      <c r="AU45" s="408"/>
      <c r="AV45" s="408"/>
      <c r="AW45" s="408"/>
      <c r="AX45" s="408"/>
      <c r="AY45" s="408"/>
      <c r="AZ45" s="408">
        <v>0</v>
      </c>
      <c r="BA45" s="408"/>
      <c r="BB45" s="408"/>
      <c r="BC45" s="408"/>
      <c r="BD45" s="408"/>
      <c r="BE45" s="408"/>
      <c r="BF45" s="408"/>
      <c r="BG45" s="408"/>
      <c r="BH45" s="408"/>
      <c r="BI45" s="408">
        <v>0</v>
      </c>
      <c r="BJ45" s="408">
        <v>0</v>
      </c>
      <c r="BK45" s="408">
        <v>485.58</v>
      </c>
      <c r="BL45" s="408">
        <v>61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/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/>
      <c r="CJ45" s="408">
        <v>-0.03</v>
      </c>
      <c r="CK45" s="408"/>
      <c r="CL45" s="408"/>
      <c r="CM45" s="408"/>
      <c r="CN45" s="408"/>
      <c r="CO45" s="408">
        <v>0</v>
      </c>
      <c r="CP45" s="408">
        <v>0</v>
      </c>
      <c r="CQ45" s="408">
        <v>31</v>
      </c>
      <c r="CR45" s="408"/>
      <c r="CS45" s="408"/>
      <c r="CT45" s="408"/>
      <c r="CU45" s="408"/>
      <c r="CV45" s="408"/>
      <c r="CW45" s="408"/>
      <c r="CX45" s="408"/>
      <c r="CY45" s="408"/>
      <c r="CZ45" s="408"/>
      <c r="DA45" s="408"/>
      <c r="DB45" s="408"/>
      <c r="DC45" s="408"/>
      <c r="DD45" s="408"/>
      <c r="DE45" s="408"/>
      <c r="DF45" s="408"/>
      <c r="DG45" s="408"/>
      <c r="DH45" s="408"/>
      <c r="DI45" s="408"/>
      <c r="DJ45" s="408"/>
      <c r="DK45" s="408">
        <v>0</v>
      </c>
      <c r="DL45" s="408"/>
      <c r="DM45" s="408"/>
      <c r="DN45" s="408"/>
      <c r="DO45" s="408"/>
      <c r="DP45" s="408"/>
      <c r="DQ45" s="408"/>
      <c r="DR45" s="408"/>
      <c r="DS45" s="408"/>
      <c r="DT45" s="408"/>
      <c r="DU45" s="408"/>
      <c r="DV45" s="408"/>
      <c r="DW45" s="408"/>
      <c r="DX45" s="408"/>
      <c r="DY45" s="408"/>
      <c r="DZ45" s="408"/>
      <c r="EA45" s="408"/>
      <c r="EB45" s="408"/>
      <c r="EC45" s="408"/>
      <c r="ED45" s="408"/>
      <c r="EE45" s="408"/>
      <c r="EF45" s="408"/>
      <c r="EG45" s="408"/>
      <c r="EH45" s="408"/>
      <c r="EI45" s="408"/>
      <c r="EJ45" s="408"/>
      <c r="EK45" s="408"/>
      <c r="EL45" s="408"/>
      <c r="EM45" s="408"/>
      <c r="EN45" s="408"/>
      <c r="EO45" s="408"/>
      <c r="EP45" s="408"/>
      <c r="EQ45" s="408"/>
      <c r="ER45" s="408"/>
      <c r="ES45" s="408"/>
      <c r="ET45" s="408"/>
      <c r="EU45" s="408"/>
      <c r="EV45" s="408">
        <v>239</v>
      </c>
      <c r="EW45" s="408"/>
      <c r="EX45" s="408"/>
      <c r="EY45" s="408"/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2236</v>
      </c>
      <c r="C46" s="408" t="s">
        <v>2233</v>
      </c>
      <c r="D46" s="408" t="s">
        <v>2243</v>
      </c>
      <c r="E46" s="408" t="s">
        <v>972</v>
      </c>
      <c r="F46" s="408" t="s">
        <v>2251</v>
      </c>
      <c r="G46" s="408" t="s">
        <v>2252</v>
      </c>
      <c r="H46" s="408" t="s">
        <v>1320</v>
      </c>
      <c r="I46" s="408" t="s">
        <v>1320</v>
      </c>
      <c r="J46" s="408" t="s">
        <v>2234</v>
      </c>
      <c r="K46" s="827">
        <v>44378</v>
      </c>
      <c r="L46" s="408">
        <v>0</v>
      </c>
      <c r="M46" s="408">
        <v>0</v>
      </c>
      <c r="N46" s="408">
        <v>0</v>
      </c>
      <c r="O46" s="408">
        <v>0</v>
      </c>
      <c r="P46" s="408">
        <v>0</v>
      </c>
      <c r="Q46" s="408">
        <v>0</v>
      </c>
      <c r="R46" s="408"/>
      <c r="S46" s="408"/>
      <c r="T46" s="408"/>
      <c r="U46" s="408"/>
      <c r="V46" s="408"/>
      <c r="W46" s="408"/>
      <c r="X46" s="408"/>
      <c r="Y46" s="408"/>
      <c r="Z46" s="408"/>
      <c r="AA46" s="408">
        <v>0</v>
      </c>
      <c r="AB46" s="408"/>
      <c r="AC46" s="408"/>
      <c r="AD46" s="408"/>
      <c r="AE46" s="408"/>
      <c r="AF46" s="408"/>
      <c r="AG46" s="408"/>
      <c r="AH46" s="408"/>
      <c r="AI46" s="408"/>
      <c r="AJ46" s="408"/>
      <c r="AK46" s="408"/>
      <c r="AL46" s="408"/>
      <c r="AM46" s="408"/>
      <c r="AN46" s="408"/>
      <c r="AO46" s="408"/>
      <c r="AP46" s="408"/>
      <c r="AQ46" s="408"/>
      <c r="AR46" s="408"/>
      <c r="AS46" s="408"/>
      <c r="AT46" s="408"/>
      <c r="AU46" s="408"/>
      <c r="AV46" s="408"/>
      <c r="AW46" s="408"/>
      <c r="AX46" s="408"/>
      <c r="AY46" s="408"/>
      <c r="AZ46" s="408">
        <v>0</v>
      </c>
      <c r="BA46" s="408"/>
      <c r="BB46" s="408"/>
      <c r="BC46" s="408"/>
      <c r="BD46" s="408"/>
      <c r="BE46" s="408"/>
      <c r="BF46" s="408"/>
      <c r="BG46" s="408"/>
      <c r="BH46" s="408"/>
      <c r="BI46" s="408">
        <v>0</v>
      </c>
      <c r="BJ46" s="408">
        <v>0</v>
      </c>
      <c r="BK46" s="408">
        <v>18.34</v>
      </c>
      <c r="BL46" s="408">
        <v>2</v>
      </c>
      <c r="BM46" s="408"/>
      <c r="BN46" s="408"/>
      <c r="BO46" s="408"/>
      <c r="BP46" s="408"/>
      <c r="BQ46" s="408"/>
      <c r="BR46" s="408"/>
      <c r="BS46" s="408"/>
      <c r="BT46" s="408"/>
      <c r="BU46" s="408"/>
      <c r="BV46" s="408"/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/>
      <c r="CJ46" s="408">
        <v>-0.03</v>
      </c>
      <c r="CK46" s="408"/>
      <c r="CL46" s="408"/>
      <c r="CM46" s="408"/>
      <c r="CN46" s="408"/>
      <c r="CO46" s="408">
        <v>0</v>
      </c>
      <c r="CP46" s="408">
        <v>0</v>
      </c>
      <c r="CQ46" s="408">
        <v>31</v>
      </c>
      <c r="CR46" s="408"/>
      <c r="CS46" s="408"/>
      <c r="CT46" s="408"/>
      <c r="CU46" s="408"/>
      <c r="CV46" s="408"/>
      <c r="CW46" s="408"/>
      <c r="CX46" s="408"/>
      <c r="CY46" s="408"/>
      <c r="CZ46" s="408"/>
      <c r="DA46" s="408"/>
      <c r="DB46" s="408"/>
      <c r="DC46" s="408"/>
      <c r="DD46" s="408"/>
      <c r="DE46" s="408"/>
      <c r="DF46" s="408"/>
      <c r="DG46" s="408"/>
      <c r="DH46" s="408"/>
      <c r="DI46" s="408"/>
      <c r="DJ46" s="408"/>
      <c r="DK46" s="408">
        <v>0</v>
      </c>
      <c r="DL46" s="408"/>
      <c r="DM46" s="408"/>
      <c r="DN46" s="408"/>
      <c r="DO46" s="408"/>
      <c r="DP46" s="408"/>
      <c r="DQ46" s="408"/>
      <c r="DR46" s="408"/>
      <c r="DS46" s="408"/>
      <c r="DT46" s="408"/>
      <c r="DU46" s="408"/>
      <c r="DV46" s="408"/>
      <c r="DW46" s="408"/>
      <c r="DX46" s="408"/>
      <c r="DY46" s="408"/>
      <c r="DZ46" s="408"/>
      <c r="EA46" s="408"/>
      <c r="EB46" s="408"/>
      <c r="EC46" s="408"/>
      <c r="ED46" s="408"/>
      <c r="EE46" s="408"/>
      <c r="EF46" s="408"/>
      <c r="EG46" s="408"/>
      <c r="EH46" s="408"/>
      <c r="EI46" s="408"/>
      <c r="EJ46" s="408"/>
      <c r="EK46" s="408"/>
      <c r="EL46" s="408"/>
      <c r="EM46" s="408"/>
      <c r="EN46" s="408"/>
      <c r="EO46" s="408"/>
      <c r="EP46" s="408"/>
      <c r="EQ46" s="408"/>
      <c r="ER46" s="408"/>
      <c r="ES46" s="408"/>
      <c r="ET46" s="408"/>
      <c r="EU46" s="408"/>
      <c r="EV46" s="408">
        <v>239</v>
      </c>
      <c r="EW46" s="408"/>
      <c r="EX46" s="408"/>
      <c r="EY46" s="408"/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1034</v>
      </c>
      <c r="C47" s="408" t="s">
        <v>2233</v>
      </c>
      <c r="D47" s="408" t="s">
        <v>2243</v>
      </c>
      <c r="E47" s="408" t="s">
        <v>972</v>
      </c>
      <c r="F47" s="408" t="s">
        <v>2251</v>
      </c>
      <c r="G47" s="408" t="s">
        <v>2252</v>
      </c>
      <c r="H47" s="408" t="s">
        <v>1320</v>
      </c>
      <c r="I47" s="408" t="s">
        <v>1320</v>
      </c>
      <c r="J47" s="408" t="s">
        <v>2234</v>
      </c>
      <c r="K47" s="827">
        <v>44378</v>
      </c>
      <c r="L47" s="408">
        <v>0</v>
      </c>
      <c r="M47" s="408">
        <v>0</v>
      </c>
      <c r="N47" s="408">
        <v>5.3019999999999996</v>
      </c>
      <c r="O47" s="408">
        <v>5.3019999999999996</v>
      </c>
      <c r="P47" s="408">
        <v>5.3019999999999996</v>
      </c>
      <c r="Q47" s="408">
        <v>5.3019999999999996</v>
      </c>
      <c r="R47" s="408"/>
      <c r="S47" s="408">
        <v>516.83000000000004</v>
      </c>
      <c r="T47" s="408">
        <v>173.82</v>
      </c>
      <c r="U47" s="408"/>
      <c r="V47" s="408">
        <v>3661.8263000000002</v>
      </c>
      <c r="W47" s="408">
        <v>3661.8263000000002</v>
      </c>
      <c r="X47" s="408">
        <v>2764.7278999999999</v>
      </c>
      <c r="Y47" s="408">
        <v>0</v>
      </c>
      <c r="Z47" s="408">
        <v>324.21441442904165</v>
      </c>
      <c r="AA47" s="408">
        <v>0</v>
      </c>
      <c r="AB47" s="408">
        <v>0</v>
      </c>
      <c r="AC47" s="408">
        <v>14.413190477118393</v>
      </c>
      <c r="AD47" s="408">
        <v>182.5298942899939</v>
      </c>
      <c r="AE47" s="408">
        <v>1927.8909459738379</v>
      </c>
      <c r="AF47" s="408">
        <v>853.20916264070945</v>
      </c>
      <c r="AG47" s="408">
        <v>42.924278308737797</v>
      </c>
      <c r="AH47" s="408">
        <v>0</v>
      </c>
      <c r="AI47" s="408">
        <v>0</v>
      </c>
      <c r="AJ47" s="408">
        <v>0</v>
      </c>
      <c r="AK47" s="408">
        <v>0</v>
      </c>
      <c r="AL47" s="408">
        <v>50.111835278697207</v>
      </c>
      <c r="AM47" s="408"/>
      <c r="AN47" s="408">
        <v>8.2262755506530549</v>
      </c>
      <c r="AO47" s="408">
        <v>30.743667036976099</v>
      </c>
      <c r="AP47" s="408">
        <v>100.68135264523038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2.9416164956102659</v>
      </c>
      <c r="BF47" s="408">
        <v>25.479759565219439</v>
      </c>
      <c r="BG47" s="408">
        <v>98.502269638984501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>
        <v>331.74613999999997</v>
      </c>
      <c r="BS47" s="408"/>
      <c r="BT47" s="408"/>
      <c r="BU47" s="408"/>
      <c r="BV47" s="408">
        <v>980.13280834052352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2432.0639999999999</v>
      </c>
      <c r="CJ47" s="408">
        <v>-790.36254000000054</v>
      </c>
      <c r="CK47" s="408"/>
      <c r="CL47" s="408"/>
      <c r="CM47" s="408"/>
      <c r="CN47" s="408"/>
      <c r="CO47" s="408">
        <v>-1009.4477800000002</v>
      </c>
      <c r="CP47" s="408">
        <v>112.34937999999998</v>
      </c>
      <c r="CQ47" s="408">
        <v>31</v>
      </c>
      <c r="CR47" s="408">
        <v>123.5677705322712</v>
      </c>
      <c r="CS47" s="408">
        <v>2.9850158394747623</v>
      </c>
      <c r="CT47" s="408">
        <v>9.7755232654672284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-3.4998661511666569</v>
      </c>
      <c r="DA47" s="408">
        <v>0</v>
      </c>
      <c r="DB47" s="408">
        <v>0</v>
      </c>
      <c r="DC47" s="408">
        <v>109.51882573724504</v>
      </c>
      <c r="DD47" s="408">
        <v>3.2706087438317439</v>
      </c>
      <c r="DE47" s="408">
        <v>0.37758898811099106</v>
      </c>
      <c r="DF47" s="408">
        <v>0</v>
      </c>
      <c r="DG47" s="408">
        <v>12.643854960401384</v>
      </c>
      <c r="DH47" s="408">
        <v>0</v>
      </c>
      <c r="DI47" s="408">
        <v>-9.4753301587959413</v>
      </c>
      <c r="DJ47" s="408"/>
      <c r="DK47" s="408">
        <v>0</v>
      </c>
      <c r="DL47" s="408">
        <v>0</v>
      </c>
      <c r="DM47" s="408">
        <v>-0.47708759942257473</v>
      </c>
      <c r="DN47" s="408">
        <v>0</v>
      </c>
      <c r="DO47" s="408">
        <v>-1.2978792248283142</v>
      </c>
      <c r="DP47" s="408">
        <v>-0.25348386804671108</v>
      </c>
      <c r="DQ47" s="408">
        <v>0</v>
      </c>
      <c r="DR47" s="408">
        <v>0</v>
      </c>
      <c r="DS47" s="408"/>
      <c r="DT47" s="408"/>
      <c r="DU47" s="408"/>
      <c r="DV47" s="408">
        <v>1927.8909459738379</v>
      </c>
      <c r="DW47" s="408">
        <v>0</v>
      </c>
      <c r="DX47" s="408">
        <v>0</v>
      </c>
      <c r="DY47" s="408">
        <v>-1009.4477800000002</v>
      </c>
      <c r="DZ47" s="408">
        <v>112.34938</v>
      </c>
      <c r="EA47" s="408">
        <v>0</v>
      </c>
      <c r="EB47" s="408">
        <v>0</v>
      </c>
      <c r="EC47" s="408">
        <v>-1020.7160478410568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239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2236</v>
      </c>
      <c r="C48" s="408" t="s">
        <v>2233</v>
      </c>
      <c r="D48" s="408" t="s">
        <v>2243</v>
      </c>
      <c r="E48" s="408" t="s">
        <v>972</v>
      </c>
      <c r="F48" s="408" t="s">
        <v>2251</v>
      </c>
      <c r="G48" s="408" t="s">
        <v>2252</v>
      </c>
      <c r="H48" s="408" t="s">
        <v>1320</v>
      </c>
      <c r="I48" s="408" t="s">
        <v>1320</v>
      </c>
      <c r="J48" s="408" t="s">
        <v>2234</v>
      </c>
      <c r="K48" s="827">
        <v>44378</v>
      </c>
      <c r="L48" s="408">
        <v>0</v>
      </c>
      <c r="M48" s="408">
        <v>0</v>
      </c>
      <c r="N48" s="408">
        <v>0.2</v>
      </c>
      <c r="O48" s="408">
        <v>0.2</v>
      </c>
      <c r="P48" s="408">
        <v>0.2</v>
      </c>
      <c r="Q48" s="408">
        <v>0.2</v>
      </c>
      <c r="R48" s="408"/>
      <c r="S48" s="408">
        <v>516.83000000000004</v>
      </c>
      <c r="T48" s="408">
        <v>173.82</v>
      </c>
      <c r="U48" s="408"/>
      <c r="V48" s="408">
        <v>138.13000000000002</v>
      </c>
      <c r="W48" s="408">
        <v>138.13000000000002</v>
      </c>
      <c r="X48" s="408">
        <v>104.28999999999999</v>
      </c>
      <c r="Y48" s="408">
        <v>0</v>
      </c>
      <c r="Z48" s="408">
        <v>12.22989115160474</v>
      </c>
      <c r="AA48" s="408">
        <v>0</v>
      </c>
      <c r="AB48" s="408">
        <v>0</v>
      </c>
      <c r="AC48" s="408">
        <v>0.54368881467817409</v>
      </c>
      <c r="AD48" s="408">
        <v>6.8853223044131999</v>
      </c>
      <c r="AE48" s="408">
        <v>72.723159033339797</v>
      </c>
      <c r="AF48" s="408">
        <v>32.1844271082878</v>
      </c>
      <c r="AG48" s="408">
        <v>1.619173078413346</v>
      </c>
      <c r="AH48" s="408">
        <v>0</v>
      </c>
      <c r="AI48" s="408">
        <v>0</v>
      </c>
      <c r="AJ48" s="408">
        <v>0</v>
      </c>
      <c r="AK48" s="408">
        <v>0</v>
      </c>
      <c r="AL48" s="408">
        <v>1.8902993315238481</v>
      </c>
      <c r="AM48" s="408"/>
      <c r="AN48" s="408">
        <v>0.31030839496993801</v>
      </c>
      <c r="AO48" s="408">
        <v>1.159700755827088</v>
      </c>
      <c r="AP48" s="408">
        <v>3.7978631703217802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0.11096252341042122</v>
      </c>
      <c r="BF48" s="408">
        <v>0.96113766749224594</v>
      </c>
      <c r="BG48" s="408">
        <v>3.7156646412291403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>
        <v>12.513999999999999</v>
      </c>
      <c r="BS48" s="408"/>
      <c r="BT48" s="408"/>
      <c r="BU48" s="408"/>
      <c r="BV48" s="408">
        <v>36.972191940419606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91.77600000000001</v>
      </c>
      <c r="CJ48" s="408">
        <v>-29.808000000000007</v>
      </c>
      <c r="CK48" s="408"/>
      <c r="CL48" s="408"/>
      <c r="CM48" s="408"/>
      <c r="CN48" s="408"/>
      <c r="CO48" s="408">
        <v>-38.07800000000001</v>
      </c>
      <c r="CP48" s="408">
        <v>4.2379999999999995</v>
      </c>
      <c r="CQ48" s="408">
        <v>31</v>
      </c>
      <c r="CR48" s="408">
        <v>4.6611758028016226</v>
      </c>
      <c r="CS48" s="408">
        <v>0.1125996167285841</v>
      </c>
      <c r="CT48" s="408">
        <v>0.36874852001008041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-0.13202060170375951</v>
      </c>
      <c r="DA48" s="408">
        <v>0</v>
      </c>
      <c r="DB48" s="408">
        <v>0</v>
      </c>
      <c r="DC48" s="408">
        <v>4.1312269233212007</v>
      </c>
      <c r="DD48" s="408">
        <v>0.12337264216641819</v>
      </c>
      <c r="DE48" s="408">
        <v>1.4243266243341809E-2</v>
      </c>
      <c r="DF48" s="408">
        <v>0</v>
      </c>
      <c r="DG48" s="408">
        <v>0.47694662242177976</v>
      </c>
      <c r="DH48" s="408">
        <v>0</v>
      </c>
      <c r="DI48" s="408">
        <v>-0.35742475136913932</v>
      </c>
      <c r="DJ48" s="408"/>
      <c r="DK48" s="408">
        <v>0</v>
      </c>
      <c r="DL48" s="408">
        <v>0</v>
      </c>
      <c r="DM48" s="408">
        <v>-1.7996514501040117E-2</v>
      </c>
      <c r="DN48" s="408">
        <v>0</v>
      </c>
      <c r="DO48" s="408">
        <v>-4.8958099767194119E-2</v>
      </c>
      <c r="DP48" s="408">
        <v>-9.561820748649974E-3</v>
      </c>
      <c r="DQ48" s="408">
        <v>0</v>
      </c>
      <c r="DR48" s="408">
        <v>0</v>
      </c>
      <c r="DS48" s="408"/>
      <c r="DT48" s="408"/>
      <c r="DU48" s="408"/>
      <c r="DV48" s="408">
        <v>72.723159033339797</v>
      </c>
      <c r="DW48" s="408">
        <v>0</v>
      </c>
      <c r="DX48" s="408">
        <v>0</v>
      </c>
      <c r="DY48" s="408">
        <v>-38.078000000000017</v>
      </c>
      <c r="DZ48" s="408">
        <v>4.2379999999999995</v>
      </c>
      <c r="EA48" s="408">
        <v>0</v>
      </c>
      <c r="EB48" s="408">
        <v>0</v>
      </c>
      <c r="EC48" s="408">
        <v>-38.503057255415193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239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1034</v>
      </c>
      <c r="C49" s="408" t="s">
        <v>2233</v>
      </c>
      <c r="D49" s="408" t="s">
        <v>2243</v>
      </c>
      <c r="E49" s="408" t="s">
        <v>972</v>
      </c>
      <c r="F49" s="408" t="s">
        <v>2251</v>
      </c>
      <c r="G49" s="408" t="s">
        <v>2253</v>
      </c>
      <c r="H49" s="408" t="s">
        <v>1320</v>
      </c>
      <c r="I49" s="408" t="s">
        <v>1320</v>
      </c>
      <c r="J49" s="408" t="s">
        <v>2234</v>
      </c>
      <c r="K49" s="827">
        <v>44378</v>
      </c>
      <c r="L49" s="408">
        <v>0</v>
      </c>
      <c r="M49" s="408">
        <v>0</v>
      </c>
      <c r="N49" s="408">
        <v>2.5000000000000001E-2</v>
      </c>
      <c r="O49" s="408">
        <v>0.01</v>
      </c>
      <c r="P49" s="408">
        <v>2.5000000000000001E-2</v>
      </c>
      <c r="Q49" s="408">
        <v>0.01</v>
      </c>
      <c r="R49" s="408"/>
      <c r="S49" s="408">
        <v>516.83000000000004</v>
      </c>
      <c r="T49" s="408">
        <v>173.82</v>
      </c>
      <c r="U49" s="408"/>
      <c r="V49" s="408">
        <v>17.266250000000003</v>
      </c>
      <c r="W49" s="408">
        <v>17.266250000000003</v>
      </c>
      <c r="X49" s="408">
        <v>13.036249999999999</v>
      </c>
      <c r="Y49" s="408">
        <v>0</v>
      </c>
      <c r="Z49" s="408">
        <v>1.5287363939505925</v>
      </c>
      <c r="AA49" s="408">
        <v>0</v>
      </c>
      <c r="AB49" s="408">
        <v>0</v>
      </c>
      <c r="AC49" s="408">
        <v>6.7961101834771762E-2</v>
      </c>
      <c r="AD49" s="408">
        <v>0.86066528805164999</v>
      </c>
      <c r="AE49" s="408">
        <v>9.0903948791674747</v>
      </c>
      <c r="AF49" s="408">
        <v>4.0230533885359749</v>
      </c>
      <c r="AG49" s="408">
        <v>0.20239663480166825</v>
      </c>
      <c r="AH49" s="408">
        <v>0</v>
      </c>
      <c r="AI49" s="408">
        <v>0</v>
      </c>
      <c r="AJ49" s="408">
        <v>0</v>
      </c>
      <c r="AK49" s="408">
        <v>0</v>
      </c>
      <c r="AL49" s="408">
        <v>0.23628741644048101</v>
      </c>
      <c r="AM49" s="408"/>
      <c r="AN49" s="408">
        <v>3.8788549371242251E-2</v>
      </c>
      <c r="AO49" s="408">
        <v>0.144962594478386</v>
      </c>
      <c r="AP49" s="408">
        <v>0.47473289629022253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1.3870315426302652E-2</v>
      </c>
      <c r="BF49" s="408">
        <v>0.12014220843653074</v>
      </c>
      <c r="BG49" s="408">
        <v>0.46445808015364254</v>
      </c>
      <c r="BH49" s="408">
        <v>0</v>
      </c>
      <c r="BI49" s="408">
        <v>0</v>
      </c>
      <c r="BJ49" s="408">
        <v>0</v>
      </c>
      <c r="BK49" s="408">
        <v>0</v>
      </c>
      <c r="BL49" s="408">
        <v>0</v>
      </c>
      <c r="BM49" s="408"/>
      <c r="BN49" s="408"/>
      <c r="BO49" s="408"/>
      <c r="BP49" s="408"/>
      <c r="BQ49" s="408"/>
      <c r="BR49" s="408"/>
      <c r="BS49" s="408">
        <v>8.4474499999999999</v>
      </c>
      <c r="BT49" s="408"/>
      <c r="BU49" s="408"/>
      <c r="BV49" s="408">
        <v>4.6215239925524507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4.5888</v>
      </c>
      <c r="CJ49" s="408">
        <v>-1.5188999999999995</v>
      </c>
      <c r="CK49" s="408"/>
      <c r="CL49" s="408"/>
      <c r="CM49" s="408"/>
      <c r="CN49" s="408"/>
      <c r="CO49" s="408">
        <v>-4.7597500000000013</v>
      </c>
      <c r="CP49" s="408">
        <v>0.52974999999999994</v>
      </c>
      <c r="CQ49" s="408">
        <v>31</v>
      </c>
      <c r="CR49" s="408">
        <v>0.58264697535020282</v>
      </c>
      <c r="CS49" s="408">
        <v>1.4074952091073012E-2</v>
      </c>
      <c r="CT49" s="408">
        <v>4.6093565001260051E-2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-1.6502575212969939E-2</v>
      </c>
      <c r="DA49" s="408">
        <v>0</v>
      </c>
      <c r="DB49" s="408">
        <v>0</v>
      </c>
      <c r="DC49" s="408">
        <v>0.51640336541515008</v>
      </c>
      <c r="DD49" s="408">
        <v>1.5421580270802274E-2</v>
      </c>
      <c r="DE49" s="408">
        <v>1.7804082804177262E-3</v>
      </c>
      <c r="DF49" s="408">
        <v>0</v>
      </c>
      <c r="DG49" s="408">
        <v>5.9618327802722471E-2</v>
      </c>
      <c r="DH49" s="408">
        <v>0</v>
      </c>
      <c r="DI49" s="408">
        <v>-4.4678093921142414E-2</v>
      </c>
      <c r="DJ49" s="408"/>
      <c r="DK49" s="408">
        <v>0</v>
      </c>
      <c r="DL49" s="408">
        <v>0</v>
      </c>
      <c r="DM49" s="408">
        <v>-2.2495643126300147E-3</v>
      </c>
      <c r="DN49" s="408">
        <v>0</v>
      </c>
      <c r="DO49" s="408">
        <v>-6.1197624708992648E-3</v>
      </c>
      <c r="DP49" s="408">
        <v>-1.1952275935812467E-3</v>
      </c>
      <c r="DQ49" s="408">
        <v>0</v>
      </c>
      <c r="DR49" s="408">
        <v>0</v>
      </c>
      <c r="DS49" s="408"/>
      <c r="DT49" s="408"/>
      <c r="DU49" s="408"/>
      <c r="DV49" s="408">
        <v>9.0903948791674747</v>
      </c>
      <c r="DW49" s="408">
        <v>0</v>
      </c>
      <c r="DX49" s="408">
        <v>0</v>
      </c>
      <c r="DY49" s="408">
        <v>-4.7597500000000021</v>
      </c>
      <c r="DZ49" s="408">
        <v>0.52974999999999994</v>
      </c>
      <c r="EA49" s="408">
        <v>0</v>
      </c>
      <c r="EB49" s="408">
        <v>0</v>
      </c>
      <c r="EC49" s="408">
        <v>-4.8128821569268991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239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1034</v>
      </c>
      <c r="C50" s="408" t="s">
        <v>2241</v>
      </c>
      <c r="D50" s="408" t="s">
        <v>596</v>
      </c>
      <c r="E50" s="408" t="s">
        <v>972</v>
      </c>
      <c r="F50" s="408" t="s">
        <v>2251</v>
      </c>
      <c r="G50" s="408" t="s">
        <v>1320</v>
      </c>
      <c r="H50" s="408" t="s">
        <v>1320</v>
      </c>
      <c r="I50" s="408" t="s">
        <v>971</v>
      </c>
      <c r="J50" s="408" t="s">
        <v>2234</v>
      </c>
      <c r="K50" s="827">
        <v>44378</v>
      </c>
      <c r="L50" s="408">
        <v>0</v>
      </c>
      <c r="M50" s="408">
        <v>0</v>
      </c>
      <c r="N50" s="408">
        <v>0.08</v>
      </c>
      <c r="O50" s="408">
        <v>7.6799999999999993E-2</v>
      </c>
      <c r="P50" s="408">
        <v>0.08</v>
      </c>
      <c r="Q50" s="408">
        <v>7.6799999999999993E-2</v>
      </c>
      <c r="R50" s="408"/>
      <c r="S50" s="408">
        <v>1684.16</v>
      </c>
      <c r="T50" s="408">
        <v>173.82</v>
      </c>
      <c r="U50" s="408"/>
      <c r="V50" s="408">
        <v>148.63839999999999</v>
      </c>
      <c r="W50" s="408">
        <v>148.63839999999999</v>
      </c>
      <c r="X50" s="408">
        <v>102.0368</v>
      </c>
      <c r="Y50" s="408">
        <v>0</v>
      </c>
      <c r="Z50" s="408">
        <v>4.2560021207584562</v>
      </c>
      <c r="AA50" s="408">
        <v>0</v>
      </c>
      <c r="AB50" s="408">
        <v>0</v>
      </c>
      <c r="AC50" s="408">
        <v>1.4399519887788321</v>
      </c>
      <c r="AD50" s="408">
        <v>21.96687433440248</v>
      </c>
      <c r="AE50" s="408">
        <v>92.663396439652004</v>
      </c>
      <c r="AF50" s="408">
        <v>12.873770843315119</v>
      </c>
      <c r="AG50" s="408">
        <v>0.64766923136533838</v>
      </c>
      <c r="AH50" s="408">
        <v>0</v>
      </c>
      <c r="AI50" s="408">
        <v>0</v>
      </c>
      <c r="AJ50" s="408">
        <v>0</v>
      </c>
      <c r="AK50" s="408">
        <v>0</v>
      </c>
      <c r="AL50" s="408">
        <v>0.75611973260953924</v>
      </c>
      <c r="AM50" s="408"/>
      <c r="AN50" s="408">
        <v>9.9418453254300806E-2</v>
      </c>
      <c r="AO50" s="408">
        <v>3.0924914903259522</v>
      </c>
      <c r="AP50" s="408">
        <v>9.9438936807017608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1.492748997570768E-2</v>
      </c>
      <c r="BF50" s="408">
        <v>0.38445506699689835</v>
      </c>
      <c r="BG50" s="408">
        <v>0.49985837542543038</v>
      </c>
      <c r="BH50" s="408">
        <v>0</v>
      </c>
      <c r="BI50" s="408">
        <v>0</v>
      </c>
      <c r="BJ50" s="408">
        <v>0</v>
      </c>
      <c r="BK50" s="408">
        <v>0</v>
      </c>
      <c r="BL50" s="408">
        <v>0</v>
      </c>
      <c r="BM50" s="408"/>
      <c r="BN50" s="408"/>
      <c r="BO50" s="408"/>
      <c r="BP50" s="408"/>
      <c r="BQ50" s="408"/>
      <c r="BR50" s="408">
        <v>4.0814720000000113</v>
      </c>
      <c r="BS50" s="408"/>
      <c r="BT50" s="408"/>
      <c r="BU50" s="408"/>
      <c r="BV50" s="408">
        <v>13.773011775713156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102.0368</v>
      </c>
      <c r="CJ50" s="408">
        <v>-40.686063999999988</v>
      </c>
      <c r="CK50" s="408"/>
      <c r="CL50" s="408"/>
      <c r="CM50" s="408"/>
      <c r="CN50" s="408"/>
      <c r="CO50" s="408">
        <v>-48.296800000000005</v>
      </c>
      <c r="CP50" s="408">
        <v>1.6951999999999998</v>
      </c>
      <c r="CQ50" s="408">
        <v>31</v>
      </c>
      <c r="CR50" s="408">
        <v>2.4582423724366294</v>
      </c>
      <c r="CS50" s="408">
        <v>0.30026138622179177</v>
      </c>
      <c r="CT50" s="408">
        <v>0.96548925368095873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-0.42119741661479537</v>
      </c>
      <c r="DA50" s="408">
        <v>0</v>
      </c>
      <c r="DB50" s="408">
        <v>0</v>
      </c>
      <c r="DC50" s="408">
        <v>1.6524907693284803</v>
      </c>
      <c r="DD50" s="408">
        <v>4.9349056866567265E-2</v>
      </c>
      <c r="DE50" s="408">
        <v>1.916108317782321E-3</v>
      </c>
      <c r="DF50" s="408">
        <v>0</v>
      </c>
      <c r="DG50" s="408">
        <v>6.4162346946771975E-2</v>
      </c>
      <c r="DH50" s="408">
        <v>0</v>
      </c>
      <c r="DI50" s="408">
        <v>-0.12438381347646388</v>
      </c>
      <c r="DJ50" s="408"/>
      <c r="DK50" s="408">
        <v>0</v>
      </c>
      <c r="DL50" s="408">
        <v>0</v>
      </c>
      <c r="DM50" s="408">
        <v>-7.1986058004159803E-3</v>
      </c>
      <c r="DN50" s="408">
        <v>0</v>
      </c>
      <c r="DO50" s="408">
        <v>-1.9583239906877603E-2</v>
      </c>
      <c r="DP50" s="408">
        <v>-3.0634731271704102E-3</v>
      </c>
      <c r="DQ50" s="408">
        <v>0</v>
      </c>
      <c r="DR50" s="408">
        <v>0</v>
      </c>
      <c r="DS50" s="408"/>
      <c r="DT50" s="408"/>
      <c r="DU50" s="408"/>
      <c r="DV50" s="408">
        <v>92.663396439652004</v>
      </c>
      <c r="DW50" s="408">
        <v>0</v>
      </c>
      <c r="DX50" s="408">
        <v>0</v>
      </c>
      <c r="DY50" s="408">
        <v>-48.29679999999999</v>
      </c>
      <c r="DZ50" s="408">
        <v>1.6951999999999998</v>
      </c>
      <c r="EA50" s="408">
        <v>0</v>
      </c>
      <c r="EB50" s="408">
        <v>0</v>
      </c>
      <c r="EC50" s="408">
        <v>-49.060355820922084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239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1034</v>
      </c>
      <c r="C51" s="408" t="s">
        <v>2241</v>
      </c>
      <c r="D51" s="408" t="s">
        <v>596</v>
      </c>
      <c r="E51" s="408" t="s">
        <v>972</v>
      </c>
      <c r="F51" s="408" t="s">
        <v>2251</v>
      </c>
      <c r="G51" s="408" t="s">
        <v>1320</v>
      </c>
      <c r="H51" s="408" t="s">
        <v>1320</v>
      </c>
      <c r="I51" s="408" t="s">
        <v>2242</v>
      </c>
      <c r="J51" s="408" t="s">
        <v>2234</v>
      </c>
      <c r="K51" s="827">
        <v>44378</v>
      </c>
      <c r="L51" s="408">
        <v>0</v>
      </c>
      <c r="M51" s="408">
        <v>0</v>
      </c>
      <c r="N51" s="408">
        <v>5.7839999999999998</v>
      </c>
      <c r="O51" s="408">
        <v>5.5526399999999994</v>
      </c>
      <c r="P51" s="408">
        <v>5.7839999999999998</v>
      </c>
      <c r="Q51" s="408">
        <v>5.5526399999999994</v>
      </c>
      <c r="R51" s="408"/>
      <c r="S51" s="408">
        <v>70.33</v>
      </c>
      <c r="T51" s="408">
        <v>173.82</v>
      </c>
      <c r="U51" s="408"/>
      <c r="V51" s="408">
        <v>1412.1635999999999</v>
      </c>
      <c r="W51" s="408">
        <v>1412.1635999999999</v>
      </c>
      <c r="X51" s="408">
        <v>1528.8847199999998</v>
      </c>
      <c r="Y51" s="408">
        <v>0</v>
      </c>
      <c r="Z51" s="408">
        <v>307.70895333083638</v>
      </c>
      <c r="AA51" s="408">
        <v>0</v>
      </c>
      <c r="AB51" s="408">
        <v>0</v>
      </c>
      <c r="AC51" s="408">
        <v>0</v>
      </c>
      <c r="AD51" s="408">
        <v>0</v>
      </c>
      <c r="AE51" s="408">
        <v>0</v>
      </c>
      <c r="AF51" s="408">
        <v>930.77363197168313</v>
      </c>
      <c r="AG51" s="408">
        <v>46.826485427713962</v>
      </c>
      <c r="AH51" s="408">
        <v>0</v>
      </c>
      <c r="AI51" s="408">
        <v>0</v>
      </c>
      <c r="AJ51" s="408">
        <v>0</v>
      </c>
      <c r="AK51" s="408">
        <v>0</v>
      </c>
      <c r="AL51" s="408">
        <v>54.667456667669683</v>
      </c>
      <c r="AM51" s="408"/>
      <c r="AN51" s="408">
        <v>7.1879541702859475</v>
      </c>
      <c r="AO51" s="408">
        <v>0</v>
      </c>
      <c r="AP51" s="408">
        <v>0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1.0792575252436651</v>
      </c>
      <c r="BF51" s="408">
        <v>27.796101343875751</v>
      </c>
      <c r="BG51" s="408">
        <v>36.139760543258618</v>
      </c>
      <c r="BH51" s="408">
        <v>0</v>
      </c>
      <c r="BI51" s="408">
        <v>0</v>
      </c>
      <c r="BJ51" s="408">
        <v>0</v>
      </c>
      <c r="BK51" s="408">
        <v>0</v>
      </c>
      <c r="BL51" s="408">
        <v>0</v>
      </c>
      <c r="BM51" s="408"/>
      <c r="BN51" s="408"/>
      <c r="BO51" s="408"/>
      <c r="BP51" s="408"/>
      <c r="BQ51" s="408"/>
      <c r="BR51" s="408">
        <v>61.155388800000118</v>
      </c>
      <c r="BS51" s="408"/>
      <c r="BT51" s="408"/>
      <c r="BU51" s="408"/>
      <c r="BV51" s="408">
        <v>995.78875138406113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1467.0314999999998</v>
      </c>
      <c r="CJ51" s="408">
        <v>111.32444400000008</v>
      </c>
      <c r="CK51" s="408"/>
      <c r="CL51" s="408"/>
      <c r="CM51" s="408"/>
      <c r="CN51" s="408"/>
      <c r="CO51" s="408">
        <v>-5.8418400000000297</v>
      </c>
      <c r="CP51" s="408">
        <v>122.56295999999999</v>
      </c>
      <c r="CQ51" s="408">
        <v>31</v>
      </c>
      <c r="CR51" s="408">
        <v>116.66972548344847</v>
      </c>
      <c r="CS51" s="408">
        <v>0</v>
      </c>
      <c r="CT51" s="408">
        <v>0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0</v>
      </c>
      <c r="DA51" s="408">
        <v>0</v>
      </c>
      <c r="DB51" s="408">
        <v>0</v>
      </c>
      <c r="DC51" s="408">
        <v>119.47508262244912</v>
      </c>
      <c r="DD51" s="408">
        <v>3.5679368114528138</v>
      </c>
      <c r="DE51" s="408">
        <v>0.13853463137566191</v>
      </c>
      <c r="DF51" s="408">
        <v>0</v>
      </c>
      <c r="DG51" s="408">
        <v>4.6389376842516157</v>
      </c>
      <c r="DH51" s="408">
        <v>0</v>
      </c>
      <c r="DI51" s="408">
        <v>-8.9929497143483559</v>
      </c>
      <c r="DJ51" s="408"/>
      <c r="DK51" s="408">
        <v>0</v>
      </c>
      <c r="DL51" s="408">
        <v>0</v>
      </c>
      <c r="DM51" s="408">
        <v>-0.52045919937008023</v>
      </c>
      <c r="DN51" s="408">
        <v>0</v>
      </c>
      <c r="DO51" s="408">
        <v>-1.4158682452672551</v>
      </c>
      <c r="DP51" s="408">
        <v>-0.22148910709442049</v>
      </c>
      <c r="DQ51" s="408">
        <v>0</v>
      </c>
      <c r="DR51" s="408">
        <v>0</v>
      </c>
      <c r="DS51" s="408"/>
      <c r="DT51" s="408"/>
      <c r="DU51" s="408"/>
      <c r="DV51" s="408">
        <v>0</v>
      </c>
      <c r="DW51" s="408">
        <v>0</v>
      </c>
      <c r="DX51" s="408">
        <v>0</v>
      </c>
      <c r="DY51" s="408">
        <v>-5.8418399999999906</v>
      </c>
      <c r="DZ51" s="408">
        <v>122.56295999999986</v>
      </c>
      <c r="EA51" s="408">
        <v>0</v>
      </c>
      <c r="EB51" s="408">
        <v>0</v>
      </c>
      <c r="EC51" s="408">
        <v>0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239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1034</v>
      </c>
      <c r="C52" s="408" t="s">
        <v>2241</v>
      </c>
      <c r="D52" s="408" t="s">
        <v>596</v>
      </c>
      <c r="E52" s="408" t="s">
        <v>972</v>
      </c>
      <c r="F52" s="408" t="s">
        <v>2251</v>
      </c>
      <c r="G52" s="408" t="s">
        <v>1320</v>
      </c>
      <c r="H52" s="408" t="s">
        <v>1320</v>
      </c>
      <c r="I52" s="408" t="s">
        <v>1320</v>
      </c>
      <c r="J52" s="408" t="s">
        <v>2234</v>
      </c>
      <c r="K52" s="827">
        <v>44378</v>
      </c>
      <c r="L52" s="408">
        <v>225</v>
      </c>
      <c r="M52" s="408">
        <v>216</v>
      </c>
      <c r="N52" s="408">
        <v>0</v>
      </c>
      <c r="O52" s="408">
        <v>0</v>
      </c>
      <c r="P52" s="408">
        <v>0</v>
      </c>
      <c r="Q52" s="408">
        <v>0</v>
      </c>
      <c r="R52" s="408">
        <v>59.12</v>
      </c>
      <c r="S52" s="408"/>
      <c r="T52" s="408"/>
      <c r="U52" s="408">
        <v>13302</v>
      </c>
      <c r="V52" s="408"/>
      <c r="W52" s="408">
        <v>13302</v>
      </c>
      <c r="X52" s="408">
        <v>7656.75</v>
      </c>
      <c r="Y52" s="408">
        <v>0</v>
      </c>
      <c r="Z52" s="408">
        <v>0</v>
      </c>
      <c r="AA52" s="408">
        <v>0</v>
      </c>
      <c r="AB52" s="408">
        <v>0</v>
      </c>
      <c r="AC52" s="408">
        <v>128.71358175007845</v>
      </c>
      <c r="AD52" s="408">
        <v>1151.3300964109719</v>
      </c>
      <c r="AE52" s="408">
        <v>10836.404494301409</v>
      </c>
      <c r="AF52" s="408"/>
      <c r="AG52" s="408"/>
      <c r="AH52" s="408"/>
      <c r="AI52" s="408">
        <v>0</v>
      </c>
      <c r="AJ52" s="408">
        <v>0</v>
      </c>
      <c r="AK52" s="408">
        <v>0</v>
      </c>
      <c r="AL52" s="408">
        <v>0</v>
      </c>
      <c r="AM52" s="408"/>
      <c r="AN52" s="408">
        <v>0</v>
      </c>
      <c r="AO52" s="408">
        <v>271.81622603026352</v>
      </c>
      <c r="AP52" s="408">
        <v>913.7222694044865</v>
      </c>
      <c r="AQ52" s="408">
        <v>0</v>
      </c>
      <c r="AR52" s="408">
        <v>0</v>
      </c>
      <c r="AS52" s="408"/>
      <c r="AT52" s="408"/>
      <c r="AU52" s="408">
        <v>0</v>
      </c>
      <c r="AV52" s="408">
        <v>0</v>
      </c>
      <c r="AW52" s="408">
        <v>0</v>
      </c>
      <c r="AX52" s="408"/>
      <c r="AY52" s="408"/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/>
      <c r="BG52" s="408">
        <v>0</v>
      </c>
      <c r="BH52" s="408">
        <v>0</v>
      </c>
      <c r="BI52" s="408">
        <v>0</v>
      </c>
      <c r="BJ52" s="408">
        <v>0</v>
      </c>
      <c r="BK52" s="408">
        <v>27.3</v>
      </c>
      <c r="BL52" s="408">
        <v>9</v>
      </c>
      <c r="BM52" s="408"/>
      <c r="BN52" s="408"/>
      <c r="BO52" s="408"/>
      <c r="BP52" s="408"/>
      <c r="BQ52" s="408"/>
      <c r="BR52" s="408">
        <v>306.27</v>
      </c>
      <c r="BS52" s="408"/>
      <c r="BT52" s="408"/>
      <c r="BU52" s="408"/>
      <c r="BV52" s="408">
        <v>0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7350.4800000000005</v>
      </c>
      <c r="CJ52" s="408">
        <v>-5419.47</v>
      </c>
      <c r="CK52" s="408"/>
      <c r="CL52" s="408"/>
      <c r="CM52" s="408"/>
      <c r="CN52" s="408"/>
      <c r="CO52" s="408">
        <v>-5645.2499999999991</v>
      </c>
      <c r="CP52" s="408">
        <v>0</v>
      </c>
      <c r="CQ52" s="408">
        <v>31</v>
      </c>
      <c r="CR52" s="408">
        <v>93.032455315209063</v>
      </c>
      <c r="CS52" s="408">
        <v>26.391638289300715</v>
      </c>
      <c r="CT52" s="408">
        <v>88.716659719635004</v>
      </c>
      <c r="CU52" s="408">
        <v>0</v>
      </c>
      <c r="CV52" s="408">
        <v>0</v>
      </c>
      <c r="CW52" s="408"/>
      <c r="CX52" s="408"/>
      <c r="CY52" s="408"/>
      <c r="CZ52" s="408">
        <v>-22.075842693726145</v>
      </c>
      <c r="DA52" s="408">
        <v>0</v>
      </c>
      <c r="DB52" s="408">
        <v>0</v>
      </c>
      <c r="DC52" s="408"/>
      <c r="DD52" s="408"/>
      <c r="DE52" s="408">
        <v>0</v>
      </c>
      <c r="DF52" s="408">
        <v>0</v>
      </c>
      <c r="DG52" s="408">
        <v>0</v>
      </c>
      <c r="DH52" s="408">
        <v>0</v>
      </c>
      <c r="DI52" s="408">
        <v>0</v>
      </c>
      <c r="DJ52" s="408"/>
      <c r="DK52" s="408">
        <v>0</v>
      </c>
      <c r="DL52" s="408">
        <v>0</v>
      </c>
      <c r="DM52" s="408"/>
      <c r="DN52" s="408">
        <v>0</v>
      </c>
      <c r="DO52" s="408">
        <v>0</v>
      </c>
      <c r="DP52" s="408">
        <v>0</v>
      </c>
      <c r="DQ52" s="408">
        <v>0</v>
      </c>
      <c r="DR52" s="408">
        <v>0</v>
      </c>
      <c r="DS52" s="408"/>
      <c r="DT52" s="408"/>
      <c r="DU52" s="408">
        <v>10836.404494301409</v>
      </c>
      <c r="DV52" s="408"/>
      <c r="DW52" s="408">
        <v>0</v>
      </c>
      <c r="DX52" s="408">
        <v>0</v>
      </c>
      <c r="DY52" s="408">
        <v>-5645.25</v>
      </c>
      <c r="DZ52" s="408"/>
      <c r="EA52" s="408">
        <v>0</v>
      </c>
      <c r="EB52" s="408"/>
      <c r="EC52" s="408">
        <v>-5737.3016826131789</v>
      </c>
      <c r="ED52" s="408"/>
      <c r="EE52" s="408">
        <v>0</v>
      </c>
      <c r="EF52" s="408">
        <v>0</v>
      </c>
      <c r="EG52" s="408"/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/>
      <c r="EN52" s="408"/>
      <c r="EO52" s="408">
        <v>0</v>
      </c>
      <c r="EP52" s="408">
        <v>0</v>
      </c>
      <c r="EQ52" s="408"/>
      <c r="ER52" s="408">
        <v>0</v>
      </c>
      <c r="ES52" s="408"/>
      <c r="ET52" s="408">
        <v>0</v>
      </c>
      <c r="EU52" s="408"/>
      <c r="EV52" s="408">
        <v>239</v>
      </c>
      <c r="EW52" s="408"/>
      <c r="EX52" s="408"/>
      <c r="EY52" s="408"/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1034</v>
      </c>
      <c r="C53" s="408" t="s">
        <v>2241</v>
      </c>
      <c r="D53" s="408" t="s">
        <v>596</v>
      </c>
      <c r="E53" s="408" t="s">
        <v>972</v>
      </c>
      <c r="F53" s="408" t="s">
        <v>2251</v>
      </c>
      <c r="G53" s="408" t="s">
        <v>2253</v>
      </c>
      <c r="H53" s="408" t="s">
        <v>1320</v>
      </c>
      <c r="I53" s="408" t="s">
        <v>2242</v>
      </c>
      <c r="J53" s="408" t="s">
        <v>2234</v>
      </c>
      <c r="K53" s="827">
        <v>44378</v>
      </c>
      <c r="L53" s="408">
        <v>0</v>
      </c>
      <c r="M53" s="408">
        <v>0</v>
      </c>
      <c r="N53" s="408">
        <v>2.8130000000000002</v>
      </c>
      <c r="O53" s="408">
        <v>0.84389999999999998</v>
      </c>
      <c r="P53" s="408">
        <v>2.8130000000000002</v>
      </c>
      <c r="Q53" s="408">
        <v>0.84389999999999998</v>
      </c>
      <c r="R53" s="408"/>
      <c r="S53" s="408">
        <v>70.33</v>
      </c>
      <c r="T53" s="408">
        <v>173.82</v>
      </c>
      <c r="U53" s="408"/>
      <c r="V53" s="408">
        <v>686.79395</v>
      </c>
      <c r="W53" s="408">
        <v>686.79395</v>
      </c>
      <c r="X53" s="408">
        <v>743.56029000000001</v>
      </c>
      <c r="Y53" s="408">
        <v>0</v>
      </c>
      <c r="Z53" s="408">
        <v>149.65167457116922</v>
      </c>
      <c r="AA53" s="408">
        <v>0</v>
      </c>
      <c r="AB53" s="408">
        <v>0</v>
      </c>
      <c r="AC53" s="408">
        <v>0</v>
      </c>
      <c r="AD53" s="408">
        <v>0</v>
      </c>
      <c r="AE53" s="408">
        <v>0</v>
      </c>
      <c r="AF53" s="408">
        <v>452.67396727806789</v>
      </c>
      <c r="AG53" s="408">
        <v>22.773669347883711</v>
      </c>
      <c r="AH53" s="408">
        <v>0</v>
      </c>
      <c r="AI53" s="408">
        <v>0</v>
      </c>
      <c r="AJ53" s="408">
        <v>0</v>
      </c>
      <c r="AK53" s="408">
        <v>0</v>
      </c>
      <c r="AL53" s="408">
        <v>26.587060097882922</v>
      </c>
      <c r="AM53" s="408"/>
      <c r="AN53" s="408">
        <v>3.495801362554352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0.52488786627082129</v>
      </c>
      <c r="BF53" s="408">
        <v>13.518401293278439</v>
      </c>
      <c r="BG53" s="408">
        <v>17.576270125896698</v>
      </c>
      <c r="BH53" s="408">
        <v>0</v>
      </c>
      <c r="BI53" s="408">
        <v>0</v>
      </c>
      <c r="BJ53" s="408">
        <v>0</v>
      </c>
      <c r="BK53" s="408">
        <v>0</v>
      </c>
      <c r="BL53" s="408">
        <v>0</v>
      </c>
      <c r="BM53" s="408"/>
      <c r="BN53" s="408"/>
      <c r="BO53" s="408"/>
      <c r="BP53" s="408"/>
      <c r="BQ53" s="408"/>
      <c r="BR53" s="408"/>
      <c r="BS53" s="408">
        <v>520.49220300000002</v>
      </c>
      <c r="BT53" s="408"/>
      <c r="BU53" s="408"/>
      <c r="BV53" s="408">
        <v>484.29352656351386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222.03719999999998</v>
      </c>
      <c r="CJ53" s="408">
        <v>15.969015000000013</v>
      </c>
      <c r="CK53" s="408"/>
      <c r="CL53" s="408"/>
      <c r="CM53" s="408"/>
      <c r="CN53" s="408"/>
      <c r="CO53" s="408">
        <v>-2.8411300000000144</v>
      </c>
      <c r="CP53" s="408">
        <v>59.607469999999999</v>
      </c>
      <c r="CQ53" s="408">
        <v>31</v>
      </c>
      <c r="CR53" s="408">
        <v>56.741344706940367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0</v>
      </c>
      <c r="DA53" s="408">
        <v>0</v>
      </c>
      <c r="DB53" s="408">
        <v>0</v>
      </c>
      <c r="DC53" s="408">
        <v>58.105706676512739</v>
      </c>
      <c r="DD53" s="408">
        <v>1.7352362120706726</v>
      </c>
      <c r="DE53" s="408">
        <v>6.7375158724020889E-2</v>
      </c>
      <c r="DF53" s="408">
        <v>0</v>
      </c>
      <c r="DG53" s="408">
        <v>2.2561085245158701</v>
      </c>
      <c r="DH53" s="408">
        <v>0</v>
      </c>
      <c r="DI53" s="408">
        <v>-4.3736458413661694</v>
      </c>
      <c r="DJ53" s="408"/>
      <c r="DK53" s="408">
        <v>0</v>
      </c>
      <c r="DL53" s="408">
        <v>0</v>
      </c>
      <c r="DM53" s="408">
        <v>-0.25312097645712583</v>
      </c>
      <c r="DN53" s="408">
        <v>0</v>
      </c>
      <c r="DO53" s="408">
        <v>-0.6885956732255849</v>
      </c>
      <c r="DP53" s="408">
        <v>-0.10771937383412933</v>
      </c>
      <c r="DQ53" s="408">
        <v>0</v>
      </c>
      <c r="DR53" s="408">
        <v>0</v>
      </c>
      <c r="DS53" s="408"/>
      <c r="DT53" s="408"/>
      <c r="DU53" s="408"/>
      <c r="DV53" s="408">
        <v>0</v>
      </c>
      <c r="DW53" s="408">
        <v>0</v>
      </c>
      <c r="DX53" s="408">
        <v>0</v>
      </c>
      <c r="DY53" s="408">
        <v>-2.841130000000021</v>
      </c>
      <c r="DZ53" s="408">
        <v>59.607469999999978</v>
      </c>
      <c r="EA53" s="408">
        <v>0</v>
      </c>
      <c r="EB53" s="408">
        <v>0</v>
      </c>
      <c r="EC53" s="408">
        <v>0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239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1034</v>
      </c>
      <c r="C54" s="408" t="s">
        <v>2233</v>
      </c>
      <c r="D54" s="408" t="s">
        <v>2243</v>
      </c>
      <c r="E54" s="408" t="s">
        <v>972</v>
      </c>
      <c r="F54" s="408" t="s">
        <v>2254</v>
      </c>
      <c r="G54" s="408" t="s">
        <v>2252</v>
      </c>
      <c r="H54" s="408" t="s">
        <v>1320</v>
      </c>
      <c r="I54" s="408" t="s">
        <v>1320</v>
      </c>
      <c r="J54" s="408" t="s">
        <v>2234</v>
      </c>
      <c r="K54" s="827">
        <v>44378</v>
      </c>
      <c r="L54" s="408">
        <v>0</v>
      </c>
      <c r="M54" s="408">
        <v>0</v>
      </c>
      <c r="N54" s="408">
        <v>0</v>
      </c>
      <c r="O54" s="408">
        <v>0</v>
      </c>
      <c r="P54" s="408">
        <v>0</v>
      </c>
      <c r="Q54" s="408">
        <v>0</v>
      </c>
      <c r="R54" s="408"/>
      <c r="S54" s="408"/>
      <c r="T54" s="408"/>
      <c r="U54" s="408"/>
      <c r="V54" s="408"/>
      <c r="W54" s="408"/>
      <c r="X54" s="408"/>
      <c r="Y54" s="408"/>
      <c r="Z54" s="408"/>
      <c r="AA54" s="408">
        <v>0</v>
      </c>
      <c r="AB54" s="408"/>
      <c r="AC54" s="408"/>
      <c r="AD54" s="408"/>
      <c r="AE54" s="408"/>
      <c r="AF54" s="408"/>
      <c r="AG54" s="408"/>
      <c r="AH54" s="408"/>
      <c r="AI54" s="408"/>
      <c r="AJ54" s="408"/>
      <c r="AK54" s="408"/>
      <c r="AL54" s="408"/>
      <c r="AM54" s="408"/>
      <c r="AN54" s="408"/>
      <c r="AO54" s="408"/>
      <c r="AP54" s="408"/>
      <c r="AQ54" s="408"/>
      <c r="AR54" s="408"/>
      <c r="AS54" s="408"/>
      <c r="AT54" s="408"/>
      <c r="AU54" s="408"/>
      <c r="AV54" s="408"/>
      <c r="AW54" s="408"/>
      <c r="AX54" s="408"/>
      <c r="AY54" s="408"/>
      <c r="AZ54" s="408">
        <v>0</v>
      </c>
      <c r="BA54" s="408"/>
      <c r="BB54" s="408"/>
      <c r="BC54" s="408"/>
      <c r="BD54" s="408"/>
      <c r="BE54" s="408"/>
      <c r="BF54" s="408"/>
      <c r="BG54" s="408"/>
      <c r="BH54" s="408"/>
      <c r="BI54" s="408">
        <v>0</v>
      </c>
      <c r="BJ54" s="408">
        <v>0</v>
      </c>
      <c r="BK54" s="408">
        <v>4.47</v>
      </c>
      <c r="BL54" s="408">
        <v>1</v>
      </c>
      <c r="BM54" s="408"/>
      <c r="BN54" s="408"/>
      <c r="BO54" s="408"/>
      <c r="BP54" s="408"/>
      <c r="BQ54" s="408"/>
      <c r="BR54" s="408"/>
      <c r="BS54" s="408"/>
      <c r="BT54" s="408"/>
      <c r="BU54" s="408"/>
      <c r="BV54" s="408"/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/>
      <c r="CJ54" s="408">
        <v>-0.03</v>
      </c>
      <c r="CK54" s="408"/>
      <c r="CL54" s="408"/>
      <c r="CM54" s="408"/>
      <c r="CN54" s="408"/>
      <c r="CO54" s="408">
        <v>0</v>
      </c>
      <c r="CP54" s="408">
        <v>0</v>
      </c>
      <c r="CQ54" s="408">
        <v>31</v>
      </c>
      <c r="CR54" s="408"/>
      <c r="CS54" s="408"/>
      <c r="CT54" s="408"/>
      <c r="CU54" s="408"/>
      <c r="CV54" s="408"/>
      <c r="CW54" s="408"/>
      <c r="CX54" s="408"/>
      <c r="CY54" s="408"/>
      <c r="CZ54" s="408"/>
      <c r="DA54" s="408"/>
      <c r="DB54" s="408"/>
      <c r="DC54" s="408"/>
      <c r="DD54" s="408"/>
      <c r="DE54" s="408"/>
      <c r="DF54" s="408"/>
      <c r="DG54" s="408"/>
      <c r="DH54" s="408"/>
      <c r="DI54" s="408"/>
      <c r="DJ54" s="408"/>
      <c r="DK54" s="408">
        <v>0</v>
      </c>
      <c r="DL54" s="408"/>
      <c r="DM54" s="408"/>
      <c r="DN54" s="408"/>
      <c r="DO54" s="408"/>
      <c r="DP54" s="408"/>
      <c r="DQ54" s="408"/>
      <c r="DR54" s="408"/>
      <c r="DS54" s="408"/>
      <c r="DT54" s="408"/>
      <c r="DU54" s="408"/>
      <c r="DV54" s="408"/>
      <c r="DW54" s="408"/>
      <c r="DX54" s="408"/>
      <c r="DY54" s="408"/>
      <c r="DZ54" s="408"/>
      <c r="EA54" s="408"/>
      <c r="EB54" s="408"/>
      <c r="EC54" s="408"/>
      <c r="ED54" s="408"/>
      <c r="EE54" s="408"/>
      <c r="EF54" s="408"/>
      <c r="EG54" s="408"/>
      <c r="EH54" s="408"/>
      <c r="EI54" s="408"/>
      <c r="EJ54" s="408"/>
      <c r="EK54" s="408"/>
      <c r="EL54" s="408"/>
      <c r="EM54" s="408"/>
      <c r="EN54" s="408"/>
      <c r="EO54" s="408"/>
      <c r="EP54" s="408"/>
      <c r="EQ54" s="408"/>
      <c r="ER54" s="408"/>
      <c r="ES54" s="408"/>
      <c r="ET54" s="408"/>
      <c r="EU54" s="408"/>
      <c r="EV54" s="408">
        <v>239</v>
      </c>
      <c r="EW54" s="408"/>
      <c r="EX54" s="408"/>
      <c r="EY54" s="408"/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1034</v>
      </c>
      <c r="C55" s="408" t="s">
        <v>2233</v>
      </c>
      <c r="D55" s="408" t="s">
        <v>2243</v>
      </c>
      <c r="E55" s="408" t="s">
        <v>972</v>
      </c>
      <c r="F55" s="408" t="s">
        <v>2254</v>
      </c>
      <c r="G55" s="408" t="s">
        <v>2252</v>
      </c>
      <c r="H55" s="408" t="s">
        <v>1320</v>
      </c>
      <c r="I55" s="408" t="s">
        <v>1320</v>
      </c>
      <c r="J55" s="408" t="s">
        <v>2234</v>
      </c>
      <c r="K55" s="827">
        <v>44378</v>
      </c>
      <c r="L55" s="408">
        <v>0</v>
      </c>
      <c r="M55" s="408">
        <v>0</v>
      </c>
      <c r="N55" s="408">
        <v>0.05</v>
      </c>
      <c r="O55" s="408">
        <v>0.05</v>
      </c>
      <c r="P55" s="408">
        <v>0.05</v>
      </c>
      <c r="Q55" s="408">
        <v>0.05</v>
      </c>
      <c r="R55" s="408"/>
      <c r="S55" s="408">
        <v>516.83000000000004</v>
      </c>
      <c r="T55" s="408">
        <v>173.82</v>
      </c>
      <c r="U55" s="408"/>
      <c r="V55" s="408">
        <v>34.532500000000006</v>
      </c>
      <c r="W55" s="408">
        <v>34.532500000000006</v>
      </c>
      <c r="X55" s="408">
        <v>26.072499999999998</v>
      </c>
      <c r="Y55" s="408">
        <v>0</v>
      </c>
      <c r="Z55" s="408">
        <v>3.0574727879011849</v>
      </c>
      <c r="AA55" s="408">
        <v>0</v>
      </c>
      <c r="AB55" s="408">
        <v>0</v>
      </c>
      <c r="AC55" s="408">
        <v>0.13592220366954352</v>
      </c>
      <c r="AD55" s="408">
        <v>1.7213305761033</v>
      </c>
      <c r="AE55" s="408">
        <v>18.180789758334949</v>
      </c>
      <c r="AF55" s="408">
        <v>8.0461067770719499</v>
      </c>
      <c r="AG55" s="408">
        <v>0.4047932696033365</v>
      </c>
      <c r="AH55" s="408">
        <v>0</v>
      </c>
      <c r="AI55" s="408">
        <v>0</v>
      </c>
      <c r="AJ55" s="408">
        <v>0</v>
      </c>
      <c r="AK55" s="408">
        <v>0</v>
      </c>
      <c r="AL55" s="408">
        <v>0.47257483288096203</v>
      </c>
      <c r="AM55" s="408"/>
      <c r="AN55" s="408">
        <v>7.7577098742484502E-2</v>
      </c>
      <c r="AO55" s="408">
        <v>0.289925188956772</v>
      </c>
      <c r="AP55" s="408">
        <v>0.94946579258044506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2.7740630852605305E-2</v>
      </c>
      <c r="BF55" s="408">
        <v>0.24028441687306148</v>
      </c>
      <c r="BG55" s="408">
        <v>0.92891616030728508</v>
      </c>
      <c r="BH55" s="408">
        <v>0</v>
      </c>
      <c r="BI55" s="408">
        <v>0</v>
      </c>
      <c r="BJ55" s="408">
        <v>0</v>
      </c>
      <c r="BK55" s="408">
        <v>0</v>
      </c>
      <c r="BL55" s="408">
        <v>0</v>
      </c>
      <c r="BM55" s="408"/>
      <c r="BN55" s="408"/>
      <c r="BO55" s="408"/>
      <c r="BP55" s="408"/>
      <c r="BQ55" s="408"/>
      <c r="BR55" s="408">
        <v>3.1284999999999998</v>
      </c>
      <c r="BS55" s="408"/>
      <c r="BT55" s="408"/>
      <c r="BU55" s="408"/>
      <c r="BV55" s="408">
        <v>9.2430479851049014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22.944000000000003</v>
      </c>
      <c r="CJ55" s="408">
        <v>-7.4745000000000026</v>
      </c>
      <c r="CK55" s="408"/>
      <c r="CL55" s="408"/>
      <c r="CM55" s="408"/>
      <c r="CN55" s="408"/>
      <c r="CO55" s="408">
        <v>-9.5195000000000025</v>
      </c>
      <c r="CP55" s="408">
        <v>1.0594999999999999</v>
      </c>
      <c r="CQ55" s="408">
        <v>31</v>
      </c>
      <c r="CR55" s="408">
        <v>1.1652939507004056</v>
      </c>
      <c r="CS55" s="408">
        <v>2.8149904182146024E-2</v>
      </c>
      <c r="CT55" s="408">
        <v>9.2187130002520101E-2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-3.3005150425939878E-2</v>
      </c>
      <c r="DA55" s="408">
        <v>0</v>
      </c>
      <c r="DB55" s="408">
        <v>0</v>
      </c>
      <c r="DC55" s="408">
        <v>1.0328067308303002</v>
      </c>
      <c r="DD55" s="408">
        <v>3.0843160541604547E-2</v>
      </c>
      <c r="DE55" s="408">
        <v>3.5608165608354524E-3</v>
      </c>
      <c r="DF55" s="408">
        <v>0</v>
      </c>
      <c r="DG55" s="408">
        <v>0.11923665560544494</v>
      </c>
      <c r="DH55" s="408">
        <v>0</v>
      </c>
      <c r="DI55" s="408">
        <v>-8.9356187842284829E-2</v>
      </c>
      <c r="DJ55" s="408"/>
      <c r="DK55" s="408">
        <v>0</v>
      </c>
      <c r="DL55" s="408">
        <v>0</v>
      </c>
      <c r="DM55" s="408">
        <v>-4.4991286252600293E-3</v>
      </c>
      <c r="DN55" s="408">
        <v>0</v>
      </c>
      <c r="DO55" s="408">
        <v>-1.223952494179853E-2</v>
      </c>
      <c r="DP55" s="408">
        <v>-2.3904551871624935E-3</v>
      </c>
      <c r="DQ55" s="408">
        <v>0</v>
      </c>
      <c r="DR55" s="408">
        <v>0</v>
      </c>
      <c r="DS55" s="408"/>
      <c r="DT55" s="408"/>
      <c r="DU55" s="408"/>
      <c r="DV55" s="408">
        <v>18.180789758334949</v>
      </c>
      <c r="DW55" s="408">
        <v>0</v>
      </c>
      <c r="DX55" s="408">
        <v>0</v>
      </c>
      <c r="DY55" s="408">
        <v>-9.5195000000000043</v>
      </c>
      <c r="DZ55" s="408">
        <v>1.0594999999999999</v>
      </c>
      <c r="EA55" s="408">
        <v>0</v>
      </c>
      <c r="EB55" s="408">
        <v>0</v>
      </c>
      <c r="EC55" s="408">
        <v>-9.6257643138537983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239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55</v>
      </c>
      <c r="B56" s="408" t="s">
        <v>1034</v>
      </c>
      <c r="C56" s="408" t="s">
        <v>2233</v>
      </c>
      <c r="D56" s="408" t="s">
        <v>1953</v>
      </c>
      <c r="E56" s="408" t="s">
        <v>967</v>
      </c>
      <c r="F56" s="408" t="s">
        <v>967</v>
      </c>
      <c r="G56" s="408" t="s">
        <v>1320</v>
      </c>
      <c r="H56" s="408" t="s">
        <v>1320</v>
      </c>
      <c r="I56" s="408" t="s">
        <v>1320</v>
      </c>
      <c r="J56" s="408" t="s">
        <v>2234</v>
      </c>
      <c r="K56" s="827">
        <v>44409</v>
      </c>
      <c r="L56" s="408">
        <v>0</v>
      </c>
      <c r="M56" s="408">
        <v>0</v>
      </c>
      <c r="N56" s="408">
        <v>1925.547</v>
      </c>
      <c r="O56" s="408">
        <v>1925.547</v>
      </c>
      <c r="P56" s="408">
        <v>1925.547</v>
      </c>
      <c r="Q56" s="408">
        <v>1925.547</v>
      </c>
      <c r="R56" s="408"/>
      <c r="S56" s="408">
        <v>516.83000000000004</v>
      </c>
      <c r="T56" s="408">
        <v>173.82</v>
      </c>
      <c r="U56" s="408"/>
      <c r="V56" s="408">
        <v>1329879.0355500001</v>
      </c>
      <c r="W56" s="408">
        <v>1329879.0355500001</v>
      </c>
      <c r="X56" s="408">
        <v>1004076.48315</v>
      </c>
      <c r="Y56" s="408">
        <v>0</v>
      </c>
      <c r="Z56" s="408">
        <v>117746.15108649526</v>
      </c>
      <c r="AA56" s="408">
        <v>0</v>
      </c>
      <c r="AB56" s="408">
        <v>0</v>
      </c>
      <c r="AC56" s="408">
        <v>5234.4918301855696</v>
      </c>
      <c r="AD56" s="408">
        <v>66290.058536479613</v>
      </c>
      <c r="AE56" s="408">
        <v>700159.30353585177</v>
      </c>
      <c r="AF56" s="408">
        <v>309863.13532541122</v>
      </c>
      <c r="AG56" s="408">
        <v>15588.969318097914</v>
      </c>
      <c r="AH56" s="408">
        <v>0</v>
      </c>
      <c r="AI56" s="408">
        <v>0</v>
      </c>
      <c r="AJ56" s="408">
        <v>0</v>
      </c>
      <c r="AK56" s="408">
        <v>0</v>
      </c>
      <c r="AL56" s="408">
        <v>18199.301034588756</v>
      </c>
      <c r="AM56" s="408"/>
      <c r="AN56" s="408">
        <v>2987.566995045896</v>
      </c>
      <c r="AO56" s="408">
        <v>11165.29155640291</v>
      </c>
      <c r="AP56" s="408">
        <v>36564.820170117964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1068.3177703268316</v>
      </c>
      <c r="BF56" s="408">
        <v>9253.5787611334581</v>
      </c>
      <c r="BG56" s="408">
        <v>35773.434514624234</v>
      </c>
      <c r="BH56" s="408">
        <v>0</v>
      </c>
      <c r="BI56" s="408">
        <v>0</v>
      </c>
      <c r="BJ56" s="408">
        <v>0</v>
      </c>
      <c r="BK56" s="408">
        <v>509646.93</v>
      </c>
      <c r="BL56" s="408">
        <v>12994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355958.4663714958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1004078.0475</v>
      </c>
      <c r="CJ56" s="408">
        <v>-325801.01805000019</v>
      </c>
      <c r="CK56" s="408"/>
      <c r="CL56" s="408"/>
      <c r="CM56" s="408"/>
      <c r="CN56" s="408"/>
      <c r="CO56" s="408">
        <v>-366604.89333000011</v>
      </c>
      <c r="CP56" s="408">
        <v>40802.340929999998</v>
      </c>
      <c r="CQ56" s="408">
        <v>31</v>
      </c>
      <c r="CR56" s="408">
        <v>44876.565417786245</v>
      </c>
      <c r="CS56" s="408">
        <v>1084.0792709643738</v>
      </c>
      <c r="CT56" s="408">
        <v>3550.2130322992525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-1271.0593677443394</v>
      </c>
      <c r="DA56" s="408">
        <v>0</v>
      </c>
      <c r="DB56" s="408">
        <v>0</v>
      </c>
      <c r="DC56" s="408">
        <v>39774.358042601845</v>
      </c>
      <c r="DD56" s="408">
        <v>1187.7991050280998</v>
      </c>
      <c r="DE56" s="408">
        <v>137.1303929253404</v>
      </c>
      <c r="DF56" s="408">
        <v>0</v>
      </c>
      <c r="DG56" s="408">
        <v>4591.9156898219589</v>
      </c>
      <c r="DH56" s="408">
        <v>0</v>
      </c>
      <c r="DI56" s="408">
        <v>-3441.1907886229747</v>
      </c>
      <c r="DJ56" s="408"/>
      <c r="DK56" s="408">
        <v>0</v>
      </c>
      <c r="DL56" s="408">
        <v>0</v>
      </c>
      <c r="DM56" s="408">
        <v>-173.26567253967005</v>
      </c>
      <c r="DN56" s="408">
        <v>0</v>
      </c>
      <c r="DO56" s="408">
        <v>-471.35561066210721</v>
      </c>
      <c r="DP56" s="408">
        <v>-92.05867628550368</v>
      </c>
      <c r="DQ56" s="408">
        <v>0</v>
      </c>
      <c r="DR56" s="408">
        <v>0</v>
      </c>
      <c r="DS56" s="408"/>
      <c r="DT56" s="408"/>
      <c r="DU56" s="408"/>
      <c r="DV56" s="408">
        <v>700159.30353585177</v>
      </c>
      <c r="DW56" s="408">
        <v>0</v>
      </c>
      <c r="DX56" s="408">
        <v>0</v>
      </c>
      <c r="DY56" s="408">
        <v>-366604.89333000011</v>
      </c>
      <c r="DZ56" s="408">
        <v>40802.340930000006</v>
      </c>
      <c r="EA56" s="408">
        <v>0</v>
      </c>
      <c r="EB56" s="408">
        <v>0</v>
      </c>
      <c r="EC56" s="408">
        <v>-370697.23194496485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239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56</v>
      </c>
      <c r="B57" s="408" t="s">
        <v>2235</v>
      </c>
      <c r="C57" s="408" t="s">
        <v>2233</v>
      </c>
      <c r="D57" s="408" t="s">
        <v>1953</v>
      </c>
      <c r="E57" s="408" t="s">
        <v>967</v>
      </c>
      <c r="F57" s="408" t="s">
        <v>967</v>
      </c>
      <c r="G57" s="408" t="s">
        <v>1320</v>
      </c>
      <c r="H57" s="408" t="s">
        <v>1320</v>
      </c>
      <c r="I57" s="408" t="s">
        <v>1320</v>
      </c>
      <c r="J57" s="408" t="s">
        <v>2234</v>
      </c>
      <c r="K57" s="827">
        <v>44409</v>
      </c>
      <c r="L57" s="408">
        <v>0</v>
      </c>
      <c r="M57" s="408">
        <v>0</v>
      </c>
      <c r="N57" s="408">
        <v>-3.4740000000000002</v>
      </c>
      <c r="O57" s="408">
        <v>-3.4740000000000002</v>
      </c>
      <c r="P57" s="408">
        <v>-3.4740000000000002</v>
      </c>
      <c r="Q57" s="408">
        <v>-3.4740000000000002</v>
      </c>
      <c r="R57" s="408"/>
      <c r="S57" s="408">
        <v>516.83000000000004</v>
      </c>
      <c r="T57" s="408">
        <v>173.82</v>
      </c>
      <c r="U57" s="408"/>
      <c r="V57" s="408">
        <v>-2399.3181000000004</v>
      </c>
      <c r="W57" s="408">
        <v>-2399.3181000000004</v>
      </c>
      <c r="X57" s="408">
        <v>-1811.5173</v>
      </c>
      <c r="Y57" s="408">
        <v>0</v>
      </c>
      <c r="Z57" s="408">
        <v>-212.43320930337435</v>
      </c>
      <c r="AA57" s="408">
        <v>0</v>
      </c>
      <c r="AB57" s="408">
        <v>0</v>
      </c>
      <c r="AC57" s="408">
        <v>-9.443874710959884</v>
      </c>
      <c r="AD57" s="408">
        <v>-119.59804842765728</v>
      </c>
      <c r="AE57" s="408">
        <v>-1263.2012724091123</v>
      </c>
      <c r="AF57" s="408">
        <v>-559.04349887095907</v>
      </c>
      <c r="AG57" s="408">
        <v>-28.125036372039819</v>
      </c>
      <c r="AH57" s="408">
        <v>0</v>
      </c>
      <c r="AI57" s="408">
        <v>0</v>
      </c>
      <c r="AJ57" s="408">
        <v>0</v>
      </c>
      <c r="AK57" s="408">
        <v>0</v>
      </c>
      <c r="AL57" s="408">
        <v>-32.834499388569242</v>
      </c>
      <c r="AM57" s="408"/>
      <c r="AN57" s="408">
        <v>-5.390056820627823</v>
      </c>
      <c r="AO57" s="408">
        <v>-20.144002128716519</v>
      </c>
      <c r="AP57" s="408">
        <v>-65.968883268489321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-1.9274190316390165</v>
      </c>
      <c r="BF57" s="408">
        <v>-16.694961284340312</v>
      </c>
      <c r="BG57" s="408">
        <v>-64.541094818150171</v>
      </c>
      <c r="BH57" s="408">
        <v>0</v>
      </c>
      <c r="BI57" s="408">
        <v>0</v>
      </c>
      <c r="BJ57" s="408">
        <v>0</v>
      </c>
      <c r="BK57" s="408">
        <v>-1006.65</v>
      </c>
      <c r="BL57" s="408">
        <v>0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>
        <v>-642.20697400508868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-1809.4315000000001</v>
      </c>
      <c r="CJ57" s="408">
        <v>589.85659999999962</v>
      </c>
      <c r="CK57" s="408"/>
      <c r="CL57" s="408"/>
      <c r="CM57" s="408"/>
      <c r="CN57" s="408"/>
      <c r="CO57" s="408">
        <v>661.4148600000002</v>
      </c>
      <c r="CP57" s="408">
        <v>-73.614059999999995</v>
      </c>
      <c r="CQ57" s="408">
        <v>31</v>
      </c>
      <c r="CR57" s="408">
        <v>-80.964623694663715</v>
      </c>
      <c r="CS57" s="408">
        <v>-1.9558553425755072</v>
      </c>
      <c r="CT57" s="408">
        <v>-6.4051617925751003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2.2931978515942859</v>
      </c>
      <c r="DA57" s="408">
        <v>0</v>
      </c>
      <c r="DB57" s="408">
        <v>0</v>
      </c>
      <c r="DC57" s="408">
        <v>-71.759411658089334</v>
      </c>
      <c r="DD57" s="408">
        <v>-2.142982794430683</v>
      </c>
      <c r="DE57" s="408">
        <v>-0.24740553464684711</v>
      </c>
      <c r="DF57" s="408">
        <v>0</v>
      </c>
      <c r="DG57" s="408">
        <v>-8.2845628314663173</v>
      </c>
      <c r="DH57" s="408">
        <v>0</v>
      </c>
      <c r="DI57" s="408">
        <v>6.2084679312819731</v>
      </c>
      <c r="DJ57" s="408"/>
      <c r="DK57" s="408">
        <v>0</v>
      </c>
      <c r="DL57" s="408">
        <v>0</v>
      </c>
      <c r="DM57" s="408">
        <v>0.31259945688306345</v>
      </c>
      <c r="DN57" s="408">
        <v>0</v>
      </c>
      <c r="DO57" s="408">
        <v>0.85040219295616026</v>
      </c>
      <c r="DP57" s="408">
        <v>0.16608882640405032</v>
      </c>
      <c r="DQ57" s="408">
        <v>0</v>
      </c>
      <c r="DR57" s="408">
        <v>0</v>
      </c>
      <c r="DS57" s="408"/>
      <c r="DT57" s="408"/>
      <c r="DU57" s="408"/>
      <c r="DV57" s="408">
        <v>-1263.2012724091123</v>
      </c>
      <c r="DW57" s="408">
        <v>0</v>
      </c>
      <c r="DX57" s="408">
        <v>0</v>
      </c>
      <c r="DY57" s="408">
        <v>661.41486000000009</v>
      </c>
      <c r="DZ57" s="408">
        <v>-73.614059999999995</v>
      </c>
      <c r="EA57" s="408">
        <v>0</v>
      </c>
      <c r="EB57" s="408">
        <v>0</v>
      </c>
      <c r="EC57" s="408">
        <v>668.79810452656204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239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57</v>
      </c>
      <c r="B58" s="408" t="s">
        <v>2236</v>
      </c>
      <c r="C58" s="408" t="s">
        <v>2233</v>
      </c>
      <c r="D58" s="408" t="s">
        <v>1953</v>
      </c>
      <c r="E58" s="408" t="s">
        <v>967</v>
      </c>
      <c r="F58" s="408" t="s">
        <v>967</v>
      </c>
      <c r="G58" s="408" t="s">
        <v>1320</v>
      </c>
      <c r="H58" s="408" t="s">
        <v>1320</v>
      </c>
      <c r="I58" s="408" t="s">
        <v>1320</v>
      </c>
      <c r="J58" s="408" t="s">
        <v>2234</v>
      </c>
      <c r="K58" s="827">
        <v>44409</v>
      </c>
      <c r="L58" s="408">
        <v>0</v>
      </c>
      <c r="M58" s="408">
        <v>0</v>
      </c>
      <c r="N58" s="408">
        <v>27.716999999999999</v>
      </c>
      <c r="O58" s="408">
        <v>27.716999999999999</v>
      </c>
      <c r="P58" s="408">
        <v>27.716999999999999</v>
      </c>
      <c r="Q58" s="408">
        <v>27.716999999999999</v>
      </c>
      <c r="R58" s="408"/>
      <c r="S58" s="408">
        <v>516.83000000000004</v>
      </c>
      <c r="T58" s="408">
        <v>173.82</v>
      </c>
      <c r="U58" s="408"/>
      <c r="V58" s="408">
        <v>19142.746050000002</v>
      </c>
      <c r="W58" s="408">
        <v>19142.746050000002</v>
      </c>
      <c r="X58" s="408">
        <v>14453.029649999999</v>
      </c>
      <c r="Y58" s="408">
        <v>0</v>
      </c>
      <c r="Z58" s="408">
        <v>1694.8794652451427</v>
      </c>
      <c r="AA58" s="408">
        <v>0</v>
      </c>
      <c r="AB58" s="408">
        <v>0</v>
      </c>
      <c r="AC58" s="408">
        <v>75.347114382174738</v>
      </c>
      <c r="AD58" s="408">
        <v>954.20239155710317</v>
      </c>
      <c r="AE58" s="408">
        <v>10078.338994635396</v>
      </c>
      <c r="AF58" s="408">
        <v>4460.2788308020645</v>
      </c>
      <c r="AG58" s="408">
        <v>224.39310107191352</v>
      </c>
      <c r="AH58" s="408">
        <v>0</v>
      </c>
      <c r="AI58" s="408">
        <v>0</v>
      </c>
      <c r="AJ58" s="408">
        <v>0</v>
      </c>
      <c r="AK58" s="408">
        <v>0</v>
      </c>
      <c r="AL58" s="408">
        <v>261.96713285923244</v>
      </c>
      <c r="AM58" s="408"/>
      <c r="AN58" s="408">
        <v>43.004088916908856</v>
      </c>
      <c r="AO58" s="408">
        <v>160.71712924629699</v>
      </c>
      <c r="AP58" s="408">
        <v>526.32686745904391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15.377741306833222</v>
      </c>
      <c r="BF58" s="408">
        <v>133.1992636494129</v>
      </c>
      <c r="BG58" s="408">
        <v>514.93538430474041</v>
      </c>
      <c r="BH58" s="408">
        <v>0</v>
      </c>
      <c r="BI58" s="408">
        <v>0</v>
      </c>
      <c r="BJ58" s="408">
        <v>0</v>
      </c>
      <c r="BK58" s="408">
        <v>16800.330000000002</v>
      </c>
      <c r="BL58" s="408">
        <v>234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5123.7912200630508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14454.593999999997</v>
      </c>
      <c r="CJ58" s="408">
        <v>-4688.1820499999994</v>
      </c>
      <c r="CK58" s="408"/>
      <c r="CL58" s="408"/>
      <c r="CM58" s="408"/>
      <c r="CN58" s="408"/>
      <c r="CO58" s="408">
        <v>-5277.0396300000011</v>
      </c>
      <c r="CP58" s="408">
        <v>587.32322999999997</v>
      </c>
      <c r="CQ58" s="408">
        <v>31</v>
      </c>
      <c r="CR58" s="408">
        <v>645.96904863126292</v>
      </c>
      <c r="CS58" s="408">
        <v>15.604617884330821</v>
      </c>
      <c r="CT58" s="408">
        <v>51.103013645596889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-18.296075087115469</v>
      </c>
      <c r="DA58" s="408">
        <v>0</v>
      </c>
      <c r="DB58" s="408">
        <v>0</v>
      </c>
      <c r="DC58" s="408">
        <v>572.52608316846818</v>
      </c>
      <c r="DD58" s="408">
        <v>17.097597614633059</v>
      </c>
      <c r="DE58" s="408">
        <v>1.9739030523335224</v>
      </c>
      <c r="DF58" s="408">
        <v>0</v>
      </c>
      <c r="DG58" s="408">
        <v>66.097647668322338</v>
      </c>
      <c r="DH58" s="408">
        <v>0</v>
      </c>
      <c r="DI58" s="408">
        <v>-49.533709168492123</v>
      </c>
      <c r="DJ58" s="408"/>
      <c r="DK58" s="408">
        <v>0</v>
      </c>
      <c r="DL58" s="408">
        <v>0</v>
      </c>
      <c r="DM58" s="408">
        <v>-2.4940469621266175</v>
      </c>
      <c r="DN58" s="408">
        <v>0</v>
      </c>
      <c r="DO58" s="408">
        <v>-6.7848582562365607</v>
      </c>
      <c r="DP58" s="408">
        <v>-1.3251249284516646</v>
      </c>
      <c r="DQ58" s="408">
        <v>0</v>
      </c>
      <c r="DR58" s="408">
        <v>0</v>
      </c>
      <c r="DS58" s="408"/>
      <c r="DT58" s="408"/>
      <c r="DU58" s="408"/>
      <c r="DV58" s="408">
        <v>10078.338994635396</v>
      </c>
      <c r="DW58" s="408">
        <v>0</v>
      </c>
      <c r="DX58" s="408">
        <v>0</v>
      </c>
      <c r="DY58" s="408">
        <v>-5277.0396300000011</v>
      </c>
      <c r="DZ58" s="408">
        <v>587.32322999999997</v>
      </c>
      <c r="EA58" s="408">
        <v>0</v>
      </c>
      <c r="EB58" s="408">
        <v>0</v>
      </c>
      <c r="EC58" s="408">
        <v>-5335.9461897417159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239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58</v>
      </c>
      <c r="B59" s="408" t="s">
        <v>1034</v>
      </c>
      <c r="C59" s="408" t="s">
        <v>2233</v>
      </c>
      <c r="D59" s="408" t="s">
        <v>1953</v>
      </c>
      <c r="E59" s="408" t="s">
        <v>967</v>
      </c>
      <c r="F59" s="408" t="s">
        <v>2237</v>
      </c>
      <c r="G59" s="408" t="s">
        <v>1320</v>
      </c>
      <c r="H59" s="408" t="s">
        <v>1320</v>
      </c>
      <c r="I59" s="408" t="s">
        <v>1320</v>
      </c>
      <c r="J59" s="408" t="s">
        <v>2234</v>
      </c>
      <c r="K59" s="827">
        <v>44409</v>
      </c>
      <c r="L59" s="408">
        <v>0</v>
      </c>
      <c r="M59" s="408">
        <v>0</v>
      </c>
      <c r="N59" s="408">
        <v>23.88</v>
      </c>
      <c r="O59" s="408">
        <v>23.88</v>
      </c>
      <c r="P59" s="408">
        <v>23.88</v>
      </c>
      <c r="Q59" s="408">
        <v>23.88</v>
      </c>
      <c r="R59" s="408"/>
      <c r="S59" s="408">
        <v>446.23</v>
      </c>
      <c r="T59" s="408">
        <v>173.82</v>
      </c>
      <c r="U59" s="408"/>
      <c r="V59" s="408">
        <v>14806.794</v>
      </c>
      <c r="W59" s="408">
        <v>14806.794</v>
      </c>
      <c r="X59" s="408">
        <v>10814.774399999998</v>
      </c>
      <c r="Y59" s="408">
        <v>0</v>
      </c>
      <c r="Z59" s="408">
        <v>0</v>
      </c>
      <c r="AA59" s="408">
        <v>0</v>
      </c>
      <c r="AB59" s="408">
        <v>0</v>
      </c>
      <c r="AC59" s="408">
        <v>64.916444472573971</v>
      </c>
      <c r="AD59" s="408">
        <v>822.10748314693592</v>
      </c>
      <c r="AE59" s="408">
        <v>8683.145188580771</v>
      </c>
      <c r="AF59" s="408">
        <v>3842.820596729563</v>
      </c>
      <c r="AG59" s="408">
        <v>193.32926556255347</v>
      </c>
      <c r="AH59" s="408">
        <v>0</v>
      </c>
      <c r="AI59" s="408">
        <v>0</v>
      </c>
      <c r="AJ59" s="408">
        <v>0</v>
      </c>
      <c r="AK59" s="408">
        <v>0</v>
      </c>
      <c r="AL59" s="408">
        <v>0</v>
      </c>
      <c r="AM59" s="408"/>
      <c r="AN59" s="408">
        <v>37.050822359410596</v>
      </c>
      <c r="AO59" s="408">
        <v>138.4682702457543</v>
      </c>
      <c r="AP59" s="408">
        <v>453.46486253642053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13.248925295204291</v>
      </c>
      <c r="BF59" s="408">
        <v>114.75983749857416</v>
      </c>
      <c r="BG59" s="408">
        <v>443.65035816275929</v>
      </c>
      <c r="BH59" s="408">
        <v>0</v>
      </c>
      <c r="BI59" s="408">
        <v>0</v>
      </c>
      <c r="BJ59" s="408">
        <v>0</v>
      </c>
      <c r="BK59" s="408">
        <v>1605.76</v>
      </c>
      <c r="BL59" s="408">
        <v>40</v>
      </c>
      <c r="BM59" s="408"/>
      <c r="BN59" s="408"/>
      <c r="BO59" s="408"/>
      <c r="BP59" s="408"/>
      <c r="BQ59" s="408"/>
      <c r="BR59" s="408"/>
      <c r="BS59" s="408"/>
      <c r="BT59" s="408">
        <v>7029.5555999999997</v>
      </c>
      <c r="BU59" s="408"/>
      <c r="BV59" s="408">
        <v>4414.4797176861002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3785.2188000000001</v>
      </c>
      <c r="CJ59" s="408">
        <v>-1397.2488000000008</v>
      </c>
      <c r="CK59" s="408"/>
      <c r="CL59" s="408"/>
      <c r="CM59" s="408"/>
      <c r="CN59" s="408"/>
      <c r="CO59" s="408">
        <v>-4498.0367999999999</v>
      </c>
      <c r="CP59" s="408">
        <v>506.01719999999995</v>
      </c>
      <c r="CQ59" s="408">
        <v>31</v>
      </c>
      <c r="CR59" s="408">
        <v>605.0665032801935</v>
      </c>
      <c r="CS59" s="408">
        <v>13.444394237392942</v>
      </c>
      <c r="CT59" s="408">
        <v>44.028573289203564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-15.763259843428841</v>
      </c>
      <c r="DA59" s="408">
        <v>0</v>
      </c>
      <c r="DB59" s="408">
        <v>0</v>
      </c>
      <c r="DC59" s="408">
        <v>493.26849464455108</v>
      </c>
      <c r="DD59" s="408">
        <v>14.730693474670332</v>
      </c>
      <c r="DE59" s="408">
        <v>1.7006459894550119</v>
      </c>
      <c r="DF59" s="408">
        <v>0</v>
      </c>
      <c r="DG59" s="408">
        <v>56.947426717160567</v>
      </c>
      <c r="DH59" s="408">
        <v>0</v>
      </c>
      <c r="DI59" s="408">
        <v>0</v>
      </c>
      <c r="DJ59" s="408"/>
      <c r="DK59" s="408">
        <v>0</v>
      </c>
      <c r="DL59" s="408">
        <v>0</v>
      </c>
      <c r="DM59" s="408">
        <v>-2.1487838314241685</v>
      </c>
      <c r="DN59" s="408">
        <v>0</v>
      </c>
      <c r="DO59" s="408">
        <v>0</v>
      </c>
      <c r="DP59" s="408">
        <v>-1.1416813973888083</v>
      </c>
      <c r="DQ59" s="408">
        <v>0</v>
      </c>
      <c r="DR59" s="408">
        <v>0</v>
      </c>
      <c r="DS59" s="408"/>
      <c r="DT59" s="408"/>
      <c r="DU59" s="408"/>
      <c r="DV59" s="408">
        <v>8683.145188580771</v>
      </c>
      <c r="DW59" s="408">
        <v>0</v>
      </c>
      <c r="DX59" s="408">
        <v>0</v>
      </c>
      <c r="DY59" s="408">
        <v>-4498.0368000000008</v>
      </c>
      <c r="DZ59" s="408">
        <v>506.01720000000023</v>
      </c>
      <c r="EA59" s="408">
        <v>0</v>
      </c>
      <c r="EB59" s="408">
        <v>0</v>
      </c>
      <c r="EC59" s="408">
        <v>-4597.2650362965742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239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59</v>
      </c>
      <c r="B60" s="408" t="s">
        <v>2235</v>
      </c>
      <c r="C60" s="408" t="s">
        <v>2233</v>
      </c>
      <c r="D60" s="408" t="s">
        <v>1953</v>
      </c>
      <c r="E60" s="408" t="s">
        <v>967</v>
      </c>
      <c r="F60" s="408" t="s">
        <v>2237</v>
      </c>
      <c r="G60" s="408" t="s">
        <v>1320</v>
      </c>
      <c r="H60" s="408" t="s">
        <v>1320</v>
      </c>
      <c r="I60" s="408" t="s">
        <v>1320</v>
      </c>
      <c r="J60" s="408" t="s">
        <v>2234</v>
      </c>
      <c r="K60" s="827">
        <v>44409</v>
      </c>
      <c r="L60" s="408">
        <v>0</v>
      </c>
      <c r="M60" s="408">
        <v>0</v>
      </c>
      <c r="N60" s="408">
        <v>0</v>
      </c>
      <c r="O60" s="408">
        <v>0</v>
      </c>
      <c r="P60" s="408">
        <v>0</v>
      </c>
      <c r="Q60" s="408">
        <v>0</v>
      </c>
      <c r="R60" s="408"/>
      <c r="S60" s="408"/>
      <c r="T60" s="408"/>
      <c r="U60" s="408"/>
      <c r="V60" s="408"/>
      <c r="W60" s="408"/>
      <c r="X60" s="408"/>
      <c r="Y60" s="408"/>
      <c r="Z60" s="408"/>
      <c r="AA60" s="408">
        <v>0</v>
      </c>
      <c r="AB60" s="408"/>
      <c r="AC60" s="408"/>
      <c r="AD60" s="408"/>
      <c r="AE60" s="408"/>
      <c r="AF60" s="408"/>
      <c r="AG60" s="408"/>
      <c r="AH60" s="408"/>
      <c r="AI60" s="408"/>
      <c r="AJ60" s="408"/>
      <c r="AK60" s="408"/>
      <c r="AL60" s="408"/>
      <c r="AM60" s="408"/>
      <c r="AN60" s="408"/>
      <c r="AO60" s="408"/>
      <c r="AP60" s="408"/>
      <c r="AQ60" s="408"/>
      <c r="AR60" s="408"/>
      <c r="AS60" s="408"/>
      <c r="AT60" s="408"/>
      <c r="AU60" s="408"/>
      <c r="AV60" s="408"/>
      <c r="AW60" s="408"/>
      <c r="AX60" s="408"/>
      <c r="AY60" s="408"/>
      <c r="AZ60" s="408">
        <v>0</v>
      </c>
      <c r="BA60" s="408"/>
      <c r="BB60" s="408"/>
      <c r="BC60" s="408"/>
      <c r="BD60" s="408"/>
      <c r="BE60" s="408"/>
      <c r="BF60" s="408"/>
      <c r="BG60" s="408"/>
      <c r="BH60" s="408"/>
      <c r="BI60" s="408">
        <v>0</v>
      </c>
      <c r="BJ60" s="408">
        <v>0</v>
      </c>
      <c r="BK60" s="408">
        <v>-1.46</v>
      </c>
      <c r="BL60" s="408">
        <v>0</v>
      </c>
      <c r="BM60" s="408"/>
      <c r="BN60" s="408"/>
      <c r="BO60" s="408"/>
      <c r="BP60" s="408"/>
      <c r="BQ60" s="408"/>
      <c r="BR60" s="408"/>
      <c r="BS60" s="408"/>
      <c r="BT60" s="408"/>
      <c r="BU60" s="408"/>
      <c r="BV60" s="408"/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/>
      <c r="CJ60" s="408">
        <v>-0.03</v>
      </c>
      <c r="CK60" s="408"/>
      <c r="CL60" s="408"/>
      <c r="CM60" s="408"/>
      <c r="CN60" s="408"/>
      <c r="CO60" s="408">
        <v>0</v>
      </c>
      <c r="CP60" s="408">
        <v>0</v>
      </c>
      <c r="CQ60" s="408">
        <v>31</v>
      </c>
      <c r="CR60" s="408"/>
      <c r="CS60" s="408"/>
      <c r="CT60" s="408"/>
      <c r="CU60" s="408"/>
      <c r="CV60" s="408"/>
      <c r="CW60" s="408"/>
      <c r="CX60" s="408"/>
      <c r="CY60" s="408"/>
      <c r="CZ60" s="408"/>
      <c r="DA60" s="408"/>
      <c r="DB60" s="408"/>
      <c r="DC60" s="408"/>
      <c r="DD60" s="408"/>
      <c r="DE60" s="408"/>
      <c r="DF60" s="408"/>
      <c r="DG60" s="408"/>
      <c r="DH60" s="408"/>
      <c r="DI60" s="408"/>
      <c r="DJ60" s="408"/>
      <c r="DK60" s="408">
        <v>0</v>
      </c>
      <c r="DL60" s="408"/>
      <c r="DM60" s="408"/>
      <c r="DN60" s="408"/>
      <c r="DO60" s="408"/>
      <c r="DP60" s="408"/>
      <c r="DQ60" s="408"/>
      <c r="DR60" s="408"/>
      <c r="DS60" s="408"/>
      <c r="DT60" s="408"/>
      <c r="DU60" s="408"/>
      <c r="DV60" s="408"/>
      <c r="DW60" s="408"/>
      <c r="DX60" s="408"/>
      <c r="DY60" s="408"/>
      <c r="DZ60" s="408"/>
      <c r="EA60" s="408"/>
      <c r="EB60" s="408"/>
      <c r="EC60" s="408"/>
      <c r="ED60" s="408"/>
      <c r="EE60" s="408"/>
      <c r="EF60" s="408"/>
      <c r="EG60" s="408"/>
      <c r="EH60" s="408"/>
      <c r="EI60" s="408"/>
      <c r="EJ60" s="408"/>
      <c r="EK60" s="408"/>
      <c r="EL60" s="408"/>
      <c r="EM60" s="408"/>
      <c r="EN60" s="408"/>
      <c r="EO60" s="408"/>
      <c r="EP60" s="408"/>
      <c r="EQ60" s="408"/>
      <c r="ER60" s="408"/>
      <c r="ES60" s="408"/>
      <c r="ET60" s="408"/>
      <c r="EU60" s="408"/>
      <c r="EV60" s="408">
        <v>239</v>
      </c>
      <c r="EW60" s="408"/>
      <c r="EX60" s="408"/>
      <c r="EY60" s="408"/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60</v>
      </c>
      <c r="B61" s="408" t="s">
        <v>1034</v>
      </c>
      <c r="C61" s="408" t="s">
        <v>2233</v>
      </c>
      <c r="D61" s="408" t="s">
        <v>1953</v>
      </c>
      <c r="E61" s="408" t="s">
        <v>967</v>
      </c>
      <c r="F61" s="408" t="s">
        <v>2238</v>
      </c>
      <c r="G61" s="408" t="s">
        <v>1320</v>
      </c>
      <c r="H61" s="408" t="s">
        <v>1320</v>
      </c>
      <c r="I61" s="408" t="s">
        <v>1320</v>
      </c>
      <c r="J61" s="408" t="s">
        <v>2234</v>
      </c>
      <c r="K61" s="827">
        <v>44409</v>
      </c>
      <c r="L61" s="408">
        <v>0</v>
      </c>
      <c r="M61" s="408">
        <v>0</v>
      </c>
      <c r="N61" s="408">
        <v>48.116</v>
      </c>
      <c r="O61" s="408">
        <v>48.116</v>
      </c>
      <c r="P61" s="408">
        <v>48.116</v>
      </c>
      <c r="Q61" s="408">
        <v>48.116</v>
      </c>
      <c r="R61" s="408"/>
      <c r="S61" s="408">
        <v>446.23</v>
      </c>
      <c r="T61" s="408">
        <v>173.82</v>
      </c>
      <c r="U61" s="408"/>
      <c r="V61" s="408">
        <v>29834.325799999999</v>
      </c>
      <c r="W61" s="408">
        <v>29834.325799999999</v>
      </c>
      <c r="X61" s="408">
        <v>21790.774080000003</v>
      </c>
      <c r="Y61" s="408">
        <v>0</v>
      </c>
      <c r="Z61" s="408">
        <v>0</v>
      </c>
      <c r="AA61" s="408">
        <v>0</v>
      </c>
      <c r="AB61" s="408">
        <v>0</v>
      </c>
      <c r="AC61" s="408">
        <v>130.8006550352751</v>
      </c>
      <c r="AD61" s="408">
        <v>1656.4708399957276</v>
      </c>
      <c r="AE61" s="408">
        <v>17495.737600240889</v>
      </c>
      <c r="AF61" s="408">
        <v>7742.929473711878</v>
      </c>
      <c r="AG61" s="408">
        <v>389.54065920468275</v>
      </c>
      <c r="AH61" s="408">
        <v>0</v>
      </c>
      <c r="AI61" s="408">
        <v>0</v>
      </c>
      <c r="AJ61" s="408">
        <v>0</v>
      </c>
      <c r="AK61" s="408">
        <v>0</v>
      </c>
      <c r="AL61" s="408">
        <v>0</v>
      </c>
      <c r="AM61" s="408"/>
      <c r="AN61" s="408">
        <v>74.653993661867673</v>
      </c>
      <c r="AO61" s="408">
        <v>279.00080783688082</v>
      </c>
      <c r="AP61" s="408">
        <v>913.68992151601378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26.695363882079135</v>
      </c>
      <c r="BF61" s="408">
        <v>231.23050004528451</v>
      </c>
      <c r="BG61" s="408">
        <v>893.9145993869065</v>
      </c>
      <c r="BH61" s="408">
        <v>0</v>
      </c>
      <c r="BI61" s="408">
        <v>0</v>
      </c>
      <c r="BJ61" s="408">
        <v>0</v>
      </c>
      <c r="BK61" s="408">
        <v>6105.23</v>
      </c>
      <c r="BL61" s="408">
        <v>163</v>
      </c>
      <c r="BM61" s="408"/>
      <c r="BN61" s="408"/>
      <c r="BO61" s="408"/>
      <c r="BP61" s="408"/>
      <c r="BQ61" s="408"/>
      <c r="BR61" s="408"/>
      <c r="BS61" s="408"/>
      <c r="BT61" s="408">
        <v>8716.6945599999999</v>
      </c>
      <c r="BU61" s="408"/>
      <c r="BV61" s="408">
        <v>8894.7699370261471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13075.166399999998</v>
      </c>
      <c r="CJ61" s="408">
        <v>-4825.4590800000005</v>
      </c>
      <c r="CK61" s="408"/>
      <c r="CL61" s="408"/>
      <c r="CM61" s="408"/>
      <c r="CN61" s="408"/>
      <c r="CO61" s="408">
        <v>-9063.1297599999998</v>
      </c>
      <c r="CP61" s="408">
        <v>1019.5780399999999</v>
      </c>
      <c r="CQ61" s="408">
        <v>31</v>
      </c>
      <c r="CR61" s="408">
        <v>1219.1532609643946</v>
      </c>
      <c r="CS61" s="408">
        <v>27.089215792562754</v>
      </c>
      <c r="CT61" s="408">
        <v>88.713518944025168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-31.761516357890514</v>
      </c>
      <c r="DA61" s="408">
        <v>0</v>
      </c>
      <c r="DB61" s="408">
        <v>0</v>
      </c>
      <c r="DC61" s="408">
        <v>993.89057321261498</v>
      </c>
      <c r="DD61" s="408">
        <v>29.680990252396867</v>
      </c>
      <c r="DE61" s="408">
        <v>3.4266449928231708</v>
      </c>
      <c r="DF61" s="408">
        <v>0</v>
      </c>
      <c r="DG61" s="408">
        <v>114.74381842223193</v>
      </c>
      <c r="DH61" s="408">
        <v>0</v>
      </c>
      <c r="DI61" s="408">
        <v>0</v>
      </c>
      <c r="DJ61" s="408"/>
      <c r="DK61" s="408">
        <v>0</v>
      </c>
      <c r="DL61" s="408">
        <v>0</v>
      </c>
      <c r="DM61" s="408">
        <v>-4.3296014586601927</v>
      </c>
      <c r="DN61" s="408">
        <v>0</v>
      </c>
      <c r="DO61" s="408">
        <v>0</v>
      </c>
      <c r="DP61" s="408">
        <v>-2.3003828357102094</v>
      </c>
      <c r="DQ61" s="408">
        <v>0</v>
      </c>
      <c r="DR61" s="408">
        <v>0</v>
      </c>
      <c r="DS61" s="408"/>
      <c r="DT61" s="408"/>
      <c r="DU61" s="408"/>
      <c r="DV61" s="408">
        <v>17495.737600240889</v>
      </c>
      <c r="DW61" s="408">
        <v>0</v>
      </c>
      <c r="DX61" s="408">
        <v>0</v>
      </c>
      <c r="DY61" s="408">
        <v>-9063.1297599999998</v>
      </c>
      <c r="DZ61" s="408">
        <v>1019.5780400000003</v>
      </c>
      <c r="EA61" s="408">
        <v>0</v>
      </c>
      <c r="EB61" s="408">
        <v>0</v>
      </c>
      <c r="EC61" s="408">
        <v>-9263.065514507789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239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61</v>
      </c>
      <c r="B62" s="408" t="s">
        <v>2235</v>
      </c>
      <c r="C62" s="408" t="s">
        <v>2233</v>
      </c>
      <c r="D62" s="408" t="s">
        <v>1953</v>
      </c>
      <c r="E62" s="408" t="s">
        <v>967</v>
      </c>
      <c r="F62" s="408" t="s">
        <v>2238</v>
      </c>
      <c r="G62" s="408" t="s">
        <v>1320</v>
      </c>
      <c r="H62" s="408" t="s">
        <v>1320</v>
      </c>
      <c r="I62" s="408" t="s">
        <v>1320</v>
      </c>
      <c r="J62" s="408" t="s">
        <v>2234</v>
      </c>
      <c r="K62" s="827">
        <v>44409</v>
      </c>
      <c r="L62" s="408">
        <v>0</v>
      </c>
      <c r="M62" s="408">
        <v>0</v>
      </c>
      <c r="N62" s="408">
        <v>-7.0000000000000007E-2</v>
      </c>
      <c r="O62" s="408">
        <v>-7.0000000000000007E-2</v>
      </c>
      <c r="P62" s="408">
        <v>-7.0000000000000007E-2</v>
      </c>
      <c r="Q62" s="408">
        <v>-7.0000000000000007E-2</v>
      </c>
      <c r="R62" s="408"/>
      <c r="S62" s="408">
        <v>446.23</v>
      </c>
      <c r="T62" s="408">
        <v>173.82</v>
      </c>
      <c r="U62" s="408"/>
      <c r="V62" s="408">
        <v>-43.403500000000008</v>
      </c>
      <c r="W62" s="408">
        <v>-43.403500000000008</v>
      </c>
      <c r="X62" s="408">
        <v>-31.701600000000003</v>
      </c>
      <c r="Y62" s="408">
        <v>0</v>
      </c>
      <c r="Z62" s="408">
        <v>0</v>
      </c>
      <c r="AA62" s="408">
        <v>0</v>
      </c>
      <c r="AB62" s="408">
        <v>0</v>
      </c>
      <c r="AC62" s="408">
        <v>-0.19029108513736093</v>
      </c>
      <c r="AD62" s="408">
        <v>-2.4098628065446199</v>
      </c>
      <c r="AE62" s="408">
        <v>-25.453105661668932</v>
      </c>
      <c r="AF62" s="408">
        <v>-11.26454948790073</v>
      </c>
      <c r="AG62" s="408">
        <v>-0.56671057744467113</v>
      </c>
      <c r="AH62" s="408">
        <v>0</v>
      </c>
      <c r="AI62" s="408">
        <v>0</v>
      </c>
      <c r="AJ62" s="408">
        <v>0</v>
      </c>
      <c r="AK62" s="408">
        <v>0</v>
      </c>
      <c r="AL62" s="408">
        <v>0</v>
      </c>
      <c r="AM62" s="408"/>
      <c r="AN62" s="408">
        <v>-0.1086079382394783</v>
      </c>
      <c r="AO62" s="408">
        <v>-0.40589526453948083</v>
      </c>
      <c r="AP62" s="408">
        <v>-1.3292521096126231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-3.8836883193647427E-2</v>
      </c>
      <c r="BF62" s="408">
        <v>-0.33639818362228613</v>
      </c>
      <c r="BG62" s="408">
        <v>-1.3004826244301992</v>
      </c>
      <c r="BH62" s="408">
        <v>0</v>
      </c>
      <c r="BI62" s="408">
        <v>0</v>
      </c>
      <c r="BJ62" s="408">
        <v>0</v>
      </c>
      <c r="BK62" s="408">
        <v>-9.3000000000000007</v>
      </c>
      <c r="BL62" s="408">
        <v>0</v>
      </c>
      <c r="BM62" s="408"/>
      <c r="BN62" s="408"/>
      <c r="BO62" s="408"/>
      <c r="BP62" s="408"/>
      <c r="BQ62" s="408"/>
      <c r="BR62" s="408"/>
      <c r="BS62" s="408"/>
      <c r="BT62" s="408">
        <v>-12.6812</v>
      </c>
      <c r="BU62" s="408"/>
      <c r="BV62" s="408">
        <v>-12.940267179146863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-19.020400000000002</v>
      </c>
      <c r="CJ62" s="408">
        <v>6.9916999999999945</v>
      </c>
      <c r="CK62" s="408"/>
      <c r="CL62" s="408"/>
      <c r="CM62" s="408"/>
      <c r="CN62" s="408"/>
      <c r="CO62" s="408">
        <v>13.185200000000002</v>
      </c>
      <c r="CP62" s="408">
        <v>-1.4833000000000001</v>
      </c>
      <c r="CQ62" s="408">
        <v>31</v>
      </c>
      <c r="CR62" s="408">
        <v>-1.7736455288782835</v>
      </c>
      <c r="CS62" s="408">
        <v>-3.9409865855004445E-2</v>
      </c>
      <c r="CT62" s="408">
        <v>-0.12906198200352814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4.6207210596315829E-2</v>
      </c>
      <c r="DA62" s="408">
        <v>0</v>
      </c>
      <c r="DB62" s="408">
        <v>0</v>
      </c>
      <c r="DC62" s="408">
        <v>-1.4459294231624202</v>
      </c>
      <c r="DD62" s="408">
        <v>-4.318042475824635E-2</v>
      </c>
      <c r="DE62" s="408">
        <v>-4.985143185169634E-3</v>
      </c>
      <c r="DF62" s="408">
        <v>0</v>
      </c>
      <c r="DG62" s="408">
        <v>-0.16693131784762305</v>
      </c>
      <c r="DH62" s="408">
        <v>0</v>
      </c>
      <c r="DI62" s="408">
        <v>0</v>
      </c>
      <c r="DJ62" s="408"/>
      <c r="DK62" s="408">
        <v>0</v>
      </c>
      <c r="DL62" s="408">
        <v>0</v>
      </c>
      <c r="DM62" s="408">
        <v>6.2987800753639966E-3</v>
      </c>
      <c r="DN62" s="408">
        <v>0</v>
      </c>
      <c r="DO62" s="408">
        <v>0</v>
      </c>
      <c r="DP62" s="408">
        <v>3.3466372620274965E-3</v>
      </c>
      <c r="DQ62" s="408">
        <v>0</v>
      </c>
      <c r="DR62" s="408">
        <v>0</v>
      </c>
      <c r="DS62" s="408"/>
      <c r="DT62" s="408"/>
      <c r="DU62" s="408"/>
      <c r="DV62" s="408">
        <v>-25.453105661668932</v>
      </c>
      <c r="DW62" s="408">
        <v>0</v>
      </c>
      <c r="DX62" s="408">
        <v>0</v>
      </c>
      <c r="DY62" s="408">
        <v>13.185200000000002</v>
      </c>
      <c r="DZ62" s="408">
        <v>-1.4832999999999998</v>
      </c>
      <c r="EA62" s="408">
        <v>0</v>
      </c>
      <c r="EB62" s="408">
        <v>0</v>
      </c>
      <c r="EC62" s="408">
        <v>13.476070039395321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239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62</v>
      </c>
      <c r="B63" s="408" t="s">
        <v>1034</v>
      </c>
      <c r="C63" s="408" t="s">
        <v>2233</v>
      </c>
      <c r="D63" s="408" t="s">
        <v>1953</v>
      </c>
      <c r="E63" s="408" t="s">
        <v>967</v>
      </c>
      <c r="F63" s="408" t="s">
        <v>2239</v>
      </c>
      <c r="G63" s="408" t="s">
        <v>1320</v>
      </c>
      <c r="H63" s="408" t="s">
        <v>1320</v>
      </c>
      <c r="I63" s="408" t="s">
        <v>1320</v>
      </c>
      <c r="J63" s="408" t="s">
        <v>2234</v>
      </c>
      <c r="K63" s="827">
        <v>44409</v>
      </c>
      <c r="L63" s="408">
        <v>0</v>
      </c>
      <c r="M63" s="408">
        <v>0</v>
      </c>
      <c r="N63" s="408">
        <v>45.575000000000003</v>
      </c>
      <c r="O63" s="408">
        <v>45.575000000000003</v>
      </c>
      <c r="P63" s="408">
        <v>45.575000000000003</v>
      </c>
      <c r="Q63" s="408">
        <v>45.575000000000003</v>
      </c>
      <c r="R63" s="408"/>
      <c r="S63" s="408">
        <v>446.23</v>
      </c>
      <c r="T63" s="408">
        <v>173.82</v>
      </c>
      <c r="U63" s="408"/>
      <c r="V63" s="408">
        <v>28258.778750000001</v>
      </c>
      <c r="W63" s="408">
        <v>28258.778750000001</v>
      </c>
      <c r="X63" s="408">
        <v>20640.006000000001</v>
      </c>
      <c r="Y63" s="408">
        <v>0</v>
      </c>
      <c r="Z63" s="408">
        <v>0</v>
      </c>
      <c r="AA63" s="408">
        <v>0</v>
      </c>
      <c r="AB63" s="408">
        <v>0</v>
      </c>
      <c r="AC63" s="408">
        <v>123.89308864478892</v>
      </c>
      <c r="AD63" s="408">
        <v>1568.9928201181579</v>
      </c>
      <c r="AE63" s="408">
        <v>16571.789864722308</v>
      </c>
      <c r="AF63" s="408">
        <v>7334.0263273010823</v>
      </c>
      <c r="AG63" s="408">
        <v>368.96906524344121</v>
      </c>
      <c r="AH63" s="408">
        <v>0</v>
      </c>
      <c r="AI63" s="408">
        <v>0</v>
      </c>
      <c r="AJ63" s="408">
        <v>0</v>
      </c>
      <c r="AK63" s="408">
        <v>0</v>
      </c>
      <c r="AL63" s="408">
        <v>0</v>
      </c>
      <c r="AM63" s="408"/>
      <c r="AN63" s="408">
        <v>70.711525503774624</v>
      </c>
      <c r="AO63" s="408">
        <v>264.26680973409771</v>
      </c>
      <c r="AP63" s="408">
        <v>865.43806993707574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25.285585022149736</v>
      </c>
      <c r="BF63" s="408">
        <v>219.01924597979556</v>
      </c>
      <c r="BG63" s="408">
        <v>846.70708012009038</v>
      </c>
      <c r="BH63" s="408">
        <v>0</v>
      </c>
      <c r="BI63" s="408">
        <v>0</v>
      </c>
      <c r="BJ63" s="408">
        <v>0</v>
      </c>
      <c r="BK63" s="408">
        <v>10114.280000000001</v>
      </c>
      <c r="BL63" s="408">
        <v>402</v>
      </c>
      <c r="BM63" s="408"/>
      <c r="BN63" s="408"/>
      <c r="BO63" s="408"/>
      <c r="BP63" s="408"/>
      <c r="BQ63" s="408"/>
      <c r="BR63" s="408"/>
      <c r="BS63" s="408"/>
      <c r="BT63" s="408">
        <v>2063.6360000000004</v>
      </c>
      <c r="BU63" s="408"/>
      <c r="BV63" s="408">
        <v>8425.0382384231179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18578.407999999999</v>
      </c>
      <c r="CJ63" s="408">
        <v>-6854.7507499999992</v>
      </c>
      <c r="CK63" s="408"/>
      <c r="CL63" s="408"/>
      <c r="CM63" s="408"/>
      <c r="CN63" s="408"/>
      <c r="CO63" s="408">
        <v>-8584.5070000000014</v>
      </c>
      <c r="CP63" s="408">
        <v>965.73424999999997</v>
      </c>
      <c r="CQ63" s="408">
        <v>31</v>
      </c>
      <c r="CR63" s="408">
        <v>1154.7699282661106</v>
      </c>
      <c r="CS63" s="408">
        <v>25.658637662026081</v>
      </c>
      <c r="CT63" s="408">
        <v>84.028568997296929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-30.084194613244108</v>
      </c>
      <c r="DA63" s="408">
        <v>0</v>
      </c>
      <c r="DB63" s="408">
        <v>0</v>
      </c>
      <c r="DC63" s="408">
        <v>941.40333515181919</v>
      </c>
      <c r="DD63" s="408">
        <v>28.113540833672545</v>
      </c>
      <c r="DE63" s="408">
        <v>3.2456842952015137</v>
      </c>
      <c r="DF63" s="408">
        <v>0</v>
      </c>
      <c r="DG63" s="408">
        <v>108.68421158436308</v>
      </c>
      <c r="DH63" s="408">
        <v>0</v>
      </c>
      <c r="DI63" s="408">
        <v>0</v>
      </c>
      <c r="DJ63" s="408"/>
      <c r="DK63" s="408">
        <v>0</v>
      </c>
      <c r="DL63" s="408">
        <v>0</v>
      </c>
      <c r="DM63" s="408">
        <v>-4.1009557419244516</v>
      </c>
      <c r="DN63" s="408">
        <v>0</v>
      </c>
      <c r="DO63" s="408">
        <v>0</v>
      </c>
      <c r="DP63" s="408">
        <v>-2.1788999030986247</v>
      </c>
      <c r="DQ63" s="408">
        <v>0</v>
      </c>
      <c r="DR63" s="408">
        <v>0</v>
      </c>
      <c r="DS63" s="408"/>
      <c r="DT63" s="408"/>
      <c r="DU63" s="408"/>
      <c r="DV63" s="408">
        <v>16571.789864722308</v>
      </c>
      <c r="DW63" s="408">
        <v>0</v>
      </c>
      <c r="DX63" s="408">
        <v>0</v>
      </c>
      <c r="DY63" s="408">
        <v>-8584.5070000000014</v>
      </c>
      <c r="DZ63" s="408">
        <v>965.73425000000043</v>
      </c>
      <c r="EA63" s="408">
        <v>0</v>
      </c>
      <c r="EB63" s="408">
        <v>0</v>
      </c>
      <c r="EC63" s="408">
        <v>-8773.8841720777382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239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63</v>
      </c>
      <c r="B64" s="408" t="s">
        <v>2235</v>
      </c>
      <c r="C64" s="408" t="s">
        <v>2233</v>
      </c>
      <c r="D64" s="408" t="s">
        <v>1953</v>
      </c>
      <c r="E64" s="408" t="s">
        <v>967</v>
      </c>
      <c r="F64" s="408" t="s">
        <v>2239</v>
      </c>
      <c r="G64" s="408" t="s">
        <v>1320</v>
      </c>
      <c r="H64" s="408" t="s">
        <v>1320</v>
      </c>
      <c r="I64" s="408" t="s">
        <v>1320</v>
      </c>
      <c r="J64" s="408" t="s">
        <v>2234</v>
      </c>
      <c r="K64" s="827">
        <v>44409</v>
      </c>
      <c r="L64" s="408">
        <v>0</v>
      </c>
      <c r="M64" s="408">
        <v>0</v>
      </c>
      <c r="N64" s="408">
        <v>-5.7000000000000002E-2</v>
      </c>
      <c r="O64" s="408">
        <v>-5.7000000000000002E-2</v>
      </c>
      <c r="P64" s="408">
        <v>-5.7000000000000002E-2</v>
      </c>
      <c r="Q64" s="408">
        <v>-5.7000000000000002E-2</v>
      </c>
      <c r="R64" s="408"/>
      <c r="S64" s="408">
        <v>446.23</v>
      </c>
      <c r="T64" s="408">
        <v>173.82</v>
      </c>
      <c r="U64" s="408"/>
      <c r="V64" s="408">
        <v>-35.342849999999999</v>
      </c>
      <c r="W64" s="408">
        <v>-35.342849999999999</v>
      </c>
      <c r="X64" s="408">
        <v>-25.814160000000001</v>
      </c>
      <c r="Y64" s="408">
        <v>0</v>
      </c>
      <c r="Z64" s="408">
        <v>0</v>
      </c>
      <c r="AA64" s="408">
        <v>0</v>
      </c>
      <c r="AB64" s="408">
        <v>0</v>
      </c>
      <c r="AC64" s="408">
        <v>-0.15495131218327959</v>
      </c>
      <c r="AD64" s="408">
        <v>-1.9623168567577618</v>
      </c>
      <c r="AE64" s="408">
        <v>-20.726100324501843</v>
      </c>
      <c r="AF64" s="408">
        <v>-9.1725617258620229</v>
      </c>
      <c r="AG64" s="408">
        <v>-0.46146432734780357</v>
      </c>
      <c r="AH64" s="408">
        <v>0</v>
      </c>
      <c r="AI64" s="408">
        <v>0</v>
      </c>
      <c r="AJ64" s="408">
        <v>0</v>
      </c>
      <c r="AK64" s="408">
        <v>0</v>
      </c>
      <c r="AL64" s="408">
        <v>0</v>
      </c>
      <c r="AM64" s="408"/>
      <c r="AN64" s="408">
        <v>-8.8437892566432322E-2</v>
      </c>
      <c r="AO64" s="408">
        <v>-0.33051471541072008</v>
      </c>
      <c r="AP64" s="408">
        <v>-1.0823910035417073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-3.1624319171970047E-2</v>
      </c>
      <c r="BF64" s="408">
        <v>-0.27392423523529008</v>
      </c>
      <c r="BG64" s="408">
        <v>-1.058964422750305</v>
      </c>
      <c r="BH64" s="408">
        <v>0</v>
      </c>
      <c r="BI64" s="408">
        <v>0</v>
      </c>
      <c r="BJ64" s="408">
        <v>0</v>
      </c>
      <c r="BK64" s="408">
        <v>-15.23</v>
      </c>
      <c r="BL64" s="408">
        <v>0</v>
      </c>
      <c r="BM64" s="408"/>
      <c r="BN64" s="408"/>
      <c r="BO64" s="408"/>
      <c r="BP64" s="408"/>
      <c r="BQ64" s="408"/>
      <c r="BR64" s="408"/>
      <c r="BS64" s="408"/>
      <c r="BT64" s="408">
        <v>-2.5809600000000001</v>
      </c>
      <c r="BU64" s="408"/>
      <c r="BV64" s="408">
        <v>-10.537074703019588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-24.456</v>
      </c>
      <c r="CJ64" s="408">
        <v>7.3228499999999954</v>
      </c>
      <c r="CK64" s="408"/>
      <c r="CL64" s="408"/>
      <c r="CM64" s="408"/>
      <c r="CN64" s="408"/>
      <c r="CO64" s="408">
        <v>10.736520000000001</v>
      </c>
      <c r="CP64" s="408">
        <v>-1.20783</v>
      </c>
      <c r="CQ64" s="408">
        <v>31</v>
      </c>
      <c r="CR64" s="408">
        <v>-1.4442542163723218</v>
      </c>
      <c r="CS64" s="408">
        <v>-3.2090890767646485E-2</v>
      </c>
      <c r="CT64" s="408">
        <v>-0.10509332820287298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3.7625871485571283E-2</v>
      </c>
      <c r="DA64" s="408">
        <v>0</v>
      </c>
      <c r="DB64" s="408">
        <v>0</v>
      </c>
      <c r="DC64" s="408">
        <v>-1.1773996731465424</v>
      </c>
      <c r="DD64" s="408">
        <v>-3.5161203017429199E-2</v>
      </c>
      <c r="DE64" s="408">
        <v>-4.0593308793524102E-3</v>
      </c>
      <c r="DF64" s="408">
        <v>0</v>
      </c>
      <c r="DG64" s="408">
        <v>-0.13592978739020722</v>
      </c>
      <c r="DH64" s="408">
        <v>0</v>
      </c>
      <c r="DI64" s="408">
        <v>0</v>
      </c>
      <c r="DJ64" s="408"/>
      <c r="DK64" s="408">
        <v>0</v>
      </c>
      <c r="DL64" s="408">
        <v>0</v>
      </c>
      <c r="DM64" s="408">
        <v>5.1290066327963624E-3</v>
      </c>
      <c r="DN64" s="408">
        <v>0</v>
      </c>
      <c r="DO64" s="408">
        <v>0</v>
      </c>
      <c r="DP64" s="408">
        <v>2.7251189133652431E-3</v>
      </c>
      <c r="DQ64" s="408">
        <v>0</v>
      </c>
      <c r="DR64" s="408">
        <v>0</v>
      </c>
      <c r="DS64" s="408"/>
      <c r="DT64" s="408"/>
      <c r="DU64" s="408"/>
      <c r="DV64" s="408">
        <v>-20.726100324501843</v>
      </c>
      <c r="DW64" s="408">
        <v>0</v>
      </c>
      <c r="DX64" s="408">
        <v>0</v>
      </c>
      <c r="DY64" s="408">
        <v>10.736520000000001</v>
      </c>
      <c r="DZ64" s="408">
        <v>-1.2078299999999995</v>
      </c>
      <c r="EA64" s="408">
        <v>0</v>
      </c>
      <c r="EB64" s="408">
        <v>0</v>
      </c>
      <c r="EC64" s="408">
        <v>10.973371317793331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0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239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64</v>
      </c>
      <c r="B65" s="408" t="s">
        <v>1034</v>
      </c>
      <c r="C65" s="408" t="s">
        <v>2233</v>
      </c>
      <c r="D65" s="408" t="s">
        <v>1953</v>
      </c>
      <c r="E65" s="408" t="s">
        <v>967</v>
      </c>
      <c r="F65" s="408" t="s">
        <v>2240</v>
      </c>
      <c r="G65" s="408" t="s">
        <v>1320</v>
      </c>
      <c r="H65" s="408" t="s">
        <v>1320</v>
      </c>
      <c r="I65" s="408" t="s">
        <v>1320</v>
      </c>
      <c r="J65" s="408" t="s">
        <v>2234</v>
      </c>
      <c r="K65" s="827">
        <v>44409</v>
      </c>
      <c r="L65" s="408">
        <v>0</v>
      </c>
      <c r="M65" s="408">
        <v>0</v>
      </c>
      <c r="N65" s="408">
        <v>14.583</v>
      </c>
      <c r="O65" s="408">
        <v>14.583</v>
      </c>
      <c r="P65" s="408">
        <v>14.583</v>
      </c>
      <c r="Q65" s="408">
        <v>14.583</v>
      </c>
      <c r="R65" s="408"/>
      <c r="S65" s="408">
        <v>446.23</v>
      </c>
      <c r="T65" s="408">
        <v>173.82</v>
      </c>
      <c r="U65" s="408"/>
      <c r="V65" s="408">
        <v>9042.1891500000002</v>
      </c>
      <c r="W65" s="408">
        <v>9042.1891500000002</v>
      </c>
      <c r="X65" s="408">
        <v>6604.3490400000001</v>
      </c>
      <c r="Y65" s="408">
        <v>0</v>
      </c>
      <c r="Z65" s="408">
        <v>0</v>
      </c>
      <c r="AA65" s="408">
        <v>0</v>
      </c>
      <c r="AB65" s="408">
        <v>0</v>
      </c>
      <c r="AC65" s="408">
        <v>39.643069922259059</v>
      </c>
      <c r="AD65" s="408">
        <v>502.04327582628844</v>
      </c>
      <c r="AE65" s="408">
        <v>5302.6091409159717</v>
      </c>
      <c r="AF65" s="408">
        <v>2346.7275026008047</v>
      </c>
      <c r="AG65" s="408">
        <v>118.06200501250912</v>
      </c>
      <c r="AH65" s="408">
        <v>0</v>
      </c>
      <c r="AI65" s="408">
        <v>0</v>
      </c>
      <c r="AJ65" s="408">
        <v>0</v>
      </c>
      <c r="AK65" s="408">
        <v>0</v>
      </c>
      <c r="AL65" s="408">
        <v>0</v>
      </c>
      <c r="AM65" s="408"/>
      <c r="AN65" s="408">
        <v>22.62613661923303</v>
      </c>
      <c r="AO65" s="408">
        <v>84.55958061113212</v>
      </c>
      <c r="AP65" s="408">
        <v>276.92119306401258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8.090832394470862</v>
      </c>
      <c r="BF65" s="408">
        <v>70.081353025197117</v>
      </c>
      <c r="BG65" s="408">
        <v>270.92768731522278</v>
      </c>
      <c r="BH65" s="408">
        <v>0</v>
      </c>
      <c r="BI65" s="408">
        <v>0</v>
      </c>
      <c r="BJ65" s="408">
        <v>0</v>
      </c>
      <c r="BK65" s="408">
        <v>4834.41</v>
      </c>
      <c r="BL65" s="408">
        <v>190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2695.8273753356953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6602.9903999999997</v>
      </c>
      <c r="CJ65" s="408">
        <v>-2439.2287500000011</v>
      </c>
      <c r="CK65" s="408"/>
      <c r="CL65" s="408"/>
      <c r="CM65" s="408"/>
      <c r="CN65" s="408"/>
      <c r="CO65" s="408">
        <v>-2746.8538800000001</v>
      </c>
      <c r="CP65" s="408">
        <v>309.01376999999997</v>
      </c>
      <c r="CQ65" s="408">
        <v>31</v>
      </c>
      <c r="CR65" s="408">
        <v>369.5010392518866</v>
      </c>
      <c r="CS65" s="408">
        <v>8.2102010537647061</v>
      </c>
      <c r="CT65" s="408">
        <v>26.887298336535025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-9.6262821732295833</v>
      </c>
      <c r="DA65" s="408">
        <v>0</v>
      </c>
      <c r="DB65" s="408">
        <v>0</v>
      </c>
      <c r="DC65" s="408">
        <v>301.22841111396565</v>
      </c>
      <c r="DD65" s="408">
        <v>8.9957162035643705</v>
      </c>
      <c r="DE65" s="408">
        <v>1.0385477581332676</v>
      </c>
      <c r="DF65" s="408">
        <v>0</v>
      </c>
      <c r="DG65" s="408">
        <v>34.776562973884097</v>
      </c>
      <c r="DH65" s="408">
        <v>0</v>
      </c>
      <c r="DI65" s="408">
        <v>0</v>
      </c>
      <c r="DJ65" s="408"/>
      <c r="DK65" s="408">
        <v>0</v>
      </c>
      <c r="DL65" s="408">
        <v>0</v>
      </c>
      <c r="DM65" s="408">
        <v>-1.3122158548433305</v>
      </c>
      <c r="DN65" s="408">
        <v>0</v>
      </c>
      <c r="DO65" s="408">
        <v>0</v>
      </c>
      <c r="DP65" s="408">
        <v>-0.69720015988781725</v>
      </c>
      <c r="DQ65" s="408">
        <v>0</v>
      </c>
      <c r="DR65" s="408">
        <v>0</v>
      </c>
      <c r="DS65" s="408"/>
      <c r="DT65" s="408"/>
      <c r="DU65" s="408"/>
      <c r="DV65" s="408">
        <v>5302.6091409159717</v>
      </c>
      <c r="DW65" s="408">
        <v>0</v>
      </c>
      <c r="DX65" s="408">
        <v>0</v>
      </c>
      <c r="DY65" s="408">
        <v>-2746.8538800000006</v>
      </c>
      <c r="DZ65" s="408">
        <v>309.01377000000002</v>
      </c>
      <c r="EA65" s="408">
        <v>0</v>
      </c>
      <c r="EB65" s="408">
        <v>0</v>
      </c>
      <c r="EC65" s="408">
        <v>-2807.4504197785996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239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65</v>
      </c>
      <c r="B66" s="408" t="s">
        <v>1034</v>
      </c>
      <c r="C66" s="408" t="s">
        <v>2233</v>
      </c>
      <c r="D66" s="408" t="s">
        <v>1956</v>
      </c>
      <c r="E66" s="408" t="s">
        <v>968</v>
      </c>
      <c r="F66" s="408" t="s">
        <v>1320</v>
      </c>
      <c r="G66" s="408" t="s">
        <v>1320</v>
      </c>
      <c r="H66" s="408" t="s">
        <v>1320</v>
      </c>
      <c r="I66" s="408" t="s">
        <v>1320</v>
      </c>
      <c r="J66" s="408" t="s">
        <v>2234</v>
      </c>
      <c r="K66" s="827">
        <v>44409</v>
      </c>
      <c r="L66" s="408">
        <v>0</v>
      </c>
      <c r="M66" s="408">
        <v>0</v>
      </c>
      <c r="N66" s="408">
        <v>72.203999999999994</v>
      </c>
      <c r="O66" s="408">
        <v>72.203999999999994</v>
      </c>
      <c r="P66" s="408">
        <v>72.203999999999994</v>
      </c>
      <c r="Q66" s="408">
        <v>72.203999999999994</v>
      </c>
      <c r="R66" s="408"/>
      <c r="S66" s="408">
        <v>516.83000000000004</v>
      </c>
      <c r="T66" s="408">
        <v>173.82</v>
      </c>
      <c r="U66" s="408"/>
      <c r="V66" s="408">
        <v>49867.692599999995</v>
      </c>
      <c r="W66" s="408">
        <v>49867.692599999995</v>
      </c>
      <c r="X66" s="408">
        <v>37650.775799999996</v>
      </c>
      <c r="Y66" s="408">
        <v>0</v>
      </c>
      <c r="Z66" s="408">
        <v>4415.2353035523429</v>
      </c>
      <c r="AA66" s="408">
        <v>0</v>
      </c>
      <c r="AB66" s="408">
        <v>0</v>
      </c>
      <c r="AC66" s="408">
        <v>196.28253587511438</v>
      </c>
      <c r="AD66" s="408">
        <v>2485.739058339253</v>
      </c>
      <c r="AE66" s="408">
        <v>26254.514874216333</v>
      </c>
      <c r="AF66" s="408">
        <v>11619.22187463406</v>
      </c>
      <c r="AG66" s="408">
        <v>584.55386476878607</v>
      </c>
      <c r="AH66" s="408">
        <v>0</v>
      </c>
      <c r="AI66" s="408">
        <v>0</v>
      </c>
      <c r="AJ66" s="408">
        <v>0</v>
      </c>
      <c r="AK66" s="408">
        <v>0</v>
      </c>
      <c r="AL66" s="408">
        <v>682.43586466673946</v>
      </c>
      <c r="AM66" s="408"/>
      <c r="AN66" s="408">
        <v>112.027536752047</v>
      </c>
      <c r="AO66" s="408">
        <v>418.67516686869527</v>
      </c>
      <c r="AP66" s="408">
        <v>1371.1045617495688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40.059690201630261</v>
      </c>
      <c r="BF66" s="408">
        <v>346.9899207180506</v>
      </c>
      <c r="BG66" s="408">
        <v>1341.429248776544</v>
      </c>
      <c r="BH66" s="408">
        <v>0</v>
      </c>
      <c r="BI66" s="408">
        <v>0</v>
      </c>
      <c r="BJ66" s="408">
        <v>0</v>
      </c>
      <c r="BK66" s="408">
        <v>9581.4599999999991</v>
      </c>
      <c r="BL66" s="408">
        <v>29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13347.700734330285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37648.69</v>
      </c>
      <c r="CJ66" s="408">
        <v>-12219.032599999999</v>
      </c>
      <c r="CK66" s="408"/>
      <c r="CL66" s="408"/>
      <c r="CM66" s="408"/>
      <c r="CN66" s="408"/>
      <c r="CO66" s="408">
        <v>-13746.919560000002</v>
      </c>
      <c r="CP66" s="408">
        <v>1530.0027599999996</v>
      </c>
      <c r="CQ66" s="408">
        <v>31</v>
      </c>
      <c r="CR66" s="408">
        <v>1682.7776883274382</v>
      </c>
      <c r="CS66" s="408">
        <v>40.650713631353426</v>
      </c>
      <c r="CT66" s="408">
        <v>133.12559069403915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-47.662077627091094</v>
      </c>
      <c r="DA66" s="408">
        <v>0</v>
      </c>
      <c r="DB66" s="408">
        <v>0</v>
      </c>
      <c r="DC66" s="408">
        <v>1491.4555438574189</v>
      </c>
      <c r="DD66" s="408">
        <v>44.539991274920283</v>
      </c>
      <c r="DE66" s="408">
        <v>5.1421039791712602</v>
      </c>
      <c r="DF66" s="408">
        <v>0</v>
      </c>
      <c r="DG66" s="408">
        <v>172.18726962671099</v>
      </c>
      <c r="DH66" s="408">
        <v>0</v>
      </c>
      <c r="DI66" s="408">
        <v>-129.03748373928738</v>
      </c>
      <c r="DJ66" s="408"/>
      <c r="DK66" s="408">
        <v>0</v>
      </c>
      <c r="DL66" s="408">
        <v>0</v>
      </c>
      <c r="DM66" s="408">
        <v>-6.4971016651654736</v>
      </c>
      <c r="DN66" s="408">
        <v>0</v>
      </c>
      <c r="DO66" s="408">
        <v>-17.674853177952286</v>
      </c>
      <c r="DP66" s="408">
        <v>-3.4520085266776164</v>
      </c>
      <c r="DQ66" s="408">
        <v>0</v>
      </c>
      <c r="DR66" s="408">
        <v>0</v>
      </c>
      <c r="DS66" s="408"/>
      <c r="DT66" s="408"/>
      <c r="DU66" s="408"/>
      <c r="DV66" s="408">
        <v>26254.514874216333</v>
      </c>
      <c r="DW66" s="408">
        <v>0</v>
      </c>
      <c r="DX66" s="408">
        <v>0</v>
      </c>
      <c r="DY66" s="408">
        <v>-13746.919560000002</v>
      </c>
      <c r="DZ66" s="408">
        <v>1530.0027599999994</v>
      </c>
      <c r="EA66" s="408">
        <v>0</v>
      </c>
      <c r="EB66" s="408">
        <v>0</v>
      </c>
      <c r="EC66" s="408">
        <v>-13900.373730349995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239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66</v>
      </c>
      <c r="B67" s="408" t="s">
        <v>2236</v>
      </c>
      <c r="C67" s="408" t="s">
        <v>2233</v>
      </c>
      <c r="D67" s="408" t="s">
        <v>1956</v>
      </c>
      <c r="E67" s="408" t="s">
        <v>968</v>
      </c>
      <c r="F67" s="408" t="s">
        <v>1320</v>
      </c>
      <c r="G67" s="408" t="s">
        <v>1320</v>
      </c>
      <c r="H67" s="408" t="s">
        <v>1320</v>
      </c>
      <c r="I67" s="408" t="s">
        <v>1320</v>
      </c>
      <c r="J67" s="408" t="s">
        <v>2234</v>
      </c>
      <c r="K67" s="827">
        <v>44409</v>
      </c>
      <c r="L67" s="408">
        <v>0</v>
      </c>
      <c r="M67" s="408">
        <v>0</v>
      </c>
      <c r="N67" s="408">
        <v>0.34599999999999997</v>
      </c>
      <c r="O67" s="408">
        <v>0.34599999999999997</v>
      </c>
      <c r="P67" s="408">
        <v>0.34599999999999997</v>
      </c>
      <c r="Q67" s="408">
        <v>0.34599999999999997</v>
      </c>
      <c r="R67" s="408"/>
      <c r="S67" s="408">
        <v>516.83000000000004</v>
      </c>
      <c r="T67" s="408">
        <v>173.82</v>
      </c>
      <c r="U67" s="408"/>
      <c r="V67" s="408">
        <v>238.9649</v>
      </c>
      <c r="W67" s="408">
        <v>238.9649</v>
      </c>
      <c r="X67" s="408">
        <v>180.42169999999999</v>
      </c>
      <c r="Y67" s="408">
        <v>0</v>
      </c>
      <c r="Z67" s="408">
        <v>21.157711692276198</v>
      </c>
      <c r="AA67" s="408">
        <v>0</v>
      </c>
      <c r="AB67" s="408">
        <v>0</v>
      </c>
      <c r="AC67" s="408">
        <v>0.94058164939324096</v>
      </c>
      <c r="AD67" s="408">
        <v>11.911607586634833</v>
      </c>
      <c r="AE67" s="408">
        <v>125.81106512767785</v>
      </c>
      <c r="AF67" s="408">
        <v>55.679058897337889</v>
      </c>
      <c r="AG67" s="408">
        <v>2.8011694256550879</v>
      </c>
      <c r="AH67" s="408">
        <v>0</v>
      </c>
      <c r="AI67" s="408">
        <v>0</v>
      </c>
      <c r="AJ67" s="408">
        <v>0</v>
      </c>
      <c r="AK67" s="408">
        <v>0</v>
      </c>
      <c r="AL67" s="408">
        <v>3.2702178435362566</v>
      </c>
      <c r="AM67" s="408"/>
      <c r="AN67" s="408">
        <v>0.53683352329799272</v>
      </c>
      <c r="AO67" s="408">
        <v>2.0062823075808622</v>
      </c>
      <c r="AP67" s="408">
        <v>6.5703032846566787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0.19196516550002868</v>
      </c>
      <c r="BF67" s="408">
        <v>1.6627681647615853</v>
      </c>
      <c r="BG67" s="408">
        <v>6.4280998293264116</v>
      </c>
      <c r="BH67" s="408">
        <v>0</v>
      </c>
      <c r="BI67" s="408">
        <v>0</v>
      </c>
      <c r="BJ67" s="408">
        <v>0</v>
      </c>
      <c r="BK67" s="408">
        <v>215.89</v>
      </c>
      <c r="BL67" s="408">
        <v>3</v>
      </c>
      <c r="BM67" s="408"/>
      <c r="BN67" s="408"/>
      <c r="BO67" s="408"/>
      <c r="BP67" s="408"/>
      <c r="BQ67" s="408"/>
      <c r="BR67" s="408"/>
      <c r="BS67" s="408"/>
      <c r="BT67" s="408"/>
      <c r="BU67" s="408"/>
      <c r="BV67" s="408">
        <v>63.961892056925919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182.50749999999999</v>
      </c>
      <c r="CJ67" s="408">
        <v>-56.48739999999998</v>
      </c>
      <c r="CK67" s="408"/>
      <c r="CL67" s="408"/>
      <c r="CM67" s="408"/>
      <c r="CN67" s="408"/>
      <c r="CO67" s="408">
        <v>-65.874940000000009</v>
      </c>
      <c r="CP67" s="408">
        <v>7.331739999999999</v>
      </c>
      <c r="CQ67" s="408">
        <v>31</v>
      </c>
      <c r="CR67" s="408">
        <v>8.0638341388468291</v>
      </c>
      <c r="CS67" s="408">
        <v>0.19479733694045009</v>
      </c>
      <c r="CT67" s="408">
        <v>0.63793493961743941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-0.22839564094750209</v>
      </c>
      <c r="DA67" s="408">
        <v>0</v>
      </c>
      <c r="DB67" s="408">
        <v>0</v>
      </c>
      <c r="DC67" s="408">
        <v>7.1470225773456804</v>
      </c>
      <c r="DD67" s="408">
        <v>0.21343467094790336</v>
      </c>
      <c r="DE67" s="408">
        <v>2.4640850600981312E-2</v>
      </c>
      <c r="DF67" s="408">
        <v>0</v>
      </c>
      <c r="DG67" s="408">
        <v>0.82511765678968008</v>
      </c>
      <c r="DH67" s="408">
        <v>0</v>
      </c>
      <c r="DI67" s="408">
        <v>-0.61834481986861434</v>
      </c>
      <c r="DJ67" s="408"/>
      <c r="DK67" s="408">
        <v>0</v>
      </c>
      <c r="DL67" s="408">
        <v>0</v>
      </c>
      <c r="DM67" s="408">
        <v>-3.1133970086798968E-2</v>
      </c>
      <c r="DN67" s="408">
        <v>0</v>
      </c>
      <c r="DO67" s="408">
        <v>-8.4697512597245339E-2</v>
      </c>
      <c r="DP67" s="408">
        <v>-1.6541949895164554E-2</v>
      </c>
      <c r="DQ67" s="408">
        <v>0</v>
      </c>
      <c r="DR67" s="408">
        <v>0</v>
      </c>
      <c r="DS67" s="408"/>
      <c r="DT67" s="408"/>
      <c r="DU67" s="408"/>
      <c r="DV67" s="408">
        <v>125.81106512767785</v>
      </c>
      <c r="DW67" s="408">
        <v>0</v>
      </c>
      <c r="DX67" s="408">
        <v>0</v>
      </c>
      <c r="DY67" s="408">
        <v>-65.874940000000024</v>
      </c>
      <c r="DZ67" s="408">
        <v>7.3317399999999964</v>
      </c>
      <c r="EA67" s="408">
        <v>0</v>
      </c>
      <c r="EB67" s="408">
        <v>0</v>
      </c>
      <c r="EC67" s="408">
        <v>-66.610289051868293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239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67</v>
      </c>
      <c r="B68" s="408" t="s">
        <v>1034</v>
      </c>
      <c r="C68" s="408" t="s">
        <v>2245</v>
      </c>
      <c r="D68" s="408" t="s">
        <v>596</v>
      </c>
      <c r="E68" s="408" t="s">
        <v>968</v>
      </c>
      <c r="F68" s="408" t="s">
        <v>1320</v>
      </c>
      <c r="G68" s="408" t="s">
        <v>1320</v>
      </c>
      <c r="H68" s="408" t="s">
        <v>1320</v>
      </c>
      <c r="I68" s="408" t="s">
        <v>971</v>
      </c>
      <c r="J68" s="408" t="s">
        <v>2234</v>
      </c>
      <c r="K68" s="827">
        <v>44409</v>
      </c>
      <c r="L68" s="408">
        <v>1200</v>
      </c>
      <c r="M68" s="408">
        <v>1200</v>
      </c>
      <c r="N68" s="408">
        <v>52.070999999999998</v>
      </c>
      <c r="O68" s="408">
        <v>52.070999999999998</v>
      </c>
      <c r="P68" s="408">
        <v>52.070999999999998</v>
      </c>
      <c r="Q68" s="408">
        <v>52.070999999999998</v>
      </c>
      <c r="R68" s="408">
        <v>67.099999999999994</v>
      </c>
      <c r="S68" s="408">
        <v>70.33</v>
      </c>
      <c r="T68" s="408">
        <v>173.82</v>
      </c>
      <c r="U68" s="408">
        <v>80520</v>
      </c>
      <c r="V68" s="408">
        <v>12713.13465</v>
      </c>
      <c r="W68" s="408">
        <v>93233.134650000007</v>
      </c>
      <c r="X68" s="408">
        <v>64211.927429999996</v>
      </c>
      <c r="Y68" s="408">
        <v>0</v>
      </c>
      <c r="Z68" s="408">
        <v>2770.1785803751695</v>
      </c>
      <c r="AA68" s="408">
        <v>0</v>
      </c>
      <c r="AB68" s="408">
        <v>0</v>
      </c>
      <c r="AC68" s="408">
        <v>898.10170336085525</v>
      </c>
      <c r="AD68" s="408">
        <v>13700.67976876248</v>
      </c>
      <c r="AE68" s="408">
        <v>57794.157302940846</v>
      </c>
      <c r="AF68" s="408">
        <v>8379.3765197782686</v>
      </c>
      <c r="AG68" s="408">
        <v>421.55980683030663</v>
      </c>
      <c r="AH68" s="408">
        <v>0</v>
      </c>
      <c r="AI68" s="408">
        <v>0</v>
      </c>
      <c r="AJ68" s="408">
        <v>0</v>
      </c>
      <c r="AK68" s="408">
        <v>0</v>
      </c>
      <c r="AL68" s="408">
        <v>492.14888245889142</v>
      </c>
      <c r="AM68" s="408"/>
      <c r="AN68" s="408">
        <v>64.710228492558713</v>
      </c>
      <c r="AO68" s="408">
        <v>1928.760364929756</v>
      </c>
      <c r="AP68" s="408">
        <v>6201.9566025339363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9.7161166315634322</v>
      </c>
      <c r="BF68" s="408">
        <v>250.23699741994366</v>
      </c>
      <c r="BG68" s="408">
        <v>325.35156833471979</v>
      </c>
      <c r="BH68" s="408">
        <v>0</v>
      </c>
      <c r="BI68" s="408">
        <v>0</v>
      </c>
      <c r="BJ68" s="408">
        <v>0</v>
      </c>
      <c r="BK68" s="408">
        <v>0</v>
      </c>
      <c r="BL68" s="408">
        <v>0</v>
      </c>
      <c r="BM68" s="408"/>
      <c r="BN68" s="408"/>
      <c r="BO68" s="408"/>
      <c r="BP68" s="408"/>
      <c r="BQ68" s="408"/>
      <c r="BR68" s="408"/>
      <c r="BS68" s="408"/>
      <c r="BT68" s="408"/>
      <c r="BU68" s="408"/>
      <c r="BV68" s="408">
        <v>8964.6812021644946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64211.663100000005</v>
      </c>
      <c r="CJ68" s="408">
        <v>-29021.501549999986</v>
      </c>
      <c r="CK68" s="408"/>
      <c r="CL68" s="408"/>
      <c r="CM68" s="408"/>
      <c r="CN68" s="408"/>
      <c r="CO68" s="408">
        <v>-30124.591709999993</v>
      </c>
      <c r="CP68" s="408">
        <v>1103.3844899999999</v>
      </c>
      <c r="CQ68" s="408">
        <v>31</v>
      </c>
      <c r="CR68" s="408">
        <v>1577.0716630165625</v>
      </c>
      <c r="CS68" s="408">
        <v>187.27044607078801</v>
      </c>
      <c r="CT68" s="408">
        <v>602.17080389378407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-262.69968301452172</v>
      </c>
      <c r="DA68" s="408">
        <v>0</v>
      </c>
      <c r="DB68" s="408">
        <v>0</v>
      </c>
      <c r="DC68" s="408">
        <v>1075.5855856212929</v>
      </c>
      <c r="DD68" s="408">
        <v>32.120684251237805</v>
      </c>
      <c r="DE68" s="408">
        <v>1.2471709526905403</v>
      </c>
      <c r="DF68" s="408">
        <v>0</v>
      </c>
      <c r="DG68" s="408">
        <v>41.762469598317068</v>
      </c>
      <c r="DH68" s="408">
        <v>0</v>
      </c>
      <c r="DI68" s="408">
        <v>-80.95986939416207</v>
      </c>
      <c r="DJ68" s="408"/>
      <c r="DK68" s="408">
        <v>0</v>
      </c>
      <c r="DL68" s="408">
        <v>0</v>
      </c>
      <c r="DM68" s="408">
        <v>-4.685482532918229</v>
      </c>
      <c r="DN68" s="408">
        <v>0</v>
      </c>
      <c r="DO68" s="408">
        <v>-12.74648606488779</v>
      </c>
      <c r="DP68" s="408">
        <v>-1.9939763650611297</v>
      </c>
      <c r="DQ68" s="408">
        <v>0</v>
      </c>
      <c r="DR68" s="408">
        <v>0</v>
      </c>
      <c r="DS68" s="408"/>
      <c r="DT68" s="408"/>
      <c r="DU68" s="408">
        <v>57794.157302940846</v>
      </c>
      <c r="DV68" s="408">
        <v>0</v>
      </c>
      <c r="DW68" s="408">
        <v>0</v>
      </c>
      <c r="DX68" s="408">
        <v>0</v>
      </c>
      <c r="DY68" s="408">
        <v>-30124.591710000008</v>
      </c>
      <c r="DZ68" s="408">
        <v>1103.3844900000004</v>
      </c>
      <c r="EA68" s="408">
        <v>0</v>
      </c>
      <c r="EB68" s="408">
        <v>0</v>
      </c>
      <c r="EC68" s="408">
        <v>-30598.942307270285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239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68</v>
      </c>
      <c r="B69" s="408" t="s">
        <v>1034</v>
      </c>
      <c r="C69" s="408" t="s">
        <v>2245</v>
      </c>
      <c r="D69" s="408" t="s">
        <v>596</v>
      </c>
      <c r="E69" s="408" t="s">
        <v>968</v>
      </c>
      <c r="F69" s="408" t="s">
        <v>1320</v>
      </c>
      <c r="G69" s="408" t="s">
        <v>1320</v>
      </c>
      <c r="H69" s="408" t="s">
        <v>1320</v>
      </c>
      <c r="I69" s="408" t="s">
        <v>2242</v>
      </c>
      <c r="J69" s="408" t="s">
        <v>2234</v>
      </c>
      <c r="K69" s="827">
        <v>44409</v>
      </c>
      <c r="L69" s="408">
        <v>1200</v>
      </c>
      <c r="M69" s="408">
        <v>1200</v>
      </c>
      <c r="N69" s="408">
        <v>513.28099999999995</v>
      </c>
      <c r="O69" s="408">
        <v>513.28099999999995</v>
      </c>
      <c r="P69" s="408">
        <v>513.28099999999995</v>
      </c>
      <c r="Q69" s="408">
        <v>513.28099999999995</v>
      </c>
      <c r="R69" s="408">
        <v>59.12</v>
      </c>
      <c r="S69" s="408">
        <v>70.33</v>
      </c>
      <c r="T69" s="408">
        <v>173.82</v>
      </c>
      <c r="U69" s="408">
        <v>70944</v>
      </c>
      <c r="V69" s="408">
        <v>125317.55614999999</v>
      </c>
      <c r="W69" s="408">
        <v>196261.55614999999</v>
      </c>
      <c r="X69" s="408">
        <v>176511.56672999996</v>
      </c>
      <c r="Y69" s="408">
        <v>0</v>
      </c>
      <c r="Z69" s="408">
        <v>27306.562806812759</v>
      </c>
      <c r="AA69" s="408">
        <v>0</v>
      </c>
      <c r="AB69" s="408">
        <v>0</v>
      </c>
      <c r="AC69" s="408">
        <v>686.4724360004185</v>
      </c>
      <c r="AD69" s="408">
        <v>6140.4271808585163</v>
      </c>
      <c r="AE69" s="408">
        <v>57794.157302940846</v>
      </c>
      <c r="AF69" s="408">
        <v>82598.274652845343</v>
      </c>
      <c r="AG69" s="408">
        <v>4155.4538843054024</v>
      </c>
      <c r="AH69" s="408">
        <v>0</v>
      </c>
      <c r="AI69" s="408">
        <v>0</v>
      </c>
      <c r="AJ69" s="408">
        <v>0</v>
      </c>
      <c r="AK69" s="408">
        <v>0</v>
      </c>
      <c r="AL69" s="408">
        <v>4851.2736559194609</v>
      </c>
      <c r="AM69" s="408"/>
      <c r="AN69" s="408">
        <v>637.87003881025953</v>
      </c>
      <c r="AO69" s="408">
        <v>1449.6865388280721</v>
      </c>
      <c r="AP69" s="408">
        <v>4873.1854368239283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95.774962277765155</v>
      </c>
      <c r="BF69" s="408">
        <v>2466.6685155404371</v>
      </c>
      <c r="BG69" s="408">
        <v>3207.0975849592537</v>
      </c>
      <c r="BH69" s="408">
        <v>0</v>
      </c>
      <c r="BI69" s="408">
        <v>0</v>
      </c>
      <c r="BJ69" s="408">
        <v>0</v>
      </c>
      <c r="BK69" s="408">
        <v>0</v>
      </c>
      <c r="BL69" s="408">
        <v>0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88367.815715622797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176511.30239999999</v>
      </c>
      <c r="CJ69" s="408">
        <v>-19750.283750000002</v>
      </c>
      <c r="CK69" s="408"/>
      <c r="CL69" s="408"/>
      <c r="CM69" s="408"/>
      <c r="CN69" s="408"/>
      <c r="CO69" s="408">
        <v>-30626.413809999998</v>
      </c>
      <c r="CP69" s="408">
        <v>10876.424389999998</v>
      </c>
      <c r="CQ69" s="408">
        <v>31</v>
      </c>
      <c r="CR69" s="408">
        <v>10849.622847066668</v>
      </c>
      <c r="CS69" s="408">
        <v>140.75540420960397</v>
      </c>
      <c r="CT69" s="408">
        <v>473.15551850471911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-117.73782769987247</v>
      </c>
      <c r="DA69" s="408">
        <v>0</v>
      </c>
      <c r="DB69" s="408">
        <v>0</v>
      </c>
      <c r="DC69" s="408">
        <v>10602.401432146144</v>
      </c>
      <c r="DD69" s="408">
        <v>316.62416571910626</v>
      </c>
      <c r="DE69" s="408">
        <v>12.293774918245347</v>
      </c>
      <c r="DF69" s="408">
        <v>0</v>
      </c>
      <c r="DG69" s="408">
        <v>411.66642003982588</v>
      </c>
      <c r="DH69" s="408">
        <v>0</v>
      </c>
      <c r="DI69" s="408">
        <v>-798.04810206265756</v>
      </c>
      <c r="DJ69" s="408"/>
      <c r="DK69" s="408">
        <v>0</v>
      </c>
      <c r="DL69" s="408">
        <v>0</v>
      </c>
      <c r="DM69" s="408">
        <v>-46.186344798041318</v>
      </c>
      <c r="DN69" s="408">
        <v>0</v>
      </c>
      <c r="DO69" s="408">
        <v>-125.64631203302633</v>
      </c>
      <c r="DP69" s="408">
        <v>-19.655281877339348</v>
      </c>
      <c r="DQ69" s="408">
        <v>0</v>
      </c>
      <c r="DR69" s="408">
        <v>0</v>
      </c>
      <c r="DS69" s="408"/>
      <c r="DT69" s="408"/>
      <c r="DU69" s="408">
        <v>57794.157302940846</v>
      </c>
      <c r="DV69" s="408">
        <v>0</v>
      </c>
      <c r="DW69" s="408">
        <v>0</v>
      </c>
      <c r="DX69" s="408">
        <v>0</v>
      </c>
      <c r="DY69" s="408">
        <v>-30626.413809999998</v>
      </c>
      <c r="DZ69" s="408">
        <v>10876.424389999986</v>
      </c>
      <c r="EA69" s="408">
        <v>0</v>
      </c>
      <c r="EB69" s="408">
        <v>0</v>
      </c>
      <c r="EC69" s="408">
        <v>-30598.942307270285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239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69</v>
      </c>
      <c r="B70" s="408" t="s">
        <v>1034</v>
      </c>
      <c r="C70" s="408" t="s">
        <v>2245</v>
      </c>
      <c r="D70" s="408" t="s">
        <v>596</v>
      </c>
      <c r="E70" s="408" t="s">
        <v>968</v>
      </c>
      <c r="F70" s="408" t="s">
        <v>1320</v>
      </c>
      <c r="G70" s="408" t="s">
        <v>1320</v>
      </c>
      <c r="H70" s="408" t="s">
        <v>1320</v>
      </c>
      <c r="I70" s="408" t="s">
        <v>1320</v>
      </c>
      <c r="J70" s="408" t="s">
        <v>2234</v>
      </c>
      <c r="K70" s="827">
        <v>44409</v>
      </c>
      <c r="L70" s="408">
        <v>0</v>
      </c>
      <c r="M70" s="408">
        <v>0</v>
      </c>
      <c r="N70" s="408">
        <v>0</v>
      </c>
      <c r="O70" s="408">
        <v>0</v>
      </c>
      <c r="P70" s="408">
        <v>0</v>
      </c>
      <c r="Q70" s="408">
        <v>0</v>
      </c>
      <c r="R70" s="408"/>
      <c r="S70" s="408"/>
      <c r="T70" s="408"/>
      <c r="U70" s="408"/>
      <c r="V70" s="408"/>
      <c r="W70" s="408"/>
      <c r="X70" s="408"/>
      <c r="Y70" s="408"/>
      <c r="Z70" s="408"/>
      <c r="AA70" s="408">
        <v>0</v>
      </c>
      <c r="AB70" s="408"/>
      <c r="AC70" s="408"/>
      <c r="AD70" s="408"/>
      <c r="AE70" s="408"/>
      <c r="AF70" s="408"/>
      <c r="AG70" s="408"/>
      <c r="AH70" s="408"/>
      <c r="AI70" s="408"/>
      <c r="AJ70" s="408"/>
      <c r="AK70" s="408"/>
      <c r="AL70" s="408"/>
      <c r="AM70" s="408"/>
      <c r="AN70" s="408"/>
      <c r="AO70" s="408"/>
      <c r="AP70" s="408"/>
      <c r="AQ70" s="408"/>
      <c r="AR70" s="408"/>
      <c r="AS70" s="408"/>
      <c r="AT70" s="408"/>
      <c r="AU70" s="408"/>
      <c r="AV70" s="408"/>
      <c r="AW70" s="408"/>
      <c r="AX70" s="408"/>
      <c r="AY70" s="408"/>
      <c r="AZ70" s="408">
        <v>0</v>
      </c>
      <c r="BA70" s="408"/>
      <c r="BB70" s="408"/>
      <c r="BC70" s="408"/>
      <c r="BD70" s="408"/>
      <c r="BE70" s="408"/>
      <c r="BF70" s="408"/>
      <c r="BG70" s="408"/>
      <c r="BH70" s="408"/>
      <c r="BI70" s="408">
        <v>0</v>
      </c>
      <c r="BJ70" s="408">
        <v>0</v>
      </c>
      <c r="BK70" s="408">
        <v>59451.13</v>
      </c>
      <c r="BL70" s="408">
        <v>1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/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/>
      <c r="CJ70" s="408">
        <v>-0.03</v>
      </c>
      <c r="CK70" s="408"/>
      <c r="CL70" s="408"/>
      <c r="CM70" s="408"/>
      <c r="CN70" s="408"/>
      <c r="CO70" s="408">
        <v>0</v>
      </c>
      <c r="CP70" s="408">
        <v>0</v>
      </c>
      <c r="CQ70" s="408">
        <v>31</v>
      </c>
      <c r="CR70" s="408"/>
      <c r="CS70" s="408"/>
      <c r="CT70" s="408"/>
      <c r="CU70" s="408"/>
      <c r="CV70" s="408"/>
      <c r="CW70" s="408"/>
      <c r="CX70" s="408"/>
      <c r="CY70" s="408"/>
      <c r="CZ70" s="408"/>
      <c r="DA70" s="408"/>
      <c r="DB70" s="408"/>
      <c r="DC70" s="408"/>
      <c r="DD70" s="408"/>
      <c r="DE70" s="408"/>
      <c r="DF70" s="408"/>
      <c r="DG70" s="408"/>
      <c r="DH70" s="408"/>
      <c r="DI70" s="408"/>
      <c r="DJ70" s="408"/>
      <c r="DK70" s="408">
        <v>0</v>
      </c>
      <c r="DL70" s="408"/>
      <c r="DM70" s="408"/>
      <c r="DN70" s="408"/>
      <c r="DO70" s="408"/>
      <c r="DP70" s="408"/>
      <c r="DQ70" s="408"/>
      <c r="DR70" s="408"/>
      <c r="DS70" s="408"/>
      <c r="DT70" s="408"/>
      <c r="DU70" s="408"/>
      <c r="DV70" s="408"/>
      <c r="DW70" s="408"/>
      <c r="DX70" s="408"/>
      <c r="DY70" s="408"/>
      <c r="DZ70" s="408"/>
      <c r="EA70" s="408"/>
      <c r="EB70" s="408"/>
      <c r="EC70" s="408"/>
      <c r="ED70" s="408"/>
      <c r="EE70" s="408"/>
      <c r="EF70" s="408"/>
      <c r="EG70" s="408"/>
      <c r="EH70" s="408"/>
      <c r="EI70" s="408"/>
      <c r="EJ70" s="408"/>
      <c r="EK70" s="408"/>
      <c r="EL70" s="408"/>
      <c r="EM70" s="408"/>
      <c r="EN70" s="408"/>
      <c r="EO70" s="408"/>
      <c r="EP70" s="408"/>
      <c r="EQ70" s="408"/>
      <c r="ER70" s="408"/>
      <c r="ES70" s="408"/>
      <c r="ET70" s="408"/>
      <c r="EU70" s="408"/>
      <c r="EV70" s="408">
        <v>239</v>
      </c>
      <c r="EW70" s="408"/>
      <c r="EX70" s="408"/>
      <c r="EY70" s="408"/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70</v>
      </c>
      <c r="B71" s="408" t="s">
        <v>1034</v>
      </c>
      <c r="C71" s="408" t="s">
        <v>2241</v>
      </c>
      <c r="D71" s="408" t="s">
        <v>596</v>
      </c>
      <c r="E71" s="408" t="s">
        <v>968</v>
      </c>
      <c r="F71" s="408" t="s">
        <v>1320</v>
      </c>
      <c r="G71" s="408" t="s">
        <v>1320</v>
      </c>
      <c r="H71" s="408" t="s">
        <v>1320</v>
      </c>
      <c r="I71" s="408" t="s">
        <v>971</v>
      </c>
      <c r="J71" s="408" t="s">
        <v>2234</v>
      </c>
      <c r="K71" s="827">
        <v>44409</v>
      </c>
      <c r="L71" s="408">
        <v>0</v>
      </c>
      <c r="M71" s="408">
        <v>0</v>
      </c>
      <c r="N71" s="408">
        <v>36.783999999999999</v>
      </c>
      <c r="O71" s="408">
        <v>36.783999999999999</v>
      </c>
      <c r="P71" s="408">
        <v>36.783999999999999</v>
      </c>
      <c r="Q71" s="408">
        <v>36.783999999999999</v>
      </c>
      <c r="R71" s="408"/>
      <c r="S71" s="408">
        <v>1684.16</v>
      </c>
      <c r="T71" s="408">
        <v>173.82</v>
      </c>
      <c r="U71" s="408"/>
      <c r="V71" s="408">
        <v>68343.936319999993</v>
      </c>
      <c r="W71" s="408">
        <v>68343.936319999993</v>
      </c>
      <c r="X71" s="408">
        <v>46916.520639999995</v>
      </c>
      <c r="Y71" s="408">
        <v>0</v>
      </c>
      <c r="Z71" s="408">
        <v>1956.909775124738</v>
      </c>
      <c r="AA71" s="408">
        <v>0</v>
      </c>
      <c r="AB71" s="408">
        <v>0</v>
      </c>
      <c r="AC71" s="408">
        <v>662.08992444050693</v>
      </c>
      <c r="AD71" s="408">
        <v>10100.368818958259</v>
      </c>
      <c r="AE71" s="408">
        <v>42606.629682951992</v>
      </c>
      <c r="AF71" s="408">
        <v>5919.3598337562917</v>
      </c>
      <c r="AG71" s="408">
        <v>297.79831258178257</v>
      </c>
      <c r="AH71" s="408">
        <v>0</v>
      </c>
      <c r="AI71" s="408">
        <v>0</v>
      </c>
      <c r="AJ71" s="408">
        <v>0</v>
      </c>
      <c r="AK71" s="408">
        <v>0</v>
      </c>
      <c r="AL71" s="408">
        <v>347.66385305386609</v>
      </c>
      <c r="AM71" s="408"/>
      <c r="AN71" s="408">
        <v>45.712604806327505</v>
      </c>
      <c r="AO71" s="408">
        <v>1421.9275872518726</v>
      </c>
      <c r="AP71" s="408">
        <v>4572.2023143866691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6.863659890830391</v>
      </c>
      <c r="BF71" s="408">
        <v>176.77243980517386</v>
      </c>
      <c r="BG71" s="408">
        <v>229.83488102061287</v>
      </c>
      <c r="BH71" s="408">
        <v>0</v>
      </c>
      <c r="BI71" s="408">
        <v>0</v>
      </c>
      <c r="BJ71" s="408">
        <v>0</v>
      </c>
      <c r="BK71" s="408">
        <v>0</v>
      </c>
      <c r="BL71" s="408">
        <v>0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6332.830814472909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46911.418799999999</v>
      </c>
      <c r="CJ71" s="408">
        <v>-21432.547519999993</v>
      </c>
      <c r="CK71" s="408"/>
      <c r="CL71" s="408"/>
      <c r="CM71" s="408"/>
      <c r="CN71" s="408"/>
      <c r="CO71" s="408">
        <v>-22206.868640000001</v>
      </c>
      <c r="CP71" s="408">
        <v>779.45295999999985</v>
      </c>
      <c r="CQ71" s="408">
        <v>31</v>
      </c>
      <c r="CR71" s="408">
        <v>1130.2998428463579</v>
      </c>
      <c r="CS71" s="408">
        <v>138.06018538477997</v>
      </c>
      <c r="CT71" s="408">
        <v>443.93195884250508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-193.66657215948362</v>
      </c>
      <c r="DA71" s="408">
        <v>0</v>
      </c>
      <c r="DB71" s="408">
        <v>0</v>
      </c>
      <c r="DC71" s="408">
        <v>759.81525573723502</v>
      </c>
      <c r="DD71" s="408">
        <v>22.690696347247638</v>
      </c>
      <c r="DE71" s="408">
        <v>0.8810266045163111</v>
      </c>
      <c r="DF71" s="408">
        <v>0</v>
      </c>
      <c r="DG71" s="408">
        <v>29.501847126125796</v>
      </c>
      <c r="DH71" s="408">
        <v>0</v>
      </c>
      <c r="DI71" s="408">
        <v>-57.191677436477903</v>
      </c>
      <c r="DJ71" s="408"/>
      <c r="DK71" s="408">
        <v>0</v>
      </c>
      <c r="DL71" s="408">
        <v>0</v>
      </c>
      <c r="DM71" s="408">
        <v>-3.3099189470312922</v>
      </c>
      <c r="DN71" s="408">
        <v>0</v>
      </c>
      <c r="DO71" s="408">
        <v>-9.0043737091822891</v>
      </c>
      <c r="DP71" s="408">
        <v>-1.4085849438729525</v>
      </c>
      <c r="DQ71" s="408">
        <v>0</v>
      </c>
      <c r="DR71" s="408">
        <v>0</v>
      </c>
      <c r="DS71" s="408"/>
      <c r="DT71" s="408"/>
      <c r="DU71" s="408"/>
      <c r="DV71" s="408">
        <v>42606.629682951992</v>
      </c>
      <c r="DW71" s="408">
        <v>0</v>
      </c>
      <c r="DX71" s="408">
        <v>0</v>
      </c>
      <c r="DY71" s="408">
        <v>-22206.868640000001</v>
      </c>
      <c r="DZ71" s="408">
        <v>779.45295999999962</v>
      </c>
      <c r="EA71" s="408">
        <v>0</v>
      </c>
      <c r="EB71" s="408">
        <v>0</v>
      </c>
      <c r="EC71" s="408">
        <v>-22557.951606459977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239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71</v>
      </c>
      <c r="B72" s="408" t="s">
        <v>1034</v>
      </c>
      <c r="C72" s="408" t="s">
        <v>2241</v>
      </c>
      <c r="D72" s="408" t="s">
        <v>596</v>
      </c>
      <c r="E72" s="408" t="s">
        <v>968</v>
      </c>
      <c r="F72" s="408" t="s">
        <v>1320</v>
      </c>
      <c r="G72" s="408" t="s">
        <v>1320</v>
      </c>
      <c r="H72" s="408" t="s">
        <v>1320</v>
      </c>
      <c r="I72" s="408" t="s">
        <v>2242</v>
      </c>
      <c r="J72" s="408" t="s">
        <v>2234</v>
      </c>
      <c r="K72" s="827">
        <v>44409</v>
      </c>
      <c r="L72" s="408">
        <v>0</v>
      </c>
      <c r="M72" s="408">
        <v>0</v>
      </c>
      <c r="N72" s="408">
        <v>771.21100000000001</v>
      </c>
      <c r="O72" s="408">
        <v>771.21100000000001</v>
      </c>
      <c r="P72" s="408">
        <v>771.21100000000001</v>
      </c>
      <c r="Q72" s="408">
        <v>771.21100000000001</v>
      </c>
      <c r="R72" s="408"/>
      <c r="S72" s="408">
        <v>70.33</v>
      </c>
      <c r="T72" s="408">
        <v>173.82</v>
      </c>
      <c r="U72" s="408"/>
      <c r="V72" s="408">
        <v>188291.16564999998</v>
      </c>
      <c r="W72" s="408">
        <v>188291.16564999998</v>
      </c>
      <c r="X72" s="408">
        <v>203854.20362999997</v>
      </c>
      <c r="Y72" s="408">
        <v>0</v>
      </c>
      <c r="Z72" s="408">
        <v>41028.445644403124</v>
      </c>
      <c r="AA72" s="408">
        <v>0</v>
      </c>
      <c r="AB72" s="408">
        <v>0</v>
      </c>
      <c r="AC72" s="408">
        <v>0</v>
      </c>
      <c r="AD72" s="408">
        <v>0</v>
      </c>
      <c r="AE72" s="408">
        <v>0</v>
      </c>
      <c r="AF72" s="408">
        <v>124104.92107304871</v>
      </c>
      <c r="AG72" s="408">
        <v>6243.6204448811741</v>
      </c>
      <c r="AH72" s="408">
        <v>0</v>
      </c>
      <c r="AI72" s="408">
        <v>0</v>
      </c>
      <c r="AJ72" s="408">
        <v>0</v>
      </c>
      <c r="AK72" s="408">
        <v>0</v>
      </c>
      <c r="AL72" s="408">
        <v>7289.0981888191918</v>
      </c>
      <c r="AM72" s="408"/>
      <c r="AN72" s="408">
        <v>958.40755940878216</v>
      </c>
      <c r="AO72" s="408">
        <v>0</v>
      </c>
      <c r="AP72" s="408">
        <v>0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143.90305589569368</v>
      </c>
      <c r="BF72" s="408">
        <v>3706.1997084218124</v>
      </c>
      <c r="BG72" s="408">
        <v>4818.7034696277697</v>
      </c>
      <c r="BH72" s="408">
        <v>0</v>
      </c>
      <c r="BI72" s="408">
        <v>0</v>
      </c>
      <c r="BJ72" s="408">
        <v>0</v>
      </c>
      <c r="BK72" s="408">
        <v>0</v>
      </c>
      <c r="BL72" s="408">
        <v>0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132773.72730699397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203853.93929999997</v>
      </c>
      <c r="CJ72" s="408">
        <v>15562.74364999996</v>
      </c>
      <c r="CK72" s="408"/>
      <c r="CL72" s="408"/>
      <c r="CM72" s="408"/>
      <c r="CN72" s="408"/>
      <c r="CO72" s="408">
        <v>-778.92311000000393</v>
      </c>
      <c r="CP72" s="408">
        <v>16341.961089999999</v>
      </c>
      <c r="CQ72" s="408">
        <v>31</v>
      </c>
      <c r="CR72" s="408">
        <v>15556.185280051257</v>
      </c>
      <c r="CS72" s="408">
        <v>0</v>
      </c>
      <c r="CT72" s="408">
        <v>0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0</v>
      </c>
      <c r="DA72" s="408">
        <v>0</v>
      </c>
      <c r="DB72" s="408">
        <v>0</v>
      </c>
      <c r="DC72" s="408">
        <v>15930.238233807337</v>
      </c>
      <c r="DD72" s="408">
        <v>475.73169368902791</v>
      </c>
      <c r="DE72" s="408">
        <v>18.471547648315294</v>
      </c>
      <c r="DF72" s="408">
        <v>0</v>
      </c>
      <c r="DG72" s="408">
        <v>618.53384688958795</v>
      </c>
      <c r="DH72" s="408">
        <v>0</v>
      </c>
      <c r="DI72" s="408">
        <v>-1199.0770646874662</v>
      </c>
      <c r="DJ72" s="408"/>
      <c r="DK72" s="408">
        <v>0</v>
      </c>
      <c r="DL72" s="408">
        <v>0</v>
      </c>
      <c r="DM72" s="408">
        <v>-69.395549724306875</v>
      </c>
      <c r="DN72" s="408">
        <v>0</v>
      </c>
      <c r="DO72" s="408">
        <v>-188.78512539778785</v>
      </c>
      <c r="DP72" s="408">
        <v>-29.53230217347766</v>
      </c>
      <c r="DQ72" s="408">
        <v>0</v>
      </c>
      <c r="DR72" s="408">
        <v>0</v>
      </c>
      <c r="DS72" s="408"/>
      <c r="DT72" s="408"/>
      <c r="DU72" s="408"/>
      <c r="DV72" s="408">
        <v>0</v>
      </c>
      <c r="DW72" s="408">
        <v>0</v>
      </c>
      <c r="DX72" s="408">
        <v>0</v>
      </c>
      <c r="DY72" s="408">
        <v>-778.92311000000336</v>
      </c>
      <c r="DZ72" s="408">
        <v>16341.961089999997</v>
      </c>
      <c r="EA72" s="408">
        <v>0</v>
      </c>
      <c r="EB72" s="408">
        <v>0</v>
      </c>
      <c r="EC72" s="408">
        <v>0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239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72</v>
      </c>
      <c r="B73" s="408" t="s">
        <v>1034</v>
      </c>
      <c r="C73" s="408" t="s">
        <v>2241</v>
      </c>
      <c r="D73" s="408" t="s">
        <v>596</v>
      </c>
      <c r="E73" s="408" t="s">
        <v>968</v>
      </c>
      <c r="F73" s="408" t="s">
        <v>1320</v>
      </c>
      <c r="G73" s="408" t="s">
        <v>1320</v>
      </c>
      <c r="H73" s="408" t="s">
        <v>1320</v>
      </c>
      <c r="I73" s="408" t="s">
        <v>1320</v>
      </c>
      <c r="J73" s="408" t="s">
        <v>2234</v>
      </c>
      <c r="K73" s="827">
        <v>44409</v>
      </c>
      <c r="L73" s="408">
        <v>4964</v>
      </c>
      <c r="M73" s="408">
        <v>4964</v>
      </c>
      <c r="N73" s="408">
        <v>0</v>
      </c>
      <c r="O73" s="408">
        <v>0</v>
      </c>
      <c r="P73" s="408">
        <v>0</v>
      </c>
      <c r="Q73" s="408">
        <v>0</v>
      </c>
      <c r="R73" s="408">
        <v>59.12</v>
      </c>
      <c r="S73" s="408"/>
      <c r="T73" s="408"/>
      <c r="U73" s="408">
        <v>293471.68</v>
      </c>
      <c r="V73" s="408"/>
      <c r="W73" s="408">
        <v>293471.68</v>
      </c>
      <c r="X73" s="408">
        <v>168924.92</v>
      </c>
      <c r="Y73" s="408">
        <v>0</v>
      </c>
      <c r="Z73" s="408">
        <v>0</v>
      </c>
      <c r="AA73" s="408">
        <v>0</v>
      </c>
      <c r="AB73" s="408">
        <v>0</v>
      </c>
      <c r="AC73" s="408">
        <v>2839.7076435883978</v>
      </c>
      <c r="AD73" s="408">
        <v>25400.900438151395</v>
      </c>
      <c r="AE73" s="408">
        <v>239075.16404316528</v>
      </c>
      <c r="AF73" s="408"/>
      <c r="AG73" s="408"/>
      <c r="AH73" s="408"/>
      <c r="AI73" s="408">
        <v>0</v>
      </c>
      <c r="AJ73" s="408">
        <v>0</v>
      </c>
      <c r="AK73" s="408">
        <v>0</v>
      </c>
      <c r="AL73" s="408">
        <v>0</v>
      </c>
      <c r="AM73" s="408"/>
      <c r="AN73" s="408">
        <v>0</v>
      </c>
      <c r="AO73" s="408">
        <v>5996.8699822854578</v>
      </c>
      <c r="AP73" s="408">
        <v>20158.743756994983</v>
      </c>
      <c r="AQ73" s="408">
        <v>0</v>
      </c>
      <c r="AR73" s="408">
        <v>0</v>
      </c>
      <c r="AS73" s="408"/>
      <c r="AT73" s="408"/>
      <c r="AU73" s="408">
        <v>0</v>
      </c>
      <c r="AV73" s="408">
        <v>0</v>
      </c>
      <c r="AW73" s="408">
        <v>0</v>
      </c>
      <c r="AX73" s="408"/>
      <c r="AY73" s="408"/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/>
      <c r="BG73" s="408">
        <v>0</v>
      </c>
      <c r="BH73" s="408">
        <v>0</v>
      </c>
      <c r="BI73" s="408">
        <v>0</v>
      </c>
      <c r="BJ73" s="408">
        <v>0</v>
      </c>
      <c r="BK73" s="408">
        <v>108441.98</v>
      </c>
      <c r="BL73" s="408">
        <v>26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0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168924.92</v>
      </c>
      <c r="CJ73" s="408">
        <v>-124546.79000000001</v>
      </c>
      <c r="CK73" s="408"/>
      <c r="CL73" s="408"/>
      <c r="CM73" s="408"/>
      <c r="CN73" s="408"/>
      <c r="CO73" s="408">
        <v>-124546.75999999998</v>
      </c>
      <c r="CP73" s="408">
        <v>0</v>
      </c>
      <c r="CQ73" s="408">
        <v>31</v>
      </c>
      <c r="CR73" s="408">
        <v>2052.5027030431083</v>
      </c>
      <c r="CS73" s="408">
        <v>582.25818874706147</v>
      </c>
      <c r="CT73" s="408">
        <v>1957.2866615478561</v>
      </c>
      <c r="CU73" s="408">
        <v>0</v>
      </c>
      <c r="CV73" s="408">
        <v>0</v>
      </c>
      <c r="CW73" s="408"/>
      <c r="CX73" s="408"/>
      <c r="CY73" s="408"/>
      <c r="CZ73" s="408">
        <v>-487.04214725180645</v>
      </c>
      <c r="DA73" s="408">
        <v>0</v>
      </c>
      <c r="DB73" s="408">
        <v>0</v>
      </c>
      <c r="DC73" s="408"/>
      <c r="DD73" s="408"/>
      <c r="DE73" s="408">
        <v>0</v>
      </c>
      <c r="DF73" s="408">
        <v>0</v>
      </c>
      <c r="DG73" s="408">
        <v>0</v>
      </c>
      <c r="DH73" s="408">
        <v>0</v>
      </c>
      <c r="DI73" s="408">
        <v>0</v>
      </c>
      <c r="DJ73" s="408"/>
      <c r="DK73" s="408">
        <v>0</v>
      </c>
      <c r="DL73" s="408">
        <v>0</v>
      </c>
      <c r="DM73" s="408"/>
      <c r="DN73" s="408">
        <v>0</v>
      </c>
      <c r="DO73" s="408">
        <v>0</v>
      </c>
      <c r="DP73" s="408">
        <v>0</v>
      </c>
      <c r="DQ73" s="408">
        <v>0</v>
      </c>
      <c r="DR73" s="408">
        <v>0</v>
      </c>
      <c r="DS73" s="408"/>
      <c r="DT73" s="408"/>
      <c r="DU73" s="408">
        <v>239075.16404316528</v>
      </c>
      <c r="DV73" s="408"/>
      <c r="DW73" s="408">
        <v>0</v>
      </c>
      <c r="DX73" s="408">
        <v>0</v>
      </c>
      <c r="DY73" s="408">
        <v>-124546.75999999998</v>
      </c>
      <c r="DZ73" s="408"/>
      <c r="EA73" s="408">
        <v>0</v>
      </c>
      <c r="EB73" s="408"/>
      <c r="EC73" s="408">
        <v>-126577.62467774139</v>
      </c>
      <c r="ED73" s="408"/>
      <c r="EE73" s="408">
        <v>0</v>
      </c>
      <c r="EF73" s="408">
        <v>0</v>
      </c>
      <c r="EG73" s="408"/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/>
      <c r="EN73" s="408"/>
      <c r="EO73" s="408">
        <v>0</v>
      </c>
      <c r="EP73" s="408">
        <v>0</v>
      </c>
      <c r="EQ73" s="408"/>
      <c r="ER73" s="408">
        <v>0</v>
      </c>
      <c r="ES73" s="408"/>
      <c r="ET73" s="408">
        <v>0</v>
      </c>
      <c r="EU73" s="408"/>
      <c r="EV73" s="408">
        <v>239</v>
      </c>
      <c r="EW73" s="408"/>
      <c r="EX73" s="408"/>
      <c r="EY73" s="408"/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73</v>
      </c>
      <c r="B74" s="408" t="s">
        <v>1034</v>
      </c>
      <c r="C74" s="408" t="s">
        <v>2233</v>
      </c>
      <c r="D74" s="408" t="s">
        <v>1956</v>
      </c>
      <c r="E74" s="408" t="s">
        <v>996</v>
      </c>
      <c r="F74" s="408" t="s">
        <v>1320</v>
      </c>
      <c r="G74" s="408" t="s">
        <v>1320</v>
      </c>
      <c r="H74" s="408" t="s">
        <v>1320</v>
      </c>
      <c r="I74" s="408" t="s">
        <v>1320</v>
      </c>
      <c r="J74" s="408" t="s">
        <v>2234</v>
      </c>
      <c r="K74" s="827">
        <v>44409</v>
      </c>
      <c r="L74" s="408">
        <v>0</v>
      </c>
      <c r="M74" s="408">
        <v>0</v>
      </c>
      <c r="N74" s="408">
        <v>368.06900000000002</v>
      </c>
      <c r="O74" s="408">
        <v>368.06900000000002</v>
      </c>
      <c r="P74" s="408">
        <v>368.06900000000002</v>
      </c>
      <c r="Q74" s="408">
        <v>368.06900000000002</v>
      </c>
      <c r="R74" s="408"/>
      <c r="S74" s="408">
        <v>516.83000000000004</v>
      </c>
      <c r="T74" s="408">
        <v>173.82</v>
      </c>
      <c r="U74" s="408"/>
      <c r="V74" s="408">
        <v>254206.85485</v>
      </c>
      <c r="W74" s="408">
        <v>254206.85485</v>
      </c>
      <c r="X74" s="408">
        <v>191929.58004999999</v>
      </c>
      <c r="Y74" s="408">
        <v>0</v>
      </c>
      <c r="Z74" s="408">
        <v>22507.219031400025</v>
      </c>
      <c r="AA74" s="408">
        <v>0</v>
      </c>
      <c r="AB74" s="408">
        <v>0</v>
      </c>
      <c r="AC74" s="408">
        <v>1000.5749916489042</v>
      </c>
      <c r="AD74" s="408">
        <v>12671.368476315311</v>
      </c>
      <c r="AE74" s="408">
        <v>133835.70211121175</v>
      </c>
      <c r="AF74" s="408">
        <v>59230.449506601908</v>
      </c>
      <c r="AG74" s="408">
        <v>2979.8370789926089</v>
      </c>
      <c r="AH74" s="408">
        <v>0</v>
      </c>
      <c r="AI74" s="408">
        <v>0</v>
      </c>
      <c r="AJ74" s="408">
        <v>0</v>
      </c>
      <c r="AK74" s="408">
        <v>0</v>
      </c>
      <c r="AL74" s="408">
        <v>3478.8029232732561</v>
      </c>
      <c r="AM74" s="408"/>
      <c r="AN74" s="408">
        <v>571.07450314095058</v>
      </c>
      <c r="AO74" s="408">
        <v>2134.2494874826025</v>
      </c>
      <c r="AP74" s="408">
        <v>6989.3784961858364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204.20932514575162</v>
      </c>
      <c r="BF74" s="408">
        <v>1768.8249006810174</v>
      </c>
      <c r="BG74" s="408">
        <v>6838.1048441628418</v>
      </c>
      <c r="BH74" s="408">
        <v>0</v>
      </c>
      <c r="BI74" s="408">
        <v>0</v>
      </c>
      <c r="BJ74" s="408">
        <v>0</v>
      </c>
      <c r="BK74" s="408">
        <v>100682.1</v>
      </c>
      <c r="BL74" s="408">
        <v>531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68041.588576591515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191930.10149999999</v>
      </c>
      <c r="CJ74" s="408">
        <v>-62276.783350000042</v>
      </c>
      <c r="CK74" s="408"/>
      <c r="CL74" s="408"/>
      <c r="CM74" s="408"/>
      <c r="CN74" s="408"/>
      <c r="CO74" s="408">
        <v>-70076.65691000002</v>
      </c>
      <c r="CP74" s="408">
        <v>7799.3821099999996</v>
      </c>
      <c r="CQ74" s="408">
        <v>31</v>
      </c>
      <c r="CR74" s="408">
        <v>8578.1715828069573</v>
      </c>
      <c r="CS74" s="408">
        <v>207.22214164836578</v>
      </c>
      <c r="CT74" s="408">
        <v>678.62449505795121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-242.96345424250467</v>
      </c>
      <c r="DA74" s="408">
        <v>0</v>
      </c>
      <c r="DB74" s="408">
        <v>0</v>
      </c>
      <c r="DC74" s="408">
        <v>7602.8828121995539</v>
      </c>
      <c r="DD74" s="408">
        <v>227.04822514775674</v>
      </c>
      <c r="DE74" s="408">
        <v>26.212523814602889</v>
      </c>
      <c r="DF74" s="408">
        <v>0</v>
      </c>
      <c r="DG74" s="408">
        <v>877.74633184081176</v>
      </c>
      <c r="DH74" s="408">
        <v>0</v>
      </c>
      <c r="DI74" s="408">
        <v>-657.78485405844185</v>
      </c>
      <c r="DJ74" s="408"/>
      <c r="DK74" s="408">
        <v>0</v>
      </c>
      <c r="DL74" s="408">
        <v>0</v>
      </c>
      <c r="DM74" s="408">
        <v>-33.119795479416098</v>
      </c>
      <c r="DN74" s="408">
        <v>0</v>
      </c>
      <c r="DO74" s="408">
        <v>-90.099794116056728</v>
      </c>
      <c r="DP74" s="408">
        <v>-17.597049005674307</v>
      </c>
      <c r="DQ74" s="408">
        <v>0</v>
      </c>
      <c r="DR74" s="408">
        <v>0</v>
      </c>
      <c r="DS74" s="408"/>
      <c r="DT74" s="408"/>
      <c r="DU74" s="408"/>
      <c r="DV74" s="408">
        <v>133835.70211121175</v>
      </c>
      <c r="DW74" s="408">
        <v>0</v>
      </c>
      <c r="DX74" s="408">
        <v>0</v>
      </c>
      <c r="DY74" s="408">
        <v>-70076.656910000005</v>
      </c>
      <c r="DZ74" s="408">
        <v>7799.3821099999986</v>
      </c>
      <c r="EA74" s="408">
        <v>0</v>
      </c>
      <c r="EB74" s="408">
        <v>0</v>
      </c>
      <c r="EC74" s="408">
        <v>-70858.9089047171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239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74</v>
      </c>
      <c r="B75" s="408" t="s">
        <v>2235</v>
      </c>
      <c r="C75" s="408" t="s">
        <v>2233</v>
      </c>
      <c r="D75" s="408" t="s">
        <v>1956</v>
      </c>
      <c r="E75" s="408" t="s">
        <v>996</v>
      </c>
      <c r="F75" s="408" t="s">
        <v>1320</v>
      </c>
      <c r="G75" s="408" t="s">
        <v>1320</v>
      </c>
      <c r="H75" s="408" t="s">
        <v>1320</v>
      </c>
      <c r="I75" s="408" t="s">
        <v>1320</v>
      </c>
      <c r="J75" s="408" t="s">
        <v>2234</v>
      </c>
      <c r="K75" s="827">
        <v>44409</v>
      </c>
      <c r="L75" s="408">
        <v>0</v>
      </c>
      <c r="M75" s="408">
        <v>0</v>
      </c>
      <c r="N75" s="408">
        <v>-0.93300000000000005</v>
      </c>
      <c r="O75" s="408">
        <v>-0.93300000000000005</v>
      </c>
      <c r="P75" s="408">
        <v>-0.93300000000000005</v>
      </c>
      <c r="Q75" s="408">
        <v>-0.93300000000000005</v>
      </c>
      <c r="R75" s="408"/>
      <c r="S75" s="408">
        <v>516.83000000000004</v>
      </c>
      <c r="T75" s="408">
        <v>173.82</v>
      </c>
      <c r="U75" s="408"/>
      <c r="V75" s="408">
        <v>-644.37644999999998</v>
      </c>
      <c r="W75" s="408">
        <v>-644.37644999999998</v>
      </c>
      <c r="X75" s="408">
        <v>-486.51285000000007</v>
      </c>
      <c r="Y75" s="408">
        <v>0</v>
      </c>
      <c r="Z75" s="408">
        <v>-57.052442222236117</v>
      </c>
      <c r="AA75" s="408">
        <v>0</v>
      </c>
      <c r="AB75" s="408">
        <v>0</v>
      </c>
      <c r="AC75" s="408">
        <v>-2.5363083204736818</v>
      </c>
      <c r="AD75" s="408">
        <v>-32.120028550087575</v>
      </c>
      <c r="AE75" s="408">
        <v>-339.2535368905302</v>
      </c>
      <c r="AF75" s="408">
        <v>-150.14035246016257</v>
      </c>
      <c r="AG75" s="408">
        <v>-7.553442410798259</v>
      </c>
      <c r="AH75" s="408">
        <v>0</v>
      </c>
      <c r="AI75" s="408">
        <v>0</v>
      </c>
      <c r="AJ75" s="408">
        <v>0</v>
      </c>
      <c r="AK75" s="408">
        <v>0</v>
      </c>
      <c r="AL75" s="408">
        <v>-8.8182463815587511</v>
      </c>
      <c r="AM75" s="408"/>
      <c r="AN75" s="408">
        <v>-1.4475886625347607</v>
      </c>
      <c r="AO75" s="408">
        <v>-5.4100040259333655</v>
      </c>
      <c r="AP75" s="408">
        <v>-17.717031689551106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-0.51764017170961496</v>
      </c>
      <c r="BF75" s="408">
        <v>-4.4837072188513272</v>
      </c>
      <c r="BG75" s="408">
        <v>-17.33357555133394</v>
      </c>
      <c r="BH75" s="408">
        <v>0</v>
      </c>
      <c r="BI75" s="408">
        <v>0</v>
      </c>
      <c r="BJ75" s="408">
        <v>0</v>
      </c>
      <c r="BK75" s="408">
        <v>-269.16000000000003</v>
      </c>
      <c r="BL75" s="408">
        <v>0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-172.47527540205746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-484.94849999999997</v>
      </c>
      <c r="CJ75" s="408">
        <v>159.39795000000004</v>
      </c>
      <c r="CK75" s="408"/>
      <c r="CL75" s="408"/>
      <c r="CM75" s="408"/>
      <c r="CN75" s="408"/>
      <c r="CO75" s="408">
        <v>177.63387000000006</v>
      </c>
      <c r="CP75" s="408">
        <v>-19.77027</v>
      </c>
      <c r="CQ75" s="408">
        <v>31</v>
      </c>
      <c r="CR75" s="408">
        <v>-21.744385120069637</v>
      </c>
      <c r="CS75" s="408">
        <v>-0.52527721203884514</v>
      </c>
      <c r="CT75" s="408">
        <v>-1.7202118458470217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0.61587610694803629</v>
      </c>
      <c r="DA75" s="408">
        <v>0</v>
      </c>
      <c r="DB75" s="408">
        <v>0</v>
      </c>
      <c r="DC75" s="408">
        <v>-19.272173597293431</v>
      </c>
      <c r="DD75" s="408">
        <v>-0.57553337570634078</v>
      </c>
      <c r="DE75" s="408">
        <v>-6.6444837025189551E-2</v>
      </c>
      <c r="DF75" s="408">
        <v>0</v>
      </c>
      <c r="DG75" s="408">
        <v>-2.2249559935976038</v>
      </c>
      <c r="DH75" s="408">
        <v>0</v>
      </c>
      <c r="DI75" s="408">
        <v>1.6673864651370423</v>
      </c>
      <c r="DJ75" s="408"/>
      <c r="DK75" s="408">
        <v>0</v>
      </c>
      <c r="DL75" s="408">
        <v>0</v>
      </c>
      <c r="DM75" s="408">
        <v>8.3953740147351574E-2</v>
      </c>
      <c r="DN75" s="408">
        <v>0</v>
      </c>
      <c r="DO75" s="408">
        <v>0.22838953541396023</v>
      </c>
      <c r="DP75" s="408">
        <v>4.4605893792452056E-2</v>
      </c>
      <c r="DQ75" s="408">
        <v>0</v>
      </c>
      <c r="DR75" s="408">
        <v>0</v>
      </c>
      <c r="DS75" s="408"/>
      <c r="DT75" s="408"/>
      <c r="DU75" s="408"/>
      <c r="DV75" s="408">
        <v>-339.2535368905302</v>
      </c>
      <c r="DW75" s="408">
        <v>0</v>
      </c>
      <c r="DX75" s="408">
        <v>0</v>
      </c>
      <c r="DY75" s="408">
        <v>177.63387</v>
      </c>
      <c r="DZ75" s="408">
        <v>-19.770270000000011</v>
      </c>
      <c r="EA75" s="408">
        <v>0</v>
      </c>
      <c r="EB75" s="408">
        <v>0</v>
      </c>
      <c r="EC75" s="408">
        <v>179.61676209651193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239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75</v>
      </c>
      <c r="B76" s="408" t="s">
        <v>2236</v>
      </c>
      <c r="C76" s="408" t="s">
        <v>2233</v>
      </c>
      <c r="D76" s="408" t="s">
        <v>1956</v>
      </c>
      <c r="E76" s="408" t="s">
        <v>996</v>
      </c>
      <c r="F76" s="408" t="s">
        <v>1320</v>
      </c>
      <c r="G76" s="408" t="s">
        <v>1320</v>
      </c>
      <c r="H76" s="408" t="s">
        <v>1320</v>
      </c>
      <c r="I76" s="408" t="s">
        <v>1320</v>
      </c>
      <c r="J76" s="408" t="s">
        <v>2234</v>
      </c>
      <c r="K76" s="827">
        <v>44409</v>
      </c>
      <c r="L76" s="408">
        <v>0</v>
      </c>
      <c r="M76" s="408">
        <v>0</v>
      </c>
      <c r="N76" s="408">
        <v>30.048999999999999</v>
      </c>
      <c r="O76" s="408">
        <v>30.048999999999999</v>
      </c>
      <c r="P76" s="408">
        <v>30.048999999999999</v>
      </c>
      <c r="Q76" s="408">
        <v>30.048999999999999</v>
      </c>
      <c r="R76" s="408"/>
      <c r="S76" s="408">
        <v>516.83000000000004</v>
      </c>
      <c r="T76" s="408">
        <v>173.82</v>
      </c>
      <c r="U76" s="408"/>
      <c r="V76" s="408">
        <v>20753.341850000001</v>
      </c>
      <c r="W76" s="408">
        <v>20753.341850000001</v>
      </c>
      <c r="X76" s="408">
        <v>15669.05105</v>
      </c>
      <c r="Y76" s="408">
        <v>0</v>
      </c>
      <c r="Z76" s="408">
        <v>1837.4799960728542</v>
      </c>
      <c r="AA76" s="408">
        <v>0</v>
      </c>
      <c r="AB76" s="408">
        <v>0</v>
      </c>
      <c r="AC76" s="408">
        <v>81.686525961322261</v>
      </c>
      <c r="AD76" s="408">
        <v>1034.4852496265612</v>
      </c>
      <c r="AE76" s="408">
        <v>10926.291028964139</v>
      </c>
      <c r="AF76" s="408">
        <v>4835.5492508847001</v>
      </c>
      <c r="AG76" s="408">
        <v>243.27265916621315</v>
      </c>
      <c r="AH76" s="408">
        <v>0</v>
      </c>
      <c r="AI76" s="408">
        <v>0</v>
      </c>
      <c r="AJ76" s="408">
        <v>0</v>
      </c>
      <c r="AK76" s="408">
        <v>0</v>
      </c>
      <c r="AL76" s="408">
        <v>284.00802306480051</v>
      </c>
      <c r="AM76" s="408"/>
      <c r="AN76" s="408">
        <v>46.622284802258335</v>
      </c>
      <c r="AO76" s="408">
        <v>174.23924005924084</v>
      </c>
      <c r="AP76" s="408">
        <v>570.60995202499578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16.671564329798734</v>
      </c>
      <c r="BF76" s="408">
        <v>144.40612885237249</v>
      </c>
      <c r="BG76" s="408">
        <v>558.26003402147217</v>
      </c>
      <c r="BH76" s="408">
        <v>0</v>
      </c>
      <c r="BI76" s="408">
        <v>0</v>
      </c>
      <c r="BJ76" s="408">
        <v>0</v>
      </c>
      <c r="BK76" s="408">
        <v>12334.69</v>
      </c>
      <c r="BL76" s="408">
        <v>34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5554.8869780883433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15669.572500000002</v>
      </c>
      <c r="CJ76" s="408">
        <v>-5083.7993499999975</v>
      </c>
      <c r="CK76" s="408"/>
      <c r="CL76" s="408"/>
      <c r="CM76" s="408"/>
      <c r="CN76" s="408"/>
      <c r="CO76" s="408">
        <v>-5721.0291100000013</v>
      </c>
      <c r="CP76" s="408">
        <v>636.73830999999996</v>
      </c>
      <c r="CQ76" s="408">
        <v>31</v>
      </c>
      <c r="CR76" s="408">
        <v>700.31835849192976</v>
      </c>
      <c r="CS76" s="408">
        <v>16.917529415386099</v>
      </c>
      <c r="CT76" s="408">
        <v>55.402621388914554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-19.835435302981409</v>
      </c>
      <c r="DA76" s="408">
        <v>0</v>
      </c>
      <c r="DB76" s="408">
        <v>0</v>
      </c>
      <c r="DC76" s="408">
        <v>620.69618909439396</v>
      </c>
      <c r="DD76" s="408">
        <v>18.536122622293504</v>
      </c>
      <c r="DE76" s="408">
        <v>2.1399795367308876</v>
      </c>
      <c r="DF76" s="408">
        <v>0</v>
      </c>
      <c r="DG76" s="408">
        <v>71.658845285760322</v>
      </c>
      <c r="DH76" s="408">
        <v>0</v>
      </c>
      <c r="DI76" s="408">
        <v>-53.7012817694565</v>
      </c>
      <c r="DJ76" s="408"/>
      <c r="DK76" s="408">
        <v>0</v>
      </c>
      <c r="DL76" s="408">
        <v>0</v>
      </c>
      <c r="DM76" s="408">
        <v>-2.7038863212087563</v>
      </c>
      <c r="DN76" s="408">
        <v>0</v>
      </c>
      <c r="DO76" s="408">
        <v>-7.3557096995220377</v>
      </c>
      <c r="DP76" s="408">
        <v>-1.436615758380924</v>
      </c>
      <c r="DQ76" s="408">
        <v>0</v>
      </c>
      <c r="DR76" s="408">
        <v>0</v>
      </c>
      <c r="DS76" s="408"/>
      <c r="DT76" s="408"/>
      <c r="DU76" s="408"/>
      <c r="DV76" s="408">
        <v>10926.291028964139</v>
      </c>
      <c r="DW76" s="408">
        <v>0</v>
      </c>
      <c r="DX76" s="408">
        <v>0</v>
      </c>
      <c r="DY76" s="408">
        <v>-5721.0291100000013</v>
      </c>
      <c r="DZ76" s="408">
        <v>636.73831000000064</v>
      </c>
      <c r="EA76" s="408">
        <v>0</v>
      </c>
      <c r="EB76" s="408">
        <v>0</v>
      </c>
      <c r="EC76" s="408">
        <v>-5784.8918373398574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239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76</v>
      </c>
      <c r="B77" s="408" t="s">
        <v>1034</v>
      </c>
      <c r="C77" s="408" t="s">
        <v>2241</v>
      </c>
      <c r="D77" s="408" t="s">
        <v>596</v>
      </c>
      <c r="E77" s="408" t="s">
        <v>996</v>
      </c>
      <c r="F77" s="408" t="s">
        <v>1320</v>
      </c>
      <c r="G77" s="408" t="s">
        <v>1320</v>
      </c>
      <c r="H77" s="408" t="s">
        <v>1320</v>
      </c>
      <c r="I77" s="408" t="s">
        <v>971</v>
      </c>
      <c r="J77" s="408" t="s">
        <v>2234</v>
      </c>
      <c r="K77" s="827">
        <v>44409</v>
      </c>
      <c r="L77" s="408">
        <v>0</v>
      </c>
      <c r="M77" s="408">
        <v>0</v>
      </c>
      <c r="N77" s="408">
        <v>18.952999999999999</v>
      </c>
      <c r="O77" s="408">
        <v>18.952999999999999</v>
      </c>
      <c r="P77" s="408">
        <v>18.952999999999999</v>
      </c>
      <c r="Q77" s="408">
        <v>18.952999999999999</v>
      </c>
      <c r="R77" s="408"/>
      <c r="S77" s="408">
        <v>1684.16</v>
      </c>
      <c r="T77" s="408">
        <v>173.82</v>
      </c>
      <c r="U77" s="408"/>
      <c r="V77" s="408">
        <v>35214.29494</v>
      </c>
      <c r="W77" s="408">
        <v>35214.29494</v>
      </c>
      <c r="X77" s="408">
        <v>24173.793379999999</v>
      </c>
      <c r="Y77" s="408">
        <v>0</v>
      </c>
      <c r="Z77" s="408">
        <v>1008.3001024341877</v>
      </c>
      <c r="AA77" s="408">
        <v>0</v>
      </c>
      <c r="AB77" s="408">
        <v>0</v>
      </c>
      <c r="AC77" s="408">
        <v>341.14262554156505</v>
      </c>
      <c r="AD77" s="408">
        <v>5204.2271157491268</v>
      </c>
      <c r="AE77" s="408">
        <v>21953.116909009055</v>
      </c>
      <c r="AF77" s="408">
        <v>3049.957234916893</v>
      </c>
      <c r="AG77" s="408">
        <v>153.44093677584073</v>
      </c>
      <c r="AH77" s="408">
        <v>0</v>
      </c>
      <c r="AI77" s="408">
        <v>0</v>
      </c>
      <c r="AJ77" s="408">
        <v>0</v>
      </c>
      <c r="AK77" s="408">
        <v>0</v>
      </c>
      <c r="AL77" s="408">
        <v>179.13421615185743</v>
      </c>
      <c r="AM77" s="408"/>
      <c r="AN77" s="408">
        <v>23.553474306609537</v>
      </c>
      <c r="AO77" s="408">
        <v>732.64989020184703</v>
      </c>
      <c r="AP77" s="408">
        <v>2355.8327116292558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3.5365089688698457</v>
      </c>
      <c r="BF77" s="408">
        <v>91.082211059902676</v>
      </c>
      <c r="BG77" s="408">
        <v>118.42269736797728</v>
      </c>
      <c r="BH77" s="408">
        <v>0</v>
      </c>
      <c r="BI77" s="408">
        <v>0</v>
      </c>
      <c r="BJ77" s="408">
        <v>0</v>
      </c>
      <c r="BK77" s="408">
        <v>0</v>
      </c>
      <c r="BL77" s="408">
        <v>0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>
        <v>3262.9986523136431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24169.967000000001</v>
      </c>
      <c r="CJ77" s="408">
        <v>-11044.357939999998</v>
      </c>
      <c r="CK77" s="408"/>
      <c r="CL77" s="408"/>
      <c r="CM77" s="408"/>
      <c r="CN77" s="408"/>
      <c r="CO77" s="408">
        <v>-11442.11563</v>
      </c>
      <c r="CP77" s="408">
        <v>401.61406999999997</v>
      </c>
      <c r="CQ77" s="408">
        <v>31</v>
      </c>
      <c r="CR77" s="408">
        <v>582.38834605989541</v>
      </c>
      <c r="CS77" s="408">
        <v>71.135675663270263</v>
      </c>
      <c r="CT77" s="408">
        <v>228.73647281269041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-99.786932963752406</v>
      </c>
      <c r="DA77" s="408">
        <v>0</v>
      </c>
      <c r="DB77" s="408">
        <v>0</v>
      </c>
      <c r="DC77" s="408">
        <v>391.49571938853387</v>
      </c>
      <c r="DD77" s="408">
        <v>11.691408434900623</v>
      </c>
      <c r="DE77" s="408">
        <v>0.45395001183660399</v>
      </c>
      <c r="DF77" s="408">
        <v>0</v>
      </c>
      <c r="DG77" s="408">
        <v>15.200862021027106</v>
      </c>
      <c r="DH77" s="408">
        <v>0</v>
      </c>
      <c r="DI77" s="408">
        <v>-29.468080210242761</v>
      </c>
      <c r="DJ77" s="408"/>
      <c r="DK77" s="408">
        <v>0</v>
      </c>
      <c r="DL77" s="408">
        <v>0</v>
      </c>
      <c r="DM77" s="408">
        <v>-1.7054396966910588</v>
      </c>
      <c r="DN77" s="408">
        <v>0</v>
      </c>
      <c r="DO77" s="408">
        <v>-4.6395143244381245</v>
      </c>
      <c r="DP77" s="408">
        <v>-0.72577507724075829</v>
      </c>
      <c r="DQ77" s="408">
        <v>0</v>
      </c>
      <c r="DR77" s="408">
        <v>0</v>
      </c>
      <c r="DS77" s="408"/>
      <c r="DT77" s="408"/>
      <c r="DU77" s="408"/>
      <c r="DV77" s="408">
        <v>21953.116909009055</v>
      </c>
      <c r="DW77" s="408">
        <v>0</v>
      </c>
      <c r="DX77" s="408">
        <v>0</v>
      </c>
      <c r="DY77" s="408">
        <v>-11442.11563</v>
      </c>
      <c r="DZ77" s="408">
        <v>401.61407000000008</v>
      </c>
      <c r="EA77" s="408">
        <v>0</v>
      </c>
      <c r="EB77" s="408">
        <v>0</v>
      </c>
      <c r="EC77" s="408">
        <v>-11623.011548424203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239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77</v>
      </c>
      <c r="B78" s="408" t="s">
        <v>2236</v>
      </c>
      <c r="C78" s="408" t="s">
        <v>2241</v>
      </c>
      <c r="D78" s="408" t="s">
        <v>596</v>
      </c>
      <c r="E78" s="408" t="s">
        <v>996</v>
      </c>
      <c r="F78" s="408" t="s">
        <v>1320</v>
      </c>
      <c r="G78" s="408" t="s">
        <v>1320</v>
      </c>
      <c r="H78" s="408" t="s">
        <v>1320</v>
      </c>
      <c r="I78" s="408" t="s">
        <v>971</v>
      </c>
      <c r="J78" s="408" t="s">
        <v>2234</v>
      </c>
      <c r="K78" s="827">
        <v>44409</v>
      </c>
      <c r="L78" s="408">
        <v>0</v>
      </c>
      <c r="M78" s="408">
        <v>0</v>
      </c>
      <c r="N78" s="408">
        <v>3.0470000000000002</v>
      </c>
      <c r="O78" s="408">
        <v>3.0470000000000002</v>
      </c>
      <c r="P78" s="408">
        <v>3.0470000000000002</v>
      </c>
      <c r="Q78" s="408">
        <v>3.0470000000000002</v>
      </c>
      <c r="R78" s="408"/>
      <c r="S78" s="408">
        <v>1684.16</v>
      </c>
      <c r="T78" s="408">
        <v>173.82</v>
      </c>
      <c r="U78" s="408"/>
      <c r="V78" s="408">
        <v>5661.2650600000006</v>
      </c>
      <c r="W78" s="408">
        <v>5661.2650600000006</v>
      </c>
      <c r="X78" s="408">
        <v>3886.3266200000003</v>
      </c>
      <c r="Y78" s="408">
        <v>0</v>
      </c>
      <c r="Z78" s="408">
        <v>162.10048077438771</v>
      </c>
      <c r="AA78" s="408">
        <v>0</v>
      </c>
      <c r="AB78" s="408">
        <v>0</v>
      </c>
      <c r="AC78" s="408">
        <v>54.844171372613772</v>
      </c>
      <c r="AD78" s="408">
        <v>836.66332621155436</v>
      </c>
      <c r="AE78" s="408">
        <v>3529.3171118952459</v>
      </c>
      <c r="AF78" s="408">
        <v>490.32974699476461</v>
      </c>
      <c r="AG78" s="408">
        <v>24.668101849627327</v>
      </c>
      <c r="AH78" s="408">
        <v>0</v>
      </c>
      <c r="AI78" s="408">
        <v>0</v>
      </c>
      <c r="AJ78" s="408">
        <v>0</v>
      </c>
      <c r="AK78" s="408">
        <v>0</v>
      </c>
      <c r="AL78" s="408">
        <v>28.798710315765824</v>
      </c>
      <c r="AM78" s="408"/>
      <c r="AN78" s="408">
        <v>3.7866003383231819</v>
      </c>
      <c r="AO78" s="408">
        <v>117.7852696377897</v>
      </c>
      <c r="AP78" s="408">
        <v>378.73805056372834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0.56855077444976632</v>
      </c>
      <c r="BF78" s="408">
        <v>14.642932364244368</v>
      </c>
      <c r="BG78" s="408">
        <v>19.03835587401608</v>
      </c>
      <c r="BH78" s="408">
        <v>0</v>
      </c>
      <c r="BI78" s="408">
        <v>0</v>
      </c>
      <c r="BJ78" s="408">
        <v>0</v>
      </c>
      <c r="BK78" s="408">
        <v>0</v>
      </c>
      <c r="BL78" s="408">
        <v>0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524.57958600747486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3890.1529999999998</v>
      </c>
      <c r="CJ78" s="408">
        <v>-1771.1420600000015</v>
      </c>
      <c r="CK78" s="408"/>
      <c r="CL78" s="408"/>
      <c r="CM78" s="408"/>
      <c r="CN78" s="408"/>
      <c r="CO78" s="408">
        <v>-1839.5043700000001</v>
      </c>
      <c r="CP78" s="408">
        <v>64.565929999999994</v>
      </c>
      <c r="CQ78" s="408">
        <v>31</v>
      </c>
      <c r="CR78" s="408">
        <v>93.628306360179977</v>
      </c>
      <c r="CS78" s="408">
        <v>11.436205547722494</v>
      </c>
      <c r="CT78" s="408">
        <v>36.773071949573534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-16.042356605315945</v>
      </c>
      <c r="DA78" s="408">
        <v>0</v>
      </c>
      <c r="DB78" s="408">
        <v>0</v>
      </c>
      <c r="DC78" s="408">
        <v>62.93924217679853</v>
      </c>
      <c r="DD78" s="408">
        <v>1.8795822034053788</v>
      </c>
      <c r="DE78" s="408">
        <v>7.2979775553534076E-2</v>
      </c>
      <c r="DF78" s="408">
        <v>0</v>
      </c>
      <c r="DG78" s="408">
        <v>2.4437833893351808</v>
      </c>
      <c r="DH78" s="408">
        <v>0</v>
      </c>
      <c r="DI78" s="408">
        <v>-4.7374684957848103</v>
      </c>
      <c r="DJ78" s="408"/>
      <c r="DK78" s="408">
        <v>0</v>
      </c>
      <c r="DL78" s="408">
        <v>0</v>
      </c>
      <c r="DM78" s="408">
        <v>-0.27417689842334525</v>
      </c>
      <c r="DN78" s="408">
        <v>0</v>
      </c>
      <c r="DO78" s="408">
        <v>-0.74587664995319969</v>
      </c>
      <c r="DP78" s="408">
        <v>-0.11668003273110283</v>
      </c>
      <c r="DQ78" s="408">
        <v>0</v>
      </c>
      <c r="DR78" s="408">
        <v>0</v>
      </c>
      <c r="DS78" s="408"/>
      <c r="DT78" s="408"/>
      <c r="DU78" s="408"/>
      <c r="DV78" s="408">
        <v>3529.3171118952459</v>
      </c>
      <c r="DW78" s="408">
        <v>0</v>
      </c>
      <c r="DX78" s="408">
        <v>0</v>
      </c>
      <c r="DY78" s="408">
        <v>-1839.5043700000006</v>
      </c>
      <c r="DZ78" s="408">
        <v>64.56592999999998</v>
      </c>
      <c r="EA78" s="408">
        <v>0</v>
      </c>
      <c r="EB78" s="408">
        <v>0</v>
      </c>
      <c r="EC78" s="408">
        <v>-1868.58630232937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239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78</v>
      </c>
      <c r="B79" s="408" t="s">
        <v>1034</v>
      </c>
      <c r="C79" s="408" t="s">
        <v>2241</v>
      </c>
      <c r="D79" s="408" t="s">
        <v>596</v>
      </c>
      <c r="E79" s="408" t="s">
        <v>996</v>
      </c>
      <c r="F79" s="408" t="s">
        <v>1320</v>
      </c>
      <c r="G79" s="408" t="s">
        <v>1320</v>
      </c>
      <c r="H79" s="408" t="s">
        <v>1320</v>
      </c>
      <c r="I79" s="408" t="s">
        <v>2242</v>
      </c>
      <c r="J79" s="408" t="s">
        <v>2234</v>
      </c>
      <c r="K79" s="827">
        <v>44409</v>
      </c>
      <c r="L79" s="408">
        <v>0</v>
      </c>
      <c r="M79" s="408">
        <v>0</v>
      </c>
      <c r="N79" s="408">
        <v>254.10599999999999</v>
      </c>
      <c r="O79" s="408">
        <v>254.10599999999999</v>
      </c>
      <c r="P79" s="408">
        <v>254.10599999999999</v>
      </c>
      <c r="Q79" s="408">
        <v>254.10599999999999</v>
      </c>
      <c r="R79" s="408"/>
      <c r="S79" s="408">
        <v>70.33</v>
      </c>
      <c r="T79" s="408">
        <v>173.82</v>
      </c>
      <c r="U79" s="408"/>
      <c r="V79" s="408">
        <v>62039.979899999991</v>
      </c>
      <c r="W79" s="408">
        <v>62039.979899999991</v>
      </c>
      <c r="X79" s="408">
        <v>67167.83898</v>
      </c>
      <c r="Y79" s="408">
        <v>0</v>
      </c>
      <c r="Z79" s="408">
        <v>13518.445936218102</v>
      </c>
      <c r="AA79" s="408">
        <v>0</v>
      </c>
      <c r="AB79" s="408">
        <v>0</v>
      </c>
      <c r="AC79" s="408">
        <v>0</v>
      </c>
      <c r="AD79" s="408">
        <v>0</v>
      </c>
      <c r="AE79" s="408">
        <v>0</v>
      </c>
      <c r="AF79" s="408">
        <v>40891.280173892897</v>
      </c>
      <c r="AG79" s="408">
        <v>2057.2079713165081</v>
      </c>
      <c r="AH79" s="408">
        <v>0</v>
      </c>
      <c r="AI79" s="408">
        <v>0</v>
      </c>
      <c r="AJ79" s="408">
        <v>0</v>
      </c>
      <c r="AK79" s="408">
        <v>0</v>
      </c>
      <c r="AL79" s="408">
        <v>2401.6820096809943</v>
      </c>
      <c r="AM79" s="408"/>
      <c r="AN79" s="408">
        <v>315.78531853296698</v>
      </c>
      <c r="AO79" s="408">
        <v>0</v>
      </c>
      <c r="AP79" s="408">
        <v>0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47.414559597089692</v>
      </c>
      <c r="BF79" s="408">
        <v>1221.1542406789231</v>
      </c>
      <c r="BG79" s="408">
        <v>1587.7126543231802</v>
      </c>
      <c r="BH79" s="408">
        <v>0</v>
      </c>
      <c r="BI79" s="408">
        <v>0</v>
      </c>
      <c r="BJ79" s="408">
        <v>0</v>
      </c>
      <c r="BK79" s="408">
        <v>0</v>
      </c>
      <c r="BL79" s="408">
        <v>0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>
        <v>43747.561628492091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67168.896299999993</v>
      </c>
      <c r="CJ79" s="408">
        <v>5128.8863999999958</v>
      </c>
      <c r="CK79" s="408"/>
      <c r="CL79" s="408"/>
      <c r="CM79" s="408"/>
      <c r="CN79" s="408"/>
      <c r="CO79" s="408">
        <v>-256.64706000000132</v>
      </c>
      <c r="CP79" s="408">
        <v>5384.5061399999995</v>
      </c>
      <c r="CQ79" s="408">
        <v>31</v>
      </c>
      <c r="CR79" s="408">
        <v>5125.6011866696645</v>
      </c>
      <c r="CS79" s="408">
        <v>0</v>
      </c>
      <c r="CT79" s="408">
        <v>0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0</v>
      </c>
      <c r="DA79" s="408">
        <v>0</v>
      </c>
      <c r="DB79" s="408">
        <v>0</v>
      </c>
      <c r="DC79" s="408">
        <v>5248.8477428872866</v>
      </c>
      <c r="DD79" s="408">
        <v>156.74864305169945</v>
      </c>
      <c r="DE79" s="408">
        <v>6.0861827524799352</v>
      </c>
      <c r="DF79" s="408">
        <v>0</v>
      </c>
      <c r="DG79" s="408">
        <v>203.80046666570547</v>
      </c>
      <c r="DH79" s="408">
        <v>0</v>
      </c>
      <c r="DI79" s="408">
        <v>-395.0834163406289</v>
      </c>
      <c r="DJ79" s="408"/>
      <c r="DK79" s="408">
        <v>0</v>
      </c>
      <c r="DL79" s="408">
        <v>0</v>
      </c>
      <c r="DM79" s="408">
        <v>-22.865111569006103</v>
      </c>
      <c r="DN79" s="408">
        <v>0</v>
      </c>
      <c r="DO79" s="408">
        <v>-62.202734497212987</v>
      </c>
      <c r="DP79" s="408">
        <v>-9.7305862806595087</v>
      </c>
      <c r="DQ79" s="408">
        <v>0</v>
      </c>
      <c r="DR79" s="408">
        <v>0</v>
      </c>
      <c r="DS79" s="408"/>
      <c r="DT79" s="408"/>
      <c r="DU79" s="408"/>
      <c r="DV79" s="408">
        <v>0</v>
      </c>
      <c r="DW79" s="408">
        <v>0</v>
      </c>
      <c r="DX79" s="408">
        <v>0</v>
      </c>
      <c r="DY79" s="408">
        <v>-256.64705999999933</v>
      </c>
      <c r="DZ79" s="408">
        <v>5384.5061399999977</v>
      </c>
      <c r="EA79" s="408">
        <v>0</v>
      </c>
      <c r="EB79" s="408">
        <v>0</v>
      </c>
      <c r="EC79" s="408">
        <v>0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239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79</v>
      </c>
      <c r="B80" s="408" t="s">
        <v>2236</v>
      </c>
      <c r="C80" s="408" t="s">
        <v>2241</v>
      </c>
      <c r="D80" s="408" t="s">
        <v>596</v>
      </c>
      <c r="E80" s="408" t="s">
        <v>996</v>
      </c>
      <c r="F80" s="408" t="s">
        <v>1320</v>
      </c>
      <c r="G80" s="408" t="s">
        <v>1320</v>
      </c>
      <c r="H80" s="408" t="s">
        <v>1320</v>
      </c>
      <c r="I80" s="408" t="s">
        <v>2242</v>
      </c>
      <c r="J80" s="408" t="s">
        <v>2234</v>
      </c>
      <c r="K80" s="827">
        <v>44409</v>
      </c>
      <c r="L80" s="408">
        <v>0</v>
      </c>
      <c r="M80" s="408">
        <v>0</v>
      </c>
      <c r="N80" s="408">
        <v>29.882999999999999</v>
      </c>
      <c r="O80" s="408">
        <v>29.882999999999999</v>
      </c>
      <c r="P80" s="408">
        <v>29.882999999999999</v>
      </c>
      <c r="Q80" s="408">
        <v>29.882999999999999</v>
      </c>
      <c r="R80" s="408"/>
      <c r="S80" s="408">
        <v>70.33</v>
      </c>
      <c r="T80" s="408">
        <v>173.82</v>
      </c>
      <c r="U80" s="408"/>
      <c r="V80" s="408">
        <v>7295.9344499999988</v>
      </c>
      <c r="W80" s="408">
        <v>7295.9344499999988</v>
      </c>
      <c r="X80" s="408">
        <v>7898.9733899999992</v>
      </c>
      <c r="Y80" s="408">
        <v>0</v>
      </c>
      <c r="Z80" s="408">
        <v>1589.7763921828118</v>
      </c>
      <c r="AA80" s="408">
        <v>0</v>
      </c>
      <c r="AB80" s="408">
        <v>0</v>
      </c>
      <c r="AC80" s="408">
        <v>0</v>
      </c>
      <c r="AD80" s="408">
        <v>0</v>
      </c>
      <c r="AE80" s="408">
        <v>0</v>
      </c>
      <c r="AF80" s="408">
        <v>4808.8361763848216</v>
      </c>
      <c r="AG80" s="408">
        <v>241.92874551113007</v>
      </c>
      <c r="AH80" s="408">
        <v>0</v>
      </c>
      <c r="AI80" s="408">
        <v>0</v>
      </c>
      <c r="AJ80" s="408">
        <v>0</v>
      </c>
      <c r="AK80" s="408">
        <v>0</v>
      </c>
      <c r="AL80" s="408">
        <v>282.43907461963573</v>
      </c>
      <c r="AM80" s="408"/>
      <c r="AN80" s="408">
        <v>37.136520482478382</v>
      </c>
      <c r="AO80" s="408">
        <v>0</v>
      </c>
      <c r="AP80" s="408">
        <v>0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5.5759772868009074</v>
      </c>
      <c r="BF80" s="408">
        <v>143.60838458835391</v>
      </c>
      <c r="BG80" s="408">
        <v>186.7158479104767</v>
      </c>
      <c r="BH80" s="408">
        <v>0</v>
      </c>
      <c r="BI80" s="408">
        <v>0</v>
      </c>
      <c r="BJ80" s="408">
        <v>0</v>
      </c>
      <c r="BK80" s="408">
        <v>0</v>
      </c>
      <c r="BL80" s="408">
        <v>0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>
        <v>5144.7363861704525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7898.1803999999993</v>
      </c>
      <c r="CJ80" s="408">
        <v>602.21594999999979</v>
      </c>
      <c r="CK80" s="408"/>
      <c r="CL80" s="408"/>
      <c r="CM80" s="408"/>
      <c r="CN80" s="408"/>
      <c r="CO80" s="408">
        <v>-30.181830000000151</v>
      </c>
      <c r="CP80" s="408">
        <v>633.2207699999999</v>
      </c>
      <c r="CQ80" s="408">
        <v>31</v>
      </c>
      <c r="CR80" s="408">
        <v>602.77341055012312</v>
      </c>
      <c r="CS80" s="408">
        <v>0</v>
      </c>
      <c r="CT80" s="408">
        <v>0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0</v>
      </c>
      <c r="DA80" s="408">
        <v>0</v>
      </c>
      <c r="DB80" s="408">
        <v>0</v>
      </c>
      <c r="DC80" s="408">
        <v>617.26727074803694</v>
      </c>
      <c r="DD80" s="408">
        <v>18.433723329295361</v>
      </c>
      <c r="DE80" s="408">
        <v>0.71573831075361394</v>
      </c>
      <c r="DF80" s="408">
        <v>0</v>
      </c>
      <c r="DG80" s="408">
        <v>23.967042672629844</v>
      </c>
      <c r="DH80" s="408">
        <v>0</v>
      </c>
      <c r="DI80" s="408">
        <v>-46.462018726464748</v>
      </c>
      <c r="DJ80" s="408"/>
      <c r="DK80" s="408">
        <v>0</v>
      </c>
      <c r="DL80" s="408">
        <v>0</v>
      </c>
      <c r="DM80" s="408">
        <v>-2.6889492141729079</v>
      </c>
      <c r="DN80" s="408">
        <v>0</v>
      </c>
      <c r="DO80" s="408">
        <v>-7.3150744767152673</v>
      </c>
      <c r="DP80" s="408">
        <v>-1.1443220932404117</v>
      </c>
      <c r="DQ80" s="408">
        <v>0</v>
      </c>
      <c r="DR80" s="408">
        <v>0</v>
      </c>
      <c r="DS80" s="408"/>
      <c r="DT80" s="408"/>
      <c r="DU80" s="408"/>
      <c r="DV80" s="408">
        <v>0</v>
      </c>
      <c r="DW80" s="408">
        <v>0</v>
      </c>
      <c r="DX80" s="408">
        <v>0</v>
      </c>
      <c r="DY80" s="408">
        <v>-30.181830000000446</v>
      </c>
      <c r="DZ80" s="408">
        <v>633.2207699999999</v>
      </c>
      <c r="EA80" s="408">
        <v>0</v>
      </c>
      <c r="EB80" s="408">
        <v>0</v>
      </c>
      <c r="EC80" s="408">
        <v>0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239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80</v>
      </c>
      <c r="B81" s="408" t="s">
        <v>1034</v>
      </c>
      <c r="C81" s="408" t="s">
        <v>2241</v>
      </c>
      <c r="D81" s="408" t="s">
        <v>596</v>
      </c>
      <c r="E81" s="408" t="s">
        <v>996</v>
      </c>
      <c r="F81" s="408" t="s">
        <v>1320</v>
      </c>
      <c r="G81" s="408" t="s">
        <v>1320</v>
      </c>
      <c r="H81" s="408" t="s">
        <v>1320</v>
      </c>
      <c r="I81" s="408" t="s">
        <v>1320</v>
      </c>
      <c r="J81" s="408" t="s">
        <v>2234</v>
      </c>
      <c r="K81" s="827">
        <v>44409</v>
      </c>
      <c r="L81" s="408">
        <v>2536</v>
      </c>
      <c r="M81" s="408">
        <v>2536</v>
      </c>
      <c r="N81" s="408">
        <v>0</v>
      </c>
      <c r="O81" s="408">
        <v>0</v>
      </c>
      <c r="P81" s="408">
        <v>0</v>
      </c>
      <c r="Q81" s="408">
        <v>0</v>
      </c>
      <c r="R81" s="408">
        <v>59.12</v>
      </c>
      <c r="S81" s="408"/>
      <c r="T81" s="408"/>
      <c r="U81" s="408">
        <v>149928.32000000001</v>
      </c>
      <c r="V81" s="408"/>
      <c r="W81" s="408">
        <v>149928.32000000001</v>
      </c>
      <c r="X81" s="408">
        <v>86300.08</v>
      </c>
      <c r="Y81" s="408">
        <v>0</v>
      </c>
      <c r="Z81" s="408">
        <v>0</v>
      </c>
      <c r="AA81" s="408">
        <v>0</v>
      </c>
      <c r="AB81" s="408">
        <v>0</v>
      </c>
      <c r="AC81" s="408">
        <v>1450.7450814142176</v>
      </c>
      <c r="AD81" s="408">
        <v>12976.769442214332</v>
      </c>
      <c r="AE81" s="408">
        <v>122138.31910021498</v>
      </c>
      <c r="AF81" s="408"/>
      <c r="AG81" s="408"/>
      <c r="AH81" s="408"/>
      <c r="AI81" s="408">
        <v>0</v>
      </c>
      <c r="AJ81" s="408">
        <v>0</v>
      </c>
      <c r="AK81" s="408">
        <v>0</v>
      </c>
      <c r="AL81" s="408">
        <v>0</v>
      </c>
      <c r="AM81" s="408"/>
      <c r="AN81" s="408">
        <v>0</v>
      </c>
      <c r="AO81" s="408">
        <v>3063.6708853899922</v>
      </c>
      <c r="AP81" s="408">
        <v>10298.665223154569</v>
      </c>
      <c r="AQ81" s="408">
        <v>0</v>
      </c>
      <c r="AR81" s="408">
        <v>0</v>
      </c>
      <c r="AS81" s="408"/>
      <c r="AT81" s="408"/>
      <c r="AU81" s="408">
        <v>0</v>
      </c>
      <c r="AV81" s="408">
        <v>0</v>
      </c>
      <c r="AW81" s="408">
        <v>0</v>
      </c>
      <c r="AX81" s="408"/>
      <c r="AY81" s="408"/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/>
      <c r="BG81" s="408">
        <v>0</v>
      </c>
      <c r="BH81" s="408">
        <v>0</v>
      </c>
      <c r="BI81" s="408">
        <v>0</v>
      </c>
      <c r="BJ81" s="408">
        <v>0</v>
      </c>
      <c r="BK81" s="408">
        <v>78050.880000000005</v>
      </c>
      <c r="BL81" s="408">
        <v>16</v>
      </c>
      <c r="BM81" s="408"/>
      <c r="BN81" s="408"/>
      <c r="BO81" s="408"/>
      <c r="BP81" s="408"/>
      <c r="BQ81" s="408"/>
      <c r="BR81" s="408"/>
      <c r="BS81" s="408"/>
      <c r="BT81" s="408"/>
      <c r="BU81" s="408"/>
      <c r="BV81" s="408">
        <v>0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86300.08</v>
      </c>
      <c r="CJ81" s="408">
        <v>-63628.270000000033</v>
      </c>
      <c r="CK81" s="408"/>
      <c r="CL81" s="408"/>
      <c r="CM81" s="408"/>
      <c r="CN81" s="408"/>
      <c r="CO81" s="408">
        <v>-63628.239999999991</v>
      </c>
      <c r="CP81" s="408">
        <v>0</v>
      </c>
      <c r="CQ81" s="408">
        <v>31</v>
      </c>
      <c r="CR81" s="408">
        <v>1048.5791407972065</v>
      </c>
      <c r="CS81" s="408">
        <v>297.46308756296321</v>
      </c>
      <c r="CT81" s="408">
        <v>999.93532910663998</v>
      </c>
      <c r="CU81" s="408">
        <v>0</v>
      </c>
      <c r="CV81" s="408">
        <v>0</v>
      </c>
      <c r="CW81" s="408"/>
      <c r="CX81" s="408"/>
      <c r="CY81" s="408"/>
      <c r="CZ81" s="408">
        <v>-248.81927587239807</v>
      </c>
      <c r="DA81" s="408">
        <v>0</v>
      </c>
      <c r="DB81" s="408">
        <v>0</v>
      </c>
      <c r="DC81" s="408"/>
      <c r="DD81" s="408"/>
      <c r="DE81" s="408">
        <v>0</v>
      </c>
      <c r="DF81" s="408">
        <v>0</v>
      </c>
      <c r="DG81" s="408">
        <v>0</v>
      </c>
      <c r="DH81" s="408">
        <v>0</v>
      </c>
      <c r="DI81" s="408">
        <v>0</v>
      </c>
      <c r="DJ81" s="408"/>
      <c r="DK81" s="408">
        <v>0</v>
      </c>
      <c r="DL81" s="408">
        <v>0</v>
      </c>
      <c r="DM81" s="408"/>
      <c r="DN81" s="408">
        <v>0</v>
      </c>
      <c r="DO81" s="408">
        <v>0</v>
      </c>
      <c r="DP81" s="408">
        <v>0</v>
      </c>
      <c r="DQ81" s="408">
        <v>0</v>
      </c>
      <c r="DR81" s="408">
        <v>0</v>
      </c>
      <c r="DS81" s="408"/>
      <c r="DT81" s="408"/>
      <c r="DU81" s="408">
        <v>122138.31910021498</v>
      </c>
      <c r="DV81" s="408"/>
      <c r="DW81" s="408">
        <v>0</v>
      </c>
      <c r="DX81" s="408">
        <v>0</v>
      </c>
      <c r="DY81" s="408">
        <v>-63628.240000000005</v>
      </c>
      <c r="DZ81" s="408"/>
      <c r="EA81" s="408">
        <v>0</v>
      </c>
      <c r="EB81" s="408"/>
      <c r="EC81" s="408">
        <v>-64665.764742697866</v>
      </c>
      <c r="ED81" s="408"/>
      <c r="EE81" s="408">
        <v>0</v>
      </c>
      <c r="EF81" s="408">
        <v>0</v>
      </c>
      <c r="EG81" s="408"/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/>
      <c r="EN81" s="408"/>
      <c r="EO81" s="408">
        <v>0</v>
      </c>
      <c r="EP81" s="408">
        <v>0</v>
      </c>
      <c r="EQ81" s="408"/>
      <c r="ER81" s="408">
        <v>0</v>
      </c>
      <c r="ES81" s="408"/>
      <c r="ET81" s="408">
        <v>0</v>
      </c>
      <c r="EU81" s="408"/>
      <c r="EV81" s="408">
        <v>239</v>
      </c>
      <c r="EW81" s="408"/>
      <c r="EX81" s="408"/>
      <c r="EY81" s="408"/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81</v>
      </c>
      <c r="B82" s="408" t="s">
        <v>2236</v>
      </c>
      <c r="C82" s="408" t="s">
        <v>2241</v>
      </c>
      <c r="D82" s="408" t="s">
        <v>596</v>
      </c>
      <c r="E82" s="408" t="s">
        <v>996</v>
      </c>
      <c r="F82" s="408" t="s">
        <v>1320</v>
      </c>
      <c r="G82" s="408" t="s">
        <v>1320</v>
      </c>
      <c r="H82" s="408" t="s">
        <v>1320</v>
      </c>
      <c r="I82" s="408" t="s">
        <v>1320</v>
      </c>
      <c r="J82" s="408" t="s">
        <v>2234</v>
      </c>
      <c r="K82" s="827">
        <v>44409</v>
      </c>
      <c r="L82" s="408">
        <v>100</v>
      </c>
      <c r="M82" s="408">
        <v>100</v>
      </c>
      <c r="N82" s="408">
        <v>0</v>
      </c>
      <c r="O82" s="408">
        <v>0</v>
      </c>
      <c r="P82" s="408">
        <v>0</v>
      </c>
      <c r="Q82" s="408">
        <v>0</v>
      </c>
      <c r="R82" s="408">
        <v>59.12</v>
      </c>
      <c r="S82" s="408"/>
      <c r="T82" s="408"/>
      <c r="U82" s="408">
        <v>5912</v>
      </c>
      <c r="V82" s="408"/>
      <c r="W82" s="408">
        <v>5912</v>
      </c>
      <c r="X82" s="408">
        <v>3403</v>
      </c>
      <c r="Y82" s="408">
        <v>0</v>
      </c>
      <c r="Z82" s="408">
        <v>0</v>
      </c>
      <c r="AA82" s="408">
        <v>0</v>
      </c>
      <c r="AB82" s="408">
        <v>0</v>
      </c>
      <c r="AC82" s="408">
        <v>57.206036333368203</v>
      </c>
      <c r="AD82" s="408">
        <v>511.70226507154302</v>
      </c>
      <c r="AE82" s="408">
        <v>4816.1797752450702</v>
      </c>
      <c r="AF82" s="408"/>
      <c r="AG82" s="408"/>
      <c r="AH82" s="408"/>
      <c r="AI82" s="408">
        <v>0</v>
      </c>
      <c r="AJ82" s="408">
        <v>0</v>
      </c>
      <c r="AK82" s="408">
        <v>0</v>
      </c>
      <c r="AL82" s="408">
        <v>0</v>
      </c>
      <c r="AM82" s="408"/>
      <c r="AN82" s="408">
        <v>0</v>
      </c>
      <c r="AO82" s="408">
        <v>120.807211569006</v>
      </c>
      <c r="AP82" s="408">
        <v>406.098786401994</v>
      </c>
      <c r="AQ82" s="408">
        <v>0</v>
      </c>
      <c r="AR82" s="408">
        <v>0</v>
      </c>
      <c r="AS82" s="408"/>
      <c r="AT82" s="408"/>
      <c r="AU82" s="408">
        <v>0</v>
      </c>
      <c r="AV82" s="408">
        <v>0</v>
      </c>
      <c r="AW82" s="408">
        <v>0</v>
      </c>
      <c r="AX82" s="408"/>
      <c r="AY82" s="408"/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/>
      <c r="BG82" s="408">
        <v>0</v>
      </c>
      <c r="BH82" s="408">
        <v>0</v>
      </c>
      <c r="BI82" s="408">
        <v>0</v>
      </c>
      <c r="BJ82" s="408">
        <v>0</v>
      </c>
      <c r="BK82" s="408">
        <v>7810.61</v>
      </c>
      <c r="BL82" s="408">
        <v>1</v>
      </c>
      <c r="BM82" s="408"/>
      <c r="BN82" s="408"/>
      <c r="BO82" s="408"/>
      <c r="BP82" s="408"/>
      <c r="BQ82" s="408"/>
      <c r="BR82" s="408"/>
      <c r="BS82" s="408"/>
      <c r="BT82" s="408"/>
      <c r="BU82" s="408"/>
      <c r="BV82" s="408">
        <v>0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3403</v>
      </c>
      <c r="CJ82" s="408">
        <v>-2509.0300000000007</v>
      </c>
      <c r="CK82" s="408"/>
      <c r="CL82" s="408"/>
      <c r="CM82" s="408"/>
      <c r="CN82" s="408"/>
      <c r="CO82" s="408">
        <v>-2508.9999999999995</v>
      </c>
      <c r="CP82" s="408">
        <v>0</v>
      </c>
      <c r="CQ82" s="408">
        <v>31</v>
      </c>
      <c r="CR82" s="408">
        <v>41.347757917871149</v>
      </c>
      <c r="CS82" s="408">
        <v>11.729617017467007</v>
      </c>
      <c r="CT82" s="408">
        <v>39.429626542059964</v>
      </c>
      <c r="CU82" s="408">
        <v>0</v>
      </c>
      <c r="CV82" s="408">
        <v>0</v>
      </c>
      <c r="CW82" s="408"/>
      <c r="CX82" s="408"/>
      <c r="CY82" s="408"/>
      <c r="CZ82" s="408">
        <v>-9.8114856416560201</v>
      </c>
      <c r="DA82" s="408">
        <v>0</v>
      </c>
      <c r="DB82" s="408">
        <v>0</v>
      </c>
      <c r="DC82" s="408"/>
      <c r="DD82" s="408"/>
      <c r="DE82" s="408">
        <v>0</v>
      </c>
      <c r="DF82" s="408">
        <v>0</v>
      </c>
      <c r="DG82" s="408">
        <v>0</v>
      </c>
      <c r="DH82" s="408">
        <v>0</v>
      </c>
      <c r="DI82" s="408">
        <v>0</v>
      </c>
      <c r="DJ82" s="408"/>
      <c r="DK82" s="408">
        <v>0</v>
      </c>
      <c r="DL82" s="408">
        <v>0</v>
      </c>
      <c r="DM82" s="408"/>
      <c r="DN82" s="408">
        <v>0</v>
      </c>
      <c r="DO82" s="408">
        <v>0</v>
      </c>
      <c r="DP82" s="408">
        <v>0</v>
      </c>
      <c r="DQ82" s="408">
        <v>0</v>
      </c>
      <c r="DR82" s="408">
        <v>0</v>
      </c>
      <c r="DS82" s="408"/>
      <c r="DT82" s="408"/>
      <c r="DU82" s="408">
        <v>4816.1797752450702</v>
      </c>
      <c r="DV82" s="408"/>
      <c r="DW82" s="408">
        <v>0</v>
      </c>
      <c r="DX82" s="408">
        <v>0</v>
      </c>
      <c r="DY82" s="408">
        <v>-2509</v>
      </c>
      <c r="DZ82" s="408"/>
      <c r="EA82" s="408">
        <v>0</v>
      </c>
      <c r="EB82" s="408"/>
      <c r="EC82" s="408">
        <v>-2549.9118589391901</v>
      </c>
      <c r="ED82" s="408"/>
      <c r="EE82" s="408">
        <v>0</v>
      </c>
      <c r="EF82" s="408">
        <v>0</v>
      </c>
      <c r="EG82" s="408"/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/>
      <c r="EN82" s="408"/>
      <c r="EO82" s="408">
        <v>0</v>
      </c>
      <c r="EP82" s="408">
        <v>0</v>
      </c>
      <c r="EQ82" s="408"/>
      <c r="ER82" s="408">
        <v>0</v>
      </c>
      <c r="ES82" s="408"/>
      <c r="ET82" s="408">
        <v>0</v>
      </c>
      <c r="EU82" s="408"/>
      <c r="EV82" s="408">
        <v>239</v>
      </c>
      <c r="EW82" s="408"/>
      <c r="EX82" s="408"/>
      <c r="EY82" s="408"/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60" customFormat="1">
      <c r="A83" s="408">
        <v>82</v>
      </c>
      <c r="B83" s="408" t="s">
        <v>1034</v>
      </c>
      <c r="C83" s="408" t="s">
        <v>2233</v>
      </c>
      <c r="D83" s="408" t="s">
        <v>2243</v>
      </c>
      <c r="E83" s="408" t="s">
        <v>972</v>
      </c>
      <c r="F83" s="408" t="s">
        <v>1320</v>
      </c>
      <c r="G83" s="408" t="s">
        <v>1320</v>
      </c>
      <c r="H83" s="408" t="s">
        <v>1320</v>
      </c>
      <c r="I83" s="408" t="s">
        <v>1320</v>
      </c>
      <c r="J83" s="408" t="s">
        <v>2234</v>
      </c>
      <c r="K83" s="827">
        <v>44409</v>
      </c>
      <c r="L83" s="408">
        <v>0</v>
      </c>
      <c r="M83" s="408">
        <v>0</v>
      </c>
      <c r="N83" s="408">
        <v>2379.12</v>
      </c>
      <c r="O83" s="408">
        <v>2379.12</v>
      </c>
      <c r="P83" s="408">
        <v>2379.12</v>
      </c>
      <c r="Q83" s="408">
        <v>2379.12</v>
      </c>
      <c r="R83" s="408"/>
      <c r="S83" s="408">
        <v>516.83000000000004</v>
      </c>
      <c r="T83" s="408">
        <v>173.82</v>
      </c>
      <c r="U83" s="408"/>
      <c r="V83" s="408">
        <v>1643139.2280000001</v>
      </c>
      <c r="W83" s="408">
        <v>1643139.2280000001</v>
      </c>
      <c r="X83" s="408">
        <v>1240592.1239999998</v>
      </c>
      <c r="Y83" s="408">
        <v>0</v>
      </c>
      <c r="Z83" s="408">
        <v>145481.89318302934</v>
      </c>
      <c r="AA83" s="408">
        <v>0</v>
      </c>
      <c r="AB83" s="408">
        <v>0</v>
      </c>
      <c r="AC83" s="408">
        <v>6467.5046638856866</v>
      </c>
      <c r="AD83" s="408">
        <v>81905.040004377646</v>
      </c>
      <c r="AE83" s="408">
        <v>865085.61059699685</v>
      </c>
      <c r="AF83" s="408">
        <v>382853.07110934833</v>
      </c>
      <c r="AG83" s="408">
        <v>19261.035271573797</v>
      </c>
      <c r="AH83" s="408">
        <v>0</v>
      </c>
      <c r="AI83" s="408">
        <v>0</v>
      </c>
      <c r="AJ83" s="408">
        <v>0</v>
      </c>
      <c r="AK83" s="408">
        <v>0</v>
      </c>
      <c r="AL83" s="408">
        <v>22486.244728075086</v>
      </c>
      <c r="AM83" s="408"/>
      <c r="AN83" s="408">
        <v>3691.3045432043941</v>
      </c>
      <c r="AO83" s="408">
        <v>13795.336311016707</v>
      </c>
      <c r="AP83" s="408">
        <v>45177.861128879762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1319.9657934810066</v>
      </c>
      <c r="BF83" s="408">
        <v>11433.309237420761</v>
      </c>
      <c r="BG83" s="408">
        <v>44200.060306205356</v>
      </c>
      <c r="BH83" s="408">
        <v>0</v>
      </c>
      <c r="BI83" s="408">
        <v>0</v>
      </c>
      <c r="BJ83" s="408">
        <v>0</v>
      </c>
      <c r="BK83" s="408">
        <v>90938.58</v>
      </c>
      <c r="BL83" s="408">
        <v>10249</v>
      </c>
      <c r="BM83" s="408"/>
      <c r="BN83" s="408"/>
      <c r="BO83" s="408"/>
      <c r="BP83" s="408"/>
      <c r="BQ83" s="408"/>
      <c r="BR83" s="408">
        <v>148861.53839999999</v>
      </c>
      <c r="BS83" s="408"/>
      <c r="BT83" s="408"/>
      <c r="BU83" s="408"/>
      <c r="BV83" s="408">
        <v>439806.4064464554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1091730.5855999999</v>
      </c>
      <c r="CJ83" s="408">
        <v>-354227.20680000004</v>
      </c>
      <c r="CK83" s="408"/>
      <c r="CL83" s="408"/>
      <c r="CM83" s="408"/>
      <c r="CN83" s="408"/>
      <c r="CO83" s="408">
        <v>-452960.65680000006</v>
      </c>
      <c r="CP83" s="408">
        <v>50413.55279999999</v>
      </c>
      <c r="CQ83" s="408">
        <v>31</v>
      </c>
      <c r="CR83" s="408">
        <v>55447.482879807008</v>
      </c>
      <c r="CS83" s="408">
        <v>1339.4400007565455</v>
      </c>
      <c r="CT83" s="408">
        <v>4386.4848946319107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-1570.4642696272349</v>
      </c>
      <c r="DA83" s="408">
        <v>0</v>
      </c>
      <c r="DB83" s="408">
        <v>0</v>
      </c>
      <c r="DC83" s="408">
        <v>49143.422989059705</v>
      </c>
      <c r="DD83" s="408">
        <v>1467.5916021548437</v>
      </c>
      <c r="DE83" s="408">
        <v>169.43219792429659</v>
      </c>
      <c r="DF83" s="408">
        <v>0</v>
      </c>
      <c r="DG83" s="408">
        <v>5673.566241680528</v>
      </c>
      <c r="DH83" s="408">
        <v>0</v>
      </c>
      <c r="DI83" s="408">
        <v>-4251.7818723867531</v>
      </c>
      <c r="DJ83" s="408"/>
      <c r="DK83" s="408">
        <v>0</v>
      </c>
      <c r="DL83" s="408">
        <v>0</v>
      </c>
      <c r="DM83" s="408">
        <v>-214.0793378985727</v>
      </c>
      <c r="DN83" s="408">
        <v>0</v>
      </c>
      <c r="DO83" s="408">
        <v>-582.38597159063283</v>
      </c>
      <c r="DP83" s="408">
        <v>-113.74359489764083</v>
      </c>
      <c r="DQ83" s="408">
        <v>0</v>
      </c>
      <c r="DR83" s="408">
        <v>0</v>
      </c>
      <c r="DS83" s="408"/>
      <c r="DT83" s="408"/>
      <c r="DU83" s="408"/>
      <c r="DV83" s="408">
        <v>865085.61059699685</v>
      </c>
      <c r="DW83" s="408">
        <v>0</v>
      </c>
      <c r="DX83" s="408">
        <v>0</v>
      </c>
      <c r="DY83" s="408">
        <v>-452960.65680000011</v>
      </c>
      <c r="DZ83" s="408">
        <v>50413.552800000005</v>
      </c>
      <c r="EA83" s="408">
        <v>0</v>
      </c>
      <c r="EB83" s="408">
        <v>0</v>
      </c>
      <c r="EC83" s="408">
        <v>-458016.96788751701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239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60" customFormat="1">
      <c r="A84" s="408">
        <v>83</v>
      </c>
      <c r="B84" s="408" t="s">
        <v>2235</v>
      </c>
      <c r="C84" s="408" t="s">
        <v>2233</v>
      </c>
      <c r="D84" s="408" t="s">
        <v>2243</v>
      </c>
      <c r="E84" s="408" t="s">
        <v>972</v>
      </c>
      <c r="F84" s="408" t="s">
        <v>1320</v>
      </c>
      <c r="G84" s="408" t="s">
        <v>1320</v>
      </c>
      <c r="H84" s="408" t="s">
        <v>1320</v>
      </c>
      <c r="I84" s="408" t="s">
        <v>1320</v>
      </c>
      <c r="J84" s="408" t="s">
        <v>2234</v>
      </c>
      <c r="K84" s="827">
        <v>44409</v>
      </c>
      <c r="L84" s="408">
        <v>0</v>
      </c>
      <c r="M84" s="408">
        <v>0</v>
      </c>
      <c r="N84" s="408">
        <v>-1.879</v>
      </c>
      <c r="O84" s="408">
        <v>-1.879</v>
      </c>
      <c r="P84" s="408">
        <v>-1.879</v>
      </c>
      <c r="Q84" s="408">
        <v>-1.879</v>
      </c>
      <c r="R84" s="408"/>
      <c r="S84" s="408">
        <v>516.83000000000004</v>
      </c>
      <c r="T84" s="408">
        <v>173.82</v>
      </c>
      <c r="U84" s="408"/>
      <c r="V84" s="408">
        <v>-1297.73135</v>
      </c>
      <c r="W84" s="408">
        <v>-1297.73135</v>
      </c>
      <c r="X84" s="408">
        <v>-979.80455000000006</v>
      </c>
      <c r="Y84" s="408">
        <v>0</v>
      </c>
      <c r="Z84" s="408">
        <v>-114.89982736932653</v>
      </c>
      <c r="AA84" s="408">
        <v>0</v>
      </c>
      <c r="AB84" s="408">
        <v>0</v>
      </c>
      <c r="AC84" s="408">
        <v>-5.1079564139014453</v>
      </c>
      <c r="AD84" s="408">
        <v>-64.687603049962007</v>
      </c>
      <c r="AE84" s="408">
        <v>-683.23407911822744</v>
      </c>
      <c r="AF84" s="408">
        <v>-302.37269268236389</v>
      </c>
      <c r="AG84" s="408">
        <v>-15.212131071693385</v>
      </c>
      <c r="AH84" s="408">
        <v>0</v>
      </c>
      <c r="AI84" s="408">
        <v>0</v>
      </c>
      <c r="AJ84" s="408">
        <v>0</v>
      </c>
      <c r="AK84" s="408">
        <v>0</v>
      </c>
      <c r="AL84" s="408">
        <v>-17.759362219666553</v>
      </c>
      <c r="AM84" s="408"/>
      <c r="AN84" s="408">
        <v>-2.9153473707425674</v>
      </c>
      <c r="AO84" s="408">
        <v>-10.895388600995492</v>
      </c>
      <c r="AP84" s="408">
        <v>-35.680924485173122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-1.0424929074409073</v>
      </c>
      <c r="BF84" s="408">
        <v>-9.0298883860896506</v>
      </c>
      <c r="BG84" s="408">
        <v>-34.908669304347768</v>
      </c>
      <c r="BH84" s="408">
        <v>0</v>
      </c>
      <c r="BI84" s="408">
        <v>-1</v>
      </c>
      <c r="BJ84" s="408">
        <v>-4.51</v>
      </c>
      <c r="BK84" s="408">
        <v>-11.07</v>
      </c>
      <c r="BL84" s="408">
        <v>0</v>
      </c>
      <c r="BM84" s="408"/>
      <c r="BN84" s="408"/>
      <c r="BO84" s="408"/>
      <c r="BP84" s="408"/>
      <c r="BQ84" s="408"/>
      <c r="BR84" s="408">
        <v>-117.56903</v>
      </c>
      <c r="BS84" s="408"/>
      <c r="BT84" s="408"/>
      <c r="BU84" s="408"/>
      <c r="BV84" s="408">
        <v>-347.35374328024221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-862.69439999999997</v>
      </c>
      <c r="CJ84" s="408">
        <v>279.27543000000003</v>
      </c>
      <c r="CK84" s="408"/>
      <c r="CL84" s="408"/>
      <c r="CM84" s="408"/>
      <c r="CN84" s="408"/>
      <c r="CO84" s="408">
        <v>357.74281000000008</v>
      </c>
      <c r="CP84" s="408">
        <v>-39.816009999999999</v>
      </c>
      <c r="CQ84" s="408">
        <v>31</v>
      </c>
      <c r="CR84" s="408">
        <v>-43.791746667321377</v>
      </c>
      <c r="CS84" s="408">
        <v>-1.0578733991650466</v>
      </c>
      <c r="CT84" s="408">
        <v>-3.4643923454947085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1.2403335530068134</v>
      </c>
      <c r="DA84" s="408">
        <v>0</v>
      </c>
      <c r="DB84" s="408">
        <v>0</v>
      </c>
      <c r="DC84" s="408">
        <v>-38.812876944602692</v>
      </c>
      <c r="DD84" s="408">
        <v>-1.1590859731534984</v>
      </c>
      <c r="DE84" s="408">
        <v>-0.13381548635619622</v>
      </c>
      <c r="DF84" s="408">
        <v>0</v>
      </c>
      <c r="DG84" s="408">
        <v>-4.4809135176526311</v>
      </c>
      <c r="DH84" s="408">
        <v>0</v>
      </c>
      <c r="DI84" s="408">
        <v>3.3580055391130799</v>
      </c>
      <c r="DJ84" s="408"/>
      <c r="DK84" s="408">
        <v>0</v>
      </c>
      <c r="DL84" s="408">
        <v>0</v>
      </c>
      <c r="DM84" s="408">
        <v>0.16907725373727089</v>
      </c>
      <c r="DN84" s="408">
        <v>0</v>
      </c>
      <c r="DO84" s="408">
        <v>0.45996134731278815</v>
      </c>
      <c r="DP84" s="408">
        <v>8.9833305933566976E-2</v>
      </c>
      <c r="DQ84" s="408">
        <v>0</v>
      </c>
      <c r="DR84" s="408">
        <v>0</v>
      </c>
      <c r="DS84" s="408"/>
      <c r="DT84" s="408"/>
      <c r="DU84" s="408"/>
      <c r="DV84" s="408">
        <v>-683.23407911822744</v>
      </c>
      <c r="DW84" s="408">
        <v>0</v>
      </c>
      <c r="DX84" s="408">
        <v>0</v>
      </c>
      <c r="DY84" s="408">
        <v>357.74281000000008</v>
      </c>
      <c r="DZ84" s="408">
        <v>-39.816010000000006</v>
      </c>
      <c r="EA84" s="408">
        <v>0</v>
      </c>
      <c r="EB84" s="408">
        <v>0</v>
      </c>
      <c r="EC84" s="408">
        <v>361.73622291462584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239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60" customFormat="1">
      <c r="A85" s="408">
        <v>84</v>
      </c>
      <c r="B85" s="408" t="s">
        <v>2236</v>
      </c>
      <c r="C85" s="408" t="s">
        <v>2233</v>
      </c>
      <c r="D85" s="408" t="s">
        <v>2243</v>
      </c>
      <c r="E85" s="408" t="s">
        <v>972</v>
      </c>
      <c r="F85" s="408" t="s">
        <v>1320</v>
      </c>
      <c r="G85" s="408" t="s">
        <v>1320</v>
      </c>
      <c r="H85" s="408" t="s">
        <v>1320</v>
      </c>
      <c r="I85" s="408" t="s">
        <v>1320</v>
      </c>
      <c r="J85" s="408" t="s">
        <v>2234</v>
      </c>
      <c r="K85" s="827">
        <v>44409</v>
      </c>
      <c r="L85" s="408">
        <v>0</v>
      </c>
      <c r="M85" s="408">
        <v>0</v>
      </c>
      <c r="N85" s="408">
        <v>31.35</v>
      </c>
      <c r="O85" s="408">
        <v>31.35</v>
      </c>
      <c r="P85" s="408">
        <v>31.35</v>
      </c>
      <c r="Q85" s="408">
        <v>31.35</v>
      </c>
      <c r="R85" s="408"/>
      <c r="S85" s="408">
        <v>516.83000000000004</v>
      </c>
      <c r="T85" s="408">
        <v>173.82</v>
      </c>
      <c r="U85" s="408"/>
      <c r="V85" s="408">
        <v>21651.877500000002</v>
      </c>
      <c r="W85" s="408">
        <v>21651.877500000002</v>
      </c>
      <c r="X85" s="408">
        <v>16347.4575</v>
      </c>
      <c r="Y85" s="408">
        <v>0</v>
      </c>
      <c r="Z85" s="408">
        <v>1917.0354380140429</v>
      </c>
      <c r="AA85" s="408">
        <v>0</v>
      </c>
      <c r="AB85" s="408">
        <v>0</v>
      </c>
      <c r="AC85" s="408">
        <v>85.223221700803776</v>
      </c>
      <c r="AD85" s="408">
        <v>1079.274271216769</v>
      </c>
      <c r="AE85" s="408">
        <v>11399.355178476015</v>
      </c>
      <c r="AF85" s="408">
        <v>5044.9089492241128</v>
      </c>
      <c r="AG85" s="408">
        <v>253.80538004129198</v>
      </c>
      <c r="AH85" s="408">
        <v>0</v>
      </c>
      <c r="AI85" s="408">
        <v>0</v>
      </c>
      <c r="AJ85" s="408">
        <v>0</v>
      </c>
      <c r="AK85" s="408">
        <v>0</v>
      </c>
      <c r="AL85" s="408">
        <v>296.30442021636316</v>
      </c>
      <c r="AM85" s="408"/>
      <c r="AN85" s="408">
        <v>48.640840911537779</v>
      </c>
      <c r="AO85" s="408">
        <v>181.78309347589604</v>
      </c>
      <c r="AP85" s="408">
        <v>595.31505194793908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17.393375544583524</v>
      </c>
      <c r="BF85" s="408">
        <v>150.65832937940957</v>
      </c>
      <c r="BG85" s="408">
        <v>582.43043251266772</v>
      </c>
      <c r="BH85" s="408">
        <v>0</v>
      </c>
      <c r="BI85" s="408">
        <v>0</v>
      </c>
      <c r="BJ85" s="408">
        <v>0</v>
      </c>
      <c r="BK85" s="408">
        <v>1315.31</v>
      </c>
      <c r="BL85" s="408">
        <v>153</v>
      </c>
      <c r="BM85" s="408"/>
      <c r="BN85" s="408"/>
      <c r="BO85" s="408"/>
      <c r="BP85" s="408"/>
      <c r="BQ85" s="408"/>
      <c r="BR85" s="408">
        <v>1961.5695000000001</v>
      </c>
      <c r="BS85" s="408"/>
      <c r="BT85" s="408"/>
      <c r="BU85" s="408"/>
      <c r="BV85" s="408">
        <v>5795.391086660773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14385.887999999999</v>
      </c>
      <c r="CJ85" s="408">
        <v>-4667.7315000000017</v>
      </c>
      <c r="CK85" s="408"/>
      <c r="CL85" s="408"/>
      <c r="CM85" s="408"/>
      <c r="CN85" s="408"/>
      <c r="CO85" s="408">
        <v>-5968.7265000000016</v>
      </c>
      <c r="CP85" s="408">
        <v>664.30649999999991</v>
      </c>
      <c r="CQ85" s="408">
        <v>31</v>
      </c>
      <c r="CR85" s="408">
        <v>730.63930708915177</v>
      </c>
      <c r="CS85" s="408">
        <v>17.649989922205577</v>
      </c>
      <c r="CT85" s="408">
        <v>57.80133051158009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-20.694229317064128</v>
      </c>
      <c r="DA85" s="408">
        <v>0</v>
      </c>
      <c r="DB85" s="408">
        <v>0</v>
      </c>
      <c r="DC85" s="408">
        <v>647.56982023059845</v>
      </c>
      <c r="DD85" s="408">
        <v>19.338661659586052</v>
      </c>
      <c r="DE85" s="408">
        <v>2.2326319836438273</v>
      </c>
      <c r="DF85" s="408">
        <v>0</v>
      </c>
      <c r="DG85" s="408">
        <v>74.761383064614051</v>
      </c>
      <c r="DH85" s="408">
        <v>0</v>
      </c>
      <c r="DI85" s="408">
        <v>-56.026329777112551</v>
      </c>
      <c r="DJ85" s="408"/>
      <c r="DK85" s="408">
        <v>0</v>
      </c>
      <c r="DL85" s="408">
        <v>0</v>
      </c>
      <c r="DM85" s="408">
        <v>-2.8209536480380279</v>
      </c>
      <c r="DN85" s="408">
        <v>0</v>
      </c>
      <c r="DO85" s="408">
        <v>-7.6741821385076605</v>
      </c>
      <c r="DP85" s="408">
        <v>-1.4988154023508855</v>
      </c>
      <c r="DQ85" s="408">
        <v>0</v>
      </c>
      <c r="DR85" s="408">
        <v>0</v>
      </c>
      <c r="DS85" s="408"/>
      <c r="DT85" s="408"/>
      <c r="DU85" s="408"/>
      <c r="DV85" s="408">
        <v>11399.355178476015</v>
      </c>
      <c r="DW85" s="408">
        <v>0</v>
      </c>
      <c r="DX85" s="408">
        <v>0</v>
      </c>
      <c r="DY85" s="408">
        <v>-5968.7265000000025</v>
      </c>
      <c r="DZ85" s="408">
        <v>664.3065000000006</v>
      </c>
      <c r="EA85" s="408">
        <v>0</v>
      </c>
      <c r="EB85" s="408">
        <v>0</v>
      </c>
      <c r="EC85" s="408">
        <v>-6035.3542247863334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239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60" customFormat="1">
      <c r="A86" s="408">
        <v>85</v>
      </c>
      <c r="B86" s="408" t="s">
        <v>1034</v>
      </c>
      <c r="C86" s="408" t="s">
        <v>2241</v>
      </c>
      <c r="D86" s="408" t="s">
        <v>596</v>
      </c>
      <c r="E86" s="408" t="s">
        <v>972</v>
      </c>
      <c r="F86" s="408" t="s">
        <v>1320</v>
      </c>
      <c r="G86" s="408" t="s">
        <v>1320</v>
      </c>
      <c r="H86" s="408" t="s">
        <v>1320</v>
      </c>
      <c r="I86" s="408" t="s">
        <v>971</v>
      </c>
      <c r="J86" s="408" t="s">
        <v>2234</v>
      </c>
      <c r="K86" s="827">
        <v>44409</v>
      </c>
      <c r="L86" s="408">
        <v>0</v>
      </c>
      <c r="M86" s="408">
        <v>0</v>
      </c>
      <c r="N86" s="408">
        <v>47.832000000000001</v>
      </c>
      <c r="O86" s="408">
        <v>45.91872</v>
      </c>
      <c r="P86" s="408">
        <v>47.832000000000001</v>
      </c>
      <c r="Q86" s="408">
        <v>45.91872</v>
      </c>
      <c r="R86" s="408"/>
      <c r="S86" s="408">
        <v>1684.16</v>
      </c>
      <c r="T86" s="408">
        <v>173.82</v>
      </c>
      <c r="U86" s="408"/>
      <c r="V86" s="408">
        <v>88870.89936000001</v>
      </c>
      <c r="W86" s="408">
        <v>88870.89936000001</v>
      </c>
      <c r="X86" s="408">
        <v>61007.80272</v>
      </c>
      <c r="Y86" s="408">
        <v>0</v>
      </c>
      <c r="Z86" s="408">
        <v>2544.6636680014808</v>
      </c>
      <c r="AA86" s="408">
        <v>0</v>
      </c>
      <c r="AB86" s="408">
        <v>0</v>
      </c>
      <c r="AC86" s="408">
        <v>860.94729409086369</v>
      </c>
      <c r="AD86" s="408">
        <v>13133.994164539241</v>
      </c>
      <c r="AE86" s="408">
        <v>55403.444731267933</v>
      </c>
      <c r="AF86" s="408">
        <v>7697.2275872181099</v>
      </c>
      <c r="AG86" s="408">
        <v>387.24143343333577</v>
      </c>
      <c r="AH86" s="408">
        <v>0</v>
      </c>
      <c r="AI86" s="408">
        <v>0</v>
      </c>
      <c r="AJ86" s="408">
        <v>0</v>
      </c>
      <c r="AK86" s="408">
        <v>0</v>
      </c>
      <c r="AL86" s="408">
        <v>452.08398812724346</v>
      </c>
      <c r="AM86" s="408"/>
      <c r="AN86" s="408">
        <v>59.442293200746448</v>
      </c>
      <c r="AO86" s="408">
        <v>1849.0006620658867</v>
      </c>
      <c r="AP86" s="408">
        <v>5945.4540316915827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8.925146256475621</v>
      </c>
      <c r="BF86" s="408">
        <v>229.86568455744555</v>
      </c>
      <c r="BG86" s="408">
        <v>298.86532266686481</v>
      </c>
      <c r="BH86" s="408">
        <v>0</v>
      </c>
      <c r="BI86" s="408">
        <v>0</v>
      </c>
      <c r="BJ86" s="408">
        <v>0</v>
      </c>
      <c r="BK86" s="408">
        <v>0</v>
      </c>
      <c r="BL86" s="408">
        <v>0</v>
      </c>
      <c r="BM86" s="408"/>
      <c r="BN86" s="408"/>
      <c r="BO86" s="408"/>
      <c r="BP86" s="408"/>
      <c r="BQ86" s="408"/>
      <c r="BR86" s="408">
        <v>2440.3121088000003</v>
      </c>
      <c r="BS86" s="408"/>
      <c r="BT86" s="408"/>
      <c r="BU86" s="408"/>
      <c r="BV86" s="408">
        <v>8234.8837406988951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58569.123200000002</v>
      </c>
      <c r="CJ86" s="408">
        <v>-26746.970185599988</v>
      </c>
      <c r="CK86" s="408"/>
      <c r="CL86" s="408"/>
      <c r="CM86" s="408"/>
      <c r="CN86" s="408"/>
      <c r="CO86" s="408">
        <v>-28876.656720000003</v>
      </c>
      <c r="CP86" s="408">
        <v>1013.5600799999999</v>
      </c>
      <c r="CQ86" s="408">
        <v>31</v>
      </c>
      <c r="CR86" s="408">
        <v>1469.783114479862</v>
      </c>
      <c r="CS86" s="408">
        <v>179.52628282200953</v>
      </c>
      <c r="CT86" s="408">
        <v>577.26602477584584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-251.83393539398639</v>
      </c>
      <c r="DA86" s="408">
        <v>0</v>
      </c>
      <c r="DB86" s="408">
        <v>0</v>
      </c>
      <c r="DC86" s="408">
        <v>988.02423098149939</v>
      </c>
      <c r="DD86" s="408">
        <v>29.505801100520557</v>
      </c>
      <c r="DE86" s="408">
        <v>1.1456411632020504</v>
      </c>
      <c r="DF86" s="408">
        <v>0</v>
      </c>
      <c r="DG86" s="408">
        <v>38.362667239475002</v>
      </c>
      <c r="DH86" s="408">
        <v>0</v>
      </c>
      <c r="DI86" s="408">
        <v>-74.369082077577787</v>
      </c>
      <c r="DJ86" s="408"/>
      <c r="DK86" s="408">
        <v>0</v>
      </c>
      <c r="DL86" s="408">
        <v>0</v>
      </c>
      <c r="DM86" s="408">
        <v>-4.3040464080687002</v>
      </c>
      <c r="DN86" s="408">
        <v>0</v>
      </c>
      <c r="DO86" s="408">
        <v>-11.708819140322078</v>
      </c>
      <c r="DP86" s="408">
        <v>-1.8316505827351861</v>
      </c>
      <c r="DQ86" s="408">
        <v>0</v>
      </c>
      <c r="DR86" s="408">
        <v>0</v>
      </c>
      <c r="DS86" s="408"/>
      <c r="DT86" s="408"/>
      <c r="DU86" s="408"/>
      <c r="DV86" s="408">
        <v>55403.444731267933</v>
      </c>
      <c r="DW86" s="408">
        <v>0</v>
      </c>
      <c r="DX86" s="408">
        <v>0</v>
      </c>
      <c r="DY86" s="408">
        <v>-28876.656720000006</v>
      </c>
      <c r="DZ86" s="408">
        <v>1013.5600799999993</v>
      </c>
      <c r="EA86" s="408">
        <v>0</v>
      </c>
      <c r="EB86" s="408">
        <v>0</v>
      </c>
      <c r="EC86" s="408">
        <v>-29333.186745329313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239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60" customFormat="1">
      <c r="A87" s="408">
        <v>86</v>
      </c>
      <c r="B87" s="408" t="s">
        <v>2236</v>
      </c>
      <c r="C87" s="408" t="s">
        <v>2241</v>
      </c>
      <c r="D87" s="408" t="s">
        <v>596</v>
      </c>
      <c r="E87" s="408" t="s">
        <v>972</v>
      </c>
      <c r="F87" s="408" t="s">
        <v>1320</v>
      </c>
      <c r="G87" s="408" t="s">
        <v>1320</v>
      </c>
      <c r="H87" s="408" t="s">
        <v>1320</v>
      </c>
      <c r="I87" s="408" t="s">
        <v>971</v>
      </c>
      <c r="J87" s="408" t="s">
        <v>2234</v>
      </c>
      <c r="K87" s="827">
        <v>44409</v>
      </c>
      <c r="L87" s="408">
        <v>0</v>
      </c>
      <c r="M87" s="408">
        <v>0</v>
      </c>
      <c r="N87" s="408">
        <v>3.1549999999999998</v>
      </c>
      <c r="O87" s="408">
        <v>3.0287999999999999</v>
      </c>
      <c r="P87" s="408">
        <v>3.1549999999999998</v>
      </c>
      <c r="Q87" s="408">
        <v>3.0287999999999999</v>
      </c>
      <c r="R87" s="408"/>
      <c r="S87" s="408">
        <v>1684.16</v>
      </c>
      <c r="T87" s="408">
        <v>173.82</v>
      </c>
      <c r="U87" s="408"/>
      <c r="V87" s="408">
        <v>5861.9269000000004</v>
      </c>
      <c r="W87" s="408">
        <v>5861.9269000000004</v>
      </c>
      <c r="X87" s="408">
        <v>4024.0763000000002</v>
      </c>
      <c r="Y87" s="408">
        <v>0</v>
      </c>
      <c r="Z87" s="408">
        <v>167.8460836374116</v>
      </c>
      <c r="AA87" s="408">
        <v>0</v>
      </c>
      <c r="AB87" s="408">
        <v>0</v>
      </c>
      <c r="AC87" s="408">
        <v>56.788106557465191</v>
      </c>
      <c r="AD87" s="408">
        <v>866.31860656299762</v>
      </c>
      <c r="AE87" s="408">
        <v>3654.4126970887755</v>
      </c>
      <c r="AF87" s="408">
        <v>507.70933763324001</v>
      </c>
      <c r="AG87" s="408">
        <v>25.542455311970528</v>
      </c>
      <c r="AH87" s="408">
        <v>0</v>
      </c>
      <c r="AI87" s="408">
        <v>0</v>
      </c>
      <c r="AJ87" s="408">
        <v>0</v>
      </c>
      <c r="AK87" s="408">
        <v>0</v>
      </c>
      <c r="AL87" s="408">
        <v>29.8194719547887</v>
      </c>
      <c r="AM87" s="408"/>
      <c r="AN87" s="408">
        <v>3.9208152502164877</v>
      </c>
      <c r="AO87" s="408">
        <v>121.96013314972973</v>
      </c>
      <c r="AP87" s="408">
        <v>392.16230703267564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0.58870288591697162</v>
      </c>
      <c r="BF87" s="408">
        <v>15.161946704690179</v>
      </c>
      <c r="BG87" s="408">
        <v>19.713164680840411</v>
      </c>
      <c r="BH87" s="408">
        <v>0</v>
      </c>
      <c r="BI87" s="408">
        <v>0</v>
      </c>
      <c r="BJ87" s="408">
        <v>0</v>
      </c>
      <c r="BK87" s="408">
        <v>0</v>
      </c>
      <c r="BL87" s="408">
        <v>0</v>
      </c>
      <c r="BM87" s="408"/>
      <c r="BN87" s="408"/>
      <c r="BO87" s="408"/>
      <c r="BP87" s="408"/>
      <c r="BQ87" s="408"/>
      <c r="BR87" s="408">
        <v>160.96305199999983</v>
      </c>
      <c r="BS87" s="408"/>
      <c r="BT87" s="408"/>
      <c r="BU87" s="408"/>
      <c r="BV87" s="408">
        <v>543.17315190468764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3864.6437999999998</v>
      </c>
      <c r="CJ87" s="408">
        <v>-1762.8360240000011</v>
      </c>
      <c r="CK87" s="408"/>
      <c r="CL87" s="408"/>
      <c r="CM87" s="408"/>
      <c r="CN87" s="408"/>
      <c r="CO87" s="408">
        <v>-1904.70505</v>
      </c>
      <c r="CP87" s="408">
        <v>66.854449999999986</v>
      </c>
      <c r="CQ87" s="408">
        <v>31</v>
      </c>
      <c r="CR87" s="408">
        <v>96.946933562969662</v>
      </c>
      <c r="CS87" s="408">
        <v>11.841558419121924</v>
      </c>
      <c r="CT87" s="408">
        <v>38.076482442042845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-16.610973117745971</v>
      </c>
      <c r="DA87" s="408">
        <v>0</v>
      </c>
      <c r="DB87" s="408">
        <v>0</v>
      </c>
      <c r="DC87" s="408">
        <v>65.170104715391972</v>
      </c>
      <c r="DD87" s="408">
        <v>1.9462034301752471</v>
      </c>
      <c r="DE87" s="408">
        <v>7.5566521782540197E-2</v>
      </c>
      <c r="DF87" s="408">
        <v>0</v>
      </c>
      <c r="DG87" s="408">
        <v>2.5304025577133196</v>
      </c>
      <c r="DH87" s="408">
        <v>0</v>
      </c>
      <c r="DI87" s="408">
        <v>-4.9053866439780336</v>
      </c>
      <c r="DJ87" s="408"/>
      <c r="DK87" s="408">
        <v>0</v>
      </c>
      <c r="DL87" s="408">
        <v>0</v>
      </c>
      <c r="DM87" s="408">
        <v>-0.28389501625390423</v>
      </c>
      <c r="DN87" s="408">
        <v>0</v>
      </c>
      <c r="DO87" s="408">
        <v>-0.77231402382748726</v>
      </c>
      <c r="DP87" s="408">
        <v>-0.12081572145278274</v>
      </c>
      <c r="DQ87" s="408">
        <v>0</v>
      </c>
      <c r="DR87" s="408">
        <v>0</v>
      </c>
      <c r="DS87" s="408"/>
      <c r="DT87" s="408"/>
      <c r="DU87" s="408"/>
      <c r="DV87" s="408">
        <v>3654.4126970887755</v>
      </c>
      <c r="DW87" s="408">
        <v>0</v>
      </c>
      <c r="DX87" s="408">
        <v>0</v>
      </c>
      <c r="DY87" s="408">
        <v>-1904.70505</v>
      </c>
      <c r="DZ87" s="408">
        <v>66.854450000000043</v>
      </c>
      <c r="EA87" s="408">
        <v>0</v>
      </c>
      <c r="EB87" s="408">
        <v>0</v>
      </c>
      <c r="EC87" s="408">
        <v>-1934.8177826876145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239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60" customFormat="1">
      <c r="A88" s="408">
        <v>87</v>
      </c>
      <c r="B88" s="408" t="s">
        <v>1034</v>
      </c>
      <c r="C88" s="408" t="s">
        <v>2241</v>
      </c>
      <c r="D88" s="408" t="s">
        <v>596</v>
      </c>
      <c r="E88" s="408" t="s">
        <v>972</v>
      </c>
      <c r="F88" s="408" t="s">
        <v>1320</v>
      </c>
      <c r="G88" s="408" t="s">
        <v>1320</v>
      </c>
      <c r="H88" s="408" t="s">
        <v>1320</v>
      </c>
      <c r="I88" s="408" t="s">
        <v>2242</v>
      </c>
      <c r="J88" s="408" t="s">
        <v>2234</v>
      </c>
      <c r="K88" s="827">
        <v>44409</v>
      </c>
      <c r="L88" s="408">
        <v>0</v>
      </c>
      <c r="M88" s="408">
        <v>0</v>
      </c>
      <c r="N88" s="408">
        <v>522.11300000000006</v>
      </c>
      <c r="O88" s="408">
        <v>501.22848000000005</v>
      </c>
      <c r="P88" s="408">
        <v>522.11300000000006</v>
      </c>
      <c r="Q88" s="408">
        <v>501.22848000000005</v>
      </c>
      <c r="R88" s="408"/>
      <c r="S88" s="408">
        <v>70.33</v>
      </c>
      <c r="T88" s="408">
        <v>173.82</v>
      </c>
      <c r="U88" s="408"/>
      <c r="V88" s="408">
        <v>127473.88895000001</v>
      </c>
      <c r="W88" s="408">
        <v>127473.88895000001</v>
      </c>
      <c r="X88" s="408">
        <v>138010.12929000001</v>
      </c>
      <c r="Y88" s="408">
        <v>0</v>
      </c>
      <c r="Z88" s="408">
        <v>27776.425440944498</v>
      </c>
      <c r="AA88" s="408">
        <v>0</v>
      </c>
      <c r="AB88" s="408">
        <v>0</v>
      </c>
      <c r="AC88" s="408">
        <v>0</v>
      </c>
      <c r="AD88" s="408">
        <v>0</v>
      </c>
      <c r="AE88" s="408">
        <v>0</v>
      </c>
      <c r="AF88" s="408">
        <v>84019.53895394734</v>
      </c>
      <c r="AG88" s="408">
        <v>4226.9565674481364</v>
      </c>
      <c r="AH88" s="408">
        <v>0</v>
      </c>
      <c r="AI88" s="408">
        <v>0</v>
      </c>
      <c r="AJ88" s="408">
        <v>0</v>
      </c>
      <c r="AK88" s="408">
        <v>0</v>
      </c>
      <c r="AL88" s="408">
        <v>4934.7492743995545</v>
      </c>
      <c r="AM88" s="408"/>
      <c r="AN88" s="408">
        <v>648.84583604953446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97.422957171083311</v>
      </c>
      <c r="BF88" s="408">
        <v>2509.1123549368954</v>
      </c>
      <c r="BG88" s="408">
        <v>3262.281949606222</v>
      </c>
      <c r="BH88" s="408">
        <v>0</v>
      </c>
      <c r="BI88" s="408">
        <v>0</v>
      </c>
      <c r="BJ88" s="408">
        <v>0</v>
      </c>
      <c r="BK88" s="408">
        <v>0</v>
      </c>
      <c r="BL88" s="408">
        <v>0</v>
      </c>
      <c r="BM88" s="408"/>
      <c r="BN88" s="408"/>
      <c r="BO88" s="408"/>
      <c r="BP88" s="408"/>
      <c r="BQ88" s="408"/>
      <c r="BR88" s="408">
        <v>5520.4051716000022</v>
      </c>
      <c r="BS88" s="408"/>
      <c r="BT88" s="408"/>
      <c r="BU88" s="408"/>
      <c r="BV88" s="408">
        <v>89888.356215661537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132490.12589999998</v>
      </c>
      <c r="CJ88" s="408">
        <v>10115.162507999994</v>
      </c>
      <c r="CK88" s="408"/>
      <c r="CL88" s="408"/>
      <c r="CM88" s="408"/>
      <c r="CN88" s="408"/>
      <c r="CO88" s="408">
        <v>-527.33413000000269</v>
      </c>
      <c r="CP88" s="408">
        <v>11063.57447</v>
      </c>
      <c r="CQ88" s="408">
        <v>31</v>
      </c>
      <c r="CR88" s="408">
        <v>10531.60103411827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0</v>
      </c>
      <c r="DA88" s="408">
        <v>0</v>
      </c>
      <c r="DB88" s="408">
        <v>0</v>
      </c>
      <c r="DC88" s="408">
        <v>10784.836413080018</v>
      </c>
      <c r="DD88" s="408">
        <v>322.07230159717528</v>
      </c>
      <c r="DE88" s="408">
        <v>12.505313276528511</v>
      </c>
      <c r="DF88" s="408">
        <v>0</v>
      </c>
      <c r="DG88" s="408">
        <v>418.74994314274954</v>
      </c>
      <c r="DH88" s="408">
        <v>0</v>
      </c>
      <c r="DI88" s="408">
        <v>-811.78007507045913</v>
      </c>
      <c r="DJ88" s="408"/>
      <c r="DK88" s="408">
        <v>0</v>
      </c>
      <c r="DL88" s="408">
        <v>0</v>
      </c>
      <c r="DM88" s="408">
        <v>-46.981070878407081</v>
      </c>
      <c r="DN88" s="408">
        <v>0</v>
      </c>
      <c r="DO88" s="408">
        <v>-127.80830171874459</v>
      </c>
      <c r="DP88" s="408">
        <v>-19.99348931057898</v>
      </c>
      <c r="DQ88" s="408">
        <v>0</v>
      </c>
      <c r="DR88" s="408">
        <v>0</v>
      </c>
      <c r="DS88" s="408"/>
      <c r="DT88" s="408"/>
      <c r="DU88" s="408"/>
      <c r="DV88" s="408">
        <v>0</v>
      </c>
      <c r="DW88" s="408">
        <v>0</v>
      </c>
      <c r="DX88" s="408">
        <v>0</v>
      </c>
      <c r="DY88" s="408">
        <v>-527.33413000000292</v>
      </c>
      <c r="DZ88" s="408">
        <v>11063.574470000007</v>
      </c>
      <c r="EA88" s="408">
        <v>0</v>
      </c>
      <c r="EB88" s="408">
        <v>0</v>
      </c>
      <c r="EC88" s="408">
        <v>0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0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239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60" customFormat="1">
      <c r="A89" s="408">
        <v>88</v>
      </c>
      <c r="B89" s="408" t="s">
        <v>2236</v>
      </c>
      <c r="C89" s="408" t="s">
        <v>2241</v>
      </c>
      <c r="D89" s="408" t="s">
        <v>596</v>
      </c>
      <c r="E89" s="408" t="s">
        <v>972</v>
      </c>
      <c r="F89" s="408" t="s">
        <v>1320</v>
      </c>
      <c r="G89" s="408" t="s">
        <v>1320</v>
      </c>
      <c r="H89" s="408" t="s">
        <v>1320</v>
      </c>
      <c r="I89" s="408" t="s">
        <v>2242</v>
      </c>
      <c r="J89" s="408" t="s">
        <v>2234</v>
      </c>
      <c r="K89" s="827">
        <v>44409</v>
      </c>
      <c r="L89" s="408">
        <v>0</v>
      </c>
      <c r="M89" s="408">
        <v>0</v>
      </c>
      <c r="N89" s="408">
        <v>16.981000000000002</v>
      </c>
      <c r="O89" s="408">
        <v>16.301760000000002</v>
      </c>
      <c r="P89" s="408">
        <v>16.981000000000002</v>
      </c>
      <c r="Q89" s="408">
        <v>16.301760000000002</v>
      </c>
      <c r="R89" s="408"/>
      <c r="S89" s="408">
        <v>70.33</v>
      </c>
      <c r="T89" s="408">
        <v>173.82</v>
      </c>
      <c r="U89" s="408"/>
      <c r="V89" s="408">
        <v>4145.9111499999999</v>
      </c>
      <c r="W89" s="408">
        <v>4145.9111499999999</v>
      </c>
      <c r="X89" s="408">
        <v>4488.5877300000002</v>
      </c>
      <c r="Y89" s="408">
        <v>0</v>
      </c>
      <c r="Z89" s="408">
        <v>903.38965015749181</v>
      </c>
      <c r="AA89" s="408">
        <v>0</v>
      </c>
      <c r="AB89" s="408">
        <v>0</v>
      </c>
      <c r="AC89" s="408">
        <v>0</v>
      </c>
      <c r="AD89" s="408">
        <v>0</v>
      </c>
      <c r="AE89" s="408">
        <v>0</v>
      </c>
      <c r="AF89" s="408">
        <v>2732.6187836291756</v>
      </c>
      <c r="AG89" s="408">
        <v>137.47589022268514</v>
      </c>
      <c r="AH89" s="408">
        <v>0</v>
      </c>
      <c r="AI89" s="408">
        <v>0</v>
      </c>
      <c r="AJ89" s="408">
        <v>0</v>
      </c>
      <c r="AK89" s="408">
        <v>0</v>
      </c>
      <c r="AL89" s="408">
        <v>160.49586474303231</v>
      </c>
      <c r="AM89" s="408"/>
      <c r="AN89" s="408">
        <v>21.102809433891025</v>
      </c>
      <c r="AO89" s="408">
        <v>0</v>
      </c>
      <c r="AP89" s="408">
        <v>0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3.1685463409686516</v>
      </c>
      <c r="BF89" s="408">
        <v>81.605393658429151</v>
      </c>
      <c r="BG89" s="408">
        <v>106.10118841374043</v>
      </c>
      <c r="BH89" s="408">
        <v>0</v>
      </c>
      <c r="BI89" s="408">
        <v>0</v>
      </c>
      <c r="BJ89" s="408">
        <v>0</v>
      </c>
      <c r="BK89" s="408">
        <v>0</v>
      </c>
      <c r="BL89" s="408">
        <v>0</v>
      </c>
      <c r="BM89" s="408"/>
      <c r="BN89" s="408"/>
      <c r="BO89" s="408"/>
      <c r="BP89" s="408"/>
      <c r="BQ89" s="408"/>
      <c r="BR89" s="408">
        <v>179.54350920000002</v>
      </c>
      <c r="BS89" s="408"/>
      <c r="BT89" s="408"/>
      <c r="BU89" s="408"/>
      <c r="BV89" s="408">
        <v>2923.4939120423137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4308.5789999999997</v>
      </c>
      <c r="CJ89" s="408">
        <v>328.47429599999941</v>
      </c>
      <c r="CK89" s="408"/>
      <c r="CL89" s="408"/>
      <c r="CM89" s="408"/>
      <c r="CN89" s="408"/>
      <c r="CO89" s="408">
        <v>-17.150810000000089</v>
      </c>
      <c r="CP89" s="408">
        <v>359.82738999999998</v>
      </c>
      <c r="CQ89" s="408">
        <v>31</v>
      </c>
      <c r="CR89" s="408">
        <v>342.52569302117172</v>
      </c>
      <c r="CS89" s="408">
        <v>0</v>
      </c>
      <c r="CT89" s="408">
        <v>0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0</v>
      </c>
      <c r="DA89" s="408">
        <v>0</v>
      </c>
      <c r="DB89" s="408">
        <v>0</v>
      </c>
      <c r="DC89" s="408">
        <v>350.76182192458691</v>
      </c>
      <c r="DD89" s="408">
        <v>10.474954183139729</v>
      </c>
      <c r="DE89" s="408">
        <v>0.40671794180327003</v>
      </c>
      <c r="DF89" s="408">
        <v>0</v>
      </c>
      <c r="DG89" s="408">
        <v>13.619260168789197</v>
      </c>
      <c r="DH89" s="408">
        <v>0</v>
      </c>
      <c r="DI89" s="408">
        <v>-26.402019208047818</v>
      </c>
      <c r="DJ89" s="408"/>
      <c r="DK89" s="408">
        <v>0</v>
      </c>
      <c r="DL89" s="408">
        <v>0</v>
      </c>
      <c r="DM89" s="408">
        <v>-1.5279940637107927</v>
      </c>
      <c r="DN89" s="408">
        <v>0</v>
      </c>
      <c r="DO89" s="408">
        <v>-4.1567874607335966</v>
      </c>
      <c r="DP89" s="408">
        <v>-0.65026046465600729</v>
      </c>
      <c r="DQ89" s="408">
        <v>0</v>
      </c>
      <c r="DR89" s="408">
        <v>0</v>
      </c>
      <c r="DS89" s="408"/>
      <c r="DT89" s="408"/>
      <c r="DU89" s="408"/>
      <c r="DV89" s="408">
        <v>0</v>
      </c>
      <c r="DW89" s="408">
        <v>0</v>
      </c>
      <c r="DX89" s="408">
        <v>0</v>
      </c>
      <c r="DY89" s="408">
        <v>-17.150810000000092</v>
      </c>
      <c r="DZ89" s="408">
        <v>359.82738999999992</v>
      </c>
      <c r="EA89" s="408">
        <v>0</v>
      </c>
      <c r="EB89" s="408">
        <v>0</v>
      </c>
      <c r="EC89" s="408">
        <v>0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239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60" customFormat="1">
      <c r="A90" s="408">
        <v>89</v>
      </c>
      <c r="B90" s="408" t="s">
        <v>1034</v>
      </c>
      <c r="C90" s="408" t="s">
        <v>2241</v>
      </c>
      <c r="D90" s="408" t="s">
        <v>596</v>
      </c>
      <c r="E90" s="408" t="s">
        <v>972</v>
      </c>
      <c r="F90" s="408" t="s">
        <v>1320</v>
      </c>
      <c r="G90" s="408" t="s">
        <v>1320</v>
      </c>
      <c r="H90" s="408" t="s">
        <v>1320</v>
      </c>
      <c r="I90" s="408" t="s">
        <v>1320</v>
      </c>
      <c r="J90" s="408" t="s">
        <v>2234</v>
      </c>
      <c r="K90" s="827">
        <v>44409</v>
      </c>
      <c r="L90" s="408">
        <v>2131</v>
      </c>
      <c r="M90" s="408">
        <v>2045.76</v>
      </c>
      <c r="N90" s="408">
        <v>0</v>
      </c>
      <c r="O90" s="408">
        <v>0</v>
      </c>
      <c r="P90" s="408">
        <v>0</v>
      </c>
      <c r="Q90" s="408">
        <v>0</v>
      </c>
      <c r="R90" s="408">
        <v>59.12</v>
      </c>
      <c r="S90" s="408"/>
      <c r="T90" s="408"/>
      <c r="U90" s="408">
        <v>125984.72</v>
      </c>
      <c r="V90" s="408"/>
      <c r="W90" s="408">
        <v>125984.72</v>
      </c>
      <c r="X90" s="408">
        <v>72517.930000000008</v>
      </c>
      <c r="Y90" s="408">
        <v>0</v>
      </c>
      <c r="Z90" s="408">
        <v>0</v>
      </c>
      <c r="AA90" s="408">
        <v>0</v>
      </c>
      <c r="AB90" s="408">
        <v>0</v>
      </c>
      <c r="AC90" s="408">
        <v>1219.0606342640765</v>
      </c>
      <c r="AD90" s="408">
        <v>10904.375268674583</v>
      </c>
      <c r="AE90" s="408">
        <v>102632.79101047244</v>
      </c>
      <c r="AF90" s="408"/>
      <c r="AG90" s="408"/>
      <c r="AH90" s="408"/>
      <c r="AI90" s="408">
        <v>0</v>
      </c>
      <c r="AJ90" s="408">
        <v>0</v>
      </c>
      <c r="AK90" s="408">
        <v>0</v>
      </c>
      <c r="AL90" s="408">
        <v>0</v>
      </c>
      <c r="AM90" s="408"/>
      <c r="AN90" s="408">
        <v>0</v>
      </c>
      <c r="AO90" s="408">
        <v>2574.4016785355179</v>
      </c>
      <c r="AP90" s="408">
        <v>8653.9651382264929</v>
      </c>
      <c r="AQ90" s="408">
        <v>0</v>
      </c>
      <c r="AR90" s="408">
        <v>0</v>
      </c>
      <c r="AS90" s="408"/>
      <c r="AT90" s="408"/>
      <c r="AU90" s="408">
        <v>0</v>
      </c>
      <c r="AV90" s="408">
        <v>0</v>
      </c>
      <c r="AW90" s="408">
        <v>0</v>
      </c>
      <c r="AX90" s="408"/>
      <c r="AY90" s="408"/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/>
      <c r="BG90" s="408">
        <v>0</v>
      </c>
      <c r="BH90" s="408">
        <v>0</v>
      </c>
      <c r="BI90" s="408">
        <v>0</v>
      </c>
      <c r="BJ90" s="408">
        <v>0</v>
      </c>
      <c r="BK90" s="408">
        <v>8011.65</v>
      </c>
      <c r="BL90" s="408">
        <v>15</v>
      </c>
      <c r="BM90" s="408"/>
      <c r="BN90" s="408"/>
      <c r="BO90" s="408"/>
      <c r="BP90" s="408"/>
      <c r="BQ90" s="408"/>
      <c r="BR90" s="408">
        <v>2900.7172000000005</v>
      </c>
      <c r="BS90" s="408"/>
      <c r="BT90" s="408"/>
      <c r="BU90" s="408"/>
      <c r="BV90" s="408">
        <v>0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69617.212800000008</v>
      </c>
      <c r="CJ90" s="408">
        <v>-51328.148399999976</v>
      </c>
      <c r="CK90" s="408"/>
      <c r="CL90" s="408"/>
      <c r="CM90" s="408"/>
      <c r="CN90" s="408"/>
      <c r="CO90" s="408">
        <v>-53466.789999999994</v>
      </c>
      <c r="CP90" s="408">
        <v>0</v>
      </c>
      <c r="CQ90" s="408">
        <v>31</v>
      </c>
      <c r="CR90" s="408">
        <v>881.12072122982863</v>
      </c>
      <c r="CS90" s="408">
        <v>249.95813864222146</v>
      </c>
      <c r="CT90" s="408">
        <v>840.2453416112985</v>
      </c>
      <c r="CU90" s="408">
        <v>0</v>
      </c>
      <c r="CV90" s="408">
        <v>0</v>
      </c>
      <c r="CW90" s="408"/>
      <c r="CX90" s="408"/>
      <c r="CY90" s="408"/>
      <c r="CZ90" s="408">
        <v>-209.08275902369132</v>
      </c>
      <c r="DA90" s="408">
        <v>0</v>
      </c>
      <c r="DB90" s="408">
        <v>0</v>
      </c>
      <c r="DC90" s="408"/>
      <c r="DD90" s="408"/>
      <c r="DE90" s="408">
        <v>0</v>
      </c>
      <c r="DF90" s="408">
        <v>0</v>
      </c>
      <c r="DG90" s="408">
        <v>0</v>
      </c>
      <c r="DH90" s="408">
        <v>0</v>
      </c>
      <c r="DI90" s="408">
        <v>0</v>
      </c>
      <c r="DJ90" s="408"/>
      <c r="DK90" s="408">
        <v>0</v>
      </c>
      <c r="DL90" s="408">
        <v>0</v>
      </c>
      <c r="DM90" s="408"/>
      <c r="DN90" s="408">
        <v>0</v>
      </c>
      <c r="DO90" s="408">
        <v>0</v>
      </c>
      <c r="DP90" s="408">
        <v>0</v>
      </c>
      <c r="DQ90" s="408">
        <v>0</v>
      </c>
      <c r="DR90" s="408">
        <v>0</v>
      </c>
      <c r="DS90" s="408"/>
      <c r="DT90" s="408"/>
      <c r="DU90" s="408">
        <v>102632.79101047244</v>
      </c>
      <c r="DV90" s="408"/>
      <c r="DW90" s="408">
        <v>0</v>
      </c>
      <c r="DX90" s="408">
        <v>0</v>
      </c>
      <c r="DY90" s="408">
        <v>-53466.789999999994</v>
      </c>
      <c r="DZ90" s="408"/>
      <c r="EA90" s="408">
        <v>0</v>
      </c>
      <c r="EB90" s="408"/>
      <c r="EC90" s="408">
        <v>-54338.621713994136</v>
      </c>
      <c r="ED90" s="408"/>
      <c r="EE90" s="408">
        <v>0</v>
      </c>
      <c r="EF90" s="408">
        <v>0</v>
      </c>
      <c r="EG90" s="408"/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/>
      <c r="EN90" s="408"/>
      <c r="EO90" s="408">
        <v>0</v>
      </c>
      <c r="EP90" s="408">
        <v>0</v>
      </c>
      <c r="EQ90" s="408"/>
      <c r="ER90" s="408">
        <v>0</v>
      </c>
      <c r="ES90" s="408"/>
      <c r="ET90" s="408">
        <v>0</v>
      </c>
      <c r="EU90" s="408"/>
      <c r="EV90" s="408">
        <v>239</v>
      </c>
      <c r="EW90" s="408"/>
      <c r="EX90" s="408"/>
      <c r="EY90" s="408"/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60" customFormat="1">
      <c r="A91" s="408">
        <v>90</v>
      </c>
      <c r="B91" s="408" t="s">
        <v>2236</v>
      </c>
      <c r="C91" s="408" t="s">
        <v>2241</v>
      </c>
      <c r="D91" s="408" t="s">
        <v>596</v>
      </c>
      <c r="E91" s="408" t="s">
        <v>972</v>
      </c>
      <c r="F91" s="408" t="s">
        <v>1320</v>
      </c>
      <c r="G91" s="408" t="s">
        <v>1320</v>
      </c>
      <c r="H91" s="408" t="s">
        <v>1320</v>
      </c>
      <c r="I91" s="408" t="s">
        <v>1320</v>
      </c>
      <c r="J91" s="408" t="s">
        <v>2234</v>
      </c>
      <c r="K91" s="827">
        <v>44409</v>
      </c>
      <c r="L91" s="408">
        <v>170</v>
      </c>
      <c r="M91" s="408">
        <v>163.19999999999999</v>
      </c>
      <c r="N91" s="408">
        <v>0</v>
      </c>
      <c r="O91" s="408">
        <v>0</v>
      </c>
      <c r="P91" s="408">
        <v>0</v>
      </c>
      <c r="Q91" s="408">
        <v>0</v>
      </c>
      <c r="R91" s="408">
        <v>59.12</v>
      </c>
      <c r="S91" s="408"/>
      <c r="T91" s="408"/>
      <c r="U91" s="408">
        <v>10050.4</v>
      </c>
      <c r="V91" s="408"/>
      <c r="W91" s="408">
        <v>10050.4</v>
      </c>
      <c r="X91" s="408">
        <v>5785.1</v>
      </c>
      <c r="Y91" s="408">
        <v>0</v>
      </c>
      <c r="Z91" s="408">
        <v>0</v>
      </c>
      <c r="AA91" s="408">
        <v>0</v>
      </c>
      <c r="AB91" s="408">
        <v>0</v>
      </c>
      <c r="AC91" s="408">
        <v>97.250261766725941</v>
      </c>
      <c r="AD91" s="408">
        <v>869.89385062162319</v>
      </c>
      <c r="AE91" s="408">
        <v>8187.5056179166195</v>
      </c>
      <c r="AF91" s="408"/>
      <c r="AG91" s="408"/>
      <c r="AH91" s="408"/>
      <c r="AI91" s="408">
        <v>0</v>
      </c>
      <c r="AJ91" s="408">
        <v>0</v>
      </c>
      <c r="AK91" s="408">
        <v>0</v>
      </c>
      <c r="AL91" s="408">
        <v>0</v>
      </c>
      <c r="AM91" s="408"/>
      <c r="AN91" s="408">
        <v>0</v>
      </c>
      <c r="AO91" s="408">
        <v>205.3722596673102</v>
      </c>
      <c r="AP91" s="408">
        <v>690.3679368833898</v>
      </c>
      <c r="AQ91" s="408">
        <v>0</v>
      </c>
      <c r="AR91" s="408">
        <v>0</v>
      </c>
      <c r="AS91" s="408"/>
      <c r="AT91" s="408"/>
      <c r="AU91" s="408">
        <v>0</v>
      </c>
      <c r="AV91" s="408">
        <v>0</v>
      </c>
      <c r="AW91" s="408">
        <v>0</v>
      </c>
      <c r="AX91" s="408"/>
      <c r="AY91" s="408"/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/>
      <c r="BG91" s="408">
        <v>0</v>
      </c>
      <c r="BH91" s="408">
        <v>0</v>
      </c>
      <c r="BI91" s="408">
        <v>0</v>
      </c>
      <c r="BJ91" s="408">
        <v>0</v>
      </c>
      <c r="BK91" s="408">
        <v>7.1</v>
      </c>
      <c r="BL91" s="408">
        <v>1</v>
      </c>
      <c r="BM91" s="408"/>
      <c r="BN91" s="408"/>
      <c r="BO91" s="408"/>
      <c r="BP91" s="408"/>
      <c r="BQ91" s="408"/>
      <c r="BR91" s="408">
        <v>231.40400000000039</v>
      </c>
      <c r="BS91" s="408"/>
      <c r="BT91" s="408"/>
      <c r="BU91" s="408"/>
      <c r="BV91" s="408">
        <v>0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5553.6959999999999</v>
      </c>
      <c r="CJ91" s="408">
        <v>-4094.7179999999989</v>
      </c>
      <c r="CK91" s="408"/>
      <c r="CL91" s="408"/>
      <c r="CM91" s="408"/>
      <c r="CN91" s="408"/>
      <c r="CO91" s="408">
        <v>-4265.2999999999993</v>
      </c>
      <c r="CP91" s="408">
        <v>0</v>
      </c>
      <c r="CQ91" s="408">
        <v>31</v>
      </c>
      <c r="CR91" s="408">
        <v>70.291188460380681</v>
      </c>
      <c r="CS91" s="408">
        <v>19.940348929693897</v>
      </c>
      <c r="CT91" s="408">
        <v>67.030365121501973</v>
      </c>
      <c r="CU91" s="408">
        <v>0</v>
      </c>
      <c r="CV91" s="408">
        <v>0</v>
      </c>
      <c r="CW91" s="408"/>
      <c r="CX91" s="408"/>
      <c r="CY91" s="408"/>
      <c r="CZ91" s="408">
        <v>-16.679525590815274</v>
      </c>
      <c r="DA91" s="408">
        <v>0</v>
      </c>
      <c r="DB91" s="408">
        <v>0</v>
      </c>
      <c r="DC91" s="408"/>
      <c r="DD91" s="408"/>
      <c r="DE91" s="408">
        <v>0</v>
      </c>
      <c r="DF91" s="408">
        <v>0</v>
      </c>
      <c r="DG91" s="408">
        <v>0</v>
      </c>
      <c r="DH91" s="408">
        <v>0</v>
      </c>
      <c r="DI91" s="408">
        <v>0</v>
      </c>
      <c r="DJ91" s="408"/>
      <c r="DK91" s="408">
        <v>0</v>
      </c>
      <c r="DL91" s="408">
        <v>0</v>
      </c>
      <c r="DM91" s="408"/>
      <c r="DN91" s="408">
        <v>0</v>
      </c>
      <c r="DO91" s="408">
        <v>0</v>
      </c>
      <c r="DP91" s="408">
        <v>0</v>
      </c>
      <c r="DQ91" s="408">
        <v>0</v>
      </c>
      <c r="DR91" s="408">
        <v>0</v>
      </c>
      <c r="DS91" s="408"/>
      <c r="DT91" s="408"/>
      <c r="DU91" s="408">
        <v>8187.5056179166195</v>
      </c>
      <c r="DV91" s="408"/>
      <c r="DW91" s="408">
        <v>0</v>
      </c>
      <c r="DX91" s="408">
        <v>0</v>
      </c>
      <c r="DY91" s="408">
        <v>-4265.2999999999993</v>
      </c>
      <c r="DZ91" s="408"/>
      <c r="EA91" s="408">
        <v>0</v>
      </c>
      <c r="EB91" s="408"/>
      <c r="EC91" s="408">
        <v>-4334.8501601966236</v>
      </c>
      <c r="ED91" s="408"/>
      <c r="EE91" s="408">
        <v>0</v>
      </c>
      <c r="EF91" s="408">
        <v>0</v>
      </c>
      <c r="EG91" s="408"/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/>
      <c r="EN91" s="408"/>
      <c r="EO91" s="408">
        <v>0</v>
      </c>
      <c r="EP91" s="408">
        <v>0</v>
      </c>
      <c r="EQ91" s="408"/>
      <c r="ER91" s="408">
        <v>0</v>
      </c>
      <c r="ES91" s="408"/>
      <c r="ET91" s="408">
        <v>0</v>
      </c>
      <c r="EU91" s="408"/>
      <c r="EV91" s="408">
        <v>239</v>
      </c>
      <c r="EW91" s="408"/>
      <c r="EX91" s="408"/>
      <c r="EY91" s="408"/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60" customFormat="1">
      <c r="A92" s="408">
        <v>91</v>
      </c>
      <c r="B92" s="408" t="s">
        <v>1034</v>
      </c>
      <c r="C92" s="408" t="s">
        <v>2233</v>
      </c>
      <c r="D92" s="408" t="s">
        <v>1956</v>
      </c>
      <c r="E92" s="408" t="s">
        <v>2244</v>
      </c>
      <c r="F92" s="408" t="s">
        <v>1320</v>
      </c>
      <c r="G92" s="408" t="s">
        <v>1320</v>
      </c>
      <c r="H92" s="408" t="s">
        <v>1320</v>
      </c>
      <c r="I92" s="408" t="s">
        <v>1320</v>
      </c>
      <c r="J92" s="408" t="s">
        <v>2234</v>
      </c>
      <c r="K92" s="827">
        <v>44409</v>
      </c>
      <c r="L92" s="408">
        <v>0</v>
      </c>
      <c r="M92" s="408">
        <v>0</v>
      </c>
      <c r="N92" s="408">
        <v>189.196</v>
      </c>
      <c r="O92" s="408">
        <v>189.196</v>
      </c>
      <c r="P92" s="408">
        <v>189.196</v>
      </c>
      <c r="Q92" s="408">
        <v>189.196</v>
      </c>
      <c r="R92" s="408"/>
      <c r="S92" s="408">
        <v>516.83000000000004</v>
      </c>
      <c r="T92" s="408">
        <v>173.82</v>
      </c>
      <c r="U92" s="408"/>
      <c r="V92" s="408">
        <v>130668.21739999999</v>
      </c>
      <c r="W92" s="408">
        <v>130668.21739999999</v>
      </c>
      <c r="X92" s="408">
        <v>98656.254199999996</v>
      </c>
      <c r="Y92" s="408">
        <v>0</v>
      </c>
      <c r="Z92" s="408">
        <v>11569.232431595052</v>
      </c>
      <c r="AA92" s="408">
        <v>0</v>
      </c>
      <c r="AB92" s="408">
        <v>0</v>
      </c>
      <c r="AC92" s="408">
        <v>514.31874490925907</v>
      </c>
      <c r="AD92" s="408">
        <v>6513.3771935287987</v>
      </c>
      <c r="AE92" s="408">
        <v>68794.653982358781</v>
      </c>
      <c r="AF92" s="408">
        <v>30445.82435589809</v>
      </c>
      <c r="AG92" s="408">
        <v>1531.7053487174569</v>
      </c>
      <c r="AH92" s="408">
        <v>0</v>
      </c>
      <c r="AI92" s="408">
        <v>0</v>
      </c>
      <c r="AJ92" s="408">
        <v>0</v>
      </c>
      <c r="AK92" s="408">
        <v>0</v>
      </c>
      <c r="AL92" s="408">
        <v>1788.1853616349297</v>
      </c>
      <c r="AM92" s="408"/>
      <c r="AN92" s="408">
        <v>293.54553547366191</v>
      </c>
      <c r="AO92" s="408">
        <v>1097.0537209973086</v>
      </c>
      <c r="AP92" s="408">
        <v>3592.7026018609977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104.96832789579025</v>
      </c>
      <c r="BF92" s="408">
        <v>909.21701069431481</v>
      </c>
      <c r="BG92" s="408">
        <v>3514.9444373099418</v>
      </c>
      <c r="BH92" s="408">
        <v>0</v>
      </c>
      <c r="BI92" s="408">
        <v>0</v>
      </c>
      <c r="BJ92" s="408">
        <v>0</v>
      </c>
      <c r="BK92" s="408">
        <v>49968.61</v>
      </c>
      <c r="BL92" s="408">
        <v>250</v>
      </c>
      <c r="BM92" s="408"/>
      <c r="BN92" s="408"/>
      <c r="BO92" s="408"/>
      <c r="BP92" s="408"/>
      <c r="BQ92" s="408"/>
      <c r="BR92" s="408"/>
      <c r="BS92" s="408"/>
      <c r="BT92" s="408"/>
      <c r="BU92" s="408"/>
      <c r="BV92" s="408">
        <v>34974.954131798135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98658.34</v>
      </c>
      <c r="CJ92" s="408">
        <v>-32009.907399999982</v>
      </c>
      <c r="CK92" s="408"/>
      <c r="CL92" s="408"/>
      <c r="CM92" s="408"/>
      <c r="CN92" s="408"/>
      <c r="CO92" s="408">
        <v>-36021.026440000009</v>
      </c>
      <c r="CP92" s="408">
        <v>4009.0632399999995</v>
      </c>
      <c r="CQ92" s="408">
        <v>31</v>
      </c>
      <c r="CR92" s="408">
        <v>4409.3790859342771</v>
      </c>
      <c r="CS92" s="408">
        <v>106.51698543290604</v>
      </c>
      <c r="CT92" s="408">
        <v>348.82872495913534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-124.88884879972284</v>
      </c>
      <c r="DA92" s="408">
        <v>0</v>
      </c>
      <c r="DB92" s="408">
        <v>0</v>
      </c>
      <c r="DC92" s="408">
        <v>3908.0580449233894</v>
      </c>
      <c r="DD92" s="408">
        <v>116.70805203658813</v>
      </c>
      <c r="DE92" s="408">
        <v>13.47384500087648</v>
      </c>
      <c r="DF92" s="408">
        <v>0</v>
      </c>
      <c r="DG92" s="408">
        <v>451.18196587855573</v>
      </c>
      <c r="DH92" s="408">
        <v>0</v>
      </c>
      <c r="DI92" s="408">
        <v>-338.11666630018044</v>
      </c>
      <c r="DJ92" s="408"/>
      <c r="DK92" s="408">
        <v>0</v>
      </c>
      <c r="DL92" s="408">
        <v>0</v>
      </c>
      <c r="DM92" s="408">
        <v>-17.02434278769374</v>
      </c>
      <c r="DN92" s="408">
        <v>0</v>
      </c>
      <c r="DO92" s="408">
        <v>-46.313383217770252</v>
      </c>
      <c r="DP92" s="408">
        <v>-9.0452911918079053</v>
      </c>
      <c r="DQ92" s="408">
        <v>0</v>
      </c>
      <c r="DR92" s="408">
        <v>0</v>
      </c>
      <c r="DS92" s="408"/>
      <c r="DT92" s="408"/>
      <c r="DU92" s="408"/>
      <c r="DV92" s="408">
        <v>68794.653982358781</v>
      </c>
      <c r="DW92" s="408">
        <v>0</v>
      </c>
      <c r="DX92" s="408">
        <v>0</v>
      </c>
      <c r="DY92" s="408">
        <v>-36021.026440000001</v>
      </c>
      <c r="DZ92" s="408">
        <v>4009.0632399999959</v>
      </c>
      <c r="EA92" s="408">
        <v>0</v>
      </c>
      <c r="EB92" s="408">
        <v>0</v>
      </c>
      <c r="EC92" s="408">
        <v>-36423.122102477668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239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60" customFormat="1">
      <c r="A93" s="408">
        <v>92</v>
      </c>
      <c r="B93" s="408" t="s">
        <v>2235</v>
      </c>
      <c r="C93" s="408" t="s">
        <v>2233</v>
      </c>
      <c r="D93" s="408" t="s">
        <v>1956</v>
      </c>
      <c r="E93" s="408" t="s">
        <v>2244</v>
      </c>
      <c r="F93" s="408" t="s">
        <v>1320</v>
      </c>
      <c r="G93" s="408" t="s">
        <v>1320</v>
      </c>
      <c r="H93" s="408" t="s">
        <v>1320</v>
      </c>
      <c r="I93" s="408" t="s">
        <v>1320</v>
      </c>
      <c r="J93" s="408" t="s">
        <v>2234</v>
      </c>
      <c r="K93" s="827">
        <v>44409</v>
      </c>
      <c r="L93" s="408">
        <v>0</v>
      </c>
      <c r="M93" s="408">
        <v>0</v>
      </c>
      <c r="N93" s="408">
        <v>-5.8999999999999997E-2</v>
      </c>
      <c r="O93" s="408">
        <v>-5.8999999999999997E-2</v>
      </c>
      <c r="P93" s="408">
        <v>-5.8999999999999997E-2</v>
      </c>
      <c r="Q93" s="408">
        <v>-5.8999999999999997E-2</v>
      </c>
      <c r="R93" s="408"/>
      <c r="S93" s="408">
        <v>516.83000000000004</v>
      </c>
      <c r="T93" s="408">
        <v>173.82</v>
      </c>
      <c r="U93" s="408"/>
      <c r="V93" s="408">
        <v>-40.748350000000002</v>
      </c>
      <c r="W93" s="408">
        <v>-40.748350000000002</v>
      </c>
      <c r="X93" s="408">
        <v>-30.765549999999998</v>
      </c>
      <c r="Y93" s="408">
        <v>0</v>
      </c>
      <c r="Z93" s="408">
        <v>-3.6078178897233979</v>
      </c>
      <c r="AA93" s="408">
        <v>0</v>
      </c>
      <c r="AB93" s="408">
        <v>0</v>
      </c>
      <c r="AC93" s="408">
        <v>-0.16038820033006132</v>
      </c>
      <c r="AD93" s="408">
        <v>-2.0311700798018939</v>
      </c>
      <c r="AE93" s="408">
        <v>-21.453331914835239</v>
      </c>
      <c r="AF93" s="408">
        <v>-9.4944059969449004</v>
      </c>
      <c r="AG93" s="408">
        <v>-0.47765605813193701</v>
      </c>
      <c r="AH93" s="408">
        <v>0</v>
      </c>
      <c r="AI93" s="408">
        <v>0</v>
      </c>
      <c r="AJ93" s="408">
        <v>0</v>
      </c>
      <c r="AK93" s="408">
        <v>0</v>
      </c>
      <c r="AL93" s="408">
        <v>-0.55763830279953508</v>
      </c>
      <c r="AM93" s="408"/>
      <c r="AN93" s="408">
        <v>-9.1540976516131703E-2</v>
      </c>
      <c r="AO93" s="408">
        <v>-0.34211172296899095</v>
      </c>
      <c r="AP93" s="408">
        <v>-1.1203696352449251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-3.2733944406074258E-2</v>
      </c>
      <c r="BF93" s="408">
        <v>-0.28353561191021254</v>
      </c>
      <c r="BG93" s="408">
        <v>-1.0961210691625962</v>
      </c>
      <c r="BH93" s="408">
        <v>0</v>
      </c>
      <c r="BI93" s="408">
        <v>0</v>
      </c>
      <c r="BJ93" s="408">
        <v>0</v>
      </c>
      <c r="BK93" s="408">
        <v>-16.61</v>
      </c>
      <c r="BL93" s="408">
        <v>0</v>
      </c>
      <c r="BM93" s="408"/>
      <c r="BN93" s="408"/>
      <c r="BO93" s="408"/>
      <c r="BP93" s="408"/>
      <c r="BQ93" s="408"/>
      <c r="BR93" s="408"/>
      <c r="BS93" s="408"/>
      <c r="BT93" s="408"/>
      <c r="BU93" s="408"/>
      <c r="BV93" s="408">
        <v>-10.906796622423782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-31.286999999999999</v>
      </c>
      <c r="CJ93" s="408">
        <v>9.4313499999999948</v>
      </c>
      <c r="CK93" s="408"/>
      <c r="CL93" s="408"/>
      <c r="CM93" s="408"/>
      <c r="CN93" s="408"/>
      <c r="CO93" s="408">
        <v>11.233010000000002</v>
      </c>
      <c r="CP93" s="408">
        <v>-1.2502099999999998</v>
      </c>
      <c r="CQ93" s="408">
        <v>31</v>
      </c>
      <c r="CR93" s="408">
        <v>-1.3750468618264833</v>
      </c>
      <c r="CS93" s="408">
        <v>-3.3216886934932299E-2</v>
      </c>
      <c r="CT93" s="408">
        <v>-0.10878081340297374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3.8946077502609144E-2</v>
      </c>
      <c r="DA93" s="408">
        <v>0</v>
      </c>
      <c r="DB93" s="408">
        <v>0</v>
      </c>
      <c r="DC93" s="408">
        <v>-1.2187119423797537</v>
      </c>
      <c r="DD93" s="408">
        <v>-3.6394929439093338E-2</v>
      </c>
      <c r="DE93" s="408">
        <v>-4.2017635417858287E-3</v>
      </c>
      <c r="DF93" s="408">
        <v>0</v>
      </c>
      <c r="DG93" s="408">
        <v>-0.14069925361442515</v>
      </c>
      <c r="DH93" s="408">
        <v>0</v>
      </c>
      <c r="DI93" s="408">
        <v>0.10544030165389628</v>
      </c>
      <c r="DJ93" s="408"/>
      <c r="DK93" s="408">
        <v>0</v>
      </c>
      <c r="DL93" s="408">
        <v>0</v>
      </c>
      <c r="DM93" s="408">
        <v>5.3089717778068146E-3</v>
      </c>
      <c r="DN93" s="408">
        <v>0</v>
      </c>
      <c r="DO93" s="408">
        <v>1.444263943132218E-2</v>
      </c>
      <c r="DP93" s="408">
        <v>2.820737120851749E-3</v>
      </c>
      <c r="DQ93" s="408">
        <v>0</v>
      </c>
      <c r="DR93" s="408">
        <v>0</v>
      </c>
      <c r="DS93" s="408"/>
      <c r="DT93" s="408"/>
      <c r="DU93" s="408"/>
      <c r="DV93" s="408">
        <v>-21.453331914835239</v>
      </c>
      <c r="DW93" s="408">
        <v>0</v>
      </c>
      <c r="DX93" s="408">
        <v>0</v>
      </c>
      <c r="DY93" s="408">
        <v>11.23301</v>
      </c>
      <c r="DZ93" s="408">
        <v>-1.2502099999999992</v>
      </c>
      <c r="EA93" s="408">
        <v>0</v>
      </c>
      <c r="EB93" s="408">
        <v>0</v>
      </c>
      <c r="EC93" s="408">
        <v>11.358401890347482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239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60" customFormat="1">
      <c r="A94" s="408">
        <v>93</v>
      </c>
      <c r="B94" s="408" t="s">
        <v>1034</v>
      </c>
      <c r="C94" s="408" t="s">
        <v>2245</v>
      </c>
      <c r="D94" s="408" t="s">
        <v>596</v>
      </c>
      <c r="E94" s="408" t="s">
        <v>2244</v>
      </c>
      <c r="F94" s="408" t="s">
        <v>1320</v>
      </c>
      <c r="G94" s="408" t="s">
        <v>1320</v>
      </c>
      <c r="H94" s="408" t="s">
        <v>1320</v>
      </c>
      <c r="I94" s="408" t="s">
        <v>971</v>
      </c>
      <c r="J94" s="408" t="s">
        <v>2234</v>
      </c>
      <c r="K94" s="827">
        <v>44409</v>
      </c>
      <c r="L94" s="408">
        <v>512</v>
      </c>
      <c r="M94" s="408">
        <v>512</v>
      </c>
      <c r="N94" s="408">
        <v>26.559000000000001</v>
      </c>
      <c r="O94" s="408">
        <v>26.559000000000001</v>
      </c>
      <c r="P94" s="408">
        <v>26.559000000000001</v>
      </c>
      <c r="Q94" s="408">
        <v>26.559000000000001</v>
      </c>
      <c r="R94" s="408">
        <v>67.099999999999994</v>
      </c>
      <c r="S94" s="408">
        <v>70.33</v>
      </c>
      <c r="T94" s="408">
        <v>173.82</v>
      </c>
      <c r="U94" s="408">
        <v>34355.199999999997</v>
      </c>
      <c r="V94" s="408">
        <v>6484.3798500000003</v>
      </c>
      <c r="W94" s="408">
        <v>40839.579849999995</v>
      </c>
      <c r="X94" s="408">
        <v>28544.820469999999</v>
      </c>
      <c r="Y94" s="408">
        <v>0</v>
      </c>
      <c r="Z94" s="408">
        <v>1412.939504065298</v>
      </c>
      <c r="AA94" s="408">
        <v>0</v>
      </c>
      <c r="AB94" s="408">
        <v>0</v>
      </c>
      <c r="AC94" s="408">
        <v>383.19006010063157</v>
      </c>
      <c r="AD94" s="408">
        <v>5845.6233680053247</v>
      </c>
      <c r="AE94" s="408">
        <v>24658.84044925476</v>
      </c>
      <c r="AF94" s="408">
        <v>4273.9309978450783</v>
      </c>
      <c r="AG94" s="408">
        <v>215.01808894790028</v>
      </c>
      <c r="AH94" s="408">
        <v>0</v>
      </c>
      <c r="AI94" s="408">
        <v>0</v>
      </c>
      <c r="AJ94" s="408">
        <v>0</v>
      </c>
      <c r="AK94" s="408">
        <v>0</v>
      </c>
      <c r="AL94" s="408">
        <v>251.0222997297094</v>
      </c>
      <c r="AM94" s="408"/>
      <c r="AN94" s="408">
        <v>33.005683749762191</v>
      </c>
      <c r="AO94" s="408">
        <v>822.93775570336254</v>
      </c>
      <c r="AP94" s="408">
        <v>2646.1681504144794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4.9557400783102539</v>
      </c>
      <c r="BF94" s="408">
        <v>127.63427655463281</v>
      </c>
      <c r="BG94" s="408">
        <v>165.94673241155007</v>
      </c>
      <c r="BH94" s="408">
        <v>0</v>
      </c>
      <c r="BI94" s="408">
        <v>0</v>
      </c>
      <c r="BJ94" s="408">
        <v>0</v>
      </c>
      <c r="BK94" s="408">
        <v>0</v>
      </c>
      <c r="BL94" s="408">
        <v>0</v>
      </c>
      <c r="BM94" s="408"/>
      <c r="BN94" s="408"/>
      <c r="BO94" s="408"/>
      <c r="BP94" s="408"/>
      <c r="BQ94" s="408"/>
      <c r="BR94" s="408"/>
      <c r="BS94" s="408"/>
      <c r="BT94" s="408"/>
      <c r="BU94" s="408"/>
      <c r="BV94" s="408">
        <v>4572.4677468895716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28545.084800000001</v>
      </c>
      <c r="CJ94" s="408">
        <v>-12294.52505</v>
      </c>
      <c r="CK94" s="408"/>
      <c r="CL94" s="408"/>
      <c r="CM94" s="408"/>
      <c r="CN94" s="408"/>
      <c r="CO94" s="408">
        <v>-12857.544589999998</v>
      </c>
      <c r="CP94" s="408">
        <v>562.78521000000001</v>
      </c>
      <c r="CQ94" s="408">
        <v>31</v>
      </c>
      <c r="CR94" s="408">
        <v>760.46769496835441</v>
      </c>
      <c r="CS94" s="408">
        <v>79.902056990202937</v>
      </c>
      <c r="CT94" s="408">
        <v>256.92620966134791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-112.08519808619531</v>
      </c>
      <c r="DA94" s="408">
        <v>0</v>
      </c>
      <c r="DB94" s="408">
        <v>0</v>
      </c>
      <c r="DC94" s="408">
        <v>548.60627928243866</v>
      </c>
      <c r="DD94" s="408">
        <v>16.38327001648949</v>
      </c>
      <c r="DE94" s="408">
        <v>0.63612401014975806</v>
      </c>
      <c r="DF94" s="408">
        <v>0</v>
      </c>
      <c r="DG94" s="408">
        <v>21.30109715699146</v>
      </c>
      <c r="DH94" s="408">
        <v>0</v>
      </c>
      <c r="DI94" s="408">
        <v>-41.293871276517621</v>
      </c>
      <c r="DJ94" s="408"/>
      <c r="DK94" s="408">
        <v>0</v>
      </c>
      <c r="DL94" s="408">
        <v>0</v>
      </c>
      <c r="DM94" s="408">
        <v>-2.3898471431656105</v>
      </c>
      <c r="DN94" s="408">
        <v>0</v>
      </c>
      <c r="DO94" s="408">
        <v>-6.5013908585845286</v>
      </c>
      <c r="DP94" s="408">
        <v>-1.0170347848064871</v>
      </c>
      <c r="DQ94" s="408">
        <v>0</v>
      </c>
      <c r="DR94" s="408">
        <v>0</v>
      </c>
      <c r="DS94" s="408"/>
      <c r="DT94" s="408"/>
      <c r="DU94" s="408">
        <v>24658.84044925476</v>
      </c>
      <c r="DV94" s="408">
        <v>0</v>
      </c>
      <c r="DW94" s="408">
        <v>0</v>
      </c>
      <c r="DX94" s="408">
        <v>0</v>
      </c>
      <c r="DY94" s="408">
        <v>-12857.544589999998</v>
      </c>
      <c r="DZ94" s="408">
        <v>562.78521000000001</v>
      </c>
      <c r="EA94" s="408">
        <v>0</v>
      </c>
      <c r="EB94" s="408">
        <v>0</v>
      </c>
      <c r="EC94" s="408">
        <v>-13055.548717768654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239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60" customFormat="1">
      <c r="A95" s="408">
        <v>94</v>
      </c>
      <c r="B95" s="408" t="s">
        <v>1034</v>
      </c>
      <c r="C95" s="408" t="s">
        <v>2245</v>
      </c>
      <c r="D95" s="408" t="s">
        <v>596</v>
      </c>
      <c r="E95" s="408" t="s">
        <v>2244</v>
      </c>
      <c r="F95" s="408" t="s">
        <v>1320</v>
      </c>
      <c r="G95" s="408" t="s">
        <v>1320</v>
      </c>
      <c r="H95" s="408" t="s">
        <v>1320</v>
      </c>
      <c r="I95" s="408" t="s">
        <v>2242</v>
      </c>
      <c r="J95" s="408" t="s">
        <v>2234</v>
      </c>
      <c r="K95" s="827">
        <v>44409</v>
      </c>
      <c r="L95" s="408">
        <v>508</v>
      </c>
      <c r="M95" s="408">
        <v>508</v>
      </c>
      <c r="N95" s="408">
        <v>156.22200000000001</v>
      </c>
      <c r="O95" s="408">
        <v>156.22200000000001</v>
      </c>
      <c r="P95" s="408">
        <v>156.22200000000001</v>
      </c>
      <c r="Q95" s="408">
        <v>156.22200000000001</v>
      </c>
      <c r="R95" s="408">
        <v>59.12</v>
      </c>
      <c r="S95" s="408">
        <v>70.33</v>
      </c>
      <c r="T95" s="408">
        <v>173.82</v>
      </c>
      <c r="U95" s="408">
        <v>30032.959999999999</v>
      </c>
      <c r="V95" s="408">
        <v>38141.601300000002</v>
      </c>
      <c r="W95" s="408">
        <v>68174.561300000001</v>
      </c>
      <c r="X95" s="408">
        <v>58581.401259999999</v>
      </c>
      <c r="Y95" s="408">
        <v>0</v>
      </c>
      <c r="Z95" s="408">
        <v>8311.0145413640948</v>
      </c>
      <c r="AA95" s="408">
        <v>0</v>
      </c>
      <c r="AB95" s="408">
        <v>0</v>
      </c>
      <c r="AC95" s="408">
        <v>290.6066645735105</v>
      </c>
      <c r="AD95" s="408">
        <v>2599.4475065634388</v>
      </c>
      <c r="AE95" s="408">
        <v>24466.193258244955</v>
      </c>
      <c r="AF95" s="408">
        <v>25139.577858554683</v>
      </c>
      <c r="AG95" s="408">
        <v>1264.7522832794486</v>
      </c>
      <c r="AH95" s="408">
        <v>0</v>
      </c>
      <c r="AI95" s="408">
        <v>0</v>
      </c>
      <c r="AJ95" s="408">
        <v>0</v>
      </c>
      <c r="AK95" s="408">
        <v>0</v>
      </c>
      <c r="AL95" s="408">
        <v>1476.5317108465929</v>
      </c>
      <c r="AM95" s="408"/>
      <c r="AN95" s="408">
        <v>194.14187005366725</v>
      </c>
      <c r="AO95" s="408">
        <v>613.70063477055044</v>
      </c>
      <c r="AP95" s="408">
        <v>2062.9818349221296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29.150029237312566</v>
      </c>
      <c r="BF95" s="408">
        <v>750.75424345486829</v>
      </c>
      <c r="BG95" s="408">
        <v>976.11093907139491</v>
      </c>
      <c r="BH95" s="408">
        <v>0</v>
      </c>
      <c r="BI95" s="408">
        <v>0</v>
      </c>
      <c r="BJ95" s="408">
        <v>0</v>
      </c>
      <c r="BK95" s="408">
        <v>0</v>
      </c>
      <c r="BL95" s="408">
        <v>0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26895.593070318257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58580.872600000002</v>
      </c>
      <c r="CJ95" s="408">
        <v>-9593.7186999999831</v>
      </c>
      <c r="CK95" s="408"/>
      <c r="CL95" s="408"/>
      <c r="CM95" s="408"/>
      <c r="CN95" s="408"/>
      <c r="CO95" s="408">
        <v>-12903.504219999999</v>
      </c>
      <c r="CP95" s="408">
        <v>3310.3441799999996</v>
      </c>
      <c r="CQ95" s="408">
        <v>31</v>
      </c>
      <c r="CR95" s="408">
        <v>3361.2184384515858</v>
      </c>
      <c r="CS95" s="408">
        <v>59.586454448732411</v>
      </c>
      <c r="CT95" s="408">
        <v>200.30250283366468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-49.842347059613076</v>
      </c>
      <c r="DA95" s="408">
        <v>0</v>
      </c>
      <c r="DB95" s="408">
        <v>0</v>
      </c>
      <c r="DC95" s="408">
        <v>3226.9426620754239</v>
      </c>
      <c r="DD95" s="408">
        <v>96.367604522610804</v>
      </c>
      <c r="DE95" s="408">
        <v>3.741728420257374</v>
      </c>
      <c r="DF95" s="408">
        <v>0</v>
      </c>
      <c r="DG95" s="408">
        <v>125.29462705898266</v>
      </c>
      <c r="DH95" s="408">
        <v>0</v>
      </c>
      <c r="DI95" s="408">
        <v>-242.89360136150208</v>
      </c>
      <c r="DJ95" s="408"/>
      <c r="DK95" s="408">
        <v>0</v>
      </c>
      <c r="DL95" s="408">
        <v>0</v>
      </c>
      <c r="DM95" s="408">
        <v>-14.057257441907268</v>
      </c>
      <c r="DN95" s="408">
        <v>0</v>
      </c>
      <c r="DO95" s="408">
        <v>-38.24166130915296</v>
      </c>
      <c r="DP95" s="408">
        <v>-5.9822737359101836</v>
      </c>
      <c r="DQ95" s="408">
        <v>0</v>
      </c>
      <c r="DR95" s="408">
        <v>0</v>
      </c>
      <c r="DS95" s="408"/>
      <c r="DT95" s="408"/>
      <c r="DU95" s="408">
        <v>24466.193258244955</v>
      </c>
      <c r="DV95" s="408">
        <v>0</v>
      </c>
      <c r="DW95" s="408">
        <v>0</v>
      </c>
      <c r="DX95" s="408">
        <v>0</v>
      </c>
      <c r="DY95" s="408">
        <v>-12903.504219999999</v>
      </c>
      <c r="DZ95" s="408">
        <v>3310.3441800000001</v>
      </c>
      <c r="EA95" s="408">
        <v>0</v>
      </c>
      <c r="EB95" s="408">
        <v>0</v>
      </c>
      <c r="EC95" s="408">
        <v>-12953.552243411084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239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60" customFormat="1">
      <c r="A96" s="408">
        <v>95</v>
      </c>
      <c r="B96" s="408" t="s">
        <v>1034</v>
      </c>
      <c r="C96" s="408" t="s">
        <v>2245</v>
      </c>
      <c r="D96" s="408" t="s">
        <v>596</v>
      </c>
      <c r="E96" s="408" t="s">
        <v>2244</v>
      </c>
      <c r="F96" s="408" t="s">
        <v>1320</v>
      </c>
      <c r="G96" s="408" t="s">
        <v>1320</v>
      </c>
      <c r="H96" s="408" t="s">
        <v>1320</v>
      </c>
      <c r="I96" s="408" t="s">
        <v>1320</v>
      </c>
      <c r="J96" s="408" t="s">
        <v>2234</v>
      </c>
      <c r="K96" s="827">
        <v>44409</v>
      </c>
      <c r="L96" s="408">
        <v>0</v>
      </c>
      <c r="M96" s="408">
        <v>0</v>
      </c>
      <c r="N96" s="408">
        <v>0</v>
      </c>
      <c r="O96" s="408">
        <v>0</v>
      </c>
      <c r="P96" s="408">
        <v>0</v>
      </c>
      <c r="Q96" s="408">
        <v>0</v>
      </c>
      <c r="R96" s="408"/>
      <c r="S96" s="408"/>
      <c r="T96" s="408"/>
      <c r="U96" s="408"/>
      <c r="V96" s="408"/>
      <c r="W96" s="408"/>
      <c r="X96" s="408"/>
      <c r="Y96" s="408"/>
      <c r="Z96" s="408"/>
      <c r="AA96" s="408">
        <v>0</v>
      </c>
      <c r="AB96" s="408"/>
      <c r="AC96" s="408"/>
      <c r="AD96" s="408"/>
      <c r="AE96" s="408"/>
      <c r="AF96" s="408"/>
      <c r="AG96" s="408"/>
      <c r="AH96" s="408"/>
      <c r="AI96" s="408"/>
      <c r="AJ96" s="408"/>
      <c r="AK96" s="408"/>
      <c r="AL96" s="408"/>
      <c r="AM96" s="408"/>
      <c r="AN96" s="408"/>
      <c r="AO96" s="408"/>
      <c r="AP96" s="408"/>
      <c r="AQ96" s="408"/>
      <c r="AR96" s="408"/>
      <c r="AS96" s="408"/>
      <c r="AT96" s="408"/>
      <c r="AU96" s="408"/>
      <c r="AV96" s="408"/>
      <c r="AW96" s="408"/>
      <c r="AX96" s="408"/>
      <c r="AY96" s="408"/>
      <c r="AZ96" s="408">
        <v>0</v>
      </c>
      <c r="BA96" s="408"/>
      <c r="BB96" s="408"/>
      <c r="BC96" s="408"/>
      <c r="BD96" s="408"/>
      <c r="BE96" s="408"/>
      <c r="BF96" s="408"/>
      <c r="BG96" s="408"/>
      <c r="BH96" s="408"/>
      <c r="BI96" s="408">
        <v>0</v>
      </c>
      <c r="BJ96" s="408">
        <v>0</v>
      </c>
      <c r="BK96" s="408">
        <v>0</v>
      </c>
      <c r="BL96" s="408">
        <v>1</v>
      </c>
      <c r="BM96" s="408"/>
      <c r="BN96" s="408"/>
      <c r="BO96" s="408"/>
      <c r="BP96" s="408"/>
      <c r="BQ96" s="408"/>
      <c r="BR96" s="408"/>
      <c r="BS96" s="408"/>
      <c r="BT96" s="408"/>
      <c r="BU96" s="408"/>
      <c r="BV96" s="408"/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/>
      <c r="CJ96" s="408">
        <v>-0.03</v>
      </c>
      <c r="CK96" s="408"/>
      <c r="CL96" s="408"/>
      <c r="CM96" s="408"/>
      <c r="CN96" s="408"/>
      <c r="CO96" s="408">
        <v>0</v>
      </c>
      <c r="CP96" s="408">
        <v>0</v>
      </c>
      <c r="CQ96" s="408">
        <v>31</v>
      </c>
      <c r="CR96" s="408"/>
      <c r="CS96" s="408"/>
      <c r="CT96" s="408"/>
      <c r="CU96" s="408"/>
      <c r="CV96" s="408"/>
      <c r="CW96" s="408"/>
      <c r="CX96" s="408"/>
      <c r="CY96" s="408"/>
      <c r="CZ96" s="408"/>
      <c r="DA96" s="408"/>
      <c r="DB96" s="408"/>
      <c r="DC96" s="408"/>
      <c r="DD96" s="408"/>
      <c r="DE96" s="408"/>
      <c r="DF96" s="408"/>
      <c r="DG96" s="408"/>
      <c r="DH96" s="408"/>
      <c r="DI96" s="408"/>
      <c r="DJ96" s="408"/>
      <c r="DK96" s="408">
        <v>0</v>
      </c>
      <c r="DL96" s="408"/>
      <c r="DM96" s="408"/>
      <c r="DN96" s="408"/>
      <c r="DO96" s="408"/>
      <c r="DP96" s="408"/>
      <c r="DQ96" s="408"/>
      <c r="DR96" s="408"/>
      <c r="DS96" s="408"/>
      <c r="DT96" s="408"/>
      <c r="DU96" s="408"/>
      <c r="DV96" s="408"/>
      <c r="DW96" s="408"/>
      <c r="DX96" s="408"/>
      <c r="DY96" s="408"/>
      <c r="DZ96" s="408"/>
      <c r="EA96" s="408"/>
      <c r="EB96" s="408"/>
      <c r="EC96" s="408"/>
      <c r="ED96" s="408"/>
      <c r="EE96" s="408"/>
      <c r="EF96" s="408"/>
      <c r="EG96" s="408"/>
      <c r="EH96" s="408"/>
      <c r="EI96" s="408"/>
      <c r="EJ96" s="408"/>
      <c r="EK96" s="408"/>
      <c r="EL96" s="408"/>
      <c r="EM96" s="408"/>
      <c r="EN96" s="408"/>
      <c r="EO96" s="408"/>
      <c r="EP96" s="408"/>
      <c r="EQ96" s="408"/>
      <c r="ER96" s="408"/>
      <c r="ES96" s="408"/>
      <c r="ET96" s="408"/>
      <c r="EU96" s="408"/>
      <c r="EV96" s="408">
        <v>239</v>
      </c>
      <c r="EW96" s="408"/>
      <c r="EX96" s="408"/>
      <c r="EY96" s="408"/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60" customFormat="1">
      <c r="A97" s="408">
        <v>96</v>
      </c>
      <c r="B97" s="408" t="s">
        <v>1034</v>
      </c>
      <c r="C97" s="408" t="s">
        <v>2233</v>
      </c>
      <c r="D97" s="408" t="s">
        <v>2246</v>
      </c>
      <c r="E97" s="408" t="s">
        <v>2247</v>
      </c>
      <c r="F97" s="408" t="s">
        <v>2248</v>
      </c>
      <c r="G97" s="408" t="s">
        <v>1320</v>
      </c>
      <c r="H97" s="408" t="s">
        <v>1320</v>
      </c>
      <c r="I97" s="408" t="s">
        <v>1320</v>
      </c>
      <c r="J97" s="408" t="s">
        <v>2234</v>
      </c>
      <c r="K97" s="827">
        <v>44409</v>
      </c>
      <c r="L97" s="408">
        <v>0</v>
      </c>
      <c r="M97" s="408">
        <v>0</v>
      </c>
      <c r="N97" s="408">
        <v>298.56299999999999</v>
      </c>
      <c r="O97" s="408">
        <v>298.56299999999999</v>
      </c>
      <c r="P97" s="408">
        <v>298.56299999999999</v>
      </c>
      <c r="Q97" s="408">
        <v>298.56299999999999</v>
      </c>
      <c r="R97" s="408"/>
      <c r="S97" s="408">
        <v>284.26</v>
      </c>
      <c r="T97" s="408">
        <v>95.6</v>
      </c>
      <c r="U97" s="408"/>
      <c r="V97" s="408">
        <v>113412.14117999999</v>
      </c>
      <c r="W97" s="408">
        <v>113412.14117999999</v>
      </c>
      <c r="X97" s="408">
        <v>85624.882769999997</v>
      </c>
      <c r="Y97" s="408">
        <v>0</v>
      </c>
      <c r="Z97" s="408">
        <v>10041.330727715576</v>
      </c>
      <c r="AA97" s="408">
        <v>0</v>
      </c>
      <c r="AB97" s="408">
        <v>0</v>
      </c>
      <c r="AC97" s="408">
        <v>446.39474983608949</v>
      </c>
      <c r="AD97" s="408">
        <v>5653.181828724425</v>
      </c>
      <c r="AE97" s="408">
        <v>59709.222458795201</v>
      </c>
      <c r="AF97" s="408">
        <v>26424.967554512303</v>
      </c>
      <c r="AG97" s="408">
        <v>1329.4192224783901</v>
      </c>
      <c r="AH97" s="408">
        <v>0</v>
      </c>
      <c r="AI97" s="408">
        <v>0</v>
      </c>
      <c r="AJ97" s="408">
        <v>0</v>
      </c>
      <c r="AK97" s="408">
        <v>0</v>
      </c>
      <c r="AL97" s="408">
        <v>1552.0269581238247</v>
      </c>
      <c r="AM97" s="408"/>
      <c r="AN97" s="408">
        <v>254.77816465037714</v>
      </c>
      <c r="AO97" s="408">
        <v>952.17027609550723</v>
      </c>
      <c r="AP97" s="408">
        <v>3118.2289097321504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91.105585661710265</v>
      </c>
      <c r="BF97" s="408">
        <v>789.14039990359151</v>
      </c>
      <c r="BG97" s="408">
        <v>3050.7399512680527</v>
      </c>
      <c r="BH97" s="408">
        <v>0</v>
      </c>
      <c r="BI97" s="408">
        <v>0</v>
      </c>
      <c r="BJ97" s="408">
        <v>0</v>
      </c>
      <c r="BK97" s="408">
        <v>28490.98</v>
      </c>
      <c r="BL97" s="408">
        <v>15</v>
      </c>
      <c r="BM97" s="408"/>
      <c r="BN97" s="408"/>
      <c r="BO97" s="408"/>
      <c r="BP97" s="408"/>
      <c r="BQ97" s="408"/>
      <c r="BR97" s="408"/>
      <c r="BS97" s="408"/>
      <c r="BT97" s="408"/>
      <c r="BU97" s="408"/>
      <c r="BV97" s="408">
        <v>30355.953491345655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85624.022400000002</v>
      </c>
      <c r="CJ97" s="408">
        <v>-27788.148779999974</v>
      </c>
      <c r="CK97" s="408"/>
      <c r="CL97" s="408"/>
      <c r="CM97" s="408"/>
      <c r="CN97" s="408"/>
      <c r="CO97" s="408">
        <v>-31265.517359999998</v>
      </c>
      <c r="CP97" s="408">
        <v>3478.2589500000017</v>
      </c>
      <c r="CQ97" s="408">
        <v>31</v>
      </c>
      <c r="CR97" s="408">
        <v>3827.0502358324957</v>
      </c>
      <c r="CS97" s="408">
        <v>92.449718265675983</v>
      </c>
      <c r="CT97" s="408">
        <v>302.76032704436057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-108.39528399280789</v>
      </c>
      <c r="DA97" s="408">
        <v>0</v>
      </c>
      <c r="DB97" s="408">
        <v>0</v>
      </c>
      <c r="DC97" s="408">
        <v>3391.9366357456347</v>
      </c>
      <c r="DD97" s="408">
        <v>101.29489194861378</v>
      </c>
      <c r="DE97" s="408">
        <v>11.694408823379874</v>
      </c>
      <c r="DF97" s="408">
        <v>0</v>
      </c>
      <c r="DG97" s="408">
        <v>391.59618968281484</v>
      </c>
      <c r="DH97" s="408">
        <v>0</v>
      </c>
      <c r="DI97" s="408">
        <v>-293.4629666183373</v>
      </c>
      <c r="DJ97" s="408"/>
      <c r="DK97" s="408">
        <v>0</v>
      </c>
      <c r="DL97" s="408">
        <v>0</v>
      </c>
      <c r="DM97" s="408">
        <v>-14.776006737178704</v>
      </c>
      <c r="DN97" s="408">
        <v>0</v>
      </c>
      <c r="DO97" s="408">
        <v>-40.196962137179071</v>
      </c>
      <c r="DP97" s="408">
        <v>-7.8507161924932234</v>
      </c>
      <c r="DQ97" s="408">
        <v>0</v>
      </c>
      <c r="DR97" s="408">
        <v>0</v>
      </c>
      <c r="DS97" s="408"/>
      <c r="DT97" s="408"/>
      <c r="DU97" s="408"/>
      <c r="DV97" s="408">
        <v>59709.222458795201</v>
      </c>
      <c r="DW97" s="408">
        <v>0</v>
      </c>
      <c r="DX97" s="408">
        <v>0</v>
      </c>
      <c r="DY97" s="408">
        <v>-31265.517359999998</v>
      </c>
      <c r="DZ97" s="408">
        <v>3478.2589500000031</v>
      </c>
      <c r="EA97" s="408">
        <v>0</v>
      </c>
      <c r="EB97" s="408">
        <v>0</v>
      </c>
      <c r="EC97" s="408">
        <v>-31612.867779208365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239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60" customFormat="1">
      <c r="A98" s="408">
        <v>97</v>
      </c>
      <c r="B98" s="408" t="s">
        <v>1034</v>
      </c>
      <c r="C98" s="408" t="s">
        <v>2233</v>
      </c>
      <c r="D98" s="408" t="s">
        <v>1956</v>
      </c>
      <c r="E98" s="408" t="s">
        <v>999</v>
      </c>
      <c r="F98" s="408" t="s">
        <v>2249</v>
      </c>
      <c r="G98" s="408" t="s">
        <v>1320</v>
      </c>
      <c r="H98" s="408" t="s">
        <v>1320</v>
      </c>
      <c r="I98" s="408" t="s">
        <v>1320</v>
      </c>
      <c r="J98" s="408" t="s">
        <v>2234</v>
      </c>
      <c r="K98" s="827">
        <v>44409</v>
      </c>
      <c r="L98" s="408">
        <v>0</v>
      </c>
      <c r="M98" s="408">
        <v>0</v>
      </c>
      <c r="N98" s="408">
        <v>8.6240000000000006</v>
      </c>
      <c r="O98" s="408">
        <v>8.10656</v>
      </c>
      <c r="P98" s="408">
        <v>8.6240000000000006</v>
      </c>
      <c r="Q98" s="408">
        <v>8.10656</v>
      </c>
      <c r="R98" s="408"/>
      <c r="S98" s="408">
        <v>516.83000000000004</v>
      </c>
      <c r="T98" s="408">
        <v>173.82</v>
      </c>
      <c r="U98" s="408"/>
      <c r="V98" s="408">
        <v>5956.1656000000012</v>
      </c>
      <c r="W98" s="408">
        <v>5956.1656000000012</v>
      </c>
      <c r="X98" s="408">
        <v>4496.9848000000002</v>
      </c>
      <c r="Y98" s="408">
        <v>0</v>
      </c>
      <c r="Z98" s="408">
        <v>527.35290645719635</v>
      </c>
      <c r="AA98" s="408">
        <v>0</v>
      </c>
      <c r="AB98" s="408">
        <v>0</v>
      </c>
      <c r="AC98" s="408">
        <v>23.443861688922865</v>
      </c>
      <c r="AD98" s="408">
        <v>296.89509776629717</v>
      </c>
      <c r="AE98" s="408">
        <v>3135.8226175176123</v>
      </c>
      <c r="AF98" s="408">
        <v>1387.7924969093699</v>
      </c>
      <c r="AG98" s="408">
        <v>69.818743141183475</v>
      </c>
      <c r="AH98" s="408">
        <v>0</v>
      </c>
      <c r="AI98" s="408">
        <v>0</v>
      </c>
      <c r="AJ98" s="408">
        <v>0</v>
      </c>
      <c r="AK98" s="408">
        <v>0</v>
      </c>
      <c r="AL98" s="408">
        <v>81.509707175308321</v>
      </c>
      <c r="AM98" s="408"/>
      <c r="AN98" s="408">
        <v>13.380497991103727</v>
      </c>
      <c r="AO98" s="408">
        <v>50.006296591264039</v>
      </c>
      <c r="AP98" s="408">
        <v>163.76385990427517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4.7847040094573625</v>
      </c>
      <c r="BF98" s="408">
        <v>41.444256222265643</v>
      </c>
      <c r="BG98" s="408">
        <v>160.21945932980054</v>
      </c>
      <c r="BH98" s="408">
        <v>0</v>
      </c>
      <c r="BI98" s="408">
        <v>0</v>
      </c>
      <c r="BJ98" s="408">
        <v>0</v>
      </c>
      <c r="BK98" s="408">
        <v>2306.62</v>
      </c>
      <c r="BL98" s="408">
        <v>8</v>
      </c>
      <c r="BM98" s="408"/>
      <c r="BN98" s="408"/>
      <c r="BO98" s="408"/>
      <c r="BP98" s="408"/>
      <c r="BQ98" s="408">
        <v>269.81908800000031</v>
      </c>
      <c r="BR98" s="408"/>
      <c r="BS98" s="408"/>
      <c r="BT98" s="408"/>
      <c r="BU98" s="408"/>
      <c r="BV98" s="408">
        <v>1594.2409164708934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4228.9594999999999</v>
      </c>
      <c r="CJ98" s="408">
        <v>-1369.8661640000018</v>
      </c>
      <c r="CK98" s="408"/>
      <c r="CL98" s="408"/>
      <c r="CM98" s="408"/>
      <c r="CN98" s="408"/>
      <c r="CO98" s="408">
        <v>-1641.9233600000005</v>
      </c>
      <c r="CP98" s="408">
        <v>182.74256</v>
      </c>
      <c r="CQ98" s="408">
        <v>31</v>
      </c>
      <c r="CR98" s="408">
        <v>200.98990061680661</v>
      </c>
      <c r="CS98" s="408">
        <v>4.8552954733365468</v>
      </c>
      <c r="CT98" s="408">
        <v>15.900436182834653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-5.6927283454660937</v>
      </c>
      <c r="DA98" s="408">
        <v>0</v>
      </c>
      <c r="DB98" s="408">
        <v>0</v>
      </c>
      <c r="DC98" s="408">
        <v>178.13850493361019</v>
      </c>
      <c r="DD98" s="408">
        <v>5.3198283302159552</v>
      </c>
      <c r="DE98" s="408">
        <v>0.61416964041289912</v>
      </c>
      <c r="DF98" s="408">
        <v>0</v>
      </c>
      <c r="DG98" s="408">
        <v>20.56593835882714</v>
      </c>
      <c r="DH98" s="408">
        <v>0</v>
      </c>
      <c r="DI98" s="408">
        <v>-15.412155279037279</v>
      </c>
      <c r="DJ98" s="408"/>
      <c r="DK98" s="408">
        <v>0</v>
      </c>
      <c r="DL98" s="408">
        <v>0</v>
      </c>
      <c r="DM98" s="408">
        <v>-0.77600970528483515</v>
      </c>
      <c r="DN98" s="408">
        <v>0</v>
      </c>
      <c r="DO98" s="408">
        <v>-2.1110732619613941</v>
      </c>
      <c r="DP98" s="408">
        <v>-0.4123057106817889</v>
      </c>
      <c r="DQ98" s="408">
        <v>0</v>
      </c>
      <c r="DR98" s="408">
        <v>0</v>
      </c>
      <c r="DS98" s="408"/>
      <c r="DT98" s="408"/>
      <c r="DU98" s="408"/>
      <c r="DV98" s="408">
        <v>3135.8226175176123</v>
      </c>
      <c r="DW98" s="408">
        <v>0</v>
      </c>
      <c r="DX98" s="408">
        <v>0</v>
      </c>
      <c r="DY98" s="408">
        <v>-1641.9233600000007</v>
      </c>
      <c r="DZ98" s="408">
        <v>182.74255999999991</v>
      </c>
      <c r="EA98" s="408">
        <v>0</v>
      </c>
      <c r="EB98" s="408">
        <v>0</v>
      </c>
      <c r="EC98" s="408">
        <v>-1660.2518288535034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239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60" customFormat="1">
      <c r="A99" s="408">
        <v>98</v>
      </c>
      <c r="B99" s="408" t="s">
        <v>1034</v>
      </c>
      <c r="C99" s="408" t="s">
        <v>2245</v>
      </c>
      <c r="D99" s="408" t="s">
        <v>596</v>
      </c>
      <c r="E99" s="408" t="s">
        <v>999</v>
      </c>
      <c r="F99" s="408" t="s">
        <v>2249</v>
      </c>
      <c r="G99" s="408" t="s">
        <v>1320</v>
      </c>
      <c r="H99" s="408" t="s">
        <v>1320</v>
      </c>
      <c r="I99" s="408" t="s">
        <v>971</v>
      </c>
      <c r="J99" s="408" t="s">
        <v>2234</v>
      </c>
      <c r="K99" s="827">
        <v>44409</v>
      </c>
      <c r="L99" s="408">
        <v>100</v>
      </c>
      <c r="M99" s="408">
        <v>94</v>
      </c>
      <c r="N99" s="408">
        <v>3.46</v>
      </c>
      <c r="O99" s="408">
        <v>3.2524000000000002</v>
      </c>
      <c r="P99" s="408">
        <v>3.46</v>
      </c>
      <c r="Q99" s="408">
        <v>3.2524000000000002</v>
      </c>
      <c r="R99" s="408">
        <v>67.099999999999994</v>
      </c>
      <c r="S99" s="408">
        <v>70.33</v>
      </c>
      <c r="T99" s="408">
        <v>173.82</v>
      </c>
      <c r="U99" s="408">
        <v>6709.9999999999991</v>
      </c>
      <c r="V99" s="408">
        <v>844.75900000000001</v>
      </c>
      <c r="W99" s="408">
        <v>7554.7589999999991</v>
      </c>
      <c r="X99" s="408">
        <v>5118.5817999999999</v>
      </c>
      <c r="Y99" s="408">
        <v>0</v>
      </c>
      <c r="Z99" s="408">
        <v>184.07209172280321</v>
      </c>
      <c r="AA99" s="408">
        <v>0</v>
      </c>
      <c r="AB99" s="408">
        <v>0</v>
      </c>
      <c r="AC99" s="408">
        <v>74.841808613404609</v>
      </c>
      <c r="AD99" s="408">
        <v>1141.7233140635399</v>
      </c>
      <c r="AE99" s="408">
        <v>4816.1797752450702</v>
      </c>
      <c r="AF99" s="408">
        <v>556.79058897337893</v>
      </c>
      <c r="AG99" s="408">
        <v>28.011694256550882</v>
      </c>
      <c r="AH99" s="408">
        <v>0</v>
      </c>
      <c r="AI99" s="408">
        <v>0</v>
      </c>
      <c r="AJ99" s="408">
        <v>0</v>
      </c>
      <c r="AK99" s="408">
        <v>0</v>
      </c>
      <c r="AL99" s="408">
        <v>32.702178435362569</v>
      </c>
      <c r="AM99" s="408"/>
      <c r="AN99" s="408">
        <v>4.2998481032485092</v>
      </c>
      <c r="AO99" s="408">
        <v>160.73003041081299</v>
      </c>
      <c r="AP99" s="408">
        <v>516.82971687782799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0.64561394144935713</v>
      </c>
      <c r="BF99" s="408">
        <v>16.627681647615855</v>
      </c>
      <c r="BG99" s="408">
        <v>21.618874737149863</v>
      </c>
      <c r="BH99" s="408">
        <v>0</v>
      </c>
      <c r="BI99" s="408">
        <v>0</v>
      </c>
      <c r="BJ99" s="408">
        <v>0</v>
      </c>
      <c r="BK99" s="408">
        <v>0</v>
      </c>
      <c r="BL99" s="408">
        <v>0</v>
      </c>
      <c r="BM99" s="408"/>
      <c r="BN99" s="408"/>
      <c r="BO99" s="408"/>
      <c r="BP99" s="408"/>
      <c r="BQ99" s="408">
        <v>307.11490799999996</v>
      </c>
      <c r="BR99" s="408"/>
      <c r="BS99" s="408"/>
      <c r="BT99" s="408"/>
      <c r="BU99" s="408"/>
      <c r="BV99" s="408">
        <v>595.68275929959407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4810.8324999999995</v>
      </c>
      <c r="CJ99" s="408">
        <v>-2290.6709600000004</v>
      </c>
      <c r="CK99" s="408"/>
      <c r="CL99" s="408"/>
      <c r="CM99" s="408"/>
      <c r="CN99" s="408"/>
      <c r="CO99" s="408">
        <v>-2509.4945999999995</v>
      </c>
      <c r="CP99" s="408">
        <v>73.317399999999992</v>
      </c>
      <c r="CQ99" s="408">
        <v>31</v>
      </c>
      <c r="CR99" s="408">
        <v>113.68718627985072</v>
      </c>
      <c r="CS99" s="408">
        <v>15.60587050589902</v>
      </c>
      <c r="CT99" s="408">
        <v>50.180900324482081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-21.891640251209992</v>
      </c>
      <c r="DA99" s="408">
        <v>0</v>
      </c>
      <c r="DB99" s="408">
        <v>0</v>
      </c>
      <c r="DC99" s="408">
        <v>71.470225773456718</v>
      </c>
      <c r="DD99" s="408">
        <v>2.1343467094790327</v>
      </c>
      <c r="DE99" s="408">
        <v>8.287168474408535E-2</v>
      </c>
      <c r="DF99" s="408">
        <v>0</v>
      </c>
      <c r="DG99" s="408">
        <v>2.7750215054478886</v>
      </c>
      <c r="DH99" s="408">
        <v>0</v>
      </c>
      <c r="DI99" s="408">
        <v>-5.3795999328570474</v>
      </c>
      <c r="DJ99" s="408"/>
      <c r="DK99" s="408">
        <v>0</v>
      </c>
      <c r="DL99" s="408">
        <v>0</v>
      </c>
      <c r="DM99" s="408">
        <v>-0.31133970086798968</v>
      </c>
      <c r="DN99" s="408">
        <v>0</v>
      </c>
      <c r="DO99" s="408">
        <v>-0.84697512597245606</v>
      </c>
      <c r="DP99" s="408">
        <v>-0.13249521275011933</v>
      </c>
      <c r="DQ99" s="408">
        <v>0</v>
      </c>
      <c r="DR99" s="408">
        <v>0</v>
      </c>
      <c r="DS99" s="408"/>
      <c r="DT99" s="408"/>
      <c r="DU99" s="408">
        <v>4816.1797752450702</v>
      </c>
      <c r="DV99" s="408">
        <v>0</v>
      </c>
      <c r="DW99" s="408">
        <v>0</v>
      </c>
      <c r="DX99" s="408">
        <v>0</v>
      </c>
      <c r="DY99" s="408">
        <v>-2509.4945999999991</v>
      </c>
      <c r="DZ99" s="408">
        <v>73.317400000000021</v>
      </c>
      <c r="EA99" s="408">
        <v>0</v>
      </c>
      <c r="EB99" s="408">
        <v>0</v>
      </c>
      <c r="EC99" s="408">
        <v>-2549.9118589391901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0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239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60" customFormat="1">
      <c r="A100" s="408">
        <v>99</v>
      </c>
      <c r="B100" s="408" t="s">
        <v>1034</v>
      </c>
      <c r="C100" s="408" t="s">
        <v>2245</v>
      </c>
      <c r="D100" s="408" t="s">
        <v>596</v>
      </c>
      <c r="E100" s="408" t="s">
        <v>999</v>
      </c>
      <c r="F100" s="408" t="s">
        <v>2249</v>
      </c>
      <c r="G100" s="408" t="s">
        <v>1320</v>
      </c>
      <c r="H100" s="408" t="s">
        <v>1320</v>
      </c>
      <c r="I100" s="408" t="s">
        <v>2242</v>
      </c>
      <c r="J100" s="408" t="s">
        <v>2234</v>
      </c>
      <c r="K100" s="827">
        <v>44409</v>
      </c>
      <c r="L100" s="408">
        <v>100</v>
      </c>
      <c r="M100" s="408">
        <v>94</v>
      </c>
      <c r="N100" s="408">
        <v>32.008000000000003</v>
      </c>
      <c r="O100" s="408">
        <v>30.087520000000001</v>
      </c>
      <c r="P100" s="408">
        <v>32.008000000000003</v>
      </c>
      <c r="Q100" s="408">
        <v>30.087520000000001</v>
      </c>
      <c r="R100" s="408">
        <v>59.12</v>
      </c>
      <c r="S100" s="408">
        <v>70.33</v>
      </c>
      <c r="T100" s="408">
        <v>173.82</v>
      </c>
      <c r="U100" s="408">
        <v>5912</v>
      </c>
      <c r="V100" s="408">
        <v>7814.753200000001</v>
      </c>
      <c r="W100" s="408">
        <v>13726.753199999999</v>
      </c>
      <c r="X100" s="408">
        <v>11863.674640000001</v>
      </c>
      <c r="Y100" s="408">
        <v>0</v>
      </c>
      <c r="Z100" s="408">
        <v>1702.8264485154584</v>
      </c>
      <c r="AA100" s="408">
        <v>0</v>
      </c>
      <c r="AB100" s="408">
        <v>0</v>
      </c>
      <c r="AC100" s="408">
        <v>57.206036333368203</v>
      </c>
      <c r="AD100" s="408">
        <v>511.70226507154302</v>
      </c>
      <c r="AE100" s="408">
        <v>4816.1797752450702</v>
      </c>
      <c r="AF100" s="408">
        <v>5150.7957144103793</v>
      </c>
      <c r="AG100" s="408">
        <v>259.13245946927191</v>
      </c>
      <c r="AH100" s="408">
        <v>0</v>
      </c>
      <c r="AI100" s="408">
        <v>0</v>
      </c>
      <c r="AJ100" s="408">
        <v>0</v>
      </c>
      <c r="AK100" s="408">
        <v>0</v>
      </c>
      <c r="AL100" s="408">
        <v>302.52350501707667</v>
      </c>
      <c r="AM100" s="408"/>
      <c r="AN100" s="408">
        <v>39.777323147045756</v>
      </c>
      <c r="AO100" s="408">
        <v>120.807211569006</v>
      </c>
      <c r="AP100" s="408">
        <v>406.098786401994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5.9724887392806432</v>
      </c>
      <c r="BF100" s="408">
        <v>153.82047230545905</v>
      </c>
      <c r="BG100" s="408">
        <v>199.9933360077147</v>
      </c>
      <c r="BH100" s="408">
        <v>0</v>
      </c>
      <c r="BI100" s="408">
        <v>0</v>
      </c>
      <c r="BJ100" s="408">
        <v>0</v>
      </c>
      <c r="BK100" s="408">
        <v>0</v>
      </c>
      <c r="BL100" s="408">
        <v>0</v>
      </c>
      <c r="BM100" s="408"/>
      <c r="BN100" s="408"/>
      <c r="BO100" s="408"/>
      <c r="BP100" s="408"/>
      <c r="BQ100" s="408">
        <v>711.8204784000003</v>
      </c>
      <c r="BR100" s="408"/>
      <c r="BS100" s="408"/>
      <c r="BT100" s="408"/>
      <c r="BU100" s="408"/>
      <c r="BV100" s="408">
        <v>5510.5820114628332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11152.509699999999</v>
      </c>
      <c r="CJ100" s="408">
        <v>-1750.6683080000021</v>
      </c>
      <c r="CK100" s="408"/>
      <c r="CL100" s="408"/>
      <c r="CM100" s="408"/>
      <c r="CN100" s="408"/>
      <c r="CO100" s="408">
        <v>-2541.3280799999998</v>
      </c>
      <c r="CP100" s="408">
        <v>678.24951999999996</v>
      </c>
      <c r="CQ100" s="408">
        <v>31</v>
      </c>
      <c r="CR100" s="408">
        <v>686.98478649225581</v>
      </c>
      <c r="CS100" s="408">
        <v>11.729617017467007</v>
      </c>
      <c r="CT100" s="408">
        <v>39.429626542059964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-9.8114856416560201</v>
      </c>
      <c r="DA100" s="408">
        <v>0</v>
      </c>
      <c r="DB100" s="408">
        <v>0</v>
      </c>
      <c r="DC100" s="408">
        <v>661.16155680832526</v>
      </c>
      <c r="DD100" s="408">
        <v>19.744557652313574</v>
      </c>
      <c r="DE100" s="408">
        <v>0.76663493794470661</v>
      </c>
      <c r="DF100" s="408">
        <v>0</v>
      </c>
      <c r="DG100" s="408">
        <v>25.671355013403485</v>
      </c>
      <c r="DH100" s="408">
        <v>0</v>
      </c>
      <c r="DI100" s="408">
        <v>-49.76596377193323</v>
      </c>
      <c r="DJ100" s="408"/>
      <c r="DK100" s="408">
        <v>0</v>
      </c>
      <c r="DL100" s="408">
        <v>0</v>
      </c>
      <c r="DM100" s="408">
        <v>-2.8801621807464244</v>
      </c>
      <c r="DN100" s="408">
        <v>0</v>
      </c>
      <c r="DO100" s="408">
        <v>-7.8352542867417583</v>
      </c>
      <c r="DP100" s="408">
        <v>-1.2256955981808844</v>
      </c>
      <c r="DQ100" s="408">
        <v>0</v>
      </c>
      <c r="DR100" s="408">
        <v>0</v>
      </c>
      <c r="DS100" s="408"/>
      <c r="DT100" s="408"/>
      <c r="DU100" s="408">
        <v>4816.1797752450702</v>
      </c>
      <c r="DV100" s="408">
        <v>0</v>
      </c>
      <c r="DW100" s="408">
        <v>0</v>
      </c>
      <c r="DX100" s="408">
        <v>0</v>
      </c>
      <c r="DY100" s="408">
        <v>-2541.3280799999993</v>
      </c>
      <c r="DZ100" s="408">
        <v>678.24951999999939</v>
      </c>
      <c r="EA100" s="408">
        <v>0</v>
      </c>
      <c r="EB100" s="408">
        <v>0</v>
      </c>
      <c r="EC100" s="408">
        <v>-2549.9118589391901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239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60" customFormat="1">
      <c r="A101" s="408">
        <v>100</v>
      </c>
      <c r="B101" s="408" t="s">
        <v>1034</v>
      </c>
      <c r="C101" s="408" t="s">
        <v>2245</v>
      </c>
      <c r="D101" s="408" t="s">
        <v>596</v>
      </c>
      <c r="E101" s="408" t="s">
        <v>999</v>
      </c>
      <c r="F101" s="408" t="s">
        <v>2249</v>
      </c>
      <c r="G101" s="408" t="s">
        <v>1320</v>
      </c>
      <c r="H101" s="408" t="s">
        <v>1320</v>
      </c>
      <c r="I101" s="408" t="s">
        <v>1320</v>
      </c>
      <c r="J101" s="408" t="s">
        <v>2234</v>
      </c>
      <c r="K101" s="827">
        <v>44409</v>
      </c>
      <c r="L101" s="408">
        <v>0</v>
      </c>
      <c r="M101" s="408">
        <v>0</v>
      </c>
      <c r="N101" s="408">
        <v>0</v>
      </c>
      <c r="O101" s="408">
        <v>0</v>
      </c>
      <c r="P101" s="408">
        <v>0</v>
      </c>
      <c r="Q101" s="408">
        <v>0</v>
      </c>
      <c r="R101" s="408"/>
      <c r="S101" s="408"/>
      <c r="T101" s="408"/>
      <c r="U101" s="408"/>
      <c r="V101" s="408"/>
      <c r="W101" s="408"/>
      <c r="X101" s="408"/>
      <c r="Y101" s="408"/>
      <c r="Z101" s="408"/>
      <c r="AA101" s="408">
        <v>0</v>
      </c>
      <c r="AB101" s="408"/>
      <c r="AC101" s="408"/>
      <c r="AD101" s="408"/>
      <c r="AE101" s="408"/>
      <c r="AF101" s="408"/>
      <c r="AG101" s="408"/>
      <c r="AH101" s="408"/>
      <c r="AI101" s="408"/>
      <c r="AJ101" s="408"/>
      <c r="AK101" s="408"/>
      <c r="AL101" s="408"/>
      <c r="AM101" s="408"/>
      <c r="AN101" s="408"/>
      <c r="AO101" s="408"/>
      <c r="AP101" s="408"/>
      <c r="AQ101" s="408"/>
      <c r="AR101" s="408"/>
      <c r="AS101" s="408"/>
      <c r="AT101" s="408"/>
      <c r="AU101" s="408"/>
      <c r="AV101" s="408"/>
      <c r="AW101" s="408"/>
      <c r="AX101" s="408"/>
      <c r="AY101" s="408"/>
      <c r="AZ101" s="408">
        <v>0</v>
      </c>
      <c r="BA101" s="408"/>
      <c r="BB101" s="408"/>
      <c r="BC101" s="408"/>
      <c r="BD101" s="408"/>
      <c r="BE101" s="408"/>
      <c r="BF101" s="408"/>
      <c r="BG101" s="408"/>
      <c r="BH101" s="408"/>
      <c r="BI101" s="408">
        <v>0</v>
      </c>
      <c r="BJ101" s="408">
        <v>0</v>
      </c>
      <c r="BK101" s="408">
        <v>8427.52</v>
      </c>
      <c r="BL101" s="408">
        <v>1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/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/>
      <c r="CJ101" s="408">
        <v>-0.03</v>
      </c>
      <c r="CK101" s="408"/>
      <c r="CL101" s="408"/>
      <c r="CM101" s="408"/>
      <c r="CN101" s="408"/>
      <c r="CO101" s="408">
        <v>0</v>
      </c>
      <c r="CP101" s="408">
        <v>0</v>
      </c>
      <c r="CQ101" s="408">
        <v>31</v>
      </c>
      <c r="CR101" s="408"/>
      <c r="CS101" s="408"/>
      <c r="CT101" s="408"/>
      <c r="CU101" s="408"/>
      <c r="CV101" s="408"/>
      <c r="CW101" s="408"/>
      <c r="CX101" s="408"/>
      <c r="CY101" s="408"/>
      <c r="CZ101" s="408"/>
      <c r="DA101" s="408"/>
      <c r="DB101" s="408"/>
      <c r="DC101" s="408"/>
      <c r="DD101" s="408"/>
      <c r="DE101" s="408"/>
      <c r="DF101" s="408"/>
      <c r="DG101" s="408"/>
      <c r="DH101" s="408"/>
      <c r="DI101" s="408"/>
      <c r="DJ101" s="408"/>
      <c r="DK101" s="408">
        <v>0</v>
      </c>
      <c r="DL101" s="408"/>
      <c r="DM101" s="408"/>
      <c r="DN101" s="408"/>
      <c r="DO101" s="408"/>
      <c r="DP101" s="408"/>
      <c r="DQ101" s="408"/>
      <c r="DR101" s="408"/>
      <c r="DS101" s="408"/>
      <c r="DT101" s="408"/>
      <c r="DU101" s="408"/>
      <c r="DV101" s="408"/>
      <c r="DW101" s="408"/>
      <c r="DX101" s="408"/>
      <c r="DY101" s="408"/>
      <c r="DZ101" s="408"/>
      <c r="EA101" s="408"/>
      <c r="EB101" s="408"/>
      <c r="EC101" s="408"/>
      <c r="ED101" s="408"/>
      <c r="EE101" s="408"/>
      <c r="EF101" s="408"/>
      <c r="EG101" s="408"/>
      <c r="EH101" s="408"/>
      <c r="EI101" s="408"/>
      <c r="EJ101" s="408"/>
      <c r="EK101" s="408"/>
      <c r="EL101" s="408"/>
      <c r="EM101" s="408"/>
      <c r="EN101" s="408"/>
      <c r="EO101" s="408"/>
      <c r="EP101" s="408"/>
      <c r="EQ101" s="408"/>
      <c r="ER101" s="408"/>
      <c r="ES101" s="408"/>
      <c r="ET101" s="408"/>
      <c r="EU101" s="408"/>
      <c r="EV101" s="408">
        <v>239</v>
      </c>
      <c r="EW101" s="408"/>
      <c r="EX101" s="408"/>
      <c r="EY101" s="408"/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60" customFormat="1">
      <c r="A102" s="408">
        <v>101</v>
      </c>
      <c r="B102" s="408" t="s">
        <v>1034</v>
      </c>
      <c r="C102" s="408" t="s">
        <v>2233</v>
      </c>
      <c r="D102" s="408" t="s">
        <v>1956</v>
      </c>
      <c r="E102" s="408" t="s">
        <v>2250</v>
      </c>
      <c r="F102" s="408" t="s">
        <v>1320</v>
      </c>
      <c r="G102" s="408" t="s">
        <v>1320</v>
      </c>
      <c r="H102" s="408" t="s">
        <v>1320</v>
      </c>
      <c r="I102" s="408" t="s">
        <v>1320</v>
      </c>
      <c r="J102" s="408" t="s">
        <v>2234</v>
      </c>
      <c r="K102" s="827">
        <v>44409</v>
      </c>
      <c r="L102" s="408">
        <v>0</v>
      </c>
      <c r="M102" s="408">
        <v>0</v>
      </c>
      <c r="N102" s="408">
        <v>0.83599999999999997</v>
      </c>
      <c r="O102" s="408">
        <v>0.83599999999999997</v>
      </c>
      <c r="P102" s="408">
        <v>0.83599999999999997</v>
      </c>
      <c r="Q102" s="408">
        <v>0.83599999999999997</v>
      </c>
      <c r="R102" s="408"/>
      <c r="S102" s="408">
        <v>516.83000000000004</v>
      </c>
      <c r="T102" s="408">
        <v>173.82</v>
      </c>
      <c r="U102" s="408"/>
      <c r="V102" s="408">
        <v>577.38339999999994</v>
      </c>
      <c r="W102" s="408">
        <v>577.38339999999994</v>
      </c>
      <c r="X102" s="408">
        <v>435.93219999999997</v>
      </c>
      <c r="Y102" s="408">
        <v>0</v>
      </c>
      <c r="Z102" s="408">
        <v>51.120945013707811</v>
      </c>
      <c r="AA102" s="408">
        <v>0</v>
      </c>
      <c r="AB102" s="408">
        <v>0</v>
      </c>
      <c r="AC102" s="408">
        <v>2.2726192453547673</v>
      </c>
      <c r="AD102" s="408">
        <v>28.780647232447173</v>
      </c>
      <c r="AE102" s="408">
        <v>303.98280475936036</v>
      </c>
      <c r="AF102" s="408">
        <v>134.530905312643</v>
      </c>
      <c r="AG102" s="408">
        <v>6.7681434677677856</v>
      </c>
      <c r="AH102" s="408">
        <v>0</v>
      </c>
      <c r="AI102" s="408">
        <v>0</v>
      </c>
      <c r="AJ102" s="408">
        <v>0</v>
      </c>
      <c r="AK102" s="408">
        <v>0</v>
      </c>
      <c r="AL102" s="408">
        <v>7.9014512057696837</v>
      </c>
      <c r="AM102" s="408"/>
      <c r="AN102" s="408">
        <v>1.2970890909743407</v>
      </c>
      <c r="AO102" s="408">
        <v>4.8475491593572277</v>
      </c>
      <c r="AP102" s="408">
        <v>15.875068051945039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0.46382334785556062</v>
      </c>
      <c r="BF102" s="408">
        <v>4.0175554501175874</v>
      </c>
      <c r="BG102" s="408">
        <v>15.531478200337805</v>
      </c>
      <c r="BH102" s="408">
        <v>0</v>
      </c>
      <c r="BI102" s="408">
        <v>0</v>
      </c>
      <c r="BJ102" s="408">
        <v>0</v>
      </c>
      <c r="BK102" s="408">
        <v>231.64</v>
      </c>
      <c r="BL102" s="408">
        <v>6</v>
      </c>
      <c r="BM102" s="408"/>
      <c r="BN102" s="408"/>
      <c r="BO102" s="408"/>
      <c r="BP102" s="408"/>
      <c r="BQ102" s="408"/>
      <c r="BR102" s="408"/>
      <c r="BS102" s="408"/>
      <c r="BT102" s="408"/>
      <c r="BU102" s="408"/>
      <c r="BV102" s="408">
        <v>154.54376231095395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438.01799999999992</v>
      </c>
      <c r="CJ102" s="408">
        <v>-139.3954</v>
      </c>
      <c r="CK102" s="408"/>
      <c r="CL102" s="408"/>
      <c r="CM102" s="408"/>
      <c r="CN102" s="408"/>
      <c r="CO102" s="408">
        <v>-159.16604000000004</v>
      </c>
      <c r="CP102" s="408">
        <v>17.714839999999999</v>
      </c>
      <c r="CQ102" s="408">
        <v>31</v>
      </c>
      <c r="CR102" s="408">
        <v>19.483714855710787</v>
      </c>
      <c r="CS102" s="408">
        <v>0.47066639792548148</v>
      </c>
      <c r="CT102" s="408">
        <v>1.5413688136421371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-0.55184611512171244</v>
      </c>
      <c r="DA102" s="408">
        <v>0</v>
      </c>
      <c r="DB102" s="408">
        <v>0</v>
      </c>
      <c r="DC102" s="408">
        <v>17.268528539482617</v>
      </c>
      <c r="DD102" s="408">
        <v>0.5156976442556287</v>
      </c>
      <c r="DE102" s="408">
        <v>5.9536852897168757E-2</v>
      </c>
      <c r="DF102" s="408">
        <v>0</v>
      </c>
      <c r="DG102" s="408">
        <v>1.9936368817230417</v>
      </c>
      <c r="DH102" s="408">
        <v>0</v>
      </c>
      <c r="DI102" s="408">
        <v>-1.4940354607230049</v>
      </c>
      <c r="DJ102" s="408"/>
      <c r="DK102" s="408">
        <v>0</v>
      </c>
      <c r="DL102" s="408">
        <v>0</v>
      </c>
      <c r="DM102" s="408">
        <v>-7.5225430614347388E-2</v>
      </c>
      <c r="DN102" s="408">
        <v>0</v>
      </c>
      <c r="DO102" s="408">
        <v>-0.20464485702687085</v>
      </c>
      <c r="DP102" s="408">
        <v>-3.9968410729356973E-2</v>
      </c>
      <c r="DQ102" s="408">
        <v>0</v>
      </c>
      <c r="DR102" s="408">
        <v>0</v>
      </c>
      <c r="DS102" s="408"/>
      <c r="DT102" s="408"/>
      <c r="DU102" s="408"/>
      <c r="DV102" s="408">
        <v>303.98280475936036</v>
      </c>
      <c r="DW102" s="408">
        <v>0</v>
      </c>
      <c r="DX102" s="408">
        <v>0</v>
      </c>
      <c r="DY102" s="408">
        <v>-159.16604000000001</v>
      </c>
      <c r="DZ102" s="408">
        <v>17.714840000000009</v>
      </c>
      <c r="EA102" s="408">
        <v>0</v>
      </c>
      <c r="EB102" s="408">
        <v>0</v>
      </c>
      <c r="EC102" s="408">
        <v>-160.94277932763555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239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60" customFormat="1">
      <c r="A103" s="408">
        <v>102</v>
      </c>
      <c r="B103" s="408" t="s">
        <v>1034</v>
      </c>
      <c r="C103" s="408" t="s">
        <v>2233</v>
      </c>
      <c r="D103" s="408" t="s">
        <v>2243</v>
      </c>
      <c r="E103" s="408" t="s">
        <v>972</v>
      </c>
      <c r="F103" s="408" t="s">
        <v>2251</v>
      </c>
      <c r="G103" s="408" t="s">
        <v>2252</v>
      </c>
      <c r="H103" s="408" t="s">
        <v>1320</v>
      </c>
      <c r="I103" s="408" t="s">
        <v>1320</v>
      </c>
      <c r="J103" s="408" t="s">
        <v>2234</v>
      </c>
      <c r="K103" s="827">
        <v>44409</v>
      </c>
      <c r="L103" s="408">
        <v>0</v>
      </c>
      <c r="M103" s="408">
        <v>0</v>
      </c>
      <c r="N103" s="408">
        <v>0</v>
      </c>
      <c r="O103" s="408">
        <v>0</v>
      </c>
      <c r="P103" s="408">
        <v>0</v>
      </c>
      <c r="Q103" s="408">
        <v>0</v>
      </c>
      <c r="R103" s="408"/>
      <c r="S103" s="408"/>
      <c r="T103" s="408"/>
      <c r="U103" s="408"/>
      <c r="V103" s="408"/>
      <c r="W103" s="408"/>
      <c r="X103" s="408"/>
      <c r="Y103" s="408"/>
      <c r="Z103" s="408"/>
      <c r="AA103" s="408">
        <v>0</v>
      </c>
      <c r="AB103" s="408"/>
      <c r="AC103" s="408"/>
      <c r="AD103" s="408"/>
      <c r="AE103" s="408"/>
      <c r="AF103" s="408"/>
      <c r="AG103" s="408"/>
      <c r="AH103" s="408"/>
      <c r="AI103" s="408"/>
      <c r="AJ103" s="408"/>
      <c r="AK103" s="408"/>
      <c r="AL103" s="408"/>
      <c r="AM103" s="408"/>
      <c r="AN103" s="408"/>
      <c r="AO103" s="408"/>
      <c r="AP103" s="408"/>
      <c r="AQ103" s="408"/>
      <c r="AR103" s="408"/>
      <c r="AS103" s="408"/>
      <c r="AT103" s="408"/>
      <c r="AU103" s="408"/>
      <c r="AV103" s="408"/>
      <c r="AW103" s="408"/>
      <c r="AX103" s="408"/>
      <c r="AY103" s="408"/>
      <c r="AZ103" s="408">
        <v>0</v>
      </c>
      <c r="BA103" s="408"/>
      <c r="BB103" s="408"/>
      <c r="BC103" s="408"/>
      <c r="BD103" s="408"/>
      <c r="BE103" s="408"/>
      <c r="BF103" s="408"/>
      <c r="BG103" s="408"/>
      <c r="BH103" s="408"/>
      <c r="BI103" s="408">
        <v>0</v>
      </c>
      <c r="BJ103" s="408">
        <v>0</v>
      </c>
      <c r="BK103" s="408">
        <v>476.21</v>
      </c>
      <c r="BL103" s="408">
        <v>64</v>
      </c>
      <c r="BM103" s="408"/>
      <c r="BN103" s="408"/>
      <c r="BO103" s="408"/>
      <c r="BP103" s="408"/>
      <c r="BQ103" s="408"/>
      <c r="BR103" s="408"/>
      <c r="BS103" s="408"/>
      <c r="BT103" s="408"/>
      <c r="BU103" s="408"/>
      <c r="BV103" s="408"/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/>
      <c r="CJ103" s="408">
        <v>-0.03</v>
      </c>
      <c r="CK103" s="408"/>
      <c r="CL103" s="408"/>
      <c r="CM103" s="408"/>
      <c r="CN103" s="408"/>
      <c r="CO103" s="408">
        <v>0</v>
      </c>
      <c r="CP103" s="408">
        <v>0</v>
      </c>
      <c r="CQ103" s="408">
        <v>31</v>
      </c>
      <c r="CR103" s="408"/>
      <c r="CS103" s="408"/>
      <c r="CT103" s="408"/>
      <c r="CU103" s="408"/>
      <c r="CV103" s="408"/>
      <c r="CW103" s="408"/>
      <c r="CX103" s="408"/>
      <c r="CY103" s="408"/>
      <c r="CZ103" s="408"/>
      <c r="DA103" s="408"/>
      <c r="DB103" s="408"/>
      <c r="DC103" s="408"/>
      <c r="DD103" s="408"/>
      <c r="DE103" s="408"/>
      <c r="DF103" s="408"/>
      <c r="DG103" s="408"/>
      <c r="DH103" s="408"/>
      <c r="DI103" s="408"/>
      <c r="DJ103" s="408"/>
      <c r="DK103" s="408">
        <v>0</v>
      </c>
      <c r="DL103" s="408"/>
      <c r="DM103" s="408"/>
      <c r="DN103" s="408"/>
      <c r="DO103" s="408"/>
      <c r="DP103" s="408"/>
      <c r="DQ103" s="408"/>
      <c r="DR103" s="408"/>
      <c r="DS103" s="408"/>
      <c r="DT103" s="408"/>
      <c r="DU103" s="408"/>
      <c r="DV103" s="408"/>
      <c r="DW103" s="408"/>
      <c r="DX103" s="408"/>
      <c r="DY103" s="408"/>
      <c r="DZ103" s="408"/>
      <c r="EA103" s="408"/>
      <c r="EB103" s="408"/>
      <c r="EC103" s="408"/>
      <c r="ED103" s="408"/>
      <c r="EE103" s="408"/>
      <c r="EF103" s="408"/>
      <c r="EG103" s="408"/>
      <c r="EH103" s="408"/>
      <c r="EI103" s="408"/>
      <c r="EJ103" s="408"/>
      <c r="EK103" s="408"/>
      <c r="EL103" s="408"/>
      <c r="EM103" s="408"/>
      <c r="EN103" s="408"/>
      <c r="EO103" s="408"/>
      <c r="EP103" s="408"/>
      <c r="EQ103" s="408"/>
      <c r="ER103" s="408"/>
      <c r="ES103" s="408"/>
      <c r="ET103" s="408"/>
      <c r="EU103" s="408"/>
      <c r="EV103" s="408">
        <v>239</v>
      </c>
      <c r="EW103" s="408"/>
      <c r="EX103" s="408"/>
      <c r="EY103" s="408"/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60" customFormat="1">
      <c r="A104" s="408">
        <v>103</v>
      </c>
      <c r="B104" s="408" t="s">
        <v>2236</v>
      </c>
      <c r="C104" s="408" t="s">
        <v>2233</v>
      </c>
      <c r="D104" s="408" t="s">
        <v>2243</v>
      </c>
      <c r="E104" s="408" t="s">
        <v>972</v>
      </c>
      <c r="F104" s="408" t="s">
        <v>2251</v>
      </c>
      <c r="G104" s="408" t="s">
        <v>2252</v>
      </c>
      <c r="H104" s="408" t="s">
        <v>1320</v>
      </c>
      <c r="I104" s="408" t="s">
        <v>1320</v>
      </c>
      <c r="J104" s="408" t="s">
        <v>2234</v>
      </c>
      <c r="K104" s="827">
        <v>44409</v>
      </c>
      <c r="L104" s="408">
        <v>0</v>
      </c>
      <c r="M104" s="408">
        <v>0</v>
      </c>
      <c r="N104" s="408">
        <v>0</v>
      </c>
      <c r="O104" s="408">
        <v>0</v>
      </c>
      <c r="P104" s="408">
        <v>0</v>
      </c>
      <c r="Q104" s="408">
        <v>0</v>
      </c>
      <c r="R104" s="408"/>
      <c r="S104" s="408"/>
      <c r="T104" s="408"/>
      <c r="U104" s="408"/>
      <c r="V104" s="408"/>
      <c r="W104" s="408"/>
      <c r="X104" s="408"/>
      <c r="Y104" s="408"/>
      <c r="Z104" s="408"/>
      <c r="AA104" s="408">
        <v>0</v>
      </c>
      <c r="AB104" s="408"/>
      <c r="AC104" s="408"/>
      <c r="AD104" s="408"/>
      <c r="AE104" s="408"/>
      <c r="AF104" s="408"/>
      <c r="AG104" s="408"/>
      <c r="AH104" s="408"/>
      <c r="AI104" s="408"/>
      <c r="AJ104" s="408"/>
      <c r="AK104" s="408"/>
      <c r="AL104" s="408"/>
      <c r="AM104" s="408"/>
      <c r="AN104" s="408"/>
      <c r="AO104" s="408"/>
      <c r="AP104" s="408"/>
      <c r="AQ104" s="408"/>
      <c r="AR104" s="408"/>
      <c r="AS104" s="408"/>
      <c r="AT104" s="408"/>
      <c r="AU104" s="408"/>
      <c r="AV104" s="408"/>
      <c r="AW104" s="408"/>
      <c r="AX104" s="408"/>
      <c r="AY104" s="408"/>
      <c r="AZ104" s="408">
        <v>0</v>
      </c>
      <c r="BA104" s="408"/>
      <c r="BB104" s="408"/>
      <c r="BC104" s="408"/>
      <c r="BD104" s="408"/>
      <c r="BE104" s="408"/>
      <c r="BF104" s="408"/>
      <c r="BG104" s="408"/>
      <c r="BH104" s="408"/>
      <c r="BI104" s="408">
        <v>0</v>
      </c>
      <c r="BJ104" s="408">
        <v>0</v>
      </c>
      <c r="BK104" s="408">
        <v>25.44</v>
      </c>
      <c r="BL104" s="408">
        <v>3</v>
      </c>
      <c r="BM104" s="408"/>
      <c r="BN104" s="408"/>
      <c r="BO104" s="408"/>
      <c r="BP104" s="408"/>
      <c r="BQ104" s="408"/>
      <c r="BR104" s="408"/>
      <c r="BS104" s="408"/>
      <c r="BT104" s="408"/>
      <c r="BU104" s="408"/>
      <c r="BV104" s="408"/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/>
      <c r="CJ104" s="408">
        <v>-0.03</v>
      </c>
      <c r="CK104" s="408"/>
      <c r="CL104" s="408"/>
      <c r="CM104" s="408"/>
      <c r="CN104" s="408"/>
      <c r="CO104" s="408">
        <v>0</v>
      </c>
      <c r="CP104" s="408">
        <v>0</v>
      </c>
      <c r="CQ104" s="408">
        <v>31</v>
      </c>
      <c r="CR104" s="408"/>
      <c r="CS104" s="408"/>
      <c r="CT104" s="408"/>
      <c r="CU104" s="408"/>
      <c r="CV104" s="408"/>
      <c r="CW104" s="408"/>
      <c r="CX104" s="408"/>
      <c r="CY104" s="408"/>
      <c r="CZ104" s="408"/>
      <c r="DA104" s="408"/>
      <c r="DB104" s="408"/>
      <c r="DC104" s="408"/>
      <c r="DD104" s="408"/>
      <c r="DE104" s="408"/>
      <c r="DF104" s="408"/>
      <c r="DG104" s="408"/>
      <c r="DH104" s="408"/>
      <c r="DI104" s="408"/>
      <c r="DJ104" s="408"/>
      <c r="DK104" s="408">
        <v>0</v>
      </c>
      <c r="DL104" s="408"/>
      <c r="DM104" s="408"/>
      <c r="DN104" s="408"/>
      <c r="DO104" s="408"/>
      <c r="DP104" s="408"/>
      <c r="DQ104" s="408"/>
      <c r="DR104" s="408"/>
      <c r="DS104" s="408"/>
      <c r="DT104" s="408"/>
      <c r="DU104" s="408"/>
      <c r="DV104" s="408"/>
      <c r="DW104" s="408"/>
      <c r="DX104" s="408"/>
      <c r="DY104" s="408"/>
      <c r="DZ104" s="408"/>
      <c r="EA104" s="408"/>
      <c r="EB104" s="408"/>
      <c r="EC104" s="408"/>
      <c r="ED104" s="408"/>
      <c r="EE104" s="408"/>
      <c r="EF104" s="408"/>
      <c r="EG104" s="408"/>
      <c r="EH104" s="408"/>
      <c r="EI104" s="408"/>
      <c r="EJ104" s="408"/>
      <c r="EK104" s="408"/>
      <c r="EL104" s="408"/>
      <c r="EM104" s="408"/>
      <c r="EN104" s="408"/>
      <c r="EO104" s="408"/>
      <c r="EP104" s="408"/>
      <c r="EQ104" s="408"/>
      <c r="ER104" s="408"/>
      <c r="ES104" s="408"/>
      <c r="ET104" s="408"/>
      <c r="EU104" s="408"/>
      <c r="EV104" s="408">
        <v>239</v>
      </c>
      <c r="EW104" s="408"/>
      <c r="EX104" s="408"/>
      <c r="EY104" s="408"/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60" customFormat="1">
      <c r="A105" s="408">
        <v>104</v>
      </c>
      <c r="B105" s="408" t="s">
        <v>1034</v>
      </c>
      <c r="C105" s="408" t="s">
        <v>2233</v>
      </c>
      <c r="D105" s="408" t="s">
        <v>2243</v>
      </c>
      <c r="E105" s="408" t="s">
        <v>972</v>
      </c>
      <c r="F105" s="408" t="s">
        <v>2251</v>
      </c>
      <c r="G105" s="408" t="s">
        <v>2252</v>
      </c>
      <c r="H105" s="408" t="s">
        <v>1320</v>
      </c>
      <c r="I105" s="408" t="s">
        <v>1320</v>
      </c>
      <c r="J105" s="408" t="s">
        <v>2234</v>
      </c>
      <c r="K105" s="827">
        <v>44409</v>
      </c>
      <c r="L105" s="408">
        <v>0</v>
      </c>
      <c r="M105" s="408">
        <v>0</v>
      </c>
      <c r="N105" s="408">
        <v>21.585000000000001</v>
      </c>
      <c r="O105" s="408">
        <v>21.585000000000001</v>
      </c>
      <c r="P105" s="408">
        <v>21.585000000000001</v>
      </c>
      <c r="Q105" s="408">
        <v>21.585000000000001</v>
      </c>
      <c r="R105" s="408"/>
      <c r="S105" s="408">
        <v>516.83000000000004</v>
      </c>
      <c r="T105" s="408">
        <v>173.82</v>
      </c>
      <c r="U105" s="408"/>
      <c r="V105" s="408">
        <v>14907.680250000001</v>
      </c>
      <c r="W105" s="408">
        <v>14907.680250000001</v>
      </c>
      <c r="X105" s="408">
        <v>11255.498250000001</v>
      </c>
      <c r="Y105" s="408">
        <v>0</v>
      </c>
      <c r="Z105" s="408">
        <v>1319.9110025369416</v>
      </c>
      <c r="AA105" s="408">
        <v>0</v>
      </c>
      <c r="AB105" s="408">
        <v>0</v>
      </c>
      <c r="AC105" s="408">
        <v>58.677615324141932</v>
      </c>
      <c r="AD105" s="408">
        <v>743.09840970379457</v>
      </c>
      <c r="AE105" s="408">
        <v>7848.6469386731978</v>
      </c>
      <c r="AF105" s="408">
        <v>3473.5042956619609</v>
      </c>
      <c r="AG105" s="408">
        <v>174.74925448776037</v>
      </c>
      <c r="AH105" s="408">
        <v>0</v>
      </c>
      <c r="AI105" s="408">
        <v>0</v>
      </c>
      <c r="AJ105" s="408">
        <v>0</v>
      </c>
      <c r="AK105" s="408">
        <v>0</v>
      </c>
      <c r="AL105" s="408">
        <v>204.0105553547113</v>
      </c>
      <c r="AM105" s="408"/>
      <c r="AN105" s="408">
        <v>33.490033527130556</v>
      </c>
      <c r="AO105" s="408">
        <v>125.16070407263848</v>
      </c>
      <c r="AP105" s="408">
        <v>409.88438265697812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11.97563033906971</v>
      </c>
      <c r="BF105" s="408">
        <v>103.73078276410064</v>
      </c>
      <c r="BG105" s="408">
        <v>401.01310640465499</v>
      </c>
      <c r="BH105" s="408">
        <v>0</v>
      </c>
      <c r="BI105" s="408">
        <v>0</v>
      </c>
      <c r="BJ105" s="408">
        <v>0</v>
      </c>
      <c r="BK105" s="408">
        <v>0</v>
      </c>
      <c r="BL105" s="408">
        <v>0</v>
      </c>
      <c r="BM105" s="408"/>
      <c r="BN105" s="408"/>
      <c r="BO105" s="408"/>
      <c r="BP105" s="408"/>
      <c r="BQ105" s="408"/>
      <c r="BR105" s="408">
        <v>1350.5734499999999</v>
      </c>
      <c r="BS105" s="408"/>
      <c r="BT105" s="408"/>
      <c r="BU105" s="408"/>
      <c r="BV105" s="408">
        <v>3990.2238151697861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9907.2191999999995</v>
      </c>
      <c r="CJ105" s="408">
        <v>-3211.5262500000026</v>
      </c>
      <c r="CK105" s="408"/>
      <c r="CL105" s="408"/>
      <c r="CM105" s="408"/>
      <c r="CN105" s="408"/>
      <c r="CO105" s="408">
        <v>-4109.568150000001</v>
      </c>
      <c r="CP105" s="408">
        <v>457.38614999999999</v>
      </c>
      <c r="CQ105" s="408">
        <v>31</v>
      </c>
      <c r="CR105" s="408">
        <v>503.05739851736325</v>
      </c>
      <c r="CS105" s="408">
        <v>12.152313635432421</v>
      </c>
      <c r="CT105" s="408">
        <v>39.797184022087947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-14.248323438878174</v>
      </c>
      <c r="DA105" s="408">
        <v>0</v>
      </c>
      <c r="DB105" s="408">
        <v>0</v>
      </c>
      <c r="DC105" s="408">
        <v>445.86266569944064</v>
      </c>
      <c r="DD105" s="408">
        <v>13.314992405810685</v>
      </c>
      <c r="DE105" s="408">
        <v>1.5372045093126641</v>
      </c>
      <c r="DF105" s="408">
        <v>0</v>
      </c>
      <c r="DG105" s="408">
        <v>51.474464224870587</v>
      </c>
      <c r="DH105" s="408">
        <v>0</v>
      </c>
      <c r="DI105" s="408">
        <v>-38.575066291514531</v>
      </c>
      <c r="DJ105" s="408"/>
      <c r="DK105" s="408">
        <v>0</v>
      </c>
      <c r="DL105" s="408">
        <v>0</v>
      </c>
      <c r="DM105" s="408">
        <v>-1.9422738275247582</v>
      </c>
      <c r="DN105" s="408">
        <v>0</v>
      </c>
      <c r="DO105" s="408">
        <v>-5.2838029173744303</v>
      </c>
      <c r="DP105" s="408">
        <v>-1.0319595042980509</v>
      </c>
      <c r="DQ105" s="408">
        <v>0</v>
      </c>
      <c r="DR105" s="408">
        <v>0</v>
      </c>
      <c r="DS105" s="408"/>
      <c r="DT105" s="408"/>
      <c r="DU105" s="408"/>
      <c r="DV105" s="408">
        <v>7848.6469386731978</v>
      </c>
      <c r="DW105" s="408">
        <v>0</v>
      </c>
      <c r="DX105" s="408">
        <v>0</v>
      </c>
      <c r="DY105" s="408">
        <v>-4109.5681500000019</v>
      </c>
      <c r="DZ105" s="408">
        <v>457.38615000000027</v>
      </c>
      <c r="EA105" s="408">
        <v>0</v>
      </c>
      <c r="EB105" s="408">
        <v>0</v>
      </c>
      <c r="EC105" s="408">
        <v>-4155.4424542906854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239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60" customFormat="1">
      <c r="A106" s="408">
        <v>105</v>
      </c>
      <c r="B106" s="408" t="s">
        <v>2236</v>
      </c>
      <c r="C106" s="408" t="s">
        <v>2233</v>
      </c>
      <c r="D106" s="408" t="s">
        <v>2243</v>
      </c>
      <c r="E106" s="408" t="s">
        <v>972</v>
      </c>
      <c r="F106" s="408" t="s">
        <v>2251</v>
      </c>
      <c r="G106" s="408" t="s">
        <v>2252</v>
      </c>
      <c r="H106" s="408" t="s">
        <v>1320</v>
      </c>
      <c r="I106" s="408" t="s">
        <v>1320</v>
      </c>
      <c r="J106" s="408" t="s">
        <v>2234</v>
      </c>
      <c r="K106" s="827">
        <v>44409</v>
      </c>
      <c r="L106" s="408">
        <v>0</v>
      </c>
      <c r="M106" s="408">
        <v>0</v>
      </c>
      <c r="N106" s="408">
        <v>0.3</v>
      </c>
      <c r="O106" s="408">
        <v>0.3</v>
      </c>
      <c r="P106" s="408">
        <v>0.3</v>
      </c>
      <c r="Q106" s="408">
        <v>0.3</v>
      </c>
      <c r="R106" s="408"/>
      <c r="S106" s="408">
        <v>516.83000000000004</v>
      </c>
      <c r="T106" s="408">
        <v>173.82</v>
      </c>
      <c r="U106" s="408"/>
      <c r="V106" s="408">
        <v>207.19499999999999</v>
      </c>
      <c r="W106" s="408">
        <v>207.19499999999999</v>
      </c>
      <c r="X106" s="408">
        <v>156.435</v>
      </c>
      <c r="Y106" s="408">
        <v>0</v>
      </c>
      <c r="Z106" s="408">
        <v>18.34483672740711</v>
      </c>
      <c r="AA106" s="408">
        <v>0</v>
      </c>
      <c r="AB106" s="408">
        <v>0</v>
      </c>
      <c r="AC106" s="408">
        <v>0.81553322201726097</v>
      </c>
      <c r="AD106" s="408">
        <v>10.327983456619799</v>
      </c>
      <c r="AE106" s="408">
        <v>109.0847385500097</v>
      </c>
      <c r="AF106" s="408">
        <v>48.276640662431696</v>
      </c>
      <c r="AG106" s="408">
        <v>2.4287596176200186</v>
      </c>
      <c r="AH106" s="408">
        <v>0</v>
      </c>
      <c r="AI106" s="408">
        <v>0</v>
      </c>
      <c r="AJ106" s="408">
        <v>0</v>
      </c>
      <c r="AK106" s="408">
        <v>0</v>
      </c>
      <c r="AL106" s="408">
        <v>2.8354489972857717</v>
      </c>
      <c r="AM106" s="408"/>
      <c r="AN106" s="408">
        <v>0.46546259245490695</v>
      </c>
      <c r="AO106" s="408">
        <v>1.739551133740632</v>
      </c>
      <c r="AP106" s="408">
        <v>5.6967947554826699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0.16644378511563182</v>
      </c>
      <c r="BF106" s="408">
        <v>1.4417065012383687</v>
      </c>
      <c r="BG106" s="408">
        <v>5.57349696184371</v>
      </c>
      <c r="BH106" s="408">
        <v>0</v>
      </c>
      <c r="BI106" s="408">
        <v>0</v>
      </c>
      <c r="BJ106" s="408">
        <v>0</v>
      </c>
      <c r="BK106" s="408">
        <v>0</v>
      </c>
      <c r="BL106" s="408">
        <v>0</v>
      </c>
      <c r="BM106" s="408"/>
      <c r="BN106" s="408"/>
      <c r="BO106" s="408"/>
      <c r="BP106" s="408"/>
      <c r="BQ106" s="408"/>
      <c r="BR106" s="408">
        <v>18.770999999999997</v>
      </c>
      <c r="BS106" s="408"/>
      <c r="BT106" s="408"/>
      <c r="BU106" s="408"/>
      <c r="BV106" s="408">
        <v>55.458287910629409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137.66399999999999</v>
      </c>
      <c r="CJ106" s="408">
        <v>-44.696999999999974</v>
      </c>
      <c r="CK106" s="408"/>
      <c r="CL106" s="408"/>
      <c r="CM106" s="408"/>
      <c r="CN106" s="408"/>
      <c r="CO106" s="408">
        <v>-57.117000000000012</v>
      </c>
      <c r="CP106" s="408">
        <v>6.3569999999999993</v>
      </c>
      <c r="CQ106" s="408">
        <v>31</v>
      </c>
      <c r="CR106" s="408">
        <v>6.9917637042024126</v>
      </c>
      <c r="CS106" s="408">
        <v>0.16889942509287614</v>
      </c>
      <c r="CT106" s="408">
        <v>0.55312278001512016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-0.19803090255564015</v>
      </c>
      <c r="DA106" s="408">
        <v>0</v>
      </c>
      <c r="DB106" s="408">
        <v>0</v>
      </c>
      <c r="DC106" s="408">
        <v>6.1968403849818046</v>
      </c>
      <c r="DD106" s="408">
        <v>0.18505896324962734</v>
      </c>
      <c r="DE106" s="408">
        <v>2.1364899365012679E-2</v>
      </c>
      <c r="DF106" s="408">
        <v>0</v>
      </c>
      <c r="DG106" s="408">
        <v>0.71541993363267053</v>
      </c>
      <c r="DH106" s="408">
        <v>0</v>
      </c>
      <c r="DI106" s="408">
        <v>-0.53613712705370986</v>
      </c>
      <c r="DJ106" s="408"/>
      <c r="DK106" s="408">
        <v>0</v>
      </c>
      <c r="DL106" s="408">
        <v>0</v>
      </c>
      <c r="DM106" s="408">
        <v>-2.6994771751559732E-2</v>
      </c>
      <c r="DN106" s="408">
        <v>0</v>
      </c>
      <c r="DO106" s="408">
        <v>-7.3437149650791067E-2</v>
      </c>
      <c r="DP106" s="408">
        <v>-1.4342731122975017E-2</v>
      </c>
      <c r="DQ106" s="408">
        <v>0</v>
      </c>
      <c r="DR106" s="408">
        <v>0</v>
      </c>
      <c r="DS106" s="408"/>
      <c r="DT106" s="408"/>
      <c r="DU106" s="408"/>
      <c r="DV106" s="408">
        <v>109.0847385500097</v>
      </c>
      <c r="DW106" s="408">
        <v>0</v>
      </c>
      <c r="DX106" s="408">
        <v>0</v>
      </c>
      <c r="DY106" s="408">
        <v>-57.117000000000004</v>
      </c>
      <c r="DZ106" s="408">
        <v>6.3569999999999993</v>
      </c>
      <c r="EA106" s="408">
        <v>0</v>
      </c>
      <c r="EB106" s="408">
        <v>0</v>
      </c>
      <c r="EC106" s="408">
        <v>-57.754585883122807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239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60" customFormat="1">
      <c r="A107" s="408">
        <v>106</v>
      </c>
      <c r="B107" s="408" t="s">
        <v>1034</v>
      </c>
      <c r="C107" s="408" t="s">
        <v>2233</v>
      </c>
      <c r="D107" s="408" t="s">
        <v>2243</v>
      </c>
      <c r="E107" s="408" t="s">
        <v>972</v>
      </c>
      <c r="F107" s="408" t="s">
        <v>2251</v>
      </c>
      <c r="G107" s="408" t="s">
        <v>2253</v>
      </c>
      <c r="H107" s="408" t="s">
        <v>1320</v>
      </c>
      <c r="I107" s="408" t="s">
        <v>1320</v>
      </c>
      <c r="J107" s="408" t="s">
        <v>2234</v>
      </c>
      <c r="K107" s="827">
        <v>44409</v>
      </c>
      <c r="L107" s="408">
        <v>0</v>
      </c>
      <c r="M107" s="408">
        <v>0</v>
      </c>
      <c r="N107" s="408">
        <v>7.7670000000000003</v>
      </c>
      <c r="O107" s="408">
        <v>3.1067999999999998</v>
      </c>
      <c r="P107" s="408">
        <v>7.7670000000000003</v>
      </c>
      <c r="Q107" s="408">
        <v>3.1067999999999998</v>
      </c>
      <c r="R107" s="408"/>
      <c r="S107" s="408">
        <v>516.83000000000004</v>
      </c>
      <c r="T107" s="408">
        <v>173.82</v>
      </c>
      <c r="U107" s="408"/>
      <c r="V107" s="408">
        <v>5364.2785500000009</v>
      </c>
      <c r="W107" s="408">
        <v>5364.2785500000009</v>
      </c>
      <c r="X107" s="408">
        <v>4050.1021499999997</v>
      </c>
      <c r="Y107" s="408">
        <v>0</v>
      </c>
      <c r="Z107" s="408">
        <v>474.9478228725701</v>
      </c>
      <c r="AA107" s="408">
        <v>0</v>
      </c>
      <c r="AB107" s="408">
        <v>0</v>
      </c>
      <c r="AC107" s="408">
        <v>21.11415511802689</v>
      </c>
      <c r="AD107" s="408">
        <v>267.39149169188659</v>
      </c>
      <c r="AE107" s="408">
        <v>2824.2038810597514</v>
      </c>
      <c r="AF107" s="408">
        <v>1249.8822267503567</v>
      </c>
      <c r="AG107" s="408">
        <v>62.880586500182289</v>
      </c>
      <c r="AH107" s="408">
        <v>0</v>
      </c>
      <c r="AI107" s="408">
        <v>0</v>
      </c>
      <c r="AJ107" s="408">
        <v>0</v>
      </c>
      <c r="AK107" s="408">
        <v>0</v>
      </c>
      <c r="AL107" s="408">
        <v>73.409774539728645</v>
      </c>
      <c r="AM107" s="408"/>
      <c r="AN107" s="408">
        <v>12.050826518657543</v>
      </c>
      <c r="AO107" s="408">
        <v>45.036978852544962</v>
      </c>
      <c r="AP107" s="408">
        <v>147.49001621944635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4.309229596643708</v>
      </c>
      <c r="BF107" s="408">
        <v>37.32578131706137</v>
      </c>
      <c r="BG107" s="408">
        <v>144.29783634213365</v>
      </c>
      <c r="BH107" s="408">
        <v>0</v>
      </c>
      <c r="BI107" s="408">
        <v>0</v>
      </c>
      <c r="BJ107" s="408">
        <v>0</v>
      </c>
      <c r="BK107" s="408">
        <v>0</v>
      </c>
      <c r="BL107" s="408">
        <v>0</v>
      </c>
      <c r="BM107" s="408"/>
      <c r="BN107" s="408"/>
      <c r="BO107" s="408"/>
      <c r="BP107" s="408"/>
      <c r="BQ107" s="408"/>
      <c r="BR107" s="408"/>
      <c r="BS107" s="408">
        <v>2624.4537660000001</v>
      </c>
      <c r="BT107" s="408"/>
      <c r="BU107" s="408"/>
      <c r="BV107" s="408">
        <v>1435.8150740061956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1427.1167999999998</v>
      </c>
      <c r="CJ107" s="408">
        <v>-461.13303600000017</v>
      </c>
      <c r="CK107" s="408"/>
      <c r="CL107" s="408"/>
      <c r="CM107" s="408"/>
      <c r="CN107" s="408"/>
      <c r="CO107" s="408">
        <v>-1478.7591300000004</v>
      </c>
      <c r="CP107" s="408">
        <v>164.58273</v>
      </c>
      <c r="CQ107" s="408">
        <v>31</v>
      </c>
      <c r="CR107" s="408">
        <v>181.01676230180055</v>
      </c>
      <c r="CS107" s="408">
        <v>4.3728061156545621</v>
      </c>
      <c r="CT107" s="408">
        <v>14.320348774591452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-5.1270200671654607</v>
      </c>
      <c r="DA107" s="408">
        <v>0</v>
      </c>
      <c r="DB107" s="408">
        <v>0</v>
      </c>
      <c r="DC107" s="408">
        <v>160.43619756717885</v>
      </c>
      <c r="DD107" s="408">
        <v>4.7911765585328538</v>
      </c>
      <c r="DE107" s="408">
        <v>0.55313724456017876</v>
      </c>
      <c r="DF107" s="408">
        <v>0</v>
      </c>
      <c r="DG107" s="408">
        <v>18.522222081749845</v>
      </c>
      <c r="DH107" s="408">
        <v>0</v>
      </c>
      <c r="DI107" s="408">
        <v>-13.880590219420583</v>
      </c>
      <c r="DJ107" s="408"/>
      <c r="DK107" s="408">
        <v>0</v>
      </c>
      <c r="DL107" s="408">
        <v>0</v>
      </c>
      <c r="DM107" s="408">
        <v>-0.69889464064788598</v>
      </c>
      <c r="DN107" s="408">
        <v>0</v>
      </c>
      <c r="DO107" s="408">
        <v>-1.9012878044589883</v>
      </c>
      <c r="DP107" s="408">
        <v>-0.37133330877382242</v>
      </c>
      <c r="DQ107" s="408">
        <v>0</v>
      </c>
      <c r="DR107" s="408">
        <v>0</v>
      </c>
      <c r="DS107" s="408"/>
      <c r="DT107" s="408"/>
      <c r="DU107" s="408"/>
      <c r="DV107" s="408">
        <v>2824.2038810597514</v>
      </c>
      <c r="DW107" s="408">
        <v>0</v>
      </c>
      <c r="DX107" s="408">
        <v>0</v>
      </c>
      <c r="DY107" s="408">
        <v>-1478.7591300000004</v>
      </c>
      <c r="DZ107" s="408">
        <v>164.58272999999986</v>
      </c>
      <c r="EA107" s="408">
        <v>0</v>
      </c>
      <c r="EB107" s="408">
        <v>0</v>
      </c>
      <c r="EC107" s="408">
        <v>-1495.2662285140495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239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60" customFormat="1">
      <c r="A108" s="408">
        <v>107</v>
      </c>
      <c r="B108" s="408" t="s">
        <v>1034</v>
      </c>
      <c r="C108" s="408" t="s">
        <v>2241</v>
      </c>
      <c r="D108" s="408" t="s">
        <v>596</v>
      </c>
      <c r="E108" s="408" t="s">
        <v>972</v>
      </c>
      <c r="F108" s="408" t="s">
        <v>2251</v>
      </c>
      <c r="G108" s="408" t="s">
        <v>1320</v>
      </c>
      <c r="H108" s="408" t="s">
        <v>1320</v>
      </c>
      <c r="I108" s="408" t="s">
        <v>971</v>
      </c>
      <c r="J108" s="408" t="s">
        <v>2234</v>
      </c>
      <c r="K108" s="827">
        <v>44409</v>
      </c>
      <c r="L108" s="408">
        <v>0</v>
      </c>
      <c r="M108" s="408">
        <v>0</v>
      </c>
      <c r="N108" s="408">
        <v>0.98299999999999998</v>
      </c>
      <c r="O108" s="408">
        <v>0.94367999999999996</v>
      </c>
      <c r="P108" s="408">
        <v>0.98299999999999998</v>
      </c>
      <c r="Q108" s="408">
        <v>0.94367999999999996</v>
      </c>
      <c r="R108" s="408"/>
      <c r="S108" s="408">
        <v>1684.16</v>
      </c>
      <c r="T108" s="408">
        <v>173.82</v>
      </c>
      <c r="U108" s="408"/>
      <c r="V108" s="408">
        <v>1826.3943400000001</v>
      </c>
      <c r="W108" s="408">
        <v>1826.3943400000001</v>
      </c>
      <c r="X108" s="408">
        <v>1253.77718</v>
      </c>
      <c r="Y108" s="408">
        <v>0</v>
      </c>
      <c r="Z108" s="408">
        <v>52.295626058819529</v>
      </c>
      <c r="AA108" s="408">
        <v>0</v>
      </c>
      <c r="AB108" s="408">
        <v>0</v>
      </c>
      <c r="AC108" s="408">
        <v>17.693410062119899</v>
      </c>
      <c r="AD108" s="408">
        <v>269.91796838397045</v>
      </c>
      <c r="AE108" s="408">
        <v>1138.6014837522241</v>
      </c>
      <c r="AF108" s="408">
        <v>158.18645923723452</v>
      </c>
      <c r="AG108" s="408">
        <v>7.9582356804015948</v>
      </c>
      <c r="AH108" s="408">
        <v>0</v>
      </c>
      <c r="AI108" s="408">
        <v>0</v>
      </c>
      <c r="AJ108" s="408">
        <v>0</v>
      </c>
      <c r="AK108" s="408">
        <v>0</v>
      </c>
      <c r="AL108" s="408">
        <v>9.2908212144397115</v>
      </c>
      <c r="AM108" s="408"/>
      <c r="AN108" s="408">
        <v>1.221604244362221</v>
      </c>
      <c r="AO108" s="408">
        <v>37.998989187380133</v>
      </c>
      <c r="AP108" s="408">
        <v>122.18559360162288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0.1834215330765081</v>
      </c>
      <c r="BF108" s="408">
        <v>4.7239916357243885</v>
      </c>
      <c r="BG108" s="408">
        <v>6.1420097880399753</v>
      </c>
      <c r="BH108" s="408">
        <v>0</v>
      </c>
      <c r="BI108" s="408">
        <v>0</v>
      </c>
      <c r="BJ108" s="408">
        <v>0</v>
      </c>
      <c r="BK108" s="408">
        <v>0</v>
      </c>
      <c r="BL108" s="408">
        <v>0</v>
      </c>
      <c r="BM108" s="408"/>
      <c r="BN108" s="408"/>
      <c r="BO108" s="408"/>
      <c r="BP108" s="408"/>
      <c r="BQ108" s="408"/>
      <c r="BR108" s="408">
        <v>50.151087200000028</v>
      </c>
      <c r="BS108" s="408"/>
      <c r="BT108" s="408"/>
      <c r="BU108" s="408"/>
      <c r="BV108" s="408">
        <v>169.2358821940754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1198.9323999999999</v>
      </c>
      <c r="CJ108" s="408">
        <v>-554.43616640000027</v>
      </c>
      <c r="CK108" s="408"/>
      <c r="CL108" s="408"/>
      <c r="CM108" s="408"/>
      <c r="CN108" s="408"/>
      <c r="CO108" s="408">
        <v>-593.44693000000007</v>
      </c>
      <c r="CP108" s="408">
        <v>20.829769999999996</v>
      </c>
      <c r="CQ108" s="408">
        <v>31</v>
      </c>
      <c r="CR108" s="408">
        <v>30.205653151315119</v>
      </c>
      <c r="CS108" s="408">
        <v>3.6894617832002723</v>
      </c>
      <c r="CT108" s="408">
        <v>11.863449204604791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-5.1754632566543251</v>
      </c>
      <c r="DA108" s="408">
        <v>0</v>
      </c>
      <c r="DB108" s="408">
        <v>0</v>
      </c>
      <c r="DC108" s="408">
        <v>20.304980328123719</v>
      </c>
      <c r="DD108" s="408">
        <v>0.60637653624794563</v>
      </c>
      <c r="DE108" s="408">
        <v>2.3544180954750277E-2</v>
      </c>
      <c r="DF108" s="408">
        <v>0</v>
      </c>
      <c r="DG108" s="408">
        <v>0.78839483810846112</v>
      </c>
      <c r="DH108" s="408">
        <v>0</v>
      </c>
      <c r="DI108" s="408">
        <v>-1.528366108092051</v>
      </c>
      <c r="DJ108" s="408"/>
      <c r="DK108" s="408">
        <v>0</v>
      </c>
      <c r="DL108" s="408">
        <v>0</v>
      </c>
      <c r="DM108" s="408">
        <v>-8.8452868772611382E-2</v>
      </c>
      <c r="DN108" s="408">
        <v>0</v>
      </c>
      <c r="DO108" s="408">
        <v>-0.24062906035575793</v>
      </c>
      <c r="DP108" s="408">
        <v>-3.7642426050106259E-2</v>
      </c>
      <c r="DQ108" s="408">
        <v>0</v>
      </c>
      <c r="DR108" s="408">
        <v>0</v>
      </c>
      <c r="DS108" s="408"/>
      <c r="DT108" s="408"/>
      <c r="DU108" s="408"/>
      <c r="DV108" s="408">
        <v>1138.6014837522241</v>
      </c>
      <c r="DW108" s="408">
        <v>0</v>
      </c>
      <c r="DX108" s="408">
        <v>0</v>
      </c>
      <c r="DY108" s="408">
        <v>-593.44692999999984</v>
      </c>
      <c r="DZ108" s="408">
        <v>20.829769999999996</v>
      </c>
      <c r="EA108" s="408">
        <v>0</v>
      </c>
      <c r="EB108" s="408">
        <v>0</v>
      </c>
      <c r="EC108" s="408">
        <v>-602.82912214958026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239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60" customFormat="1">
      <c r="A109" s="408">
        <v>108</v>
      </c>
      <c r="B109" s="408" t="s">
        <v>1034</v>
      </c>
      <c r="C109" s="408" t="s">
        <v>2241</v>
      </c>
      <c r="D109" s="408" t="s">
        <v>596</v>
      </c>
      <c r="E109" s="408" t="s">
        <v>972</v>
      </c>
      <c r="F109" s="408" t="s">
        <v>2251</v>
      </c>
      <c r="G109" s="408" t="s">
        <v>1320</v>
      </c>
      <c r="H109" s="408" t="s">
        <v>1320</v>
      </c>
      <c r="I109" s="408" t="s">
        <v>2242</v>
      </c>
      <c r="J109" s="408" t="s">
        <v>2234</v>
      </c>
      <c r="K109" s="827">
        <v>44409</v>
      </c>
      <c r="L109" s="408">
        <v>0</v>
      </c>
      <c r="M109" s="408">
        <v>0</v>
      </c>
      <c r="N109" s="408">
        <v>51.247</v>
      </c>
      <c r="O109" s="408">
        <v>49.197119999999998</v>
      </c>
      <c r="P109" s="408">
        <v>51.247</v>
      </c>
      <c r="Q109" s="408">
        <v>49.197119999999998</v>
      </c>
      <c r="R109" s="408"/>
      <c r="S109" s="408">
        <v>70.33</v>
      </c>
      <c r="T109" s="408">
        <v>173.82</v>
      </c>
      <c r="U109" s="408"/>
      <c r="V109" s="408">
        <v>12511.95505</v>
      </c>
      <c r="W109" s="408">
        <v>12511.95505</v>
      </c>
      <c r="X109" s="408">
        <v>13546.119509999999</v>
      </c>
      <c r="Y109" s="408">
        <v>0</v>
      </c>
      <c r="Z109" s="408">
        <v>2726.3417585313573</v>
      </c>
      <c r="AA109" s="408">
        <v>0</v>
      </c>
      <c r="AB109" s="408">
        <v>0</v>
      </c>
      <c r="AC109" s="408">
        <v>0</v>
      </c>
      <c r="AD109" s="408">
        <v>0</v>
      </c>
      <c r="AE109" s="408">
        <v>0</v>
      </c>
      <c r="AF109" s="408">
        <v>8246.7766800921236</v>
      </c>
      <c r="AG109" s="408">
        <v>414.88881374724366</v>
      </c>
      <c r="AH109" s="408">
        <v>0</v>
      </c>
      <c r="AI109" s="408">
        <v>0</v>
      </c>
      <c r="AJ109" s="408">
        <v>0</v>
      </c>
      <c r="AK109" s="408">
        <v>0</v>
      </c>
      <c r="AL109" s="408">
        <v>484.36084921301318</v>
      </c>
      <c r="AM109" s="408"/>
      <c r="AN109" s="408">
        <v>63.686218424039417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9.562363484813643</v>
      </c>
      <c r="BF109" s="408">
        <v>246.27711022987563</v>
      </c>
      <c r="BG109" s="408">
        <v>320.20302706783787</v>
      </c>
      <c r="BH109" s="408">
        <v>0</v>
      </c>
      <c r="BI109" s="408">
        <v>0</v>
      </c>
      <c r="BJ109" s="408">
        <v>0</v>
      </c>
      <c r="BK109" s="408">
        <v>0</v>
      </c>
      <c r="BL109" s="408">
        <v>0</v>
      </c>
      <c r="BM109" s="408"/>
      <c r="BN109" s="408"/>
      <c r="BO109" s="408"/>
      <c r="BP109" s="408"/>
      <c r="BQ109" s="408"/>
      <c r="BR109" s="408">
        <v>541.84478040000045</v>
      </c>
      <c r="BS109" s="408"/>
      <c r="BT109" s="408"/>
      <c r="BU109" s="408"/>
      <c r="BV109" s="408">
        <v>8822.8191808746524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13005.036</v>
      </c>
      <c r="CJ109" s="408">
        <v>993.52915200000098</v>
      </c>
      <c r="CK109" s="408"/>
      <c r="CL109" s="408"/>
      <c r="CM109" s="408"/>
      <c r="CN109" s="408"/>
      <c r="CO109" s="408">
        <v>-51.759470000000263</v>
      </c>
      <c r="CP109" s="408">
        <v>1085.9239299999999</v>
      </c>
      <c r="CQ109" s="408">
        <v>31</v>
      </c>
      <c r="CR109" s="408">
        <v>1033.7090978302713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0</v>
      </c>
      <c r="DA109" s="408">
        <v>0</v>
      </c>
      <c r="DB109" s="408">
        <v>0</v>
      </c>
      <c r="DC109" s="408">
        <v>1058.5649306972082</v>
      </c>
      <c r="DD109" s="408">
        <v>31.612388965512139</v>
      </c>
      <c r="DE109" s="408">
        <v>1.2274350370173828</v>
      </c>
      <c r="DF109" s="408">
        <v>0</v>
      </c>
      <c r="DG109" s="408">
        <v>41.101597424765316</v>
      </c>
      <c r="DH109" s="408">
        <v>0</v>
      </c>
      <c r="DI109" s="408">
        <v>-79.678716115354291</v>
      </c>
      <c r="DJ109" s="408"/>
      <c r="DK109" s="408">
        <v>0</v>
      </c>
      <c r="DL109" s="408">
        <v>0</v>
      </c>
      <c r="DM109" s="408">
        <v>-4.6113368931739842</v>
      </c>
      <c r="DN109" s="408">
        <v>0</v>
      </c>
      <c r="DO109" s="408">
        <v>-12.544778693846979</v>
      </c>
      <c r="DP109" s="408">
        <v>-1.9624225918512721</v>
      </c>
      <c r="DQ109" s="408">
        <v>0</v>
      </c>
      <c r="DR109" s="408">
        <v>0</v>
      </c>
      <c r="DS109" s="408"/>
      <c r="DT109" s="408"/>
      <c r="DU109" s="408"/>
      <c r="DV109" s="408">
        <v>0</v>
      </c>
      <c r="DW109" s="408">
        <v>0</v>
      </c>
      <c r="DX109" s="408">
        <v>0</v>
      </c>
      <c r="DY109" s="408">
        <v>-51.75947000000042</v>
      </c>
      <c r="DZ109" s="408">
        <v>1085.923929999999</v>
      </c>
      <c r="EA109" s="408">
        <v>0</v>
      </c>
      <c r="EB109" s="408">
        <v>0</v>
      </c>
      <c r="EC109" s="408">
        <v>0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239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60" customFormat="1">
      <c r="A110" s="408">
        <v>109</v>
      </c>
      <c r="B110" s="408" t="s">
        <v>1034</v>
      </c>
      <c r="C110" s="408" t="s">
        <v>2241</v>
      </c>
      <c r="D110" s="408" t="s">
        <v>596</v>
      </c>
      <c r="E110" s="408" t="s">
        <v>972</v>
      </c>
      <c r="F110" s="408" t="s">
        <v>2251</v>
      </c>
      <c r="G110" s="408" t="s">
        <v>1320</v>
      </c>
      <c r="H110" s="408" t="s">
        <v>1320</v>
      </c>
      <c r="I110" s="408" t="s">
        <v>1320</v>
      </c>
      <c r="J110" s="408" t="s">
        <v>2234</v>
      </c>
      <c r="K110" s="827">
        <v>44409</v>
      </c>
      <c r="L110" s="408">
        <v>1162</v>
      </c>
      <c r="M110" s="408">
        <v>1115.52</v>
      </c>
      <c r="N110" s="408">
        <v>0</v>
      </c>
      <c r="O110" s="408">
        <v>0</v>
      </c>
      <c r="P110" s="408">
        <v>0</v>
      </c>
      <c r="Q110" s="408">
        <v>0</v>
      </c>
      <c r="R110" s="408">
        <v>59.12</v>
      </c>
      <c r="S110" s="408"/>
      <c r="T110" s="408"/>
      <c r="U110" s="408">
        <v>68697.440000000002</v>
      </c>
      <c r="V110" s="408"/>
      <c r="W110" s="408">
        <v>68697.440000000002</v>
      </c>
      <c r="X110" s="408">
        <v>39542.86</v>
      </c>
      <c r="Y110" s="408">
        <v>0</v>
      </c>
      <c r="Z110" s="408">
        <v>0</v>
      </c>
      <c r="AA110" s="408">
        <v>0</v>
      </c>
      <c r="AB110" s="408">
        <v>0</v>
      </c>
      <c r="AC110" s="408">
        <v>664.73414219373853</v>
      </c>
      <c r="AD110" s="408">
        <v>5945.9803201313298</v>
      </c>
      <c r="AE110" s="408">
        <v>55964.008988347719</v>
      </c>
      <c r="AF110" s="408"/>
      <c r="AG110" s="408"/>
      <c r="AH110" s="408"/>
      <c r="AI110" s="408">
        <v>0</v>
      </c>
      <c r="AJ110" s="408">
        <v>0</v>
      </c>
      <c r="AK110" s="408">
        <v>0</v>
      </c>
      <c r="AL110" s="408">
        <v>0</v>
      </c>
      <c r="AM110" s="408"/>
      <c r="AN110" s="408">
        <v>0</v>
      </c>
      <c r="AO110" s="408">
        <v>1403.7797984318497</v>
      </c>
      <c r="AP110" s="408">
        <v>4718.8678979911701</v>
      </c>
      <c r="AQ110" s="408">
        <v>0</v>
      </c>
      <c r="AR110" s="408">
        <v>0</v>
      </c>
      <c r="AS110" s="408"/>
      <c r="AT110" s="408"/>
      <c r="AU110" s="408">
        <v>0</v>
      </c>
      <c r="AV110" s="408">
        <v>0</v>
      </c>
      <c r="AW110" s="408">
        <v>0</v>
      </c>
      <c r="AX110" s="408"/>
      <c r="AY110" s="408"/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/>
      <c r="BG110" s="408">
        <v>0</v>
      </c>
      <c r="BH110" s="408">
        <v>0</v>
      </c>
      <c r="BI110" s="408">
        <v>0</v>
      </c>
      <c r="BJ110" s="408">
        <v>0</v>
      </c>
      <c r="BK110" s="408">
        <v>39.1</v>
      </c>
      <c r="BL110" s="408">
        <v>9</v>
      </c>
      <c r="BM110" s="408"/>
      <c r="BN110" s="408"/>
      <c r="BO110" s="408"/>
      <c r="BP110" s="408"/>
      <c r="BQ110" s="408"/>
      <c r="BR110" s="408">
        <v>1581.7144000000008</v>
      </c>
      <c r="BS110" s="408"/>
      <c r="BT110" s="408"/>
      <c r="BU110" s="408"/>
      <c r="BV110" s="408">
        <v>0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37961.145600000003</v>
      </c>
      <c r="CJ110" s="408">
        <v>-27988.426799999972</v>
      </c>
      <c r="CK110" s="408"/>
      <c r="CL110" s="408"/>
      <c r="CM110" s="408"/>
      <c r="CN110" s="408"/>
      <c r="CO110" s="408">
        <v>-29154.579999999994</v>
      </c>
      <c r="CP110" s="408">
        <v>0</v>
      </c>
      <c r="CQ110" s="408">
        <v>31</v>
      </c>
      <c r="CR110" s="408">
        <v>480.46094700566027</v>
      </c>
      <c r="CS110" s="408">
        <v>136.29814974296664</v>
      </c>
      <c r="CT110" s="408">
        <v>458.1722604187371</v>
      </c>
      <c r="CU110" s="408">
        <v>0</v>
      </c>
      <c r="CV110" s="408">
        <v>0</v>
      </c>
      <c r="CW110" s="408"/>
      <c r="CX110" s="408"/>
      <c r="CY110" s="408"/>
      <c r="CZ110" s="408">
        <v>-114.00946315604324</v>
      </c>
      <c r="DA110" s="408">
        <v>0</v>
      </c>
      <c r="DB110" s="408">
        <v>0</v>
      </c>
      <c r="DC110" s="408"/>
      <c r="DD110" s="408"/>
      <c r="DE110" s="408">
        <v>0</v>
      </c>
      <c r="DF110" s="408">
        <v>0</v>
      </c>
      <c r="DG110" s="408">
        <v>0</v>
      </c>
      <c r="DH110" s="408">
        <v>0</v>
      </c>
      <c r="DI110" s="408">
        <v>0</v>
      </c>
      <c r="DJ110" s="408"/>
      <c r="DK110" s="408">
        <v>0</v>
      </c>
      <c r="DL110" s="408">
        <v>0</v>
      </c>
      <c r="DM110" s="408"/>
      <c r="DN110" s="408">
        <v>0</v>
      </c>
      <c r="DO110" s="408">
        <v>0</v>
      </c>
      <c r="DP110" s="408">
        <v>0</v>
      </c>
      <c r="DQ110" s="408">
        <v>0</v>
      </c>
      <c r="DR110" s="408">
        <v>0</v>
      </c>
      <c r="DS110" s="408"/>
      <c r="DT110" s="408"/>
      <c r="DU110" s="408">
        <v>55964.008988347719</v>
      </c>
      <c r="DV110" s="408"/>
      <c r="DW110" s="408">
        <v>0</v>
      </c>
      <c r="DX110" s="408">
        <v>0</v>
      </c>
      <c r="DY110" s="408">
        <v>-29154.58</v>
      </c>
      <c r="DZ110" s="408"/>
      <c r="EA110" s="408">
        <v>0</v>
      </c>
      <c r="EB110" s="408"/>
      <c r="EC110" s="408">
        <v>-29629.975800873392</v>
      </c>
      <c r="ED110" s="408"/>
      <c r="EE110" s="408">
        <v>0</v>
      </c>
      <c r="EF110" s="408">
        <v>0</v>
      </c>
      <c r="EG110" s="408"/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/>
      <c r="EN110" s="408"/>
      <c r="EO110" s="408">
        <v>0</v>
      </c>
      <c r="EP110" s="408">
        <v>0</v>
      </c>
      <c r="EQ110" s="408"/>
      <c r="ER110" s="408">
        <v>0</v>
      </c>
      <c r="ES110" s="408"/>
      <c r="ET110" s="408">
        <v>0</v>
      </c>
      <c r="EU110" s="408"/>
      <c r="EV110" s="408">
        <v>239</v>
      </c>
      <c r="EW110" s="408"/>
      <c r="EX110" s="408"/>
      <c r="EY110" s="408"/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60" customFormat="1">
      <c r="A111" s="408">
        <v>110</v>
      </c>
      <c r="B111" s="408" t="s">
        <v>1034</v>
      </c>
      <c r="C111" s="408" t="s">
        <v>2241</v>
      </c>
      <c r="D111" s="408" t="s">
        <v>596</v>
      </c>
      <c r="E111" s="408" t="s">
        <v>972</v>
      </c>
      <c r="F111" s="408" t="s">
        <v>2251</v>
      </c>
      <c r="G111" s="408" t="s">
        <v>2253</v>
      </c>
      <c r="H111" s="408" t="s">
        <v>1320</v>
      </c>
      <c r="I111" s="408" t="s">
        <v>2242</v>
      </c>
      <c r="J111" s="408" t="s">
        <v>2234</v>
      </c>
      <c r="K111" s="827">
        <v>44409</v>
      </c>
      <c r="L111" s="408">
        <v>0</v>
      </c>
      <c r="M111" s="408">
        <v>0</v>
      </c>
      <c r="N111" s="408">
        <v>31.599</v>
      </c>
      <c r="O111" s="408">
        <v>9.4796999999999993</v>
      </c>
      <c r="P111" s="408">
        <v>31.599</v>
      </c>
      <c r="Q111" s="408">
        <v>9.4796999999999993</v>
      </c>
      <c r="R111" s="408"/>
      <c r="S111" s="408">
        <v>70.33</v>
      </c>
      <c r="T111" s="408">
        <v>173.82</v>
      </c>
      <c r="U111" s="408"/>
      <c r="V111" s="408">
        <v>7714.895849999999</v>
      </c>
      <c r="W111" s="408">
        <v>7714.895849999999</v>
      </c>
      <c r="X111" s="408">
        <v>8352.5636699999995</v>
      </c>
      <c r="Y111" s="408">
        <v>0</v>
      </c>
      <c r="Z111" s="408">
        <v>1681.0676376730808</v>
      </c>
      <c r="AA111" s="408">
        <v>0</v>
      </c>
      <c r="AB111" s="408">
        <v>0</v>
      </c>
      <c r="AC111" s="408">
        <v>0</v>
      </c>
      <c r="AD111" s="408">
        <v>0</v>
      </c>
      <c r="AE111" s="408">
        <v>0</v>
      </c>
      <c r="AF111" s="408">
        <v>5084.9785609739311</v>
      </c>
      <c r="AG111" s="408">
        <v>255.82125052391658</v>
      </c>
      <c r="AH111" s="408">
        <v>0</v>
      </c>
      <c r="AI111" s="408">
        <v>0</v>
      </c>
      <c r="AJ111" s="408">
        <v>0</v>
      </c>
      <c r="AK111" s="408">
        <v>0</v>
      </c>
      <c r="AL111" s="408">
        <v>298.65784288411038</v>
      </c>
      <c r="AM111" s="408"/>
      <c r="AN111" s="408">
        <v>39.269046304783139</v>
      </c>
      <c r="AO111" s="408">
        <v>0</v>
      </c>
      <c r="AP111" s="408">
        <v>0</v>
      </c>
      <c r="AQ111" s="408">
        <v>0</v>
      </c>
      <c r="AR111" s="408">
        <v>0</v>
      </c>
      <c r="AS111" s="408">
        <v>0</v>
      </c>
      <c r="AT111" s="408">
        <v>0</v>
      </c>
      <c r="AU111" s="408">
        <v>0</v>
      </c>
      <c r="AV111" s="408">
        <v>0</v>
      </c>
      <c r="AW111" s="408">
        <v>0</v>
      </c>
      <c r="AX111" s="408">
        <v>0</v>
      </c>
      <c r="AY111" s="408">
        <v>0</v>
      </c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5.8961719467798375</v>
      </c>
      <c r="BF111" s="408">
        <v>151.85494577543739</v>
      </c>
      <c r="BG111" s="408">
        <v>197.43781006335217</v>
      </c>
      <c r="BH111" s="408">
        <v>0</v>
      </c>
      <c r="BI111" s="408">
        <v>0</v>
      </c>
      <c r="BJ111" s="408">
        <v>0</v>
      </c>
      <c r="BK111" s="408">
        <v>0</v>
      </c>
      <c r="BL111" s="408">
        <v>0</v>
      </c>
      <c r="BM111" s="408"/>
      <c r="BN111" s="408"/>
      <c r="BO111" s="408"/>
      <c r="BP111" s="408"/>
      <c r="BQ111" s="408"/>
      <c r="BR111" s="408"/>
      <c r="BS111" s="408">
        <v>5846.7945690000006</v>
      </c>
      <c r="BT111" s="408"/>
      <c r="BU111" s="408"/>
      <c r="BV111" s="408">
        <v>5440.1674887595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2505.8483999999999</v>
      </c>
      <c r="CJ111" s="408">
        <v>191.34964500000024</v>
      </c>
      <c r="CK111" s="408"/>
      <c r="CL111" s="408"/>
      <c r="CM111" s="408"/>
      <c r="CN111" s="408"/>
      <c r="CO111" s="408">
        <v>-31.914990000000163</v>
      </c>
      <c r="CP111" s="408">
        <v>669.58280999999988</v>
      </c>
      <c r="CQ111" s="408">
        <v>31</v>
      </c>
      <c r="CR111" s="408">
        <v>637.38704279936155</v>
      </c>
      <c r="CS111" s="408">
        <v>0</v>
      </c>
      <c r="CT111" s="408">
        <v>0</v>
      </c>
      <c r="CU111" s="408">
        <v>0</v>
      </c>
      <c r="CV111" s="408">
        <v>0</v>
      </c>
      <c r="CW111" s="408">
        <v>0</v>
      </c>
      <c r="CX111" s="408">
        <v>0</v>
      </c>
      <c r="CY111" s="408">
        <v>0</v>
      </c>
      <c r="CZ111" s="408">
        <v>0</v>
      </c>
      <c r="DA111" s="408">
        <v>0</v>
      </c>
      <c r="DB111" s="408">
        <v>0</v>
      </c>
      <c r="DC111" s="408">
        <v>652.71319775013308</v>
      </c>
      <c r="DD111" s="408">
        <v>19.492260599083238</v>
      </c>
      <c r="DE111" s="408">
        <v>0.75683883417004427</v>
      </c>
      <c r="DF111" s="408">
        <v>0</v>
      </c>
      <c r="DG111" s="408">
        <v>25.343325014638111</v>
      </c>
      <c r="DH111" s="408">
        <v>0</v>
      </c>
      <c r="DI111" s="408">
        <v>-49.130051525534782</v>
      </c>
      <c r="DJ111" s="408"/>
      <c r="DK111" s="408">
        <v>0</v>
      </c>
      <c r="DL111" s="408">
        <v>0</v>
      </c>
      <c r="DM111" s="408">
        <v>-2.8433593085918005</v>
      </c>
      <c r="DN111" s="408">
        <v>0</v>
      </c>
      <c r="DO111" s="408">
        <v>-7.7351349727178444</v>
      </c>
      <c r="DP111" s="408">
        <v>-1.2100335918182239</v>
      </c>
      <c r="DQ111" s="408">
        <v>0</v>
      </c>
      <c r="DR111" s="408">
        <v>0</v>
      </c>
      <c r="DS111" s="408"/>
      <c r="DT111" s="408"/>
      <c r="DU111" s="408"/>
      <c r="DV111" s="408">
        <v>0</v>
      </c>
      <c r="DW111" s="408">
        <v>0</v>
      </c>
      <c r="DX111" s="408">
        <v>0</v>
      </c>
      <c r="DY111" s="408">
        <v>-31.914990000000216</v>
      </c>
      <c r="DZ111" s="408">
        <v>669.58280999999988</v>
      </c>
      <c r="EA111" s="408">
        <v>0</v>
      </c>
      <c r="EB111" s="408">
        <v>0</v>
      </c>
      <c r="EC111" s="408">
        <v>0</v>
      </c>
      <c r="ED111" s="408">
        <v>0</v>
      </c>
      <c r="EE111" s="408">
        <v>0</v>
      </c>
      <c r="EF111" s="408">
        <v>0</v>
      </c>
      <c r="EG111" s="408">
        <v>0</v>
      </c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>
        <v>0</v>
      </c>
      <c r="EN111" s="408">
        <v>0</v>
      </c>
      <c r="EO111" s="408">
        <v>0</v>
      </c>
      <c r="EP111" s="408">
        <v>0</v>
      </c>
      <c r="EQ111" s="408">
        <v>0</v>
      </c>
      <c r="ER111" s="408">
        <v>0</v>
      </c>
      <c r="ES111" s="408">
        <v>0</v>
      </c>
      <c r="ET111" s="408">
        <v>0</v>
      </c>
      <c r="EU111" s="408">
        <v>0</v>
      </c>
      <c r="EV111" s="408">
        <v>239</v>
      </c>
      <c r="EW111" s="408">
        <v>0</v>
      </c>
      <c r="EX111" s="408">
        <v>0</v>
      </c>
      <c r="EY111" s="408">
        <v>0</v>
      </c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60" customFormat="1">
      <c r="A112" s="408">
        <v>111</v>
      </c>
      <c r="B112" s="408" t="s">
        <v>1034</v>
      </c>
      <c r="C112" s="408" t="s">
        <v>2233</v>
      </c>
      <c r="D112" s="408" t="s">
        <v>2243</v>
      </c>
      <c r="E112" s="408" t="s">
        <v>972</v>
      </c>
      <c r="F112" s="408" t="s">
        <v>2254</v>
      </c>
      <c r="G112" s="408" t="s">
        <v>2252</v>
      </c>
      <c r="H112" s="408" t="s">
        <v>1320</v>
      </c>
      <c r="I112" s="408" t="s">
        <v>1320</v>
      </c>
      <c r="J112" s="408" t="s">
        <v>2234</v>
      </c>
      <c r="K112" s="827">
        <v>44409</v>
      </c>
      <c r="L112" s="408">
        <v>0</v>
      </c>
      <c r="M112" s="408">
        <v>0</v>
      </c>
      <c r="N112" s="408">
        <v>0</v>
      </c>
      <c r="O112" s="408">
        <v>0</v>
      </c>
      <c r="P112" s="408">
        <v>0</v>
      </c>
      <c r="Q112" s="408">
        <v>0</v>
      </c>
      <c r="R112" s="408"/>
      <c r="S112" s="408"/>
      <c r="T112" s="408"/>
      <c r="U112" s="408"/>
      <c r="V112" s="408"/>
      <c r="W112" s="408"/>
      <c r="X112" s="408"/>
      <c r="Y112" s="408"/>
      <c r="Z112" s="408"/>
      <c r="AA112" s="408">
        <v>0</v>
      </c>
      <c r="AB112" s="408"/>
      <c r="AC112" s="408"/>
      <c r="AD112" s="408"/>
      <c r="AE112" s="408"/>
      <c r="AF112" s="408"/>
      <c r="AG112" s="408"/>
      <c r="AH112" s="408"/>
      <c r="AI112" s="408"/>
      <c r="AJ112" s="408"/>
      <c r="AK112" s="408"/>
      <c r="AL112" s="408"/>
      <c r="AM112" s="408"/>
      <c r="AN112" s="408"/>
      <c r="AO112" s="408"/>
      <c r="AP112" s="408"/>
      <c r="AQ112" s="408"/>
      <c r="AR112" s="408"/>
      <c r="AS112" s="408"/>
      <c r="AT112" s="408"/>
      <c r="AU112" s="408"/>
      <c r="AV112" s="408"/>
      <c r="AW112" s="408"/>
      <c r="AX112" s="408"/>
      <c r="AY112" s="408"/>
      <c r="AZ112" s="408">
        <v>0</v>
      </c>
      <c r="BA112" s="408"/>
      <c r="BB112" s="408"/>
      <c r="BC112" s="408"/>
      <c r="BD112" s="408"/>
      <c r="BE112" s="408"/>
      <c r="BF112" s="408"/>
      <c r="BG112" s="408"/>
      <c r="BH112" s="408"/>
      <c r="BI112" s="408">
        <v>0</v>
      </c>
      <c r="BJ112" s="408">
        <v>0</v>
      </c>
      <c r="BK112" s="408">
        <v>4.45</v>
      </c>
      <c r="BL112" s="408">
        <v>1</v>
      </c>
      <c r="BM112" s="408"/>
      <c r="BN112" s="408"/>
      <c r="BO112" s="408"/>
      <c r="BP112" s="408"/>
      <c r="BQ112" s="408"/>
      <c r="BR112" s="408"/>
      <c r="BS112" s="408"/>
      <c r="BT112" s="408"/>
      <c r="BU112" s="408"/>
      <c r="BV112" s="408"/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/>
      <c r="CJ112" s="408">
        <v>-0.03</v>
      </c>
      <c r="CK112" s="408"/>
      <c r="CL112" s="408"/>
      <c r="CM112" s="408"/>
      <c r="CN112" s="408"/>
      <c r="CO112" s="408">
        <v>0</v>
      </c>
      <c r="CP112" s="408">
        <v>0</v>
      </c>
      <c r="CQ112" s="408">
        <v>31</v>
      </c>
      <c r="CR112" s="408"/>
      <c r="CS112" s="408"/>
      <c r="CT112" s="408"/>
      <c r="CU112" s="408"/>
      <c r="CV112" s="408"/>
      <c r="CW112" s="408"/>
      <c r="CX112" s="408"/>
      <c r="CY112" s="408"/>
      <c r="CZ112" s="408"/>
      <c r="DA112" s="408"/>
      <c r="DB112" s="408"/>
      <c r="DC112" s="408"/>
      <c r="DD112" s="408"/>
      <c r="DE112" s="408"/>
      <c r="DF112" s="408"/>
      <c r="DG112" s="408"/>
      <c r="DH112" s="408"/>
      <c r="DI112" s="408"/>
      <c r="DJ112" s="408"/>
      <c r="DK112" s="408">
        <v>0</v>
      </c>
      <c r="DL112" s="408"/>
      <c r="DM112" s="408"/>
      <c r="DN112" s="408"/>
      <c r="DO112" s="408"/>
      <c r="DP112" s="408"/>
      <c r="DQ112" s="408"/>
      <c r="DR112" s="408"/>
      <c r="DS112" s="408"/>
      <c r="DT112" s="408"/>
      <c r="DU112" s="408"/>
      <c r="DV112" s="408"/>
      <c r="DW112" s="408"/>
      <c r="DX112" s="408"/>
      <c r="DY112" s="408"/>
      <c r="DZ112" s="408"/>
      <c r="EA112" s="408"/>
      <c r="EB112" s="408"/>
      <c r="EC112" s="408"/>
      <c r="ED112" s="408"/>
      <c r="EE112" s="408"/>
      <c r="EF112" s="408"/>
      <c r="EG112" s="408"/>
      <c r="EH112" s="408"/>
      <c r="EI112" s="408"/>
      <c r="EJ112" s="408"/>
      <c r="EK112" s="408"/>
      <c r="EL112" s="408"/>
      <c r="EM112" s="408"/>
      <c r="EN112" s="408"/>
      <c r="EO112" s="408"/>
      <c r="EP112" s="408"/>
      <c r="EQ112" s="408"/>
      <c r="ER112" s="408"/>
      <c r="ES112" s="408"/>
      <c r="ET112" s="408"/>
      <c r="EU112" s="408"/>
      <c r="EV112" s="408">
        <v>239</v>
      </c>
      <c r="EW112" s="408"/>
      <c r="EX112" s="408"/>
      <c r="EY112" s="408"/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60" customFormat="1">
      <c r="A113" s="408">
        <v>112</v>
      </c>
      <c r="B113" s="408" t="s">
        <v>1034</v>
      </c>
      <c r="C113" s="408" t="s">
        <v>2233</v>
      </c>
      <c r="D113" s="408" t="s">
        <v>2243</v>
      </c>
      <c r="E113" s="408" t="s">
        <v>972</v>
      </c>
      <c r="F113" s="408" t="s">
        <v>2254</v>
      </c>
      <c r="G113" s="408" t="s">
        <v>2252</v>
      </c>
      <c r="H113" s="408" t="s">
        <v>1320</v>
      </c>
      <c r="I113" s="408" t="s">
        <v>1320</v>
      </c>
      <c r="J113" s="408" t="s">
        <v>2234</v>
      </c>
      <c r="K113" s="827">
        <v>44409</v>
      </c>
      <c r="L113" s="408">
        <v>0</v>
      </c>
      <c r="M113" s="408">
        <v>0</v>
      </c>
      <c r="N113" s="408">
        <v>4.7E-2</v>
      </c>
      <c r="O113" s="408">
        <v>4.7E-2</v>
      </c>
      <c r="P113" s="408">
        <v>4.7E-2</v>
      </c>
      <c r="Q113" s="408">
        <v>4.7E-2</v>
      </c>
      <c r="R113" s="408"/>
      <c r="S113" s="408">
        <v>516.83000000000004</v>
      </c>
      <c r="T113" s="408">
        <v>173.82</v>
      </c>
      <c r="U113" s="408"/>
      <c r="V113" s="408">
        <v>32.460550000000005</v>
      </c>
      <c r="W113" s="408">
        <v>32.460550000000005</v>
      </c>
      <c r="X113" s="408">
        <v>24.508150000000001</v>
      </c>
      <c r="Y113" s="408">
        <v>0</v>
      </c>
      <c r="Z113" s="408">
        <v>2.8740244206271139</v>
      </c>
      <c r="AA113" s="408">
        <v>0</v>
      </c>
      <c r="AB113" s="408">
        <v>0</v>
      </c>
      <c r="AC113" s="408">
        <v>0.12776687144937091</v>
      </c>
      <c r="AD113" s="408">
        <v>1.6180507415371019</v>
      </c>
      <c r="AE113" s="408">
        <v>17.089942372834852</v>
      </c>
      <c r="AF113" s="408">
        <v>7.5633403704476327</v>
      </c>
      <c r="AG113" s="408">
        <v>0.38050567342713626</v>
      </c>
      <c r="AH113" s="408">
        <v>0</v>
      </c>
      <c r="AI113" s="408">
        <v>0</v>
      </c>
      <c r="AJ113" s="408">
        <v>0</v>
      </c>
      <c r="AK113" s="408">
        <v>0</v>
      </c>
      <c r="AL113" s="408">
        <v>0.44422034290810425</v>
      </c>
      <c r="AM113" s="408"/>
      <c r="AN113" s="408">
        <v>7.292247281793543E-2</v>
      </c>
      <c r="AO113" s="408">
        <v>0.2725296776193657</v>
      </c>
      <c r="AP113" s="408">
        <v>0.89249784502561835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2.6076193001448984E-2</v>
      </c>
      <c r="BF113" s="408">
        <v>0.2258673518606778</v>
      </c>
      <c r="BG113" s="408">
        <v>0.87318119068884792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>
        <v>2.9407899999999998</v>
      </c>
      <c r="BS113" s="408"/>
      <c r="BT113" s="408"/>
      <c r="BU113" s="408"/>
      <c r="BV113" s="408">
        <v>8.688465105998608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22.944000000000003</v>
      </c>
      <c r="CJ113" s="408">
        <v>-5.6511899999999997</v>
      </c>
      <c r="CK113" s="408"/>
      <c r="CL113" s="408"/>
      <c r="CM113" s="408"/>
      <c r="CN113" s="408"/>
      <c r="CO113" s="408">
        <v>-8.9483300000000021</v>
      </c>
      <c r="CP113" s="408">
        <v>0.99592999999999987</v>
      </c>
      <c r="CQ113" s="408">
        <v>31</v>
      </c>
      <c r="CR113" s="408">
        <v>1.0953763136583756</v>
      </c>
      <c r="CS113" s="408">
        <v>2.6460909931217247E-2</v>
      </c>
      <c r="CT113" s="408">
        <v>8.6655902202368851E-2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-3.1024841400383529E-2</v>
      </c>
      <c r="DA113" s="408">
        <v>0</v>
      </c>
      <c r="DB113" s="408">
        <v>0</v>
      </c>
      <c r="DC113" s="408">
        <v>0.97083832698048145</v>
      </c>
      <c r="DD113" s="408">
        <v>2.8992570909108284E-2</v>
      </c>
      <c r="DE113" s="408">
        <v>3.3471675671853246E-3</v>
      </c>
      <c r="DF113" s="408">
        <v>0</v>
      </c>
      <c r="DG113" s="408">
        <v>0.11208245626911839</v>
      </c>
      <c r="DH113" s="408">
        <v>0</v>
      </c>
      <c r="DI113" s="408">
        <v>-8.3994816571748121E-2</v>
      </c>
      <c r="DJ113" s="408"/>
      <c r="DK113" s="408">
        <v>0</v>
      </c>
      <c r="DL113" s="408">
        <v>0</v>
      </c>
      <c r="DM113" s="408">
        <v>-4.2291809077443787E-3</v>
      </c>
      <c r="DN113" s="408">
        <v>0</v>
      </c>
      <c r="DO113" s="408">
        <v>-1.1505153445290572E-2</v>
      </c>
      <c r="DP113" s="408">
        <v>-2.2470278759327555E-3</v>
      </c>
      <c r="DQ113" s="408">
        <v>0</v>
      </c>
      <c r="DR113" s="408">
        <v>0</v>
      </c>
      <c r="DS113" s="408"/>
      <c r="DT113" s="408"/>
      <c r="DU113" s="408"/>
      <c r="DV113" s="408">
        <v>17.089942372834852</v>
      </c>
      <c r="DW113" s="408">
        <v>0</v>
      </c>
      <c r="DX113" s="408">
        <v>0</v>
      </c>
      <c r="DY113" s="408">
        <v>-8.9483300000000039</v>
      </c>
      <c r="DZ113" s="408">
        <v>0.99592999999999954</v>
      </c>
      <c r="EA113" s="408">
        <v>0</v>
      </c>
      <c r="EB113" s="408">
        <v>0</v>
      </c>
      <c r="EC113" s="408">
        <v>-9.048218455022571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239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60" customFormat="1">
      <c r="A114" s="408">
        <v>113</v>
      </c>
      <c r="B114" s="408" t="s">
        <v>1034</v>
      </c>
      <c r="C114" s="408" t="s">
        <v>2233</v>
      </c>
      <c r="D114" s="408" t="s">
        <v>2243</v>
      </c>
      <c r="E114" s="408" t="s">
        <v>972</v>
      </c>
      <c r="F114" s="408" t="s">
        <v>2254</v>
      </c>
      <c r="G114" s="408" t="s">
        <v>2253</v>
      </c>
      <c r="H114" s="408" t="s">
        <v>1320</v>
      </c>
      <c r="I114" s="408" t="s">
        <v>1320</v>
      </c>
      <c r="J114" s="408" t="s">
        <v>2234</v>
      </c>
      <c r="K114" s="827">
        <v>44409</v>
      </c>
      <c r="L114" s="408">
        <v>0</v>
      </c>
      <c r="M114" s="408">
        <v>0</v>
      </c>
      <c r="N114" s="408">
        <v>3.0000000000000001E-3</v>
      </c>
      <c r="O114" s="408">
        <v>1.1999999999999999E-3</v>
      </c>
      <c r="P114" s="408">
        <v>3.0000000000000001E-3</v>
      </c>
      <c r="Q114" s="408">
        <v>1.1999999999999999E-3</v>
      </c>
      <c r="R114" s="408"/>
      <c r="S114" s="408">
        <v>516.83000000000004</v>
      </c>
      <c r="T114" s="408">
        <v>173.82</v>
      </c>
      <c r="U114" s="408"/>
      <c r="V114" s="408">
        <v>2.0719500000000002</v>
      </c>
      <c r="W114" s="408">
        <v>2.0719500000000002</v>
      </c>
      <c r="X114" s="408">
        <v>1.5643499999999999</v>
      </c>
      <c r="Y114" s="408">
        <v>0</v>
      </c>
      <c r="Z114" s="408">
        <v>0.1834483672740711</v>
      </c>
      <c r="AA114" s="408">
        <v>0</v>
      </c>
      <c r="AB114" s="408">
        <v>0</v>
      </c>
      <c r="AC114" s="408">
        <v>8.1553322201726106E-3</v>
      </c>
      <c r="AD114" s="408">
        <v>0.10327983456619799</v>
      </c>
      <c r="AE114" s="408">
        <v>1.0908473855000971</v>
      </c>
      <c r="AF114" s="408">
        <v>0.48276640662431697</v>
      </c>
      <c r="AG114" s="408">
        <v>2.4287596176200188E-2</v>
      </c>
      <c r="AH114" s="408">
        <v>0</v>
      </c>
      <c r="AI114" s="408">
        <v>0</v>
      </c>
      <c r="AJ114" s="408">
        <v>0</v>
      </c>
      <c r="AK114" s="408">
        <v>0</v>
      </c>
      <c r="AL114" s="408">
        <v>2.8354489972857718E-2</v>
      </c>
      <c r="AM114" s="408"/>
      <c r="AN114" s="408">
        <v>4.65462592454907E-3</v>
      </c>
      <c r="AO114" s="408">
        <v>1.7395511337406321E-2</v>
      </c>
      <c r="AP114" s="408">
        <v>5.6967947554826703E-2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1.6644378511563181E-3</v>
      </c>
      <c r="BF114" s="408">
        <v>1.4417065012383689E-2</v>
      </c>
      <c r="BG114" s="408">
        <v>5.5734969618437102E-2</v>
      </c>
      <c r="BH114" s="408">
        <v>0</v>
      </c>
      <c r="BI114" s="408">
        <v>0</v>
      </c>
      <c r="BJ114" s="408">
        <v>0</v>
      </c>
      <c r="BK114" s="408">
        <v>0</v>
      </c>
      <c r="BL114" s="408">
        <v>0</v>
      </c>
      <c r="BM114" s="408"/>
      <c r="BN114" s="408"/>
      <c r="BO114" s="408"/>
      <c r="BP114" s="408"/>
      <c r="BQ114" s="408"/>
      <c r="BR114" s="408"/>
      <c r="BS114" s="408">
        <v>1.0136940000000001</v>
      </c>
      <c r="BT114" s="408"/>
      <c r="BU114" s="408"/>
      <c r="BV114" s="408">
        <v>0.55458287910629411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0</v>
      </c>
      <c r="CJ114" s="408">
        <v>-0.75932399999999989</v>
      </c>
      <c r="CK114" s="408"/>
      <c r="CL114" s="408"/>
      <c r="CM114" s="408"/>
      <c r="CN114" s="408"/>
      <c r="CO114" s="408">
        <v>-0.57117000000000018</v>
      </c>
      <c r="CP114" s="408">
        <v>6.3569999999999988E-2</v>
      </c>
      <c r="CQ114" s="408">
        <v>31</v>
      </c>
      <c r="CR114" s="408">
        <v>6.9917637042024139E-2</v>
      </c>
      <c r="CS114" s="408">
        <v>1.6889942509287596E-3</v>
      </c>
      <c r="CT114" s="408">
        <v>5.5312278001512019E-3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-1.9803090255563899E-3</v>
      </c>
      <c r="DA114" s="408">
        <v>0</v>
      </c>
      <c r="DB114" s="408">
        <v>0</v>
      </c>
      <c r="DC114" s="408">
        <v>6.1968403849817999E-2</v>
      </c>
      <c r="DD114" s="408">
        <v>1.8505896324962721E-3</v>
      </c>
      <c r="DE114" s="408">
        <v>2.1364899365012712E-4</v>
      </c>
      <c r="DF114" s="408">
        <v>0</v>
      </c>
      <c r="DG114" s="408">
        <v>7.1541993363267026E-3</v>
      </c>
      <c r="DH114" s="408">
        <v>0</v>
      </c>
      <c r="DI114" s="408">
        <v>-5.3613712705370964E-3</v>
      </c>
      <c r="DJ114" s="408"/>
      <c r="DK114" s="408">
        <v>0</v>
      </c>
      <c r="DL114" s="408">
        <v>0</v>
      </c>
      <c r="DM114" s="408">
        <v>-2.6994771751559857E-4</v>
      </c>
      <c r="DN114" s="408">
        <v>0</v>
      </c>
      <c r="DO114" s="408">
        <v>-7.3437149650790873E-4</v>
      </c>
      <c r="DP114" s="408">
        <v>-1.434273112297501E-4</v>
      </c>
      <c r="DQ114" s="408">
        <v>0</v>
      </c>
      <c r="DR114" s="408">
        <v>0</v>
      </c>
      <c r="DS114" s="408"/>
      <c r="DT114" s="408"/>
      <c r="DU114" s="408"/>
      <c r="DV114" s="408">
        <v>1.0908473855000971</v>
      </c>
      <c r="DW114" s="408">
        <v>0</v>
      </c>
      <c r="DX114" s="408">
        <v>0</v>
      </c>
      <c r="DY114" s="408">
        <v>-0.57117000000000018</v>
      </c>
      <c r="DZ114" s="408">
        <v>6.3569999999999904E-2</v>
      </c>
      <c r="EA114" s="408">
        <v>0</v>
      </c>
      <c r="EB114" s="408">
        <v>0</v>
      </c>
      <c r="EC114" s="408">
        <v>-0.57754585883122811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239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60" customFormat="1">
      <c r="A115" s="408">
        <v>114</v>
      </c>
      <c r="B115" s="408" t="s">
        <v>1034</v>
      </c>
      <c r="C115" s="408" t="s">
        <v>2233</v>
      </c>
      <c r="D115" s="408" t="s">
        <v>1953</v>
      </c>
      <c r="E115" s="408" t="s">
        <v>967</v>
      </c>
      <c r="F115" s="408" t="s">
        <v>967</v>
      </c>
      <c r="G115" s="408" t="s">
        <v>1320</v>
      </c>
      <c r="H115" s="408" t="s">
        <v>1320</v>
      </c>
      <c r="I115" s="408" t="s">
        <v>1320</v>
      </c>
      <c r="J115" s="408" t="s">
        <v>2234</v>
      </c>
      <c r="K115" s="827">
        <v>44440</v>
      </c>
      <c r="L115" s="408">
        <v>0</v>
      </c>
      <c r="M115" s="408">
        <v>0</v>
      </c>
      <c r="N115" s="408">
        <v>1901.5709999999999</v>
      </c>
      <c r="O115" s="408">
        <v>1901.5709999999999</v>
      </c>
      <c r="P115" s="408">
        <v>1901.5709999999999</v>
      </c>
      <c r="Q115" s="408">
        <v>1901.5709999999999</v>
      </c>
      <c r="R115" s="408"/>
      <c r="S115" s="408">
        <v>516.83000000000004</v>
      </c>
      <c r="T115" s="408">
        <v>173.82</v>
      </c>
      <c r="U115" s="408"/>
      <c r="V115" s="408">
        <v>1313320.0111499999</v>
      </c>
      <c r="W115" s="408">
        <v>1313320.0111499999</v>
      </c>
      <c r="X115" s="408">
        <v>991574.19794999994</v>
      </c>
      <c r="Y115" s="408">
        <v>0</v>
      </c>
      <c r="Z115" s="408">
        <v>116280.03173524087</v>
      </c>
      <c r="AA115" s="408">
        <v>0</v>
      </c>
      <c r="AB115" s="408">
        <v>0</v>
      </c>
      <c r="AC115" s="408">
        <v>5169.3144150819498</v>
      </c>
      <c r="AD115" s="408">
        <v>65464.646098626559</v>
      </c>
      <c r="AE115" s="408">
        <v>691441.25123093498</v>
      </c>
      <c r="AF115" s="408">
        <v>306004.86620366969</v>
      </c>
      <c r="AG115" s="408">
        <v>15394.862849457722</v>
      </c>
      <c r="AH115" s="408">
        <v>0</v>
      </c>
      <c r="AI115" s="408">
        <v>0</v>
      </c>
      <c r="AJ115" s="408">
        <v>0</v>
      </c>
      <c r="AK115" s="408">
        <v>0</v>
      </c>
      <c r="AL115" s="408">
        <v>17972.691950725675</v>
      </c>
      <c r="AM115" s="408"/>
      <c r="AN115" s="408">
        <v>2950.3672246568995</v>
      </c>
      <c r="AO115" s="408">
        <v>11026.266629794358</v>
      </c>
      <c r="AP115" s="408">
        <v>36109.532333259784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1055.0155830203903</v>
      </c>
      <c r="BF115" s="408">
        <v>9138.3575775544869</v>
      </c>
      <c r="BG115" s="408">
        <v>35328.000637433688</v>
      </c>
      <c r="BH115" s="408">
        <v>0</v>
      </c>
      <c r="BI115" s="408">
        <v>4547.8900000000003</v>
      </c>
      <c r="BJ115" s="408">
        <v>21251.46</v>
      </c>
      <c r="BK115" s="408">
        <v>510960.69</v>
      </c>
      <c r="BL115" s="408">
        <v>12999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351526.24000167823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991573.67649999983</v>
      </c>
      <c r="CJ115" s="408">
        <v>-321746.36465000012</v>
      </c>
      <c r="CK115" s="408"/>
      <c r="CL115" s="408"/>
      <c r="CM115" s="408"/>
      <c r="CN115" s="408"/>
      <c r="CO115" s="408">
        <v>-362040.10269000009</v>
      </c>
      <c r="CP115" s="408">
        <v>40294.289489999996</v>
      </c>
      <c r="CQ115" s="408">
        <v>30</v>
      </c>
      <c r="CR115" s="408">
        <v>44317.78366254631</v>
      </c>
      <c r="CS115" s="408">
        <v>1070.5808289109518</v>
      </c>
      <c r="CT115" s="408">
        <v>3506.0074597204439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-1255.2327380120987</v>
      </c>
      <c r="DA115" s="408">
        <v>0</v>
      </c>
      <c r="DB115" s="408">
        <v>0</v>
      </c>
      <c r="DC115" s="408">
        <v>39279.106559034088</v>
      </c>
      <c r="DD115" s="408">
        <v>1173.009192685191</v>
      </c>
      <c r="DE115" s="408">
        <v>135.42291016808849</v>
      </c>
      <c r="DF115" s="408">
        <v>0</v>
      </c>
      <c r="DG115" s="408">
        <v>4534.7393287260275</v>
      </c>
      <c r="DH115" s="408">
        <v>0</v>
      </c>
      <c r="DI115" s="408">
        <v>-3398.3427094288345</v>
      </c>
      <c r="DJ115" s="408"/>
      <c r="DK115" s="408">
        <v>0</v>
      </c>
      <c r="DL115" s="408">
        <v>0</v>
      </c>
      <c r="DM115" s="408">
        <v>-171.10825038128678</v>
      </c>
      <c r="DN115" s="408">
        <v>0</v>
      </c>
      <c r="DO115" s="408">
        <v>-465.48651366201375</v>
      </c>
      <c r="DP115" s="408">
        <v>-90.912405214155569</v>
      </c>
      <c r="DQ115" s="408">
        <v>0</v>
      </c>
      <c r="DR115" s="408">
        <v>0</v>
      </c>
      <c r="DS115" s="408"/>
      <c r="DT115" s="408"/>
      <c r="DU115" s="408"/>
      <c r="DV115" s="408">
        <v>691441.25123093498</v>
      </c>
      <c r="DW115" s="408">
        <v>0</v>
      </c>
      <c r="DX115" s="408">
        <v>0</v>
      </c>
      <c r="DY115" s="408">
        <v>-362040.10268999997</v>
      </c>
      <c r="DZ115" s="408">
        <v>40294.289489999996</v>
      </c>
      <c r="EA115" s="408">
        <v>0</v>
      </c>
      <c r="EB115" s="408">
        <v>0</v>
      </c>
      <c r="EC115" s="408">
        <v>-366081.48544118571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239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60" customFormat="1">
      <c r="A116" s="408">
        <v>115</v>
      </c>
      <c r="B116" s="408" t="s">
        <v>2235</v>
      </c>
      <c r="C116" s="408" t="s">
        <v>2233</v>
      </c>
      <c r="D116" s="408" t="s">
        <v>1953</v>
      </c>
      <c r="E116" s="408" t="s">
        <v>967</v>
      </c>
      <c r="F116" s="408" t="s">
        <v>967</v>
      </c>
      <c r="G116" s="408" t="s">
        <v>1320</v>
      </c>
      <c r="H116" s="408" t="s">
        <v>1320</v>
      </c>
      <c r="I116" s="408" t="s">
        <v>1320</v>
      </c>
      <c r="J116" s="408" t="s">
        <v>2234</v>
      </c>
      <c r="K116" s="827">
        <v>44440</v>
      </c>
      <c r="L116" s="408">
        <v>0</v>
      </c>
      <c r="M116" s="408">
        <v>0</v>
      </c>
      <c r="N116" s="408">
        <v>-1.615</v>
      </c>
      <c r="O116" s="408">
        <v>-1.615</v>
      </c>
      <c r="P116" s="408">
        <v>-1.615</v>
      </c>
      <c r="Q116" s="408">
        <v>-1.615</v>
      </c>
      <c r="R116" s="408"/>
      <c r="S116" s="408">
        <v>516.83000000000004</v>
      </c>
      <c r="T116" s="408">
        <v>173.82</v>
      </c>
      <c r="U116" s="408"/>
      <c r="V116" s="408">
        <v>-1115.39975</v>
      </c>
      <c r="W116" s="408">
        <v>-1115.39975</v>
      </c>
      <c r="X116" s="408">
        <v>-842.14175</v>
      </c>
      <c r="Y116" s="408">
        <v>0</v>
      </c>
      <c r="Z116" s="408">
        <v>-98.756371049208269</v>
      </c>
      <c r="AA116" s="408">
        <v>0</v>
      </c>
      <c r="AB116" s="408">
        <v>0</v>
      </c>
      <c r="AC116" s="408">
        <v>-4.3902871785262549</v>
      </c>
      <c r="AD116" s="408">
        <v>-55.598977608136586</v>
      </c>
      <c r="AE116" s="408">
        <v>-587.23950919421884</v>
      </c>
      <c r="AF116" s="408">
        <v>-259.88924889942399</v>
      </c>
      <c r="AG116" s="408">
        <v>-13.074822608187768</v>
      </c>
      <c r="AH116" s="408">
        <v>0</v>
      </c>
      <c r="AI116" s="408">
        <v>0</v>
      </c>
      <c r="AJ116" s="408">
        <v>0</v>
      </c>
      <c r="AK116" s="408">
        <v>0</v>
      </c>
      <c r="AL116" s="408">
        <v>-15.264167102055072</v>
      </c>
      <c r="AM116" s="408"/>
      <c r="AN116" s="408">
        <v>-2.5057402893822491</v>
      </c>
      <c r="AO116" s="408">
        <v>-9.3645836033037355</v>
      </c>
      <c r="AP116" s="408">
        <v>-30.667745100348373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-0.89602237653915129</v>
      </c>
      <c r="BF116" s="408">
        <v>-7.7611866649998857</v>
      </c>
      <c r="BG116" s="408">
        <v>-30.003991977925306</v>
      </c>
      <c r="BH116" s="408">
        <v>0</v>
      </c>
      <c r="BI116" s="408">
        <v>0</v>
      </c>
      <c r="BJ116" s="408">
        <v>0</v>
      </c>
      <c r="BK116" s="408">
        <v>-472.29</v>
      </c>
      <c r="BL116" s="408">
        <v>0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-298.55044991888838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-844.74900000000002</v>
      </c>
      <c r="CJ116" s="408">
        <v>270.62075000000004</v>
      </c>
      <c r="CK116" s="408"/>
      <c r="CL116" s="408"/>
      <c r="CM116" s="408"/>
      <c r="CN116" s="408"/>
      <c r="CO116" s="408">
        <v>307.47985000000006</v>
      </c>
      <c r="CP116" s="408">
        <v>-34.221849999999996</v>
      </c>
      <c r="CQ116" s="408">
        <v>30</v>
      </c>
      <c r="CR116" s="408">
        <v>-37.63899460762309</v>
      </c>
      <c r="CS116" s="408">
        <v>-0.90924190508331648</v>
      </c>
      <c r="CT116" s="408">
        <v>-2.9776442990814012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1.0660663587578583</v>
      </c>
      <c r="DA116" s="408">
        <v>0</v>
      </c>
      <c r="DB116" s="408">
        <v>0</v>
      </c>
      <c r="DC116" s="408">
        <v>-33.359657405818666</v>
      </c>
      <c r="DD116" s="408">
        <v>-0.99623408549382741</v>
      </c>
      <c r="DE116" s="408">
        <v>-0.11501437491498501</v>
      </c>
      <c r="DF116" s="408">
        <v>0</v>
      </c>
      <c r="DG116" s="408">
        <v>-3.8513439760558761</v>
      </c>
      <c r="DH116" s="408">
        <v>0</v>
      </c>
      <c r="DI116" s="408">
        <v>2.8862048673058069</v>
      </c>
      <c r="DJ116" s="408"/>
      <c r="DK116" s="408">
        <v>0</v>
      </c>
      <c r="DL116" s="408">
        <v>0</v>
      </c>
      <c r="DM116" s="408">
        <v>0.14532185459589719</v>
      </c>
      <c r="DN116" s="408">
        <v>0</v>
      </c>
      <c r="DO116" s="408">
        <v>0.3953366556200919</v>
      </c>
      <c r="DP116" s="408">
        <v>7.7211702545348704E-2</v>
      </c>
      <c r="DQ116" s="408">
        <v>0</v>
      </c>
      <c r="DR116" s="408">
        <v>0</v>
      </c>
      <c r="DS116" s="408"/>
      <c r="DT116" s="408"/>
      <c r="DU116" s="408"/>
      <c r="DV116" s="408">
        <v>-587.23950919421884</v>
      </c>
      <c r="DW116" s="408">
        <v>0</v>
      </c>
      <c r="DX116" s="408">
        <v>0</v>
      </c>
      <c r="DY116" s="408">
        <v>307.47985000000006</v>
      </c>
      <c r="DZ116" s="408">
        <v>-34.221850000000018</v>
      </c>
      <c r="EA116" s="408">
        <v>0</v>
      </c>
      <c r="EB116" s="408">
        <v>0</v>
      </c>
      <c r="EC116" s="408">
        <v>310.91218733747769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239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60" customFormat="1">
      <c r="A117" s="408">
        <v>116</v>
      </c>
      <c r="B117" s="408" t="s">
        <v>2236</v>
      </c>
      <c r="C117" s="408" t="s">
        <v>2233</v>
      </c>
      <c r="D117" s="408" t="s">
        <v>1953</v>
      </c>
      <c r="E117" s="408" t="s">
        <v>967</v>
      </c>
      <c r="F117" s="408" t="s">
        <v>967</v>
      </c>
      <c r="G117" s="408" t="s">
        <v>1320</v>
      </c>
      <c r="H117" s="408" t="s">
        <v>1320</v>
      </c>
      <c r="I117" s="408" t="s">
        <v>1320</v>
      </c>
      <c r="J117" s="408" t="s">
        <v>2234</v>
      </c>
      <c r="K117" s="827">
        <v>44440</v>
      </c>
      <c r="L117" s="408">
        <v>0</v>
      </c>
      <c r="M117" s="408">
        <v>0</v>
      </c>
      <c r="N117" s="408">
        <v>22.462</v>
      </c>
      <c r="O117" s="408">
        <v>22.462</v>
      </c>
      <c r="P117" s="408">
        <v>22.462</v>
      </c>
      <c r="Q117" s="408">
        <v>22.462</v>
      </c>
      <c r="R117" s="408"/>
      <c r="S117" s="408">
        <v>516.83000000000004</v>
      </c>
      <c r="T117" s="408">
        <v>173.82</v>
      </c>
      <c r="U117" s="408"/>
      <c r="V117" s="408">
        <v>15513.380300000001</v>
      </c>
      <c r="W117" s="408">
        <v>15513.380300000001</v>
      </c>
      <c r="X117" s="408">
        <v>11712.8099</v>
      </c>
      <c r="Y117" s="408">
        <v>0</v>
      </c>
      <c r="Z117" s="408">
        <v>1373.5390752367282</v>
      </c>
      <c r="AA117" s="408">
        <v>0</v>
      </c>
      <c r="AB117" s="408">
        <v>0</v>
      </c>
      <c r="AC117" s="408">
        <v>61.061690776505721</v>
      </c>
      <c r="AD117" s="408">
        <v>773.2905480086464</v>
      </c>
      <c r="AE117" s="408">
        <v>8167.5379910343927</v>
      </c>
      <c r="AF117" s="408">
        <v>3614.6330085318027</v>
      </c>
      <c r="AG117" s="408">
        <v>181.84932843660286</v>
      </c>
      <c r="AH117" s="408">
        <v>0</v>
      </c>
      <c r="AI117" s="408">
        <v>0</v>
      </c>
      <c r="AJ117" s="408">
        <v>0</v>
      </c>
      <c r="AK117" s="408">
        <v>0</v>
      </c>
      <c r="AL117" s="408">
        <v>212.29951792344335</v>
      </c>
      <c r="AM117" s="408"/>
      <c r="AN117" s="408">
        <v>34.850735839073735</v>
      </c>
      <c r="AO117" s="408">
        <v>130.24599188694026</v>
      </c>
      <c r="AP117" s="408">
        <v>426.53801265883914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12.462201004224406</v>
      </c>
      <c r="BF117" s="408">
        <v>107.94537143605413</v>
      </c>
      <c r="BG117" s="408">
        <v>417.30629585644471</v>
      </c>
      <c r="BH117" s="408">
        <v>0</v>
      </c>
      <c r="BI117" s="408">
        <v>53.64</v>
      </c>
      <c r="BJ117" s="408">
        <v>255.08</v>
      </c>
      <c r="BK117" s="408">
        <v>15057.46</v>
      </c>
      <c r="BL117" s="408">
        <v>246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4152.3468768285265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11711.767</v>
      </c>
      <c r="CJ117" s="408">
        <v>-3801.6433000000015</v>
      </c>
      <c r="CK117" s="408"/>
      <c r="CL117" s="408"/>
      <c r="CM117" s="408"/>
      <c r="CN117" s="408"/>
      <c r="CO117" s="408">
        <v>-4276.5401800000009</v>
      </c>
      <c r="CP117" s="408">
        <v>475.96977999999996</v>
      </c>
      <c r="CQ117" s="408">
        <v>30</v>
      </c>
      <c r="CR117" s="408">
        <v>523.49665441265006</v>
      </c>
      <c r="CS117" s="408">
        <v>12.646062954787283</v>
      </c>
      <c r="CT117" s="408">
        <v>41.414146282332069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-14.827233777349193</v>
      </c>
      <c r="DA117" s="408">
        <v>0</v>
      </c>
      <c r="DB117" s="408">
        <v>0</v>
      </c>
      <c r="DC117" s="408">
        <v>463.97809575820384</v>
      </c>
      <c r="DD117" s="408">
        <v>13.855981441710426</v>
      </c>
      <c r="DE117" s="408">
        <v>1.5996612317897174</v>
      </c>
      <c r="DF117" s="408">
        <v>0</v>
      </c>
      <c r="DG117" s="408">
        <v>53.565875164190118</v>
      </c>
      <c r="DH117" s="408">
        <v>0</v>
      </c>
      <c r="DI117" s="408">
        <v>-40.142373826268113</v>
      </c>
      <c r="DJ117" s="408"/>
      <c r="DK117" s="408">
        <v>0</v>
      </c>
      <c r="DL117" s="408">
        <v>0</v>
      </c>
      <c r="DM117" s="408">
        <v>-2.0211885436117996</v>
      </c>
      <c r="DN117" s="408">
        <v>0</v>
      </c>
      <c r="DO117" s="408">
        <v>-5.4984841848535382</v>
      </c>
      <c r="DP117" s="408">
        <v>-1.0738880882808814</v>
      </c>
      <c r="DQ117" s="408">
        <v>0</v>
      </c>
      <c r="DR117" s="408">
        <v>0</v>
      </c>
      <c r="DS117" s="408"/>
      <c r="DT117" s="408"/>
      <c r="DU117" s="408"/>
      <c r="DV117" s="408">
        <v>8167.5379910343927</v>
      </c>
      <c r="DW117" s="408">
        <v>0</v>
      </c>
      <c r="DX117" s="408">
        <v>0</v>
      </c>
      <c r="DY117" s="408">
        <v>-4276.5401800000009</v>
      </c>
      <c r="DZ117" s="408">
        <v>475.96978000000036</v>
      </c>
      <c r="EA117" s="408">
        <v>0</v>
      </c>
      <c r="EB117" s="408">
        <v>0</v>
      </c>
      <c r="EC117" s="408">
        <v>-4324.2783603556809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239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60" customFormat="1">
      <c r="A118" s="408">
        <v>117</v>
      </c>
      <c r="B118" s="408" t="s">
        <v>1034</v>
      </c>
      <c r="C118" s="408" t="s">
        <v>2233</v>
      </c>
      <c r="D118" s="408" t="s">
        <v>1953</v>
      </c>
      <c r="E118" s="408" t="s">
        <v>967</v>
      </c>
      <c r="F118" s="408" t="s">
        <v>2237</v>
      </c>
      <c r="G118" s="408" t="s">
        <v>1320</v>
      </c>
      <c r="H118" s="408" t="s">
        <v>1320</v>
      </c>
      <c r="I118" s="408" t="s">
        <v>1320</v>
      </c>
      <c r="J118" s="408" t="s">
        <v>2234</v>
      </c>
      <c r="K118" s="827">
        <v>44440</v>
      </c>
      <c r="L118" s="408">
        <v>0</v>
      </c>
      <c r="M118" s="408">
        <v>0</v>
      </c>
      <c r="N118" s="408">
        <v>24.15</v>
      </c>
      <c r="O118" s="408">
        <v>24.15</v>
      </c>
      <c r="P118" s="408">
        <v>24.15</v>
      </c>
      <c r="Q118" s="408">
        <v>24.15</v>
      </c>
      <c r="R118" s="408"/>
      <c r="S118" s="408">
        <v>446.23</v>
      </c>
      <c r="T118" s="408">
        <v>173.82</v>
      </c>
      <c r="U118" s="408"/>
      <c r="V118" s="408">
        <v>14974.2075</v>
      </c>
      <c r="W118" s="408">
        <v>14974.2075</v>
      </c>
      <c r="X118" s="408">
        <v>10937.052</v>
      </c>
      <c r="Y118" s="408">
        <v>0</v>
      </c>
      <c r="Z118" s="408">
        <v>0</v>
      </c>
      <c r="AA118" s="408">
        <v>0</v>
      </c>
      <c r="AB118" s="408">
        <v>0</v>
      </c>
      <c r="AC118" s="408">
        <v>65.650424372389509</v>
      </c>
      <c r="AD118" s="408">
        <v>831.40266825789377</v>
      </c>
      <c r="AE118" s="408">
        <v>8781.3214532757811</v>
      </c>
      <c r="AF118" s="408">
        <v>3886.2695733257515</v>
      </c>
      <c r="AG118" s="408">
        <v>195.51514921841149</v>
      </c>
      <c r="AH118" s="408">
        <v>0</v>
      </c>
      <c r="AI118" s="408">
        <v>0</v>
      </c>
      <c r="AJ118" s="408">
        <v>0</v>
      </c>
      <c r="AK118" s="408">
        <v>0</v>
      </c>
      <c r="AL118" s="408">
        <v>0</v>
      </c>
      <c r="AM118" s="408"/>
      <c r="AN118" s="408">
        <v>37.469738692620012</v>
      </c>
      <c r="AO118" s="408">
        <v>140.03386626612087</v>
      </c>
      <c r="AP118" s="408">
        <v>458.59197781635493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13.39872470180836</v>
      </c>
      <c r="BF118" s="408">
        <v>116.05737334968869</v>
      </c>
      <c r="BG118" s="408">
        <v>448.66650542841865</v>
      </c>
      <c r="BH118" s="408">
        <v>0</v>
      </c>
      <c r="BI118" s="408">
        <v>48.3</v>
      </c>
      <c r="BJ118" s="408">
        <v>230.32</v>
      </c>
      <c r="BK118" s="408">
        <v>1650.66</v>
      </c>
      <c r="BL118" s="408">
        <v>39</v>
      </c>
      <c r="BM118" s="408"/>
      <c r="BN118" s="408"/>
      <c r="BO118" s="408"/>
      <c r="BP118" s="408"/>
      <c r="BQ118" s="408"/>
      <c r="BR118" s="408"/>
      <c r="BS118" s="408"/>
      <c r="BT118" s="408">
        <v>7109.0355</v>
      </c>
      <c r="BU118" s="408"/>
      <c r="BV118" s="408">
        <v>4464.3921768056671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3828.0164999999997</v>
      </c>
      <c r="CJ118" s="408">
        <v>-1413.0465000000004</v>
      </c>
      <c r="CK118" s="408"/>
      <c r="CL118" s="408"/>
      <c r="CM118" s="408"/>
      <c r="CN118" s="408"/>
      <c r="CO118" s="408">
        <v>-4548.8940000000002</v>
      </c>
      <c r="CP118" s="408">
        <v>511.73849999999993</v>
      </c>
      <c r="CQ118" s="408">
        <v>30</v>
      </c>
      <c r="CR118" s="408">
        <v>611.90770746300768</v>
      </c>
      <c r="CS118" s="408">
        <v>13.596403719976536</v>
      </c>
      <c r="CT118" s="408">
        <v>44.526383791217199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-15.941487655728906</v>
      </c>
      <c r="DA118" s="408">
        <v>0</v>
      </c>
      <c r="DB118" s="408">
        <v>0</v>
      </c>
      <c r="DC118" s="408">
        <v>498.84565099103474</v>
      </c>
      <c r="DD118" s="408">
        <v>14.897246541594981</v>
      </c>
      <c r="DE118" s="408">
        <v>1.7198743988835226</v>
      </c>
      <c r="DF118" s="408">
        <v>0</v>
      </c>
      <c r="DG118" s="408">
        <v>57.59130465742993</v>
      </c>
      <c r="DH118" s="408">
        <v>0</v>
      </c>
      <c r="DI118" s="408">
        <v>0</v>
      </c>
      <c r="DJ118" s="408"/>
      <c r="DK118" s="408">
        <v>0</v>
      </c>
      <c r="DL118" s="408">
        <v>0</v>
      </c>
      <c r="DM118" s="408">
        <v>-2.1730791260005731</v>
      </c>
      <c r="DN118" s="408">
        <v>0</v>
      </c>
      <c r="DO118" s="408">
        <v>0</v>
      </c>
      <c r="DP118" s="408">
        <v>-1.1545898553994931</v>
      </c>
      <c r="DQ118" s="408">
        <v>0</v>
      </c>
      <c r="DR118" s="408">
        <v>0</v>
      </c>
      <c r="DS118" s="408"/>
      <c r="DT118" s="408"/>
      <c r="DU118" s="408"/>
      <c r="DV118" s="408">
        <v>8781.3214532757811</v>
      </c>
      <c r="DW118" s="408">
        <v>0</v>
      </c>
      <c r="DX118" s="408">
        <v>0</v>
      </c>
      <c r="DY118" s="408">
        <v>-4548.8940000000002</v>
      </c>
      <c r="DZ118" s="408">
        <v>511.73849999999948</v>
      </c>
      <c r="EA118" s="408">
        <v>0</v>
      </c>
      <c r="EB118" s="408">
        <v>0</v>
      </c>
      <c r="EC118" s="408">
        <v>-4649.2441635913856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239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60" customFormat="1">
      <c r="A119" s="408">
        <v>118</v>
      </c>
      <c r="B119" s="408" t="s">
        <v>2236</v>
      </c>
      <c r="C119" s="408" t="s">
        <v>2233</v>
      </c>
      <c r="D119" s="408" t="s">
        <v>1953</v>
      </c>
      <c r="E119" s="408" t="s">
        <v>967</v>
      </c>
      <c r="F119" s="408" t="s">
        <v>2237</v>
      </c>
      <c r="G119" s="408" t="s">
        <v>1320</v>
      </c>
      <c r="H119" s="408" t="s">
        <v>1320</v>
      </c>
      <c r="I119" s="408" t="s">
        <v>1320</v>
      </c>
      <c r="J119" s="408" t="s">
        <v>2234</v>
      </c>
      <c r="K119" s="827">
        <v>44440</v>
      </c>
      <c r="L119" s="408">
        <v>0</v>
      </c>
      <c r="M119" s="408">
        <v>0</v>
      </c>
      <c r="N119" s="408">
        <v>6.0000000000000001E-3</v>
      </c>
      <c r="O119" s="408">
        <v>2.0999999999999999E-3</v>
      </c>
      <c r="P119" s="408">
        <v>6.0000000000000001E-3</v>
      </c>
      <c r="Q119" s="408">
        <v>2.0999999999999999E-3</v>
      </c>
      <c r="R119" s="408"/>
      <c r="S119" s="408">
        <v>446.23</v>
      </c>
      <c r="T119" s="408">
        <v>173.82</v>
      </c>
      <c r="U119" s="408"/>
      <c r="V119" s="408">
        <v>3.7203000000000004</v>
      </c>
      <c r="W119" s="408">
        <v>3.7203000000000004</v>
      </c>
      <c r="X119" s="408">
        <v>2.7172799999999997</v>
      </c>
      <c r="Y119" s="408">
        <v>0</v>
      </c>
      <c r="Z119" s="408">
        <v>0</v>
      </c>
      <c r="AA119" s="408">
        <v>0</v>
      </c>
      <c r="AB119" s="408">
        <v>0</v>
      </c>
      <c r="AC119" s="408">
        <v>1.6310664440345221E-2</v>
      </c>
      <c r="AD119" s="408">
        <v>0.20655966913239598</v>
      </c>
      <c r="AE119" s="408">
        <v>2.1816947710001942</v>
      </c>
      <c r="AF119" s="408">
        <v>0.96553281324863394</v>
      </c>
      <c r="AG119" s="408">
        <v>4.8575192352400376E-2</v>
      </c>
      <c r="AH119" s="408">
        <v>0</v>
      </c>
      <c r="AI119" s="408">
        <v>0</v>
      </c>
      <c r="AJ119" s="408">
        <v>0</v>
      </c>
      <c r="AK119" s="408">
        <v>0</v>
      </c>
      <c r="AL119" s="408">
        <v>0</v>
      </c>
      <c r="AM119" s="408"/>
      <c r="AN119" s="408">
        <v>9.30925184909814E-3</v>
      </c>
      <c r="AO119" s="408">
        <v>3.4791022674812641E-2</v>
      </c>
      <c r="AP119" s="408">
        <v>0.11393589510965341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3.3288757023126362E-3</v>
      </c>
      <c r="BF119" s="408">
        <v>2.8834130024767379E-2</v>
      </c>
      <c r="BG119" s="408">
        <v>0.1114699392368742</v>
      </c>
      <c r="BH119" s="408">
        <v>0</v>
      </c>
      <c r="BI119" s="408">
        <v>0.01</v>
      </c>
      <c r="BJ119" s="408">
        <v>0.05</v>
      </c>
      <c r="BK119" s="408">
        <v>1.35</v>
      </c>
      <c r="BL119" s="408">
        <v>0</v>
      </c>
      <c r="BM119" s="408"/>
      <c r="BN119" s="408"/>
      <c r="BO119" s="408"/>
      <c r="BP119" s="408"/>
      <c r="BQ119" s="408"/>
      <c r="BR119" s="408"/>
      <c r="BS119" s="408"/>
      <c r="BT119" s="408">
        <v>2.3844090000000002</v>
      </c>
      <c r="BU119" s="408"/>
      <c r="BV119" s="408">
        <v>1.1091657582125882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0</v>
      </c>
      <c r="CJ119" s="408">
        <v>-0.48574200000000001</v>
      </c>
      <c r="CK119" s="408"/>
      <c r="CL119" s="408"/>
      <c r="CM119" s="408"/>
      <c r="CN119" s="408"/>
      <c r="CO119" s="408">
        <v>-1.1301600000000001</v>
      </c>
      <c r="CP119" s="408">
        <v>0.12713999999999998</v>
      </c>
      <c r="CQ119" s="408">
        <v>30</v>
      </c>
      <c r="CR119" s="408">
        <v>0.15202675961813861</v>
      </c>
      <c r="CS119" s="408">
        <v>3.3779885018575193E-3</v>
      </c>
      <c r="CT119" s="408">
        <v>1.1062455600302404E-2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-3.9606180511127798E-3</v>
      </c>
      <c r="DA119" s="408">
        <v>0</v>
      </c>
      <c r="DB119" s="408">
        <v>0</v>
      </c>
      <c r="DC119" s="408">
        <v>0.123936807699636</v>
      </c>
      <c r="DD119" s="408">
        <v>3.7011792649925442E-3</v>
      </c>
      <c r="DE119" s="408">
        <v>4.2729798730025423E-4</v>
      </c>
      <c r="DF119" s="408">
        <v>0</v>
      </c>
      <c r="DG119" s="408">
        <v>1.4308398672653405E-2</v>
      </c>
      <c r="DH119" s="408">
        <v>0</v>
      </c>
      <c r="DI119" s="408">
        <v>0</v>
      </c>
      <c r="DJ119" s="408"/>
      <c r="DK119" s="408">
        <v>0</v>
      </c>
      <c r="DL119" s="408">
        <v>0</v>
      </c>
      <c r="DM119" s="408">
        <v>-5.3989543503119714E-4</v>
      </c>
      <c r="DN119" s="408">
        <v>0</v>
      </c>
      <c r="DO119" s="408">
        <v>0</v>
      </c>
      <c r="DP119" s="408">
        <v>-2.8685462245950019E-4</v>
      </c>
      <c r="DQ119" s="408">
        <v>0</v>
      </c>
      <c r="DR119" s="408">
        <v>0</v>
      </c>
      <c r="DS119" s="408"/>
      <c r="DT119" s="408"/>
      <c r="DU119" s="408"/>
      <c r="DV119" s="408">
        <v>2.1816947710001942</v>
      </c>
      <c r="DW119" s="408">
        <v>0</v>
      </c>
      <c r="DX119" s="408">
        <v>0</v>
      </c>
      <c r="DY119" s="408">
        <v>-1.1301600000000003</v>
      </c>
      <c r="DZ119" s="408">
        <v>0.12713999999999981</v>
      </c>
      <c r="EA119" s="408">
        <v>0</v>
      </c>
      <c r="EB119" s="408">
        <v>0</v>
      </c>
      <c r="EC119" s="408">
        <v>-1.1550917176624562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239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60" customFormat="1">
      <c r="A120" s="408">
        <v>119</v>
      </c>
      <c r="B120" s="408" t="s">
        <v>1034</v>
      </c>
      <c r="C120" s="408" t="s">
        <v>2233</v>
      </c>
      <c r="D120" s="408" t="s">
        <v>1953</v>
      </c>
      <c r="E120" s="408" t="s">
        <v>967</v>
      </c>
      <c r="F120" s="408" t="s">
        <v>2238</v>
      </c>
      <c r="G120" s="408" t="s">
        <v>1320</v>
      </c>
      <c r="H120" s="408" t="s">
        <v>1320</v>
      </c>
      <c r="I120" s="408" t="s">
        <v>1320</v>
      </c>
      <c r="J120" s="408" t="s">
        <v>2234</v>
      </c>
      <c r="K120" s="827">
        <v>44440</v>
      </c>
      <c r="L120" s="408">
        <v>0</v>
      </c>
      <c r="M120" s="408">
        <v>0</v>
      </c>
      <c r="N120" s="408">
        <v>48.936</v>
      </c>
      <c r="O120" s="408">
        <v>48.936</v>
      </c>
      <c r="P120" s="408">
        <v>48.936</v>
      </c>
      <c r="Q120" s="408">
        <v>48.936</v>
      </c>
      <c r="R120" s="408"/>
      <c r="S120" s="408">
        <v>446.23</v>
      </c>
      <c r="T120" s="408">
        <v>173.82</v>
      </c>
      <c r="U120" s="408"/>
      <c r="V120" s="408">
        <v>30342.766799999998</v>
      </c>
      <c r="W120" s="408">
        <v>30342.766799999998</v>
      </c>
      <c r="X120" s="408">
        <v>22162.135679999999</v>
      </c>
      <c r="Y120" s="408">
        <v>0</v>
      </c>
      <c r="Z120" s="408">
        <v>0</v>
      </c>
      <c r="AA120" s="408">
        <v>0</v>
      </c>
      <c r="AB120" s="408">
        <v>0</v>
      </c>
      <c r="AC120" s="408">
        <v>133.02977917545562</v>
      </c>
      <c r="AD120" s="408">
        <v>1684.7006614438217</v>
      </c>
      <c r="AE120" s="408">
        <v>17793.902552277581</v>
      </c>
      <c r="AF120" s="408">
        <v>7874.8856248558586</v>
      </c>
      <c r="AG120" s="408">
        <v>396.17926882617746</v>
      </c>
      <c r="AH120" s="408">
        <v>0</v>
      </c>
      <c r="AI120" s="408">
        <v>0</v>
      </c>
      <c r="AJ120" s="408">
        <v>0</v>
      </c>
      <c r="AK120" s="408">
        <v>0</v>
      </c>
      <c r="AL120" s="408">
        <v>0</v>
      </c>
      <c r="AM120" s="408"/>
      <c r="AN120" s="408">
        <v>75.926258081244427</v>
      </c>
      <c r="AO120" s="408">
        <v>283.75558093577189</v>
      </c>
      <c r="AP120" s="408">
        <v>929.26116051433314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27.150310228061862</v>
      </c>
      <c r="BF120" s="408">
        <v>235.17116448200272</v>
      </c>
      <c r="BG120" s="408">
        <v>909.14882441594602</v>
      </c>
      <c r="BH120" s="408">
        <v>0</v>
      </c>
      <c r="BI120" s="408">
        <v>102.9</v>
      </c>
      <c r="BJ120" s="408">
        <v>478.85</v>
      </c>
      <c r="BK120" s="408">
        <v>6123.96</v>
      </c>
      <c r="BL120" s="408">
        <v>166</v>
      </c>
      <c r="BM120" s="408"/>
      <c r="BN120" s="408"/>
      <c r="BO120" s="408"/>
      <c r="BP120" s="408"/>
      <c r="BQ120" s="408"/>
      <c r="BR120" s="408"/>
      <c r="BS120" s="408"/>
      <c r="BT120" s="408">
        <v>8865.2457599999998</v>
      </c>
      <c r="BU120" s="408"/>
      <c r="BV120" s="408">
        <v>9046.3559239818696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13297.9768</v>
      </c>
      <c r="CJ120" s="408">
        <v>-4907.7132799999999</v>
      </c>
      <c r="CK120" s="408"/>
      <c r="CL120" s="408"/>
      <c r="CM120" s="408"/>
      <c r="CN120" s="408"/>
      <c r="CO120" s="408">
        <v>-9217.5849600000001</v>
      </c>
      <c r="CP120" s="408">
        <v>1036.9538399999999</v>
      </c>
      <c r="CQ120" s="408">
        <v>30</v>
      </c>
      <c r="CR120" s="408">
        <v>1239.9302514455358</v>
      </c>
      <c r="CS120" s="408">
        <v>27.550874221149968</v>
      </c>
      <c r="CT120" s="408">
        <v>90.225387876066407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-32.302800824875931</v>
      </c>
      <c r="DA120" s="408">
        <v>0</v>
      </c>
      <c r="DB120" s="408">
        <v>0</v>
      </c>
      <c r="DC120" s="408">
        <v>1010.828603598231</v>
      </c>
      <c r="DD120" s="408">
        <v>30.186818085279185</v>
      </c>
      <c r="DE120" s="408">
        <v>3.485042384420872</v>
      </c>
      <c r="DF120" s="408">
        <v>0</v>
      </c>
      <c r="DG120" s="408">
        <v>116.69929957416105</v>
      </c>
      <c r="DH120" s="408">
        <v>0</v>
      </c>
      <c r="DI120" s="408">
        <v>0</v>
      </c>
      <c r="DJ120" s="408"/>
      <c r="DK120" s="408">
        <v>0</v>
      </c>
      <c r="DL120" s="408">
        <v>0</v>
      </c>
      <c r="DM120" s="408">
        <v>-4.4033871681144774</v>
      </c>
      <c r="DN120" s="408">
        <v>0</v>
      </c>
      <c r="DO120" s="408">
        <v>0</v>
      </c>
      <c r="DP120" s="408">
        <v>-2.3395863007796862</v>
      </c>
      <c r="DQ120" s="408">
        <v>0</v>
      </c>
      <c r="DR120" s="408">
        <v>0</v>
      </c>
      <c r="DS120" s="408"/>
      <c r="DT120" s="408"/>
      <c r="DU120" s="408"/>
      <c r="DV120" s="408">
        <v>17793.902552277581</v>
      </c>
      <c r="DW120" s="408">
        <v>0</v>
      </c>
      <c r="DX120" s="408">
        <v>0</v>
      </c>
      <c r="DY120" s="408">
        <v>-9217.5849600000001</v>
      </c>
      <c r="DZ120" s="408">
        <v>1036.9538400000001</v>
      </c>
      <c r="EA120" s="408">
        <v>0</v>
      </c>
      <c r="EB120" s="408">
        <v>0</v>
      </c>
      <c r="EC120" s="408">
        <v>-9420.9280492549897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239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60" customFormat="1">
      <c r="A121" s="408">
        <v>120</v>
      </c>
      <c r="B121" s="408" t="s">
        <v>2236</v>
      </c>
      <c r="C121" s="408" t="s">
        <v>2233</v>
      </c>
      <c r="D121" s="408" t="s">
        <v>1953</v>
      </c>
      <c r="E121" s="408" t="s">
        <v>967</v>
      </c>
      <c r="F121" s="408" t="s">
        <v>2238</v>
      </c>
      <c r="G121" s="408" t="s">
        <v>1320</v>
      </c>
      <c r="H121" s="408" t="s">
        <v>1320</v>
      </c>
      <c r="I121" s="408" t="s">
        <v>1320</v>
      </c>
      <c r="J121" s="408" t="s">
        <v>2234</v>
      </c>
      <c r="K121" s="827">
        <v>44440</v>
      </c>
      <c r="L121" s="408">
        <v>0</v>
      </c>
      <c r="M121" s="408">
        <v>0</v>
      </c>
      <c r="N121" s="408">
        <v>0</v>
      </c>
      <c r="O121" s="408">
        <v>0</v>
      </c>
      <c r="P121" s="408">
        <v>0</v>
      </c>
      <c r="Q121" s="408">
        <v>0</v>
      </c>
      <c r="R121" s="408"/>
      <c r="S121" s="408"/>
      <c r="T121" s="408"/>
      <c r="U121" s="408"/>
      <c r="V121" s="408"/>
      <c r="W121" s="408"/>
      <c r="X121" s="408"/>
      <c r="Y121" s="408"/>
      <c r="Z121" s="408"/>
      <c r="AA121" s="408">
        <v>0</v>
      </c>
      <c r="AB121" s="408"/>
      <c r="AC121" s="408"/>
      <c r="AD121" s="408"/>
      <c r="AE121" s="408"/>
      <c r="AF121" s="408"/>
      <c r="AG121" s="408"/>
      <c r="AH121" s="408"/>
      <c r="AI121" s="408"/>
      <c r="AJ121" s="408"/>
      <c r="AK121" s="408"/>
      <c r="AL121" s="408"/>
      <c r="AM121" s="408"/>
      <c r="AN121" s="408"/>
      <c r="AO121" s="408"/>
      <c r="AP121" s="408"/>
      <c r="AQ121" s="408"/>
      <c r="AR121" s="408"/>
      <c r="AS121" s="408"/>
      <c r="AT121" s="408"/>
      <c r="AU121" s="408"/>
      <c r="AV121" s="408"/>
      <c r="AW121" s="408"/>
      <c r="AX121" s="408"/>
      <c r="AY121" s="408"/>
      <c r="AZ121" s="408">
        <v>0</v>
      </c>
      <c r="BA121" s="408"/>
      <c r="BB121" s="408"/>
      <c r="BC121" s="408"/>
      <c r="BD121" s="408"/>
      <c r="BE121" s="408"/>
      <c r="BF121" s="408"/>
      <c r="BG121" s="408"/>
      <c r="BH121" s="408"/>
      <c r="BI121" s="408">
        <v>0</v>
      </c>
      <c r="BJ121" s="408">
        <v>0</v>
      </c>
      <c r="BK121" s="408">
        <v>4.6399999999999997</v>
      </c>
      <c r="BL121" s="408">
        <v>0</v>
      </c>
      <c r="BM121" s="408"/>
      <c r="BN121" s="408"/>
      <c r="BO121" s="408"/>
      <c r="BP121" s="408"/>
      <c r="BQ121" s="408"/>
      <c r="BR121" s="408"/>
      <c r="BS121" s="408"/>
      <c r="BT121" s="408"/>
      <c r="BU121" s="408"/>
      <c r="BV121" s="408"/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/>
      <c r="CJ121" s="408">
        <v>-0.03</v>
      </c>
      <c r="CK121" s="408"/>
      <c r="CL121" s="408"/>
      <c r="CM121" s="408"/>
      <c r="CN121" s="408"/>
      <c r="CO121" s="408">
        <v>0</v>
      </c>
      <c r="CP121" s="408">
        <v>0</v>
      </c>
      <c r="CQ121" s="408">
        <v>30</v>
      </c>
      <c r="CR121" s="408"/>
      <c r="CS121" s="408"/>
      <c r="CT121" s="408"/>
      <c r="CU121" s="408"/>
      <c r="CV121" s="408"/>
      <c r="CW121" s="408"/>
      <c r="CX121" s="408"/>
      <c r="CY121" s="408"/>
      <c r="CZ121" s="408"/>
      <c r="DA121" s="408"/>
      <c r="DB121" s="408"/>
      <c r="DC121" s="408"/>
      <c r="DD121" s="408"/>
      <c r="DE121" s="408"/>
      <c r="DF121" s="408"/>
      <c r="DG121" s="408"/>
      <c r="DH121" s="408"/>
      <c r="DI121" s="408"/>
      <c r="DJ121" s="408"/>
      <c r="DK121" s="408">
        <v>0</v>
      </c>
      <c r="DL121" s="408"/>
      <c r="DM121" s="408"/>
      <c r="DN121" s="408"/>
      <c r="DO121" s="408"/>
      <c r="DP121" s="408"/>
      <c r="DQ121" s="408"/>
      <c r="DR121" s="408"/>
      <c r="DS121" s="408"/>
      <c r="DT121" s="408"/>
      <c r="DU121" s="408"/>
      <c r="DV121" s="408"/>
      <c r="DW121" s="408"/>
      <c r="DX121" s="408"/>
      <c r="DY121" s="408"/>
      <c r="DZ121" s="408"/>
      <c r="EA121" s="408"/>
      <c r="EB121" s="408"/>
      <c r="EC121" s="408"/>
      <c r="ED121" s="408"/>
      <c r="EE121" s="408"/>
      <c r="EF121" s="408"/>
      <c r="EG121" s="408"/>
      <c r="EH121" s="408"/>
      <c r="EI121" s="408"/>
      <c r="EJ121" s="408"/>
      <c r="EK121" s="408"/>
      <c r="EL121" s="408"/>
      <c r="EM121" s="408"/>
      <c r="EN121" s="408"/>
      <c r="EO121" s="408"/>
      <c r="EP121" s="408"/>
      <c r="EQ121" s="408"/>
      <c r="ER121" s="408"/>
      <c r="ES121" s="408"/>
      <c r="ET121" s="408"/>
      <c r="EU121" s="408"/>
      <c r="EV121" s="408">
        <v>239</v>
      </c>
      <c r="EW121" s="408"/>
      <c r="EX121" s="408"/>
      <c r="EY121" s="408"/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60" customFormat="1">
      <c r="A122" s="408">
        <v>121</v>
      </c>
      <c r="B122" s="408" t="s">
        <v>1034</v>
      </c>
      <c r="C122" s="408" t="s">
        <v>2233</v>
      </c>
      <c r="D122" s="408" t="s">
        <v>1953</v>
      </c>
      <c r="E122" s="408" t="s">
        <v>967</v>
      </c>
      <c r="F122" s="408" t="s">
        <v>2239</v>
      </c>
      <c r="G122" s="408" t="s">
        <v>1320</v>
      </c>
      <c r="H122" s="408" t="s">
        <v>1320</v>
      </c>
      <c r="I122" s="408" t="s">
        <v>1320</v>
      </c>
      <c r="J122" s="408" t="s">
        <v>2234</v>
      </c>
      <c r="K122" s="827">
        <v>44440</v>
      </c>
      <c r="L122" s="408">
        <v>0</v>
      </c>
      <c r="M122" s="408">
        <v>0</v>
      </c>
      <c r="N122" s="408">
        <v>44.26</v>
      </c>
      <c r="O122" s="408">
        <v>44.26</v>
      </c>
      <c r="P122" s="408">
        <v>44.26</v>
      </c>
      <c r="Q122" s="408">
        <v>44.26</v>
      </c>
      <c r="R122" s="408"/>
      <c r="S122" s="408">
        <v>446.23</v>
      </c>
      <c r="T122" s="408">
        <v>173.82</v>
      </c>
      <c r="U122" s="408"/>
      <c r="V122" s="408">
        <v>27443.413</v>
      </c>
      <c r="W122" s="408">
        <v>27443.413</v>
      </c>
      <c r="X122" s="408">
        <v>20044.468799999999</v>
      </c>
      <c r="Y122" s="408">
        <v>0</v>
      </c>
      <c r="Z122" s="408">
        <v>0</v>
      </c>
      <c r="AA122" s="408">
        <v>0</v>
      </c>
      <c r="AB122" s="408">
        <v>0</v>
      </c>
      <c r="AC122" s="408">
        <v>120.3183346882799</v>
      </c>
      <c r="AD122" s="408">
        <v>1523.7218259666411</v>
      </c>
      <c r="AE122" s="408">
        <v>16093.635094078098</v>
      </c>
      <c r="AF122" s="408">
        <v>7122.4137190640895</v>
      </c>
      <c r="AG122" s="408">
        <v>358.32300225287344</v>
      </c>
      <c r="AH122" s="408">
        <v>0</v>
      </c>
      <c r="AI122" s="408">
        <v>0</v>
      </c>
      <c r="AJ122" s="408">
        <v>0</v>
      </c>
      <c r="AK122" s="408">
        <v>0</v>
      </c>
      <c r="AL122" s="408">
        <v>0</v>
      </c>
      <c r="AM122" s="408"/>
      <c r="AN122" s="408">
        <v>68.671247806847276</v>
      </c>
      <c r="AO122" s="408">
        <v>256.64177726453454</v>
      </c>
      <c r="AP122" s="408">
        <v>840.46711959220988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24.556006430726214</v>
      </c>
      <c r="BF122" s="408">
        <v>212.69976581603402</v>
      </c>
      <c r="BG122" s="408">
        <v>822.27658510400863</v>
      </c>
      <c r="BH122" s="408">
        <v>0</v>
      </c>
      <c r="BI122" s="408">
        <v>108.37</v>
      </c>
      <c r="BJ122" s="408">
        <v>497.7</v>
      </c>
      <c r="BK122" s="408">
        <v>9825.44</v>
      </c>
      <c r="BL122" s="408">
        <v>438</v>
      </c>
      <c r="BM122" s="408"/>
      <c r="BN122" s="408"/>
      <c r="BO122" s="408"/>
      <c r="BP122" s="408"/>
      <c r="BQ122" s="408"/>
      <c r="BR122" s="408"/>
      <c r="BS122" s="408"/>
      <c r="BT122" s="408">
        <v>2004.0927999999999</v>
      </c>
      <c r="BU122" s="408"/>
      <c r="BV122" s="408">
        <v>8181.9460764148589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18040.375999999997</v>
      </c>
      <c r="CJ122" s="408">
        <v>-6658.9470000000001</v>
      </c>
      <c r="CK122" s="408"/>
      <c r="CL122" s="408"/>
      <c r="CM122" s="408"/>
      <c r="CN122" s="408"/>
      <c r="CO122" s="408">
        <v>-8336.8135999999995</v>
      </c>
      <c r="CP122" s="408">
        <v>937.86939999999981</v>
      </c>
      <c r="CQ122" s="408">
        <v>30</v>
      </c>
      <c r="CR122" s="408">
        <v>1121.4507301164685</v>
      </c>
      <c r="CS122" s="408">
        <v>24.918295182035706</v>
      </c>
      <c r="CT122" s="408">
        <v>81.604047478230768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-29.216159157042057</v>
      </c>
      <c r="DA122" s="408">
        <v>0</v>
      </c>
      <c r="DB122" s="408">
        <v>0</v>
      </c>
      <c r="DC122" s="408">
        <v>914.24051813098231</v>
      </c>
      <c r="DD122" s="408">
        <v>27.302365711428337</v>
      </c>
      <c r="DE122" s="408">
        <v>3.15203481965154</v>
      </c>
      <c r="DF122" s="408">
        <v>0</v>
      </c>
      <c r="DG122" s="408">
        <v>105.54828754194</v>
      </c>
      <c r="DH122" s="408">
        <v>0</v>
      </c>
      <c r="DI122" s="408">
        <v>0</v>
      </c>
      <c r="DJ122" s="408"/>
      <c r="DK122" s="408">
        <v>0</v>
      </c>
      <c r="DL122" s="408">
        <v>0</v>
      </c>
      <c r="DM122" s="408">
        <v>-3.9826286590801487</v>
      </c>
      <c r="DN122" s="408">
        <v>0</v>
      </c>
      <c r="DO122" s="408">
        <v>0</v>
      </c>
      <c r="DP122" s="408">
        <v>-2.1160309316762493</v>
      </c>
      <c r="DQ122" s="408">
        <v>0</v>
      </c>
      <c r="DR122" s="408">
        <v>0</v>
      </c>
      <c r="DS122" s="408"/>
      <c r="DT122" s="408"/>
      <c r="DU122" s="408"/>
      <c r="DV122" s="408">
        <v>16093.635094078098</v>
      </c>
      <c r="DW122" s="408">
        <v>0</v>
      </c>
      <c r="DX122" s="408">
        <v>0</v>
      </c>
      <c r="DY122" s="408">
        <v>-8336.8136000000013</v>
      </c>
      <c r="DZ122" s="408">
        <v>937.86939999999959</v>
      </c>
      <c r="EA122" s="408">
        <v>0</v>
      </c>
      <c r="EB122" s="408">
        <v>0</v>
      </c>
      <c r="EC122" s="408">
        <v>-8520.7265706233848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239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60" customFormat="1">
      <c r="A123" s="408">
        <v>122</v>
      </c>
      <c r="B123" s="408" t="s">
        <v>2236</v>
      </c>
      <c r="C123" s="408" t="s">
        <v>2233</v>
      </c>
      <c r="D123" s="408" t="s">
        <v>1953</v>
      </c>
      <c r="E123" s="408" t="s">
        <v>967</v>
      </c>
      <c r="F123" s="408" t="s">
        <v>2239</v>
      </c>
      <c r="G123" s="408" t="s">
        <v>1320</v>
      </c>
      <c r="H123" s="408" t="s">
        <v>1320</v>
      </c>
      <c r="I123" s="408" t="s">
        <v>1320</v>
      </c>
      <c r="J123" s="408" t="s">
        <v>2234</v>
      </c>
      <c r="K123" s="827">
        <v>44440</v>
      </c>
      <c r="L123" s="408">
        <v>0</v>
      </c>
      <c r="M123" s="408">
        <v>0</v>
      </c>
      <c r="N123" s="408">
        <v>0</v>
      </c>
      <c r="O123" s="408">
        <v>0</v>
      </c>
      <c r="P123" s="408">
        <v>0</v>
      </c>
      <c r="Q123" s="408">
        <v>0</v>
      </c>
      <c r="R123" s="408"/>
      <c r="S123" s="408"/>
      <c r="T123" s="408"/>
      <c r="U123" s="408"/>
      <c r="V123" s="408"/>
      <c r="W123" s="408"/>
      <c r="X123" s="408"/>
      <c r="Y123" s="408"/>
      <c r="Z123" s="408"/>
      <c r="AA123" s="408">
        <v>0</v>
      </c>
      <c r="AB123" s="408"/>
      <c r="AC123" s="408"/>
      <c r="AD123" s="408"/>
      <c r="AE123" s="408"/>
      <c r="AF123" s="408"/>
      <c r="AG123" s="408"/>
      <c r="AH123" s="408"/>
      <c r="AI123" s="408"/>
      <c r="AJ123" s="408"/>
      <c r="AK123" s="408"/>
      <c r="AL123" s="408"/>
      <c r="AM123" s="408"/>
      <c r="AN123" s="408"/>
      <c r="AO123" s="408"/>
      <c r="AP123" s="408"/>
      <c r="AQ123" s="408"/>
      <c r="AR123" s="408"/>
      <c r="AS123" s="408"/>
      <c r="AT123" s="408"/>
      <c r="AU123" s="408"/>
      <c r="AV123" s="408"/>
      <c r="AW123" s="408"/>
      <c r="AX123" s="408"/>
      <c r="AY123" s="408"/>
      <c r="AZ123" s="408">
        <v>0</v>
      </c>
      <c r="BA123" s="408"/>
      <c r="BB123" s="408"/>
      <c r="BC123" s="408"/>
      <c r="BD123" s="408"/>
      <c r="BE123" s="408"/>
      <c r="BF123" s="408"/>
      <c r="BG123" s="408"/>
      <c r="BH123" s="408"/>
      <c r="BI123" s="408">
        <v>0</v>
      </c>
      <c r="BJ123" s="408">
        <v>0</v>
      </c>
      <c r="BK123" s="408">
        <v>11.13</v>
      </c>
      <c r="BL123" s="408">
        <v>1</v>
      </c>
      <c r="BM123" s="408"/>
      <c r="BN123" s="408"/>
      <c r="BO123" s="408"/>
      <c r="BP123" s="408"/>
      <c r="BQ123" s="408"/>
      <c r="BR123" s="408"/>
      <c r="BS123" s="408"/>
      <c r="BT123" s="408"/>
      <c r="BU123" s="408"/>
      <c r="BV123" s="408"/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/>
      <c r="CJ123" s="408">
        <v>-0.03</v>
      </c>
      <c r="CK123" s="408"/>
      <c r="CL123" s="408"/>
      <c r="CM123" s="408"/>
      <c r="CN123" s="408"/>
      <c r="CO123" s="408">
        <v>0</v>
      </c>
      <c r="CP123" s="408">
        <v>0</v>
      </c>
      <c r="CQ123" s="408">
        <v>30</v>
      </c>
      <c r="CR123" s="408"/>
      <c r="CS123" s="408"/>
      <c r="CT123" s="408"/>
      <c r="CU123" s="408"/>
      <c r="CV123" s="408"/>
      <c r="CW123" s="408"/>
      <c r="CX123" s="408"/>
      <c r="CY123" s="408"/>
      <c r="CZ123" s="408"/>
      <c r="DA123" s="408"/>
      <c r="DB123" s="408"/>
      <c r="DC123" s="408"/>
      <c r="DD123" s="408"/>
      <c r="DE123" s="408"/>
      <c r="DF123" s="408"/>
      <c r="DG123" s="408"/>
      <c r="DH123" s="408"/>
      <c r="DI123" s="408"/>
      <c r="DJ123" s="408"/>
      <c r="DK123" s="408">
        <v>0</v>
      </c>
      <c r="DL123" s="408"/>
      <c r="DM123" s="408"/>
      <c r="DN123" s="408"/>
      <c r="DO123" s="408"/>
      <c r="DP123" s="408"/>
      <c r="DQ123" s="408"/>
      <c r="DR123" s="408"/>
      <c r="DS123" s="408"/>
      <c r="DT123" s="408"/>
      <c r="DU123" s="408"/>
      <c r="DV123" s="408"/>
      <c r="DW123" s="408"/>
      <c r="DX123" s="408"/>
      <c r="DY123" s="408"/>
      <c r="DZ123" s="408"/>
      <c r="EA123" s="408"/>
      <c r="EB123" s="408"/>
      <c r="EC123" s="408"/>
      <c r="ED123" s="408"/>
      <c r="EE123" s="408"/>
      <c r="EF123" s="408"/>
      <c r="EG123" s="408"/>
      <c r="EH123" s="408"/>
      <c r="EI123" s="408"/>
      <c r="EJ123" s="408"/>
      <c r="EK123" s="408"/>
      <c r="EL123" s="408"/>
      <c r="EM123" s="408"/>
      <c r="EN123" s="408"/>
      <c r="EO123" s="408"/>
      <c r="EP123" s="408"/>
      <c r="EQ123" s="408"/>
      <c r="ER123" s="408"/>
      <c r="ES123" s="408"/>
      <c r="ET123" s="408"/>
      <c r="EU123" s="408"/>
      <c r="EV123" s="408">
        <v>239</v>
      </c>
      <c r="EW123" s="408"/>
      <c r="EX123" s="408"/>
      <c r="EY123" s="408"/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60" customFormat="1">
      <c r="A124" s="408">
        <v>123</v>
      </c>
      <c r="B124" s="408" t="s">
        <v>1034</v>
      </c>
      <c r="C124" s="408" t="s">
        <v>2233</v>
      </c>
      <c r="D124" s="408" t="s">
        <v>1953</v>
      </c>
      <c r="E124" s="408" t="s">
        <v>967</v>
      </c>
      <c r="F124" s="408" t="s">
        <v>2240</v>
      </c>
      <c r="G124" s="408" t="s">
        <v>1320</v>
      </c>
      <c r="H124" s="408" t="s">
        <v>1320</v>
      </c>
      <c r="I124" s="408" t="s">
        <v>1320</v>
      </c>
      <c r="J124" s="408" t="s">
        <v>2234</v>
      </c>
      <c r="K124" s="827">
        <v>44440</v>
      </c>
      <c r="L124" s="408">
        <v>0</v>
      </c>
      <c r="M124" s="408">
        <v>0</v>
      </c>
      <c r="N124" s="408">
        <v>11.597</v>
      </c>
      <c r="O124" s="408">
        <v>11.597</v>
      </c>
      <c r="P124" s="408">
        <v>11.597</v>
      </c>
      <c r="Q124" s="408">
        <v>11.597</v>
      </c>
      <c r="R124" s="408"/>
      <c r="S124" s="408">
        <v>446.23</v>
      </c>
      <c r="T124" s="408">
        <v>173.82</v>
      </c>
      <c r="U124" s="408"/>
      <c r="V124" s="408">
        <v>7190.7198500000004</v>
      </c>
      <c r="W124" s="408">
        <v>7190.7198500000004</v>
      </c>
      <c r="X124" s="408">
        <v>5252.0493599999991</v>
      </c>
      <c r="Y124" s="408">
        <v>0</v>
      </c>
      <c r="Z124" s="408">
        <v>0</v>
      </c>
      <c r="AA124" s="408">
        <v>0</v>
      </c>
      <c r="AB124" s="408">
        <v>0</v>
      </c>
      <c r="AC124" s="408">
        <v>31.525795919113918</v>
      </c>
      <c r="AD124" s="408">
        <v>399.24541382139932</v>
      </c>
      <c r="AE124" s="408">
        <v>4216.8523765482078</v>
      </c>
      <c r="AF124" s="408">
        <v>1866.2140058740679</v>
      </c>
      <c r="AG124" s="408">
        <v>93.887750951797855</v>
      </c>
      <c r="AH124" s="408">
        <v>0</v>
      </c>
      <c r="AI124" s="408">
        <v>0</v>
      </c>
      <c r="AJ124" s="408">
        <v>0</v>
      </c>
      <c r="AK124" s="408">
        <v>0</v>
      </c>
      <c r="AL124" s="408">
        <v>0</v>
      </c>
      <c r="AM124" s="408"/>
      <c r="AN124" s="408">
        <v>17.993232282331853</v>
      </c>
      <c r="AO124" s="408">
        <v>67.2452483266337</v>
      </c>
      <c r="AP124" s="408">
        <v>220.2190959311084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6.434161919953274</v>
      </c>
      <c r="BF124" s="408">
        <v>55.73156764953788</v>
      </c>
      <c r="BG124" s="408">
        <v>215.45281422167167</v>
      </c>
      <c r="BH124" s="408">
        <v>0</v>
      </c>
      <c r="BI124" s="408">
        <v>37.86</v>
      </c>
      <c r="BJ124" s="408">
        <v>173.33</v>
      </c>
      <c r="BK124" s="408">
        <v>3865.74</v>
      </c>
      <c r="BL124" s="408">
        <v>161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2143.832549665231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5253.4079999999994</v>
      </c>
      <c r="CJ124" s="408">
        <v>-1937.3418500000016</v>
      </c>
      <c r="CK124" s="408"/>
      <c r="CL124" s="408"/>
      <c r="CM124" s="408"/>
      <c r="CN124" s="408"/>
      <c r="CO124" s="408">
        <v>-2184.4109200000003</v>
      </c>
      <c r="CP124" s="408">
        <v>245.74042999999998</v>
      </c>
      <c r="CQ124" s="408">
        <v>30</v>
      </c>
      <c r="CR124" s="408">
        <v>293.84238854859223</v>
      </c>
      <c r="CS124" s="408">
        <v>6.5290887760069438</v>
      </c>
      <c r="CT124" s="408">
        <v>21.381882932784521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-7.655214589792422</v>
      </c>
      <c r="DA124" s="408">
        <v>0</v>
      </c>
      <c r="DB124" s="408">
        <v>0</v>
      </c>
      <c r="DC124" s="408">
        <v>239.54919314877998</v>
      </c>
      <c r="DD124" s="408">
        <v>7.153762656019758</v>
      </c>
      <c r="DE124" s="408">
        <v>0.82589579312017403</v>
      </c>
      <c r="DF124" s="408">
        <v>0</v>
      </c>
      <c r="DG124" s="408">
        <v>27.655749901126939</v>
      </c>
      <c r="DH124" s="408">
        <v>0</v>
      </c>
      <c r="DI124" s="408">
        <v>0</v>
      </c>
      <c r="DJ124" s="408"/>
      <c r="DK124" s="408">
        <v>0</v>
      </c>
      <c r="DL124" s="408">
        <v>0</v>
      </c>
      <c r="DM124" s="408">
        <v>-1.0435278933427981</v>
      </c>
      <c r="DN124" s="408">
        <v>0</v>
      </c>
      <c r="DO124" s="408">
        <v>0</v>
      </c>
      <c r="DP124" s="408">
        <v>-0.55444217611047009</v>
      </c>
      <c r="DQ124" s="408">
        <v>0</v>
      </c>
      <c r="DR124" s="408">
        <v>0</v>
      </c>
      <c r="DS124" s="408"/>
      <c r="DT124" s="408"/>
      <c r="DU124" s="408"/>
      <c r="DV124" s="408">
        <v>4216.8523765482078</v>
      </c>
      <c r="DW124" s="408">
        <v>0</v>
      </c>
      <c r="DX124" s="408">
        <v>0</v>
      </c>
      <c r="DY124" s="408">
        <v>-2184.4109200000007</v>
      </c>
      <c r="DZ124" s="408">
        <v>245.74043000000006</v>
      </c>
      <c r="EA124" s="408">
        <v>0</v>
      </c>
      <c r="EB124" s="408">
        <v>0</v>
      </c>
      <c r="EC124" s="408">
        <v>-2232.5997749552498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239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60" customFormat="1">
      <c r="A125" s="408">
        <v>124</v>
      </c>
      <c r="B125" s="408" t="s">
        <v>1034</v>
      </c>
      <c r="C125" s="408" t="s">
        <v>2233</v>
      </c>
      <c r="D125" s="408" t="s">
        <v>1956</v>
      </c>
      <c r="E125" s="408" t="s">
        <v>968</v>
      </c>
      <c r="F125" s="408" t="s">
        <v>1320</v>
      </c>
      <c r="G125" s="408" t="s">
        <v>1320</v>
      </c>
      <c r="H125" s="408" t="s">
        <v>1320</v>
      </c>
      <c r="I125" s="408" t="s">
        <v>1320</v>
      </c>
      <c r="J125" s="408" t="s">
        <v>2234</v>
      </c>
      <c r="K125" s="827">
        <v>44440</v>
      </c>
      <c r="L125" s="408">
        <v>0</v>
      </c>
      <c r="M125" s="408">
        <v>0</v>
      </c>
      <c r="N125" s="408">
        <v>78.064999999999998</v>
      </c>
      <c r="O125" s="408">
        <v>78.064999999999998</v>
      </c>
      <c r="P125" s="408">
        <v>78.064999999999998</v>
      </c>
      <c r="Q125" s="408">
        <v>78.064999999999998</v>
      </c>
      <c r="R125" s="408"/>
      <c r="S125" s="408">
        <v>516.83000000000004</v>
      </c>
      <c r="T125" s="408">
        <v>173.82</v>
      </c>
      <c r="U125" s="408"/>
      <c r="V125" s="408">
        <v>53915.592250000002</v>
      </c>
      <c r="W125" s="408">
        <v>53915.592250000002</v>
      </c>
      <c r="X125" s="408">
        <v>40706.994249999996</v>
      </c>
      <c r="Y125" s="408">
        <v>0</v>
      </c>
      <c r="Z125" s="408">
        <v>4773.6322637501198</v>
      </c>
      <c r="AA125" s="408">
        <v>0</v>
      </c>
      <c r="AB125" s="408">
        <v>0</v>
      </c>
      <c r="AC125" s="408">
        <v>212.21533658925827</v>
      </c>
      <c r="AD125" s="408">
        <v>2687.5134284700821</v>
      </c>
      <c r="AE125" s="408">
        <v>28385.667049688356</v>
      </c>
      <c r="AF125" s="408">
        <v>12562.386511042434</v>
      </c>
      <c r="AG125" s="408">
        <v>632.00373183168915</v>
      </c>
      <c r="AH125" s="408">
        <v>0</v>
      </c>
      <c r="AI125" s="408">
        <v>0</v>
      </c>
      <c r="AJ125" s="408">
        <v>0</v>
      </c>
      <c r="AK125" s="408">
        <v>0</v>
      </c>
      <c r="AL125" s="408">
        <v>737.83108657704588</v>
      </c>
      <c r="AM125" s="408"/>
      <c r="AN125" s="408">
        <v>121.12112426664105</v>
      </c>
      <c r="AO125" s="408">
        <v>452.66019751820812</v>
      </c>
      <c r="AP125" s="408">
        <v>1482.4009419558488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43.311446950172659</v>
      </c>
      <c r="BF125" s="408">
        <v>375.1560600639109</v>
      </c>
      <c r="BG125" s="408">
        <v>1450.3168010877641</v>
      </c>
      <c r="BH125" s="408">
        <v>0</v>
      </c>
      <c r="BI125" s="408">
        <v>193.49</v>
      </c>
      <c r="BJ125" s="408">
        <v>921.17</v>
      </c>
      <c r="BK125" s="408">
        <v>11051.52</v>
      </c>
      <c r="BL125" s="408">
        <v>32</v>
      </c>
      <c r="BM125" s="408"/>
      <c r="BN125" s="408"/>
      <c r="BO125" s="408"/>
      <c r="BP125" s="408"/>
      <c r="BQ125" s="408"/>
      <c r="BR125" s="408"/>
      <c r="BS125" s="408"/>
      <c r="BT125" s="408"/>
      <c r="BU125" s="408"/>
      <c r="BV125" s="408">
        <v>14431.170819144281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40709.60149999999</v>
      </c>
      <c r="CJ125" s="408">
        <v>-13206.020750000018</v>
      </c>
      <c r="CK125" s="408"/>
      <c r="CL125" s="408"/>
      <c r="CM125" s="408"/>
      <c r="CN125" s="408"/>
      <c r="CO125" s="408">
        <v>-14862.795350000002</v>
      </c>
      <c r="CP125" s="408">
        <v>1654.1973499999997</v>
      </c>
      <c r="CQ125" s="408">
        <v>30</v>
      </c>
      <c r="CR125" s="408">
        <v>1819.3734452285353</v>
      </c>
      <c r="CS125" s="408">
        <v>43.950445399584567</v>
      </c>
      <c r="CT125" s="408">
        <v>143.93176607293458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-51.530941360019824</v>
      </c>
      <c r="DA125" s="408">
        <v>0</v>
      </c>
      <c r="DB125" s="408">
        <v>0</v>
      </c>
      <c r="DC125" s="408">
        <v>1612.5211488453479</v>
      </c>
      <c r="DD125" s="408">
        <v>48.155426553607128</v>
      </c>
      <c r="DE125" s="408">
        <v>5.5595028964323845</v>
      </c>
      <c r="DF125" s="408">
        <v>0</v>
      </c>
      <c r="DG125" s="408">
        <v>186.16419039678135</v>
      </c>
      <c r="DH125" s="408">
        <v>0</v>
      </c>
      <c r="DI125" s="408">
        <v>-139.51181607815943</v>
      </c>
      <c r="DJ125" s="408"/>
      <c r="DK125" s="408">
        <v>0</v>
      </c>
      <c r="DL125" s="408">
        <v>0</v>
      </c>
      <c r="DM125" s="408">
        <v>-7.0244895226184099</v>
      </c>
      <c r="DN125" s="408">
        <v>0</v>
      </c>
      <c r="DO125" s="408">
        <v>-19.109570291630007</v>
      </c>
      <c r="DP125" s="408">
        <v>-3.7322176837168115</v>
      </c>
      <c r="DQ125" s="408">
        <v>0</v>
      </c>
      <c r="DR125" s="408">
        <v>0</v>
      </c>
      <c r="DS125" s="408"/>
      <c r="DT125" s="408"/>
      <c r="DU125" s="408"/>
      <c r="DV125" s="408">
        <v>28385.667049688356</v>
      </c>
      <c r="DW125" s="408">
        <v>0</v>
      </c>
      <c r="DX125" s="408">
        <v>0</v>
      </c>
      <c r="DY125" s="408">
        <v>-14862.79535</v>
      </c>
      <c r="DZ125" s="408">
        <v>1654.1973499999986</v>
      </c>
      <c r="EA125" s="408">
        <v>0</v>
      </c>
      <c r="EB125" s="408">
        <v>0</v>
      </c>
      <c r="EC125" s="408">
        <v>-15028.705823219938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239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60" customFormat="1">
      <c r="A126" s="408">
        <v>125</v>
      </c>
      <c r="B126" s="408" t="s">
        <v>2236</v>
      </c>
      <c r="C126" s="408" t="s">
        <v>2233</v>
      </c>
      <c r="D126" s="408" t="s">
        <v>1956</v>
      </c>
      <c r="E126" s="408" t="s">
        <v>968</v>
      </c>
      <c r="F126" s="408" t="s">
        <v>1320</v>
      </c>
      <c r="G126" s="408" t="s">
        <v>1320</v>
      </c>
      <c r="H126" s="408" t="s">
        <v>1320</v>
      </c>
      <c r="I126" s="408" t="s">
        <v>1320</v>
      </c>
      <c r="J126" s="408" t="s">
        <v>2234</v>
      </c>
      <c r="K126" s="827">
        <v>44440</v>
      </c>
      <c r="L126" s="408">
        <v>0</v>
      </c>
      <c r="M126" s="408">
        <v>0</v>
      </c>
      <c r="N126" s="408">
        <v>1.1739999999999999</v>
      </c>
      <c r="O126" s="408">
        <v>1.1739999999999999</v>
      </c>
      <c r="P126" s="408">
        <v>1.1739999999999999</v>
      </c>
      <c r="Q126" s="408">
        <v>1.1739999999999999</v>
      </c>
      <c r="R126" s="408"/>
      <c r="S126" s="408">
        <v>516.83000000000004</v>
      </c>
      <c r="T126" s="408">
        <v>173.82</v>
      </c>
      <c r="U126" s="408"/>
      <c r="V126" s="408">
        <v>810.82309999999995</v>
      </c>
      <c r="W126" s="408">
        <v>810.82309999999995</v>
      </c>
      <c r="X126" s="408">
        <v>612.18229999999994</v>
      </c>
      <c r="Y126" s="408">
        <v>0</v>
      </c>
      <c r="Z126" s="408">
        <v>71.789461059919816</v>
      </c>
      <c r="AA126" s="408">
        <v>0</v>
      </c>
      <c r="AB126" s="408">
        <v>0</v>
      </c>
      <c r="AC126" s="408">
        <v>3.1914533421608815</v>
      </c>
      <c r="AD126" s="408">
        <v>40.416841926905477</v>
      </c>
      <c r="AE126" s="408">
        <v>426.88494352570461</v>
      </c>
      <c r="AF126" s="408">
        <v>188.92258712564936</v>
      </c>
      <c r="AG126" s="408">
        <v>9.5045459702863386</v>
      </c>
      <c r="AH126" s="408">
        <v>0</v>
      </c>
      <c r="AI126" s="408">
        <v>0</v>
      </c>
      <c r="AJ126" s="408">
        <v>0</v>
      </c>
      <c r="AK126" s="408">
        <v>0</v>
      </c>
      <c r="AL126" s="408">
        <v>11.096057076044987</v>
      </c>
      <c r="AM126" s="408"/>
      <c r="AN126" s="408">
        <v>1.821510278473536</v>
      </c>
      <c r="AO126" s="408">
        <v>6.8074434367050056</v>
      </c>
      <c r="AP126" s="408">
        <v>22.293456809788847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0.65135001241917245</v>
      </c>
      <c r="BF126" s="408">
        <v>5.6418781081794833</v>
      </c>
      <c r="BG126" s="408">
        <v>21.81095144401505</v>
      </c>
      <c r="BH126" s="408">
        <v>0</v>
      </c>
      <c r="BI126" s="408">
        <v>2.84</v>
      </c>
      <c r="BJ126" s="408">
        <v>12.04</v>
      </c>
      <c r="BK126" s="408">
        <v>321.95999999999998</v>
      </c>
      <c r="BL126" s="408">
        <v>3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217.02676669026309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610.09649999999999</v>
      </c>
      <c r="CJ126" s="408">
        <v>-200.75659999999993</v>
      </c>
      <c r="CK126" s="408"/>
      <c r="CL126" s="408"/>
      <c r="CM126" s="408"/>
      <c r="CN126" s="408"/>
      <c r="CO126" s="408">
        <v>-223.51786000000004</v>
      </c>
      <c r="CP126" s="408">
        <v>24.877059999999997</v>
      </c>
      <c r="CQ126" s="408">
        <v>30</v>
      </c>
      <c r="CR126" s="408">
        <v>27.361101962445559</v>
      </c>
      <c r="CS126" s="408">
        <v>0.66095975019678921</v>
      </c>
      <c r="CT126" s="408">
        <v>2.1645538124591717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-0.77496093200106486</v>
      </c>
      <c r="DA126" s="408">
        <v>0</v>
      </c>
      <c r="DB126" s="408">
        <v>0</v>
      </c>
      <c r="DC126" s="408">
        <v>24.250302039895473</v>
      </c>
      <c r="DD126" s="408">
        <v>0.72419740951687483</v>
      </c>
      <c r="DE126" s="408">
        <v>8.3607972848416368E-2</v>
      </c>
      <c r="DF126" s="408">
        <v>0</v>
      </c>
      <c r="DG126" s="408">
        <v>2.7996766736158492</v>
      </c>
      <c r="DH126" s="408">
        <v>0</v>
      </c>
      <c r="DI126" s="408">
        <v>-2.0980832905368487</v>
      </c>
      <c r="DJ126" s="408"/>
      <c r="DK126" s="408">
        <v>0</v>
      </c>
      <c r="DL126" s="408">
        <v>0</v>
      </c>
      <c r="DM126" s="408">
        <v>-0.10563954012110344</v>
      </c>
      <c r="DN126" s="408">
        <v>0</v>
      </c>
      <c r="DO126" s="408">
        <v>-0.2873840456334289</v>
      </c>
      <c r="DP126" s="408">
        <v>-5.612788779457567E-2</v>
      </c>
      <c r="DQ126" s="408">
        <v>0</v>
      </c>
      <c r="DR126" s="408">
        <v>0</v>
      </c>
      <c r="DS126" s="408"/>
      <c r="DT126" s="408"/>
      <c r="DU126" s="408"/>
      <c r="DV126" s="408">
        <v>426.88494352570461</v>
      </c>
      <c r="DW126" s="408">
        <v>0</v>
      </c>
      <c r="DX126" s="408">
        <v>0</v>
      </c>
      <c r="DY126" s="408">
        <v>-223.51786000000004</v>
      </c>
      <c r="DZ126" s="408">
        <v>24.87706</v>
      </c>
      <c r="EA126" s="408">
        <v>0</v>
      </c>
      <c r="EB126" s="408">
        <v>0</v>
      </c>
      <c r="EC126" s="408">
        <v>-226.01294608928723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239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60" customFormat="1">
      <c r="A127" s="408">
        <v>126</v>
      </c>
      <c r="B127" s="408" t="s">
        <v>1034</v>
      </c>
      <c r="C127" s="408" t="s">
        <v>2245</v>
      </c>
      <c r="D127" s="408" t="s">
        <v>596</v>
      </c>
      <c r="E127" s="408" t="s">
        <v>968</v>
      </c>
      <c r="F127" s="408" t="s">
        <v>1320</v>
      </c>
      <c r="G127" s="408" t="s">
        <v>1320</v>
      </c>
      <c r="H127" s="408" t="s">
        <v>1320</v>
      </c>
      <c r="I127" s="408" t="s">
        <v>971</v>
      </c>
      <c r="J127" s="408" t="s">
        <v>2234</v>
      </c>
      <c r="K127" s="827">
        <v>44440</v>
      </c>
      <c r="L127" s="408">
        <v>1200</v>
      </c>
      <c r="M127" s="408">
        <v>1200</v>
      </c>
      <c r="N127" s="408">
        <v>33.953000000000003</v>
      </c>
      <c r="O127" s="408">
        <v>33.953000000000003</v>
      </c>
      <c r="P127" s="408">
        <v>33.953000000000003</v>
      </c>
      <c r="Q127" s="408">
        <v>33.953000000000003</v>
      </c>
      <c r="R127" s="408">
        <v>67.099999999999994</v>
      </c>
      <c r="S127" s="408">
        <v>70.33</v>
      </c>
      <c r="T127" s="408">
        <v>173.82</v>
      </c>
      <c r="U127" s="408">
        <v>80520</v>
      </c>
      <c r="V127" s="408">
        <v>8289.6249500000013</v>
      </c>
      <c r="W127" s="408">
        <v>88809.624949999998</v>
      </c>
      <c r="X127" s="408">
        <v>59422.796489999993</v>
      </c>
      <c r="Y127" s="408">
        <v>0</v>
      </c>
      <c r="Z127" s="408">
        <v>1806.3005000763983</v>
      </c>
      <c r="AA127" s="408">
        <v>0</v>
      </c>
      <c r="AB127" s="408">
        <v>0</v>
      </c>
      <c r="AC127" s="408">
        <v>898.10170336085525</v>
      </c>
      <c r="AD127" s="408">
        <v>13700.67976876248</v>
      </c>
      <c r="AE127" s="408">
        <v>57794.157302940846</v>
      </c>
      <c r="AF127" s="408">
        <v>5463.7892680384784</v>
      </c>
      <c r="AG127" s="408">
        <v>274.87891765684168</v>
      </c>
      <c r="AH127" s="408">
        <v>0</v>
      </c>
      <c r="AI127" s="408">
        <v>0</v>
      </c>
      <c r="AJ127" s="408">
        <v>0</v>
      </c>
      <c r="AK127" s="408">
        <v>0</v>
      </c>
      <c r="AL127" s="408">
        <v>320.90666601614606</v>
      </c>
      <c r="AM127" s="408"/>
      <c r="AN127" s="408">
        <v>42.194434291790941</v>
      </c>
      <c r="AO127" s="408">
        <v>1928.760364929756</v>
      </c>
      <c r="AP127" s="408">
        <v>6201.9566025339363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6.3354133393150365</v>
      </c>
      <c r="BF127" s="408">
        <v>163.16753612182114</v>
      </c>
      <c r="BG127" s="408">
        <v>212.14614276024548</v>
      </c>
      <c r="BH127" s="408">
        <v>0</v>
      </c>
      <c r="BI127" s="408">
        <v>0</v>
      </c>
      <c r="BJ127" s="408">
        <v>0</v>
      </c>
      <c r="BK127" s="408">
        <v>0</v>
      </c>
      <c r="BL127" s="408">
        <v>0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>
        <v>5845.43836025986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59422.003499999999</v>
      </c>
      <c r="CJ127" s="408">
        <v>-29387.651449999983</v>
      </c>
      <c r="CK127" s="408"/>
      <c r="CL127" s="408"/>
      <c r="CM127" s="408"/>
      <c r="CN127" s="408"/>
      <c r="CO127" s="408">
        <v>-30106.292529999992</v>
      </c>
      <c r="CP127" s="408">
        <v>719.46406999999999</v>
      </c>
      <c r="CQ127" s="408">
        <v>30</v>
      </c>
      <c r="CR127" s="408">
        <v>1211.6114129631096</v>
      </c>
      <c r="CS127" s="408">
        <v>187.27044607078801</v>
      </c>
      <c r="CT127" s="408">
        <v>602.17080389378407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-262.69968301452172</v>
      </c>
      <c r="DA127" s="408">
        <v>0</v>
      </c>
      <c r="DB127" s="408">
        <v>0</v>
      </c>
      <c r="DC127" s="408">
        <v>701.33773863762417</v>
      </c>
      <c r="DD127" s="408">
        <v>20.944356597381983</v>
      </c>
      <c r="DE127" s="408">
        <v>0.81322032142078893</v>
      </c>
      <c r="DF127" s="408">
        <v>0</v>
      </c>
      <c r="DG127" s="408">
        <v>27.231302073546885</v>
      </c>
      <c r="DH127" s="408">
        <v>0</v>
      </c>
      <c r="DI127" s="408">
        <v>-52.790045237079539</v>
      </c>
      <c r="DJ127" s="408"/>
      <c r="DK127" s="408">
        <v>0</v>
      </c>
      <c r="DL127" s="408">
        <v>0</v>
      </c>
      <c r="DM127" s="408">
        <v>-3.0551782842690614</v>
      </c>
      <c r="DN127" s="408">
        <v>0</v>
      </c>
      <c r="DO127" s="408">
        <v>-8.311371806977661</v>
      </c>
      <c r="DP127" s="408">
        <v>-1.300176288585206</v>
      </c>
      <c r="DQ127" s="408">
        <v>0</v>
      </c>
      <c r="DR127" s="408">
        <v>0</v>
      </c>
      <c r="DS127" s="408"/>
      <c r="DT127" s="408"/>
      <c r="DU127" s="408">
        <v>57794.157302940846</v>
      </c>
      <c r="DV127" s="408">
        <v>0</v>
      </c>
      <c r="DW127" s="408">
        <v>0</v>
      </c>
      <c r="DX127" s="408">
        <v>0</v>
      </c>
      <c r="DY127" s="408">
        <v>-30106.292529999999</v>
      </c>
      <c r="DZ127" s="408">
        <v>719.46406999999999</v>
      </c>
      <c r="EA127" s="408">
        <v>0</v>
      </c>
      <c r="EB127" s="408">
        <v>0</v>
      </c>
      <c r="EC127" s="408">
        <v>-30598.942307270285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239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60" customFormat="1">
      <c r="A128" s="408">
        <v>127</v>
      </c>
      <c r="B128" s="408" t="s">
        <v>1034</v>
      </c>
      <c r="C128" s="408" t="s">
        <v>2245</v>
      </c>
      <c r="D128" s="408" t="s">
        <v>596</v>
      </c>
      <c r="E128" s="408" t="s">
        <v>968</v>
      </c>
      <c r="F128" s="408" t="s">
        <v>1320</v>
      </c>
      <c r="G128" s="408" t="s">
        <v>1320</v>
      </c>
      <c r="H128" s="408" t="s">
        <v>1320</v>
      </c>
      <c r="I128" s="408" t="s">
        <v>2242</v>
      </c>
      <c r="J128" s="408" t="s">
        <v>2234</v>
      </c>
      <c r="K128" s="827">
        <v>44440</v>
      </c>
      <c r="L128" s="408">
        <v>1200</v>
      </c>
      <c r="M128" s="408">
        <v>1200</v>
      </c>
      <c r="N128" s="408">
        <v>339.90800000000002</v>
      </c>
      <c r="O128" s="408">
        <v>339.90800000000002</v>
      </c>
      <c r="P128" s="408">
        <v>339.90800000000002</v>
      </c>
      <c r="Q128" s="408">
        <v>339.90800000000002</v>
      </c>
      <c r="R128" s="408">
        <v>59.12</v>
      </c>
      <c r="S128" s="408">
        <v>70.33</v>
      </c>
      <c r="T128" s="408">
        <v>173.82</v>
      </c>
      <c r="U128" s="408">
        <v>70944</v>
      </c>
      <c r="V128" s="408">
        <v>82988.538199999995</v>
      </c>
      <c r="W128" s="408">
        <v>153932.53820000001</v>
      </c>
      <c r="X128" s="408">
        <v>130683.88164000001</v>
      </c>
      <c r="Y128" s="408">
        <v>0</v>
      </c>
      <c r="Z128" s="408">
        <v>18083.114610784567</v>
      </c>
      <c r="AA128" s="408">
        <v>0</v>
      </c>
      <c r="AB128" s="408">
        <v>0</v>
      </c>
      <c r="AC128" s="408">
        <v>686.4724360004185</v>
      </c>
      <c r="AD128" s="408">
        <v>6140.4271808585163</v>
      </c>
      <c r="AE128" s="408">
        <v>57794.157302940846</v>
      </c>
      <c r="AF128" s="408">
        <v>54698.721247619447</v>
      </c>
      <c r="AG128" s="408">
        <v>2751.8494136866179</v>
      </c>
      <c r="AH128" s="408">
        <v>0</v>
      </c>
      <c r="AI128" s="408">
        <v>0</v>
      </c>
      <c r="AJ128" s="408">
        <v>0</v>
      </c>
      <c r="AK128" s="408">
        <v>0</v>
      </c>
      <c r="AL128" s="408">
        <v>3212.6393258980406</v>
      </c>
      <c r="AM128" s="408"/>
      <c r="AN128" s="408">
        <v>422.41409510953599</v>
      </c>
      <c r="AO128" s="408">
        <v>1449.6865388280721</v>
      </c>
      <c r="AP128" s="408">
        <v>4873.1854368239283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63.424665783285576</v>
      </c>
      <c r="BF128" s="408">
        <v>1633.4919114097718</v>
      </c>
      <c r="BG128" s="408">
        <v>2123.8232584263401</v>
      </c>
      <c r="BH128" s="408">
        <v>0</v>
      </c>
      <c r="BI128" s="408">
        <v>0</v>
      </c>
      <c r="BJ128" s="408">
        <v>0</v>
      </c>
      <c r="BK128" s="408">
        <v>0</v>
      </c>
      <c r="BL128" s="408">
        <v>0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>
        <v>58519.461083238843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130684.4103</v>
      </c>
      <c r="CJ128" s="408">
        <v>-23248.157900000006</v>
      </c>
      <c r="CK128" s="408"/>
      <c r="CL128" s="408"/>
      <c r="CM128" s="408"/>
      <c r="CN128" s="408"/>
      <c r="CO128" s="408">
        <v>-30451.307079999999</v>
      </c>
      <c r="CP128" s="408">
        <v>7202.6505199999992</v>
      </c>
      <c r="CQ128" s="408">
        <v>30</v>
      </c>
      <c r="CR128" s="408">
        <v>7352.4962363747909</v>
      </c>
      <c r="CS128" s="408">
        <v>140.75540420960397</v>
      </c>
      <c r="CT128" s="408">
        <v>473.15551850471911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-117.73782769987247</v>
      </c>
      <c r="DA128" s="408">
        <v>0</v>
      </c>
      <c r="DB128" s="408">
        <v>0</v>
      </c>
      <c r="DC128" s="408">
        <v>7021.1854052613126</v>
      </c>
      <c r="DD128" s="408">
        <v>209.67674026751433</v>
      </c>
      <c r="DE128" s="408">
        <v>8.1412568260094105</v>
      </c>
      <c r="DF128" s="408">
        <v>0</v>
      </c>
      <c r="DG128" s="408">
        <v>272.61618782479218</v>
      </c>
      <c r="DH128" s="408">
        <v>0</v>
      </c>
      <c r="DI128" s="408">
        <v>-528.48816588947375</v>
      </c>
      <c r="DJ128" s="408"/>
      <c r="DK128" s="408">
        <v>0</v>
      </c>
      <c r="DL128" s="408">
        <v>0</v>
      </c>
      <c r="DM128" s="408">
        <v>-30.585796255097648</v>
      </c>
      <c r="DN128" s="408">
        <v>0</v>
      </c>
      <c r="DO128" s="408">
        <v>-83.206248878336737</v>
      </c>
      <c r="DP128" s="408">
        <v>-13.016237796377993</v>
      </c>
      <c r="DQ128" s="408">
        <v>0</v>
      </c>
      <c r="DR128" s="408">
        <v>0</v>
      </c>
      <c r="DS128" s="408"/>
      <c r="DT128" s="408"/>
      <c r="DU128" s="408">
        <v>57794.157302940846</v>
      </c>
      <c r="DV128" s="408">
        <v>0</v>
      </c>
      <c r="DW128" s="408">
        <v>0</v>
      </c>
      <c r="DX128" s="408">
        <v>0</v>
      </c>
      <c r="DY128" s="408">
        <v>-30451.307080000006</v>
      </c>
      <c r="DZ128" s="408">
        <v>7202.6505200000029</v>
      </c>
      <c r="EA128" s="408">
        <v>0</v>
      </c>
      <c r="EB128" s="408">
        <v>0</v>
      </c>
      <c r="EC128" s="408">
        <v>-30598.942307270285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239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60" customFormat="1">
      <c r="A129" s="408">
        <v>128</v>
      </c>
      <c r="B129" s="408" t="s">
        <v>1034</v>
      </c>
      <c r="C129" s="408" t="s">
        <v>2245</v>
      </c>
      <c r="D129" s="408" t="s">
        <v>596</v>
      </c>
      <c r="E129" s="408" t="s">
        <v>968</v>
      </c>
      <c r="F129" s="408" t="s">
        <v>1320</v>
      </c>
      <c r="G129" s="408" t="s">
        <v>1320</v>
      </c>
      <c r="H129" s="408" t="s">
        <v>1320</v>
      </c>
      <c r="I129" s="408" t="s">
        <v>1320</v>
      </c>
      <c r="J129" s="408" t="s">
        <v>2234</v>
      </c>
      <c r="K129" s="827">
        <v>44440</v>
      </c>
      <c r="L129" s="408">
        <v>0</v>
      </c>
      <c r="M129" s="408">
        <v>0</v>
      </c>
      <c r="N129" s="408">
        <v>0</v>
      </c>
      <c r="O129" s="408">
        <v>0</v>
      </c>
      <c r="P129" s="408">
        <v>0</v>
      </c>
      <c r="Q129" s="408">
        <v>0</v>
      </c>
      <c r="R129" s="408"/>
      <c r="S129" s="408"/>
      <c r="T129" s="408"/>
      <c r="U129" s="408"/>
      <c r="V129" s="408"/>
      <c r="W129" s="408"/>
      <c r="X129" s="408"/>
      <c r="Y129" s="408"/>
      <c r="Z129" s="408"/>
      <c r="AA129" s="408">
        <v>0</v>
      </c>
      <c r="AB129" s="408"/>
      <c r="AC129" s="408"/>
      <c r="AD129" s="408"/>
      <c r="AE129" s="408"/>
      <c r="AF129" s="408"/>
      <c r="AG129" s="408"/>
      <c r="AH129" s="408"/>
      <c r="AI129" s="408"/>
      <c r="AJ129" s="408"/>
      <c r="AK129" s="408"/>
      <c r="AL129" s="408"/>
      <c r="AM129" s="408"/>
      <c r="AN129" s="408"/>
      <c r="AO129" s="408"/>
      <c r="AP129" s="408"/>
      <c r="AQ129" s="408"/>
      <c r="AR129" s="408"/>
      <c r="AS129" s="408"/>
      <c r="AT129" s="408"/>
      <c r="AU129" s="408"/>
      <c r="AV129" s="408"/>
      <c r="AW129" s="408"/>
      <c r="AX129" s="408"/>
      <c r="AY129" s="408"/>
      <c r="AZ129" s="408">
        <v>0</v>
      </c>
      <c r="BA129" s="408"/>
      <c r="BB129" s="408"/>
      <c r="BC129" s="408"/>
      <c r="BD129" s="408"/>
      <c r="BE129" s="408"/>
      <c r="BF129" s="408"/>
      <c r="BG129" s="408"/>
      <c r="BH129" s="408"/>
      <c r="BI129" s="408">
        <v>922.96</v>
      </c>
      <c r="BJ129" s="408">
        <v>4390.38</v>
      </c>
      <c r="BK129" s="408">
        <v>49909.440000000002</v>
      </c>
      <c r="BL129" s="408">
        <v>1</v>
      </c>
      <c r="BM129" s="408"/>
      <c r="BN129" s="408"/>
      <c r="BO129" s="408"/>
      <c r="BP129" s="408"/>
      <c r="BQ129" s="408"/>
      <c r="BR129" s="408"/>
      <c r="BS129" s="408"/>
      <c r="BT129" s="408"/>
      <c r="BU129" s="408"/>
      <c r="BV129" s="408"/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/>
      <c r="CJ129" s="408">
        <v>-0.03</v>
      </c>
      <c r="CK129" s="408"/>
      <c r="CL129" s="408"/>
      <c r="CM129" s="408"/>
      <c r="CN129" s="408"/>
      <c r="CO129" s="408">
        <v>0</v>
      </c>
      <c r="CP129" s="408">
        <v>0</v>
      </c>
      <c r="CQ129" s="408">
        <v>30</v>
      </c>
      <c r="CR129" s="408"/>
      <c r="CS129" s="408"/>
      <c r="CT129" s="408"/>
      <c r="CU129" s="408"/>
      <c r="CV129" s="408"/>
      <c r="CW129" s="408"/>
      <c r="CX129" s="408"/>
      <c r="CY129" s="408"/>
      <c r="CZ129" s="408"/>
      <c r="DA129" s="408"/>
      <c r="DB129" s="408"/>
      <c r="DC129" s="408"/>
      <c r="DD129" s="408"/>
      <c r="DE129" s="408"/>
      <c r="DF129" s="408"/>
      <c r="DG129" s="408"/>
      <c r="DH129" s="408"/>
      <c r="DI129" s="408"/>
      <c r="DJ129" s="408"/>
      <c r="DK129" s="408">
        <v>0</v>
      </c>
      <c r="DL129" s="408"/>
      <c r="DM129" s="408"/>
      <c r="DN129" s="408"/>
      <c r="DO129" s="408"/>
      <c r="DP129" s="408"/>
      <c r="DQ129" s="408"/>
      <c r="DR129" s="408"/>
      <c r="DS129" s="408"/>
      <c r="DT129" s="408"/>
      <c r="DU129" s="408"/>
      <c r="DV129" s="408"/>
      <c r="DW129" s="408"/>
      <c r="DX129" s="408"/>
      <c r="DY129" s="408"/>
      <c r="DZ129" s="408"/>
      <c r="EA129" s="408"/>
      <c r="EB129" s="408"/>
      <c r="EC129" s="408"/>
      <c r="ED129" s="408"/>
      <c r="EE129" s="408"/>
      <c r="EF129" s="408"/>
      <c r="EG129" s="408"/>
      <c r="EH129" s="408"/>
      <c r="EI129" s="408"/>
      <c r="EJ129" s="408"/>
      <c r="EK129" s="408"/>
      <c r="EL129" s="408"/>
      <c r="EM129" s="408"/>
      <c r="EN129" s="408"/>
      <c r="EO129" s="408"/>
      <c r="EP129" s="408"/>
      <c r="EQ129" s="408"/>
      <c r="ER129" s="408"/>
      <c r="ES129" s="408"/>
      <c r="ET129" s="408"/>
      <c r="EU129" s="408"/>
      <c r="EV129" s="408">
        <v>239</v>
      </c>
      <c r="EW129" s="408"/>
      <c r="EX129" s="408"/>
      <c r="EY129" s="408"/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60" customFormat="1">
      <c r="A130" s="408">
        <v>129</v>
      </c>
      <c r="B130" s="408" t="s">
        <v>1034</v>
      </c>
      <c r="C130" s="408" t="s">
        <v>2241</v>
      </c>
      <c r="D130" s="408" t="s">
        <v>596</v>
      </c>
      <c r="E130" s="408" t="s">
        <v>968</v>
      </c>
      <c r="F130" s="408" t="s">
        <v>1320</v>
      </c>
      <c r="G130" s="408" t="s">
        <v>1320</v>
      </c>
      <c r="H130" s="408" t="s">
        <v>1320</v>
      </c>
      <c r="I130" s="408" t="s">
        <v>971</v>
      </c>
      <c r="J130" s="408" t="s">
        <v>2234</v>
      </c>
      <c r="K130" s="827">
        <v>44440</v>
      </c>
      <c r="L130" s="408">
        <v>0</v>
      </c>
      <c r="M130" s="408">
        <v>0</v>
      </c>
      <c r="N130" s="408">
        <v>34.962000000000003</v>
      </c>
      <c r="O130" s="408">
        <v>34.962000000000003</v>
      </c>
      <c r="P130" s="408">
        <v>34.962000000000003</v>
      </c>
      <c r="Q130" s="408">
        <v>34.962000000000003</v>
      </c>
      <c r="R130" s="408"/>
      <c r="S130" s="408">
        <v>1684.16</v>
      </c>
      <c r="T130" s="408">
        <v>173.82</v>
      </c>
      <c r="U130" s="408"/>
      <c r="V130" s="408">
        <v>64958.696760000006</v>
      </c>
      <c r="W130" s="408">
        <v>64958.696760000006</v>
      </c>
      <c r="X130" s="408">
        <v>44592.632519999999</v>
      </c>
      <c r="Y130" s="408">
        <v>0</v>
      </c>
      <c r="Z130" s="408">
        <v>1859.9793268244644</v>
      </c>
      <c r="AA130" s="408">
        <v>0</v>
      </c>
      <c r="AB130" s="408">
        <v>0</v>
      </c>
      <c r="AC130" s="408">
        <v>629.29501789606911</v>
      </c>
      <c r="AD130" s="408">
        <v>9600.0732559922435</v>
      </c>
      <c r="AE130" s="408">
        <v>40496.220829038924</v>
      </c>
      <c r="AF130" s="408">
        <v>5626.1597027997905</v>
      </c>
      <c r="AG130" s="408">
        <v>283.04764583743702</v>
      </c>
      <c r="AH130" s="408">
        <v>0</v>
      </c>
      <c r="AI130" s="408">
        <v>0</v>
      </c>
      <c r="AJ130" s="408">
        <v>0</v>
      </c>
      <c r="AK130" s="408">
        <v>0</v>
      </c>
      <c r="AL130" s="408">
        <v>330.44322614368389</v>
      </c>
      <c r="AM130" s="408"/>
      <c r="AN130" s="408">
        <v>43.448349533460814</v>
      </c>
      <c r="AO130" s="408">
        <v>1351.4960935596994</v>
      </c>
      <c r="AP130" s="408">
        <v>4345.730135808687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6.5236863066336497</v>
      </c>
      <c r="BF130" s="408">
        <v>168.01647565431952</v>
      </c>
      <c r="BG130" s="408">
        <v>218.45060652029872</v>
      </c>
      <c r="BH130" s="408">
        <v>0</v>
      </c>
      <c r="BI130" s="408">
        <v>0</v>
      </c>
      <c r="BJ130" s="408">
        <v>0</v>
      </c>
      <c r="BK130" s="408">
        <v>0</v>
      </c>
      <c r="BL130" s="408">
        <v>0</v>
      </c>
      <c r="BM130" s="408"/>
      <c r="BN130" s="408"/>
      <c r="BO130" s="408"/>
      <c r="BP130" s="408"/>
      <c r="BQ130" s="408"/>
      <c r="BR130" s="408"/>
      <c r="BS130" s="408"/>
      <c r="BT130" s="408"/>
      <c r="BU130" s="408"/>
      <c r="BV130" s="408">
        <v>6019.1504712810429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44590.081599999998</v>
      </c>
      <c r="CJ130" s="408">
        <v>-20368.645160000015</v>
      </c>
      <c r="CK130" s="408"/>
      <c r="CL130" s="408"/>
      <c r="CM130" s="408"/>
      <c r="CN130" s="408"/>
      <c r="CO130" s="408">
        <v>-21106.909020000003</v>
      </c>
      <c r="CP130" s="408">
        <v>740.84478000000001</v>
      </c>
      <c r="CQ130" s="408">
        <v>30</v>
      </c>
      <c r="CR130" s="408">
        <v>1074.3133728141183</v>
      </c>
      <c r="CS130" s="408">
        <v>131.22173231357851</v>
      </c>
      <c r="CT130" s="408">
        <v>421.94294108992199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-184.07380099608054</v>
      </c>
      <c r="DA130" s="408">
        <v>0</v>
      </c>
      <c r="DB130" s="408">
        <v>0</v>
      </c>
      <c r="DC130" s="408">
        <v>722.17977846577924</v>
      </c>
      <c r="DD130" s="408">
        <v>21.566771577111552</v>
      </c>
      <c r="DE130" s="408">
        <v>0.8373872375788185</v>
      </c>
      <c r="DF130" s="408">
        <v>0</v>
      </c>
      <c r="DG130" s="408">
        <v>28.040549674413057</v>
      </c>
      <c r="DH130" s="408">
        <v>0</v>
      </c>
      <c r="DI130" s="408">
        <v>-54.358836084551513</v>
      </c>
      <c r="DJ130" s="408"/>
      <c r="DK130" s="408">
        <v>0</v>
      </c>
      <c r="DL130" s="408">
        <v>0</v>
      </c>
      <c r="DM130" s="408">
        <v>-3.1459706999268064</v>
      </c>
      <c r="DN130" s="408">
        <v>0</v>
      </c>
      <c r="DO130" s="408">
        <v>-8.5583654203031756</v>
      </c>
      <c r="DP130" s="408">
        <v>-1.3388143434016513</v>
      </c>
      <c r="DQ130" s="408">
        <v>0</v>
      </c>
      <c r="DR130" s="408">
        <v>0</v>
      </c>
      <c r="DS130" s="408"/>
      <c r="DT130" s="408"/>
      <c r="DU130" s="408"/>
      <c r="DV130" s="408">
        <v>40496.220829038924</v>
      </c>
      <c r="DW130" s="408">
        <v>0</v>
      </c>
      <c r="DX130" s="408">
        <v>0</v>
      </c>
      <c r="DY130" s="408">
        <v>-21106.909020000006</v>
      </c>
      <c r="DZ130" s="408">
        <v>740.84477999999945</v>
      </c>
      <c r="EA130" s="408">
        <v>0</v>
      </c>
      <c r="EB130" s="408">
        <v>0</v>
      </c>
      <c r="EC130" s="408">
        <v>-21440.602002638479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239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60" customFormat="1">
      <c r="A131" s="408">
        <v>130</v>
      </c>
      <c r="B131" s="408" t="s">
        <v>1034</v>
      </c>
      <c r="C131" s="408" t="s">
        <v>2241</v>
      </c>
      <c r="D131" s="408" t="s">
        <v>596</v>
      </c>
      <c r="E131" s="408" t="s">
        <v>968</v>
      </c>
      <c r="F131" s="408" t="s">
        <v>1320</v>
      </c>
      <c r="G131" s="408" t="s">
        <v>1320</v>
      </c>
      <c r="H131" s="408" t="s">
        <v>1320</v>
      </c>
      <c r="I131" s="408" t="s">
        <v>2242</v>
      </c>
      <c r="J131" s="408" t="s">
        <v>2234</v>
      </c>
      <c r="K131" s="827">
        <v>44440</v>
      </c>
      <c r="L131" s="408">
        <v>0</v>
      </c>
      <c r="M131" s="408">
        <v>0</v>
      </c>
      <c r="N131" s="408">
        <v>724.33699999999999</v>
      </c>
      <c r="O131" s="408">
        <v>724.33699999999999</v>
      </c>
      <c r="P131" s="408">
        <v>724.33699999999999</v>
      </c>
      <c r="Q131" s="408">
        <v>724.33699999999999</v>
      </c>
      <c r="R131" s="408"/>
      <c r="S131" s="408">
        <v>70.33</v>
      </c>
      <c r="T131" s="408">
        <v>173.82</v>
      </c>
      <c r="U131" s="408"/>
      <c r="V131" s="408">
        <v>176846.87854999999</v>
      </c>
      <c r="W131" s="408">
        <v>176846.87854999999</v>
      </c>
      <c r="X131" s="408">
        <v>191463.99920999998</v>
      </c>
      <c r="Y131" s="408">
        <v>0</v>
      </c>
      <c r="Z131" s="408">
        <v>38534.747601797724</v>
      </c>
      <c r="AA131" s="408">
        <v>0</v>
      </c>
      <c r="AB131" s="408">
        <v>0</v>
      </c>
      <c r="AC131" s="408">
        <v>0</v>
      </c>
      <c r="AD131" s="408">
        <v>0</v>
      </c>
      <c r="AE131" s="408">
        <v>0</v>
      </c>
      <c r="AF131" s="408">
        <v>116561.85689167929</v>
      </c>
      <c r="AG131" s="408">
        <v>5864.1348504934385</v>
      </c>
      <c r="AH131" s="408">
        <v>0</v>
      </c>
      <c r="AI131" s="408">
        <v>0</v>
      </c>
      <c r="AJ131" s="408">
        <v>0</v>
      </c>
      <c r="AK131" s="408">
        <v>0</v>
      </c>
      <c r="AL131" s="408">
        <v>6846.068734489947</v>
      </c>
      <c r="AM131" s="408"/>
      <c r="AN131" s="408">
        <v>900.15580218575599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135.15666633167717</v>
      </c>
      <c r="BF131" s="408">
        <v>3480.9378732916548</v>
      </c>
      <c r="BG131" s="408">
        <v>4525.8239510066242</v>
      </c>
      <c r="BH131" s="408">
        <v>0</v>
      </c>
      <c r="BI131" s="408">
        <v>0</v>
      </c>
      <c r="BJ131" s="408">
        <v>0</v>
      </c>
      <c r="BK131" s="408">
        <v>0</v>
      </c>
      <c r="BL131" s="408">
        <v>0</v>
      </c>
      <c r="BM131" s="408"/>
      <c r="BN131" s="408"/>
      <c r="BO131" s="408"/>
      <c r="BP131" s="408"/>
      <c r="BQ131" s="408"/>
      <c r="BR131" s="408"/>
      <c r="BS131" s="408"/>
      <c r="BT131" s="408"/>
      <c r="BU131" s="408"/>
      <c r="BV131" s="408">
        <v>124703.77538230924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191464.7922</v>
      </c>
      <c r="CJ131" s="408">
        <v>14617.883650000003</v>
      </c>
      <c r="CK131" s="408"/>
      <c r="CL131" s="408"/>
      <c r="CM131" s="408"/>
      <c r="CN131" s="408"/>
      <c r="CO131" s="408">
        <v>-731.58037000000365</v>
      </c>
      <c r="CP131" s="408">
        <v>15348.701029999998</v>
      </c>
      <c r="CQ131" s="408">
        <v>30</v>
      </c>
      <c r="CR131" s="408">
        <v>14610.684465336322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0</v>
      </c>
      <c r="DA131" s="408">
        <v>0</v>
      </c>
      <c r="DB131" s="408">
        <v>0</v>
      </c>
      <c r="DC131" s="408">
        <v>14962.002579788561</v>
      </c>
      <c r="DD131" s="408">
        <v>446.81684754448406</v>
      </c>
      <c r="DE131" s="408">
        <v>17.348851882218668</v>
      </c>
      <c r="DF131" s="408">
        <v>0</v>
      </c>
      <c r="DG131" s="408">
        <v>580.93952375480058</v>
      </c>
      <c r="DH131" s="408">
        <v>0</v>
      </c>
      <c r="DI131" s="408">
        <v>-1126.1974787762665</v>
      </c>
      <c r="DJ131" s="408"/>
      <c r="DK131" s="408">
        <v>0</v>
      </c>
      <c r="DL131" s="408">
        <v>0</v>
      </c>
      <c r="DM131" s="408">
        <v>-65.1777066206987</v>
      </c>
      <c r="DN131" s="408">
        <v>0</v>
      </c>
      <c r="DO131" s="408">
        <v>-177.31081555535002</v>
      </c>
      <c r="DP131" s="408">
        <v>-27.737336681440411</v>
      </c>
      <c r="DQ131" s="408">
        <v>0</v>
      </c>
      <c r="DR131" s="408">
        <v>0</v>
      </c>
      <c r="DS131" s="408"/>
      <c r="DT131" s="408"/>
      <c r="DU131" s="408"/>
      <c r="DV131" s="408">
        <v>0</v>
      </c>
      <c r="DW131" s="408">
        <v>0</v>
      </c>
      <c r="DX131" s="408">
        <v>0</v>
      </c>
      <c r="DY131" s="408">
        <v>-731.58037000000331</v>
      </c>
      <c r="DZ131" s="408">
        <v>15348.701029999982</v>
      </c>
      <c r="EA131" s="408">
        <v>0</v>
      </c>
      <c r="EB131" s="408">
        <v>0</v>
      </c>
      <c r="EC131" s="408">
        <v>0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239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60" customFormat="1">
      <c r="A132" s="408">
        <v>131</v>
      </c>
      <c r="B132" s="408" t="s">
        <v>1034</v>
      </c>
      <c r="C132" s="408" t="s">
        <v>2241</v>
      </c>
      <c r="D132" s="408" t="s">
        <v>596</v>
      </c>
      <c r="E132" s="408" t="s">
        <v>968</v>
      </c>
      <c r="F132" s="408" t="s">
        <v>1320</v>
      </c>
      <c r="G132" s="408" t="s">
        <v>1320</v>
      </c>
      <c r="H132" s="408" t="s">
        <v>1320</v>
      </c>
      <c r="I132" s="408" t="s">
        <v>1320</v>
      </c>
      <c r="J132" s="408" t="s">
        <v>2234</v>
      </c>
      <c r="K132" s="827">
        <v>44440</v>
      </c>
      <c r="L132" s="408">
        <v>4721</v>
      </c>
      <c r="M132" s="408">
        <v>4721</v>
      </c>
      <c r="N132" s="408">
        <v>0</v>
      </c>
      <c r="O132" s="408">
        <v>0</v>
      </c>
      <c r="P132" s="408">
        <v>0</v>
      </c>
      <c r="Q132" s="408">
        <v>0</v>
      </c>
      <c r="R132" s="408">
        <v>59.12</v>
      </c>
      <c r="S132" s="408"/>
      <c r="T132" s="408"/>
      <c r="U132" s="408">
        <v>279105.51999999996</v>
      </c>
      <c r="V132" s="408"/>
      <c r="W132" s="408">
        <v>279105.51999999996</v>
      </c>
      <c r="X132" s="408">
        <v>160655.63</v>
      </c>
      <c r="Y132" s="408">
        <v>0</v>
      </c>
      <c r="Z132" s="408">
        <v>0</v>
      </c>
      <c r="AA132" s="408">
        <v>0</v>
      </c>
      <c r="AB132" s="408">
        <v>0</v>
      </c>
      <c r="AC132" s="408">
        <v>2700.6969752983127</v>
      </c>
      <c r="AD132" s="408">
        <v>24157.463934027546</v>
      </c>
      <c r="AE132" s="408">
        <v>227371.84718931976</v>
      </c>
      <c r="AF132" s="408"/>
      <c r="AG132" s="408"/>
      <c r="AH132" s="408"/>
      <c r="AI132" s="408">
        <v>0</v>
      </c>
      <c r="AJ132" s="408">
        <v>0</v>
      </c>
      <c r="AK132" s="408">
        <v>0</v>
      </c>
      <c r="AL132" s="408">
        <v>0</v>
      </c>
      <c r="AM132" s="408"/>
      <c r="AN132" s="408">
        <v>0</v>
      </c>
      <c r="AO132" s="408">
        <v>5703.3084581727735</v>
      </c>
      <c r="AP132" s="408">
        <v>19171.923706038135</v>
      </c>
      <c r="AQ132" s="408">
        <v>0</v>
      </c>
      <c r="AR132" s="408">
        <v>0</v>
      </c>
      <c r="AS132" s="408"/>
      <c r="AT132" s="408"/>
      <c r="AU132" s="408">
        <v>0</v>
      </c>
      <c r="AV132" s="408">
        <v>0</v>
      </c>
      <c r="AW132" s="408">
        <v>0</v>
      </c>
      <c r="AX132" s="408"/>
      <c r="AY132" s="408"/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/>
      <c r="BG132" s="408">
        <v>0</v>
      </c>
      <c r="BH132" s="408">
        <v>0</v>
      </c>
      <c r="BI132" s="408">
        <v>1961.14</v>
      </c>
      <c r="BJ132" s="408">
        <v>9329.4599999999991</v>
      </c>
      <c r="BK132" s="408">
        <v>109677.21</v>
      </c>
      <c r="BL132" s="408">
        <v>26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>
        <v>0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160655.63</v>
      </c>
      <c r="CJ132" s="408">
        <v>-118449.91999999998</v>
      </c>
      <c r="CK132" s="408"/>
      <c r="CL132" s="408"/>
      <c r="CM132" s="408"/>
      <c r="CN132" s="408"/>
      <c r="CO132" s="408">
        <v>-118449.88999999998</v>
      </c>
      <c r="CP132" s="408">
        <v>0</v>
      </c>
      <c r="CQ132" s="408">
        <v>30</v>
      </c>
      <c r="CR132" s="408">
        <v>1952.0276513026838</v>
      </c>
      <c r="CS132" s="408">
        <v>553.75521939461669</v>
      </c>
      <c r="CT132" s="408">
        <v>1861.4726690506541</v>
      </c>
      <c r="CU132" s="408">
        <v>0</v>
      </c>
      <c r="CV132" s="408">
        <v>0</v>
      </c>
      <c r="CW132" s="408"/>
      <c r="CX132" s="408"/>
      <c r="CY132" s="408"/>
      <c r="CZ132" s="408">
        <v>-463.20023714258059</v>
      </c>
      <c r="DA132" s="408">
        <v>0</v>
      </c>
      <c r="DB132" s="408">
        <v>0</v>
      </c>
      <c r="DC132" s="408"/>
      <c r="DD132" s="408"/>
      <c r="DE132" s="408">
        <v>0</v>
      </c>
      <c r="DF132" s="408">
        <v>0</v>
      </c>
      <c r="DG132" s="408">
        <v>0</v>
      </c>
      <c r="DH132" s="408">
        <v>0</v>
      </c>
      <c r="DI132" s="408">
        <v>0</v>
      </c>
      <c r="DJ132" s="408"/>
      <c r="DK132" s="408">
        <v>0</v>
      </c>
      <c r="DL132" s="408">
        <v>0</v>
      </c>
      <c r="DM132" s="408"/>
      <c r="DN132" s="408">
        <v>0</v>
      </c>
      <c r="DO132" s="408">
        <v>0</v>
      </c>
      <c r="DP132" s="408">
        <v>0</v>
      </c>
      <c r="DQ132" s="408">
        <v>0</v>
      </c>
      <c r="DR132" s="408">
        <v>0</v>
      </c>
      <c r="DS132" s="408"/>
      <c r="DT132" s="408"/>
      <c r="DU132" s="408">
        <v>227371.84718931976</v>
      </c>
      <c r="DV132" s="408"/>
      <c r="DW132" s="408">
        <v>0</v>
      </c>
      <c r="DX132" s="408">
        <v>0</v>
      </c>
      <c r="DY132" s="408">
        <v>-118449.88999999996</v>
      </c>
      <c r="DZ132" s="408"/>
      <c r="EA132" s="408">
        <v>0</v>
      </c>
      <c r="EB132" s="408"/>
      <c r="EC132" s="408">
        <v>-120381.33886051916</v>
      </c>
      <c r="ED132" s="408"/>
      <c r="EE132" s="408">
        <v>0</v>
      </c>
      <c r="EF132" s="408">
        <v>0</v>
      </c>
      <c r="EG132" s="408"/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/>
      <c r="EN132" s="408"/>
      <c r="EO132" s="408">
        <v>0</v>
      </c>
      <c r="EP132" s="408">
        <v>0</v>
      </c>
      <c r="EQ132" s="408"/>
      <c r="ER132" s="408">
        <v>0</v>
      </c>
      <c r="ES132" s="408"/>
      <c r="ET132" s="408">
        <v>0</v>
      </c>
      <c r="EU132" s="408"/>
      <c r="EV132" s="408">
        <v>239</v>
      </c>
      <c r="EW132" s="408"/>
      <c r="EX132" s="408"/>
      <c r="EY132" s="408"/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132</v>
      </c>
      <c r="B133" s="408" t="s">
        <v>2235</v>
      </c>
      <c r="C133" s="408" t="s">
        <v>2241</v>
      </c>
      <c r="D133" s="408" t="s">
        <v>596</v>
      </c>
      <c r="E133" s="408" t="s">
        <v>968</v>
      </c>
      <c r="F133" s="408" t="s">
        <v>1320</v>
      </c>
      <c r="G133" s="408" t="s">
        <v>1320</v>
      </c>
      <c r="H133" s="408" t="s">
        <v>1320</v>
      </c>
      <c r="I133" s="408" t="s">
        <v>1320</v>
      </c>
      <c r="J133" s="408" t="s">
        <v>2234</v>
      </c>
      <c r="K133" s="827">
        <v>44440</v>
      </c>
      <c r="L133" s="408">
        <v>0</v>
      </c>
      <c r="M133" s="408">
        <v>0</v>
      </c>
      <c r="N133" s="408">
        <v>0</v>
      </c>
      <c r="O133" s="408">
        <v>0</v>
      </c>
      <c r="P133" s="408">
        <v>0</v>
      </c>
      <c r="Q133" s="408">
        <v>0</v>
      </c>
      <c r="R133" s="408"/>
      <c r="S133" s="408"/>
      <c r="T133" s="408"/>
      <c r="U133" s="408"/>
      <c r="V133" s="408"/>
      <c r="W133" s="408"/>
      <c r="X133" s="408"/>
      <c r="Y133" s="408"/>
      <c r="Z133" s="408"/>
      <c r="AA133" s="408">
        <v>0</v>
      </c>
      <c r="AB133" s="408"/>
      <c r="AC133" s="408"/>
      <c r="AD133" s="408"/>
      <c r="AE133" s="408"/>
      <c r="AF133" s="408"/>
      <c r="AG133" s="408"/>
      <c r="AH133" s="408"/>
      <c r="AI133" s="408"/>
      <c r="AJ133" s="408"/>
      <c r="AK133" s="408"/>
      <c r="AL133" s="408"/>
      <c r="AM133" s="408"/>
      <c r="AN133" s="408"/>
      <c r="AO133" s="408"/>
      <c r="AP133" s="408"/>
      <c r="AQ133" s="408"/>
      <c r="AR133" s="408"/>
      <c r="AS133" s="408"/>
      <c r="AT133" s="408"/>
      <c r="AU133" s="408"/>
      <c r="AV133" s="408"/>
      <c r="AW133" s="408"/>
      <c r="AX133" s="408"/>
      <c r="AY133" s="408"/>
      <c r="AZ133" s="408">
        <v>0</v>
      </c>
      <c r="BA133" s="408"/>
      <c r="BB133" s="408"/>
      <c r="BC133" s="408"/>
      <c r="BD133" s="408"/>
      <c r="BE133" s="408"/>
      <c r="BF133" s="408"/>
      <c r="BG133" s="408"/>
      <c r="BH133" s="408"/>
      <c r="BI133" s="408">
        <v>0</v>
      </c>
      <c r="BJ133" s="408">
        <v>0</v>
      </c>
      <c r="BK133" s="408">
        <v>-1732.44</v>
      </c>
      <c r="BL133" s="408">
        <v>0</v>
      </c>
      <c r="BM133" s="408"/>
      <c r="BN133" s="408"/>
      <c r="BO133" s="408"/>
      <c r="BP133" s="408"/>
      <c r="BQ133" s="408"/>
      <c r="BR133" s="408"/>
      <c r="BS133" s="408"/>
      <c r="BT133" s="408"/>
      <c r="BU133" s="408"/>
      <c r="BV133" s="408"/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/>
      <c r="CJ133" s="408">
        <v>-0.03</v>
      </c>
      <c r="CK133" s="408"/>
      <c r="CL133" s="408"/>
      <c r="CM133" s="408"/>
      <c r="CN133" s="408"/>
      <c r="CO133" s="408">
        <v>0</v>
      </c>
      <c r="CP133" s="408">
        <v>0</v>
      </c>
      <c r="CQ133" s="408">
        <v>30</v>
      </c>
      <c r="CR133" s="408"/>
      <c r="CS133" s="408"/>
      <c r="CT133" s="408"/>
      <c r="CU133" s="408"/>
      <c r="CV133" s="408"/>
      <c r="CW133" s="408"/>
      <c r="CX133" s="408"/>
      <c r="CY133" s="408"/>
      <c r="CZ133" s="408"/>
      <c r="DA133" s="408"/>
      <c r="DB133" s="408"/>
      <c r="DC133" s="408"/>
      <c r="DD133" s="408"/>
      <c r="DE133" s="408"/>
      <c r="DF133" s="408"/>
      <c r="DG133" s="408"/>
      <c r="DH133" s="408"/>
      <c r="DI133" s="408"/>
      <c r="DJ133" s="408"/>
      <c r="DK133" s="408">
        <v>0</v>
      </c>
      <c r="DL133" s="408"/>
      <c r="DM133" s="408"/>
      <c r="DN133" s="408"/>
      <c r="DO133" s="408"/>
      <c r="DP133" s="408"/>
      <c r="DQ133" s="408"/>
      <c r="DR133" s="408"/>
      <c r="DS133" s="408"/>
      <c r="DT133" s="408"/>
      <c r="DU133" s="408"/>
      <c r="DV133" s="408"/>
      <c r="DW133" s="408"/>
      <c r="DX133" s="408"/>
      <c r="DY133" s="408"/>
      <c r="DZ133" s="408"/>
      <c r="EA133" s="408"/>
      <c r="EB133" s="408"/>
      <c r="EC133" s="408"/>
      <c r="ED133" s="408"/>
      <c r="EE133" s="408"/>
      <c r="EF133" s="408"/>
      <c r="EG133" s="408"/>
      <c r="EH133" s="408"/>
      <c r="EI133" s="408"/>
      <c r="EJ133" s="408"/>
      <c r="EK133" s="408"/>
      <c r="EL133" s="408"/>
      <c r="EM133" s="408"/>
      <c r="EN133" s="408"/>
      <c r="EO133" s="408"/>
      <c r="EP133" s="408"/>
      <c r="EQ133" s="408"/>
      <c r="ER133" s="408"/>
      <c r="ES133" s="408"/>
      <c r="ET133" s="408"/>
      <c r="EU133" s="408"/>
      <c r="EV133" s="408">
        <v>239</v>
      </c>
      <c r="EW133" s="408"/>
      <c r="EX133" s="408"/>
      <c r="EY133" s="408"/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133</v>
      </c>
      <c r="B134" s="408" t="s">
        <v>1034</v>
      </c>
      <c r="C134" s="408" t="s">
        <v>2233</v>
      </c>
      <c r="D134" s="408" t="s">
        <v>1956</v>
      </c>
      <c r="E134" s="408" t="s">
        <v>996</v>
      </c>
      <c r="F134" s="408" t="s">
        <v>1320</v>
      </c>
      <c r="G134" s="408" t="s">
        <v>1320</v>
      </c>
      <c r="H134" s="408" t="s">
        <v>1320</v>
      </c>
      <c r="I134" s="408" t="s">
        <v>1320</v>
      </c>
      <c r="J134" s="408" t="s">
        <v>2234</v>
      </c>
      <c r="K134" s="827">
        <v>44440</v>
      </c>
      <c r="L134" s="408">
        <v>0</v>
      </c>
      <c r="M134" s="408">
        <v>0</v>
      </c>
      <c r="N134" s="408">
        <v>351.14600000000002</v>
      </c>
      <c r="O134" s="408">
        <v>351.14600000000002</v>
      </c>
      <c r="P134" s="408">
        <v>351.14600000000002</v>
      </c>
      <c r="Q134" s="408">
        <v>351.14600000000002</v>
      </c>
      <c r="R134" s="408"/>
      <c r="S134" s="408">
        <v>516.83000000000004</v>
      </c>
      <c r="T134" s="408">
        <v>173.82</v>
      </c>
      <c r="U134" s="408"/>
      <c r="V134" s="408">
        <v>242518.98490000001</v>
      </c>
      <c r="W134" s="408">
        <v>242518.98490000001</v>
      </c>
      <c r="X134" s="408">
        <v>183105.08169999998</v>
      </c>
      <c r="Y134" s="408">
        <v>0</v>
      </c>
      <c r="Z134" s="408">
        <v>21472.38679160699</v>
      </c>
      <c r="AA134" s="408">
        <v>0</v>
      </c>
      <c r="AB134" s="408">
        <v>0</v>
      </c>
      <c r="AC134" s="408">
        <v>954.57076259491055</v>
      </c>
      <c r="AD134" s="408">
        <v>12088.766929527386</v>
      </c>
      <c r="AE134" s="408">
        <v>127682.23200960569</v>
      </c>
      <c r="AF134" s="408">
        <v>56507.164206834139</v>
      </c>
      <c r="AG134" s="408">
        <v>2842.8307489626636</v>
      </c>
      <c r="AH134" s="408">
        <v>0</v>
      </c>
      <c r="AI134" s="408">
        <v>0</v>
      </c>
      <c r="AJ134" s="408">
        <v>0</v>
      </c>
      <c r="AK134" s="408">
        <v>0</v>
      </c>
      <c r="AL134" s="408">
        <v>3318.8552453363654</v>
      </c>
      <c r="AM134" s="408"/>
      <c r="AN134" s="408">
        <v>544.81775830056927</v>
      </c>
      <c r="AO134" s="408">
        <v>2036.1214080282932</v>
      </c>
      <c r="AP134" s="408">
        <v>6668.0223040290593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194.82023122737883</v>
      </c>
      <c r="BF134" s="408">
        <v>1687.4982369461609</v>
      </c>
      <c r="BG134" s="408">
        <v>6523.7038805452385</v>
      </c>
      <c r="BH134" s="408">
        <v>0</v>
      </c>
      <c r="BI134" s="408">
        <v>855.77</v>
      </c>
      <c r="BJ134" s="408">
        <v>3965.53</v>
      </c>
      <c r="BK134" s="408">
        <v>98998.95</v>
      </c>
      <c r="BL134" s="408">
        <v>521</v>
      </c>
      <c r="BM134" s="408"/>
      <c r="BN134" s="408"/>
      <c r="BO134" s="408"/>
      <c r="BP134" s="408"/>
      <c r="BQ134" s="408"/>
      <c r="BR134" s="408"/>
      <c r="BS134" s="408"/>
      <c r="BT134" s="408"/>
      <c r="BU134" s="408"/>
      <c r="BV134" s="408">
        <v>64913.186555552915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183107.16749999998</v>
      </c>
      <c r="CJ134" s="408">
        <v>-59411.847400000057</v>
      </c>
      <c r="CK134" s="408"/>
      <c r="CL134" s="408"/>
      <c r="CM134" s="408"/>
      <c r="CN134" s="408"/>
      <c r="CO134" s="408">
        <v>-66854.686940000014</v>
      </c>
      <c r="CP134" s="408">
        <v>7440.7837399999999</v>
      </c>
      <c r="CQ134" s="408">
        <v>30</v>
      </c>
      <c r="CR134" s="408">
        <v>8183.7661922528932</v>
      </c>
      <c r="CS134" s="408">
        <v>197.69452507887695</v>
      </c>
      <c r="CT134" s="408">
        <v>647.42283903729822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-231.79253102933944</v>
      </c>
      <c r="DA134" s="408">
        <v>0</v>
      </c>
      <c r="DB134" s="408">
        <v>0</v>
      </c>
      <c r="DC134" s="408">
        <v>7253.3190460827318</v>
      </c>
      <c r="DD134" s="408">
        <v>216.60904903084543</v>
      </c>
      <c r="DE134" s="408">
        <v>25.007329841422518</v>
      </c>
      <c r="DF134" s="408">
        <v>0</v>
      </c>
      <c r="DG134" s="408">
        <v>837.38949338459224</v>
      </c>
      <c r="DH134" s="408">
        <v>0</v>
      </c>
      <c r="DI134" s="408">
        <v>-627.54135872134066</v>
      </c>
      <c r="DJ134" s="408"/>
      <c r="DK134" s="408">
        <v>0</v>
      </c>
      <c r="DL134" s="408">
        <v>0</v>
      </c>
      <c r="DM134" s="408">
        <v>-31.597020404910836</v>
      </c>
      <c r="DN134" s="408">
        <v>0</v>
      </c>
      <c r="DO134" s="408">
        <v>-85.95720450425506</v>
      </c>
      <c r="DP134" s="408">
        <v>-16.787975543027301</v>
      </c>
      <c r="DQ134" s="408">
        <v>0</v>
      </c>
      <c r="DR134" s="408">
        <v>0</v>
      </c>
      <c r="DS134" s="408"/>
      <c r="DT134" s="408"/>
      <c r="DU134" s="408"/>
      <c r="DV134" s="408">
        <v>127682.23200960569</v>
      </c>
      <c r="DW134" s="408">
        <v>0</v>
      </c>
      <c r="DX134" s="408">
        <v>0</v>
      </c>
      <c r="DY134" s="408">
        <v>-66854.686940000014</v>
      </c>
      <c r="DZ134" s="408">
        <v>7440.7837399999917</v>
      </c>
      <c r="EA134" s="408">
        <v>0</v>
      </c>
      <c r="EB134" s="408">
        <v>0</v>
      </c>
      <c r="EC134" s="408">
        <v>-67600.972715050128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239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134</v>
      </c>
      <c r="B135" s="408" t="s">
        <v>2236</v>
      </c>
      <c r="C135" s="408" t="s">
        <v>2233</v>
      </c>
      <c r="D135" s="408" t="s">
        <v>1956</v>
      </c>
      <c r="E135" s="408" t="s">
        <v>996</v>
      </c>
      <c r="F135" s="408" t="s">
        <v>1320</v>
      </c>
      <c r="G135" s="408" t="s">
        <v>1320</v>
      </c>
      <c r="H135" s="408" t="s">
        <v>1320</v>
      </c>
      <c r="I135" s="408" t="s">
        <v>1320</v>
      </c>
      <c r="J135" s="408" t="s">
        <v>2234</v>
      </c>
      <c r="K135" s="827">
        <v>44440</v>
      </c>
      <c r="L135" s="408">
        <v>0</v>
      </c>
      <c r="M135" s="408">
        <v>0</v>
      </c>
      <c r="N135" s="408">
        <v>39.298999999999999</v>
      </c>
      <c r="O135" s="408">
        <v>39.298999999999999</v>
      </c>
      <c r="P135" s="408">
        <v>39.298999999999999</v>
      </c>
      <c r="Q135" s="408">
        <v>39.298999999999999</v>
      </c>
      <c r="R135" s="408"/>
      <c r="S135" s="408">
        <v>516.83000000000004</v>
      </c>
      <c r="T135" s="408">
        <v>173.82</v>
      </c>
      <c r="U135" s="408"/>
      <c r="V135" s="408">
        <v>27141.854350000001</v>
      </c>
      <c r="W135" s="408">
        <v>27141.854350000001</v>
      </c>
      <c r="X135" s="408">
        <v>20492.46355</v>
      </c>
      <c r="Y135" s="408">
        <v>0</v>
      </c>
      <c r="Z135" s="408">
        <v>2403.1124618345734</v>
      </c>
      <c r="AA135" s="408">
        <v>0</v>
      </c>
      <c r="AB135" s="408">
        <v>0</v>
      </c>
      <c r="AC135" s="408">
        <v>106.83213364018781</v>
      </c>
      <c r="AD135" s="408">
        <v>1352.9314062056717</v>
      </c>
      <c r="AE135" s="408">
        <v>14289.737134256104</v>
      </c>
      <c r="AF135" s="408">
        <v>6324.0790046430111</v>
      </c>
      <c r="AG135" s="408">
        <v>318.15941404283041</v>
      </c>
      <c r="AH135" s="408">
        <v>0</v>
      </c>
      <c r="AI135" s="408">
        <v>0</v>
      </c>
      <c r="AJ135" s="408">
        <v>0</v>
      </c>
      <c r="AK135" s="408">
        <v>0</v>
      </c>
      <c r="AL135" s="408">
        <v>371.43436714777852</v>
      </c>
      <c r="AM135" s="408"/>
      <c r="AN135" s="408">
        <v>60.974048069617965</v>
      </c>
      <c r="AO135" s="408">
        <v>227.87540001624365</v>
      </c>
      <c r="AP135" s="408">
        <v>746.26112365237816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21.803581037530716</v>
      </c>
      <c r="BF135" s="408">
        <v>188.85874597388886</v>
      </c>
      <c r="BG135" s="408">
        <v>730.10952367831987</v>
      </c>
      <c r="BH135" s="408">
        <v>0</v>
      </c>
      <c r="BI135" s="408">
        <v>96.98</v>
      </c>
      <c r="BJ135" s="408">
        <v>453.24</v>
      </c>
      <c r="BK135" s="408">
        <v>15671.52</v>
      </c>
      <c r="BL135" s="408">
        <v>39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7264.8508553327501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20492.984999999997</v>
      </c>
      <c r="CJ135" s="408">
        <v>-6648.8993499999997</v>
      </c>
      <c r="CK135" s="408"/>
      <c r="CL135" s="408"/>
      <c r="CM135" s="408"/>
      <c r="CN135" s="408"/>
      <c r="CO135" s="408">
        <v>-7482.1366100000014</v>
      </c>
      <c r="CP135" s="408">
        <v>832.74580999999989</v>
      </c>
      <c r="CQ135" s="408">
        <v>30</v>
      </c>
      <c r="CR135" s="408">
        <v>915.89773937150312</v>
      </c>
      <c r="CS135" s="408">
        <v>22.125261689083146</v>
      </c>
      <c r="CT135" s="408">
        <v>72.457240439380712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-25.941388131780286</v>
      </c>
      <c r="DA135" s="408">
        <v>0</v>
      </c>
      <c r="DB135" s="408">
        <v>0</v>
      </c>
      <c r="DC135" s="408">
        <v>811.76543429799949</v>
      </c>
      <c r="DD135" s="408">
        <v>24.242107322490341</v>
      </c>
      <c r="DE135" s="408">
        <v>2.7987306004854453</v>
      </c>
      <c r="DF135" s="408">
        <v>0</v>
      </c>
      <c r="DG135" s="408">
        <v>93.717626572767699</v>
      </c>
      <c r="DH135" s="408">
        <v>0</v>
      </c>
      <c r="DI135" s="408">
        <v>-70.232176520279154</v>
      </c>
      <c r="DJ135" s="408"/>
      <c r="DK135" s="408">
        <v>0</v>
      </c>
      <c r="DL135" s="408">
        <v>0</v>
      </c>
      <c r="DM135" s="408">
        <v>-3.5362251168818375</v>
      </c>
      <c r="DN135" s="408">
        <v>0</v>
      </c>
      <c r="DO135" s="408">
        <v>-9.6200218137548177</v>
      </c>
      <c r="DP135" s="408">
        <v>-1.87884996800598</v>
      </c>
      <c r="DQ135" s="408">
        <v>0</v>
      </c>
      <c r="DR135" s="408">
        <v>0</v>
      </c>
      <c r="DS135" s="408"/>
      <c r="DT135" s="408"/>
      <c r="DU135" s="408"/>
      <c r="DV135" s="408">
        <v>14289.737134256104</v>
      </c>
      <c r="DW135" s="408">
        <v>0</v>
      </c>
      <c r="DX135" s="408">
        <v>0</v>
      </c>
      <c r="DY135" s="408">
        <v>-7482.1366100000014</v>
      </c>
      <c r="DZ135" s="408">
        <v>832.74581000000035</v>
      </c>
      <c r="EA135" s="408">
        <v>0</v>
      </c>
      <c r="EB135" s="408">
        <v>0</v>
      </c>
      <c r="EC135" s="408">
        <v>-7565.6582354028096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239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135</v>
      </c>
      <c r="B136" s="408" t="s">
        <v>1034</v>
      </c>
      <c r="C136" s="408" t="s">
        <v>2241</v>
      </c>
      <c r="D136" s="408" t="s">
        <v>596</v>
      </c>
      <c r="E136" s="408" t="s">
        <v>996</v>
      </c>
      <c r="F136" s="408" t="s">
        <v>1320</v>
      </c>
      <c r="G136" s="408" t="s">
        <v>1320</v>
      </c>
      <c r="H136" s="408" t="s">
        <v>1320</v>
      </c>
      <c r="I136" s="408" t="s">
        <v>971</v>
      </c>
      <c r="J136" s="408" t="s">
        <v>2234</v>
      </c>
      <c r="K136" s="827">
        <v>44440</v>
      </c>
      <c r="L136" s="408">
        <v>0</v>
      </c>
      <c r="M136" s="408">
        <v>0</v>
      </c>
      <c r="N136" s="408">
        <v>15.624000000000001</v>
      </c>
      <c r="O136" s="408">
        <v>15.624000000000001</v>
      </c>
      <c r="P136" s="408">
        <v>15.624000000000001</v>
      </c>
      <c r="Q136" s="408">
        <v>15.624000000000001</v>
      </c>
      <c r="R136" s="408"/>
      <c r="S136" s="408">
        <v>1684.16</v>
      </c>
      <c r="T136" s="408">
        <v>173.82</v>
      </c>
      <c r="U136" s="408"/>
      <c r="V136" s="408">
        <v>29029.079520000003</v>
      </c>
      <c r="W136" s="408">
        <v>29029.079520000003</v>
      </c>
      <c r="X136" s="408">
        <v>19927.787040000003</v>
      </c>
      <c r="Y136" s="408">
        <v>0</v>
      </c>
      <c r="Z136" s="408">
        <v>831.19721418412655</v>
      </c>
      <c r="AA136" s="408">
        <v>0</v>
      </c>
      <c r="AB136" s="408">
        <v>0</v>
      </c>
      <c r="AC136" s="408">
        <v>281.22262340850591</v>
      </c>
      <c r="AD136" s="408">
        <v>4290.1305575088045</v>
      </c>
      <c r="AE136" s="408">
        <v>18097.161324664037</v>
      </c>
      <c r="AF136" s="408">
        <v>2514.2474456994428</v>
      </c>
      <c r="AG136" s="408">
        <v>126.48980088565058</v>
      </c>
      <c r="AH136" s="408">
        <v>0</v>
      </c>
      <c r="AI136" s="408">
        <v>0</v>
      </c>
      <c r="AJ136" s="408">
        <v>0</v>
      </c>
      <c r="AK136" s="408">
        <v>0</v>
      </c>
      <c r="AL136" s="408">
        <v>147.67018377864301</v>
      </c>
      <c r="AM136" s="408"/>
      <c r="AN136" s="408">
        <v>19.416423920564949</v>
      </c>
      <c r="AO136" s="408">
        <v>603.96358806065848</v>
      </c>
      <c r="AP136" s="408">
        <v>1942.0424358410539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2.9153387922557101</v>
      </c>
      <c r="BF136" s="408">
        <v>75.08407458449426</v>
      </c>
      <c r="BG136" s="408">
        <v>97.62234072058655</v>
      </c>
      <c r="BH136" s="408">
        <v>0</v>
      </c>
      <c r="BI136" s="408">
        <v>0</v>
      </c>
      <c r="BJ136" s="408">
        <v>0</v>
      </c>
      <c r="BK136" s="408">
        <v>0</v>
      </c>
      <c r="BL136" s="408">
        <v>0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2689.8691997967794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19922.6852</v>
      </c>
      <c r="CJ136" s="408">
        <v>-9106.4243199999983</v>
      </c>
      <c r="CK136" s="408"/>
      <c r="CL136" s="408"/>
      <c r="CM136" s="408"/>
      <c r="CN136" s="408"/>
      <c r="CO136" s="408">
        <v>-9432.3650400000006</v>
      </c>
      <c r="CP136" s="408">
        <v>331.07255999999995</v>
      </c>
      <c r="CQ136" s="408">
        <v>30</v>
      </c>
      <c r="CR136" s="408">
        <v>480.09473533687196</v>
      </c>
      <c r="CS136" s="408">
        <v>58.641048729115937</v>
      </c>
      <c r="CT136" s="408">
        <v>188.56005124389117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-82.25985546487027</v>
      </c>
      <c r="DA136" s="408">
        <v>0</v>
      </c>
      <c r="DB136" s="408">
        <v>0</v>
      </c>
      <c r="DC136" s="408">
        <v>322.73144724985241</v>
      </c>
      <c r="DD136" s="408">
        <v>9.6378708060405813</v>
      </c>
      <c r="DE136" s="408">
        <v>0.37421595446288736</v>
      </c>
      <c r="DF136" s="408">
        <v>0</v>
      </c>
      <c r="DG136" s="408">
        <v>12.530906358704584</v>
      </c>
      <c r="DH136" s="408">
        <v>0</v>
      </c>
      <c r="DI136" s="408">
        <v>-24.292158771953495</v>
      </c>
      <c r="DJ136" s="408"/>
      <c r="DK136" s="408">
        <v>0</v>
      </c>
      <c r="DL136" s="408">
        <v>0</v>
      </c>
      <c r="DM136" s="408">
        <v>-1.4058877128212401</v>
      </c>
      <c r="DN136" s="408">
        <v>0</v>
      </c>
      <c r="DO136" s="408">
        <v>-3.8246067538131854</v>
      </c>
      <c r="DP136" s="408">
        <v>-0.59829630173638293</v>
      </c>
      <c r="DQ136" s="408">
        <v>0</v>
      </c>
      <c r="DR136" s="408">
        <v>0</v>
      </c>
      <c r="DS136" s="408"/>
      <c r="DT136" s="408"/>
      <c r="DU136" s="408"/>
      <c r="DV136" s="408">
        <v>18097.161324664037</v>
      </c>
      <c r="DW136" s="408">
        <v>0</v>
      </c>
      <c r="DX136" s="408">
        <v>0</v>
      </c>
      <c r="DY136" s="408">
        <v>-9432.3650400000006</v>
      </c>
      <c r="DZ136" s="408">
        <v>331.07256000000007</v>
      </c>
      <c r="EA136" s="408">
        <v>0</v>
      </c>
      <c r="EB136" s="408">
        <v>0</v>
      </c>
      <c r="EC136" s="408">
        <v>-9581.487491826083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239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136</v>
      </c>
      <c r="B137" s="408" t="s">
        <v>2236</v>
      </c>
      <c r="C137" s="408" t="s">
        <v>2241</v>
      </c>
      <c r="D137" s="408" t="s">
        <v>596</v>
      </c>
      <c r="E137" s="408" t="s">
        <v>996</v>
      </c>
      <c r="F137" s="408" t="s">
        <v>1320</v>
      </c>
      <c r="G137" s="408" t="s">
        <v>1320</v>
      </c>
      <c r="H137" s="408" t="s">
        <v>1320</v>
      </c>
      <c r="I137" s="408" t="s">
        <v>971</v>
      </c>
      <c r="J137" s="408" t="s">
        <v>2234</v>
      </c>
      <c r="K137" s="827">
        <v>44440</v>
      </c>
      <c r="L137" s="408">
        <v>0</v>
      </c>
      <c r="M137" s="408">
        <v>0</v>
      </c>
      <c r="N137" s="408">
        <v>2.964</v>
      </c>
      <c r="O137" s="408">
        <v>2.964</v>
      </c>
      <c r="P137" s="408">
        <v>2.964</v>
      </c>
      <c r="Q137" s="408">
        <v>2.964</v>
      </c>
      <c r="R137" s="408"/>
      <c r="S137" s="408">
        <v>1684.16</v>
      </c>
      <c r="T137" s="408">
        <v>173.82</v>
      </c>
      <c r="U137" s="408"/>
      <c r="V137" s="408">
        <v>5507.0527199999997</v>
      </c>
      <c r="W137" s="408">
        <v>5507.0527199999997</v>
      </c>
      <c r="X137" s="408">
        <v>3780.4634400000004</v>
      </c>
      <c r="Y137" s="408">
        <v>0</v>
      </c>
      <c r="Z137" s="408">
        <v>157.68487857410079</v>
      </c>
      <c r="AA137" s="408">
        <v>0</v>
      </c>
      <c r="AB137" s="408">
        <v>0</v>
      </c>
      <c r="AC137" s="408">
        <v>53.35022118425573</v>
      </c>
      <c r="AD137" s="408">
        <v>813.87269408961174</v>
      </c>
      <c r="AE137" s="408">
        <v>3433.1788380891066</v>
      </c>
      <c r="AF137" s="408">
        <v>476.97320974482517</v>
      </c>
      <c r="AG137" s="408">
        <v>23.996145022085784</v>
      </c>
      <c r="AH137" s="408">
        <v>0</v>
      </c>
      <c r="AI137" s="408">
        <v>0</v>
      </c>
      <c r="AJ137" s="408">
        <v>0</v>
      </c>
      <c r="AK137" s="408">
        <v>0</v>
      </c>
      <c r="AL137" s="408">
        <v>28.014236093183428</v>
      </c>
      <c r="AM137" s="408"/>
      <c r="AN137" s="408">
        <v>3.6834536930718444</v>
      </c>
      <c r="AO137" s="408">
        <v>114.57680971657652</v>
      </c>
      <c r="AP137" s="408">
        <v>368.4212608700002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0.55306350359996947</v>
      </c>
      <c r="BF137" s="408">
        <v>14.244060232235084</v>
      </c>
      <c r="BG137" s="408">
        <v>18.519752809512195</v>
      </c>
      <c r="BH137" s="408">
        <v>0</v>
      </c>
      <c r="BI137" s="408">
        <v>0</v>
      </c>
      <c r="BJ137" s="408">
        <v>0</v>
      </c>
      <c r="BK137" s="408">
        <v>0</v>
      </c>
      <c r="BL137" s="408">
        <v>0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>
        <v>510.29008629017238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3775.3616000000002</v>
      </c>
      <c r="CJ137" s="408">
        <v>-1731.7211200000002</v>
      </c>
      <c r="CK137" s="408"/>
      <c r="CL137" s="408"/>
      <c r="CM137" s="408"/>
      <c r="CN137" s="408"/>
      <c r="CO137" s="408">
        <v>-1789.39644</v>
      </c>
      <c r="CP137" s="408">
        <v>62.807159999999996</v>
      </c>
      <c r="CQ137" s="408">
        <v>30</v>
      </c>
      <c r="CR137" s="408">
        <v>91.0778798987767</v>
      </c>
      <c r="CS137" s="408">
        <v>11.124684359517389</v>
      </c>
      <c r="CT137" s="408">
        <v>35.771376848879584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-15.605364285578162</v>
      </c>
      <c r="DA137" s="408">
        <v>0</v>
      </c>
      <c r="DB137" s="408">
        <v>0</v>
      </c>
      <c r="DC137" s="408">
        <v>61.224783003620189</v>
      </c>
      <c r="DD137" s="408">
        <v>1.8283825569063179</v>
      </c>
      <c r="DE137" s="408">
        <v>7.0991813173835072E-2</v>
      </c>
      <c r="DF137" s="408">
        <v>0</v>
      </c>
      <c r="DG137" s="408">
        <v>2.3772149543779051</v>
      </c>
      <c r="DH137" s="408">
        <v>0</v>
      </c>
      <c r="DI137" s="408">
        <v>-4.608420289302984</v>
      </c>
      <c r="DJ137" s="408"/>
      <c r="DK137" s="408">
        <v>0</v>
      </c>
      <c r="DL137" s="408">
        <v>0</v>
      </c>
      <c r="DM137" s="408">
        <v>-0.2667083449054104</v>
      </c>
      <c r="DN137" s="408">
        <v>0</v>
      </c>
      <c r="DO137" s="408">
        <v>-0.72555903854981807</v>
      </c>
      <c r="DP137" s="408">
        <v>-0.11350167936166322</v>
      </c>
      <c r="DQ137" s="408">
        <v>0</v>
      </c>
      <c r="DR137" s="408">
        <v>0</v>
      </c>
      <c r="DS137" s="408"/>
      <c r="DT137" s="408"/>
      <c r="DU137" s="408"/>
      <c r="DV137" s="408">
        <v>3433.1788380891066</v>
      </c>
      <c r="DW137" s="408">
        <v>0</v>
      </c>
      <c r="DX137" s="408">
        <v>0</v>
      </c>
      <c r="DY137" s="408">
        <v>-1789.3964399999995</v>
      </c>
      <c r="DZ137" s="408">
        <v>62.807160000000067</v>
      </c>
      <c r="EA137" s="408">
        <v>0</v>
      </c>
      <c r="EB137" s="408">
        <v>0</v>
      </c>
      <c r="EC137" s="408">
        <v>-1817.6861831651631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239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137</v>
      </c>
      <c r="B138" s="408" t="s">
        <v>1034</v>
      </c>
      <c r="C138" s="408" t="s">
        <v>2241</v>
      </c>
      <c r="D138" s="408" t="s">
        <v>596</v>
      </c>
      <c r="E138" s="408" t="s">
        <v>996</v>
      </c>
      <c r="F138" s="408" t="s">
        <v>1320</v>
      </c>
      <c r="G138" s="408" t="s">
        <v>1320</v>
      </c>
      <c r="H138" s="408" t="s">
        <v>1320</v>
      </c>
      <c r="I138" s="408" t="s">
        <v>2242</v>
      </c>
      <c r="J138" s="408" t="s">
        <v>2234</v>
      </c>
      <c r="K138" s="827">
        <v>44440</v>
      </c>
      <c r="L138" s="408">
        <v>0</v>
      </c>
      <c r="M138" s="408">
        <v>0</v>
      </c>
      <c r="N138" s="408">
        <v>241.9</v>
      </c>
      <c r="O138" s="408">
        <v>241.9</v>
      </c>
      <c r="P138" s="408">
        <v>241.9</v>
      </c>
      <c r="Q138" s="408">
        <v>241.9</v>
      </c>
      <c r="R138" s="408"/>
      <c r="S138" s="408">
        <v>70.33</v>
      </c>
      <c r="T138" s="408">
        <v>173.82</v>
      </c>
      <c r="U138" s="408"/>
      <c r="V138" s="408">
        <v>59059.884999999995</v>
      </c>
      <c r="W138" s="408">
        <v>59059.884999999995</v>
      </c>
      <c r="X138" s="408">
        <v>63941.426999999996</v>
      </c>
      <c r="Y138" s="408">
        <v>0</v>
      </c>
      <c r="Z138" s="408">
        <v>12869.086412643383</v>
      </c>
      <c r="AA138" s="408">
        <v>0</v>
      </c>
      <c r="AB138" s="408">
        <v>0</v>
      </c>
      <c r="AC138" s="408">
        <v>0</v>
      </c>
      <c r="AD138" s="408">
        <v>0</v>
      </c>
      <c r="AE138" s="408">
        <v>0</v>
      </c>
      <c r="AF138" s="408">
        <v>38927.064587474095</v>
      </c>
      <c r="AG138" s="408">
        <v>1958.3898383409419</v>
      </c>
      <c r="AH138" s="408">
        <v>0</v>
      </c>
      <c r="AI138" s="408">
        <v>0</v>
      </c>
      <c r="AJ138" s="408">
        <v>0</v>
      </c>
      <c r="AK138" s="408">
        <v>0</v>
      </c>
      <c r="AL138" s="408">
        <v>2286.3170414780943</v>
      </c>
      <c r="AM138" s="408"/>
      <c r="AN138" s="408">
        <v>300.61654802769203</v>
      </c>
      <c r="AO138" s="408">
        <v>0</v>
      </c>
      <c r="AP138" s="408">
        <v>0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45.136997814046097</v>
      </c>
      <c r="BF138" s="408">
        <v>1162.4960088318714</v>
      </c>
      <c r="BG138" s="408">
        <v>1511.4467626926451</v>
      </c>
      <c r="BH138" s="408">
        <v>0</v>
      </c>
      <c r="BI138" s="408">
        <v>0</v>
      </c>
      <c r="BJ138" s="408">
        <v>0</v>
      </c>
      <c r="BK138" s="408">
        <v>0</v>
      </c>
      <c r="BL138" s="408">
        <v>0</v>
      </c>
      <c r="BM138" s="408"/>
      <c r="BN138" s="408"/>
      <c r="BO138" s="408"/>
      <c r="BP138" s="408"/>
      <c r="BQ138" s="408"/>
      <c r="BR138" s="408"/>
      <c r="BS138" s="408"/>
      <c r="BT138" s="408"/>
      <c r="BU138" s="408"/>
      <c r="BV138" s="408">
        <v>41646.144356812649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63941.426999999996</v>
      </c>
      <c r="CJ138" s="408">
        <v>4881.5119999999952</v>
      </c>
      <c r="CK138" s="408"/>
      <c r="CL138" s="408"/>
      <c r="CM138" s="408"/>
      <c r="CN138" s="408"/>
      <c r="CO138" s="408">
        <v>-244.31900000000124</v>
      </c>
      <c r="CP138" s="408">
        <v>5125.8609999999999</v>
      </c>
      <c r="CQ138" s="408">
        <v>30</v>
      </c>
      <c r="CR138" s="408">
        <v>4879.3925647383221</v>
      </c>
      <c r="CS138" s="408">
        <v>0</v>
      </c>
      <c r="CT138" s="408">
        <v>0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0</v>
      </c>
      <c r="DA138" s="408">
        <v>0</v>
      </c>
      <c r="DB138" s="408">
        <v>0</v>
      </c>
      <c r="DC138" s="408">
        <v>4996.71896375699</v>
      </c>
      <c r="DD138" s="408">
        <v>149.2192107002827</v>
      </c>
      <c r="DE138" s="408">
        <v>5.7938325258942953</v>
      </c>
      <c r="DF138" s="408">
        <v>0</v>
      </c>
      <c r="DG138" s="408">
        <v>194.01089658030196</v>
      </c>
      <c r="DH138" s="408">
        <v>0</v>
      </c>
      <c r="DI138" s="408">
        <v>-376.10555599945837</v>
      </c>
      <c r="DJ138" s="408"/>
      <c r="DK138" s="408">
        <v>0</v>
      </c>
      <c r="DL138" s="408">
        <v>0</v>
      </c>
      <c r="DM138" s="408">
        <v>-21.766784289007774</v>
      </c>
      <c r="DN138" s="408">
        <v>0</v>
      </c>
      <c r="DO138" s="408">
        <v>-59.214821668421337</v>
      </c>
      <c r="DP138" s="408">
        <v>-9.263176868281505</v>
      </c>
      <c r="DQ138" s="408">
        <v>0</v>
      </c>
      <c r="DR138" s="408">
        <v>0</v>
      </c>
      <c r="DS138" s="408"/>
      <c r="DT138" s="408"/>
      <c r="DU138" s="408"/>
      <c r="DV138" s="408">
        <v>0</v>
      </c>
      <c r="DW138" s="408">
        <v>0</v>
      </c>
      <c r="DX138" s="408">
        <v>0</v>
      </c>
      <c r="DY138" s="408">
        <v>-244.31900000000314</v>
      </c>
      <c r="DZ138" s="408">
        <v>5125.8610000000044</v>
      </c>
      <c r="EA138" s="408">
        <v>0</v>
      </c>
      <c r="EB138" s="408">
        <v>0</v>
      </c>
      <c r="EC138" s="408">
        <v>0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239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138</v>
      </c>
      <c r="B139" s="408" t="s">
        <v>2236</v>
      </c>
      <c r="C139" s="408" t="s">
        <v>2241</v>
      </c>
      <c r="D139" s="408" t="s">
        <v>596</v>
      </c>
      <c r="E139" s="408" t="s">
        <v>996</v>
      </c>
      <c r="F139" s="408" t="s">
        <v>1320</v>
      </c>
      <c r="G139" s="408" t="s">
        <v>1320</v>
      </c>
      <c r="H139" s="408" t="s">
        <v>1320</v>
      </c>
      <c r="I139" s="408" t="s">
        <v>2242</v>
      </c>
      <c r="J139" s="408" t="s">
        <v>2234</v>
      </c>
      <c r="K139" s="827">
        <v>44440</v>
      </c>
      <c r="L139" s="408">
        <v>0</v>
      </c>
      <c r="M139" s="408">
        <v>0</v>
      </c>
      <c r="N139" s="408">
        <v>29.748000000000001</v>
      </c>
      <c r="O139" s="408">
        <v>29.748000000000001</v>
      </c>
      <c r="P139" s="408">
        <v>29.748000000000001</v>
      </c>
      <c r="Q139" s="408">
        <v>29.748000000000001</v>
      </c>
      <c r="R139" s="408"/>
      <c r="S139" s="408">
        <v>70.33</v>
      </c>
      <c r="T139" s="408">
        <v>173.82</v>
      </c>
      <c r="U139" s="408"/>
      <c r="V139" s="408">
        <v>7262.9741999999997</v>
      </c>
      <c r="W139" s="408">
        <v>7262.9741999999997</v>
      </c>
      <c r="X139" s="408">
        <v>7863.2888399999993</v>
      </c>
      <c r="Y139" s="408">
        <v>0</v>
      </c>
      <c r="Z139" s="408">
        <v>1582.594388604032</v>
      </c>
      <c r="AA139" s="408">
        <v>0</v>
      </c>
      <c r="AB139" s="408">
        <v>0</v>
      </c>
      <c r="AC139" s="408">
        <v>0</v>
      </c>
      <c r="AD139" s="408">
        <v>0</v>
      </c>
      <c r="AE139" s="408">
        <v>0</v>
      </c>
      <c r="AF139" s="408">
        <v>4787.1116880867276</v>
      </c>
      <c r="AG139" s="408">
        <v>240.83580368320108</v>
      </c>
      <c r="AH139" s="408">
        <v>0</v>
      </c>
      <c r="AI139" s="408">
        <v>0</v>
      </c>
      <c r="AJ139" s="408">
        <v>0</v>
      </c>
      <c r="AK139" s="408">
        <v>0</v>
      </c>
      <c r="AL139" s="408">
        <v>281.16312257085713</v>
      </c>
      <c r="AM139" s="408"/>
      <c r="AN139" s="408">
        <v>36.968751842611752</v>
      </c>
      <c r="AO139" s="408">
        <v>0</v>
      </c>
      <c r="AP139" s="408">
        <v>0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5.5507871474669006</v>
      </c>
      <c r="BF139" s="408">
        <v>142.95961666279666</v>
      </c>
      <c r="BG139" s="408">
        <v>185.87233690194628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/>
      <c r="BR139" s="408"/>
      <c r="BS139" s="408"/>
      <c r="BT139" s="408"/>
      <c r="BU139" s="408"/>
      <c r="BV139" s="408">
        <v>5121.4944287989374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7863.8174999999992</v>
      </c>
      <c r="CJ139" s="408">
        <v>600.81329999999889</v>
      </c>
      <c r="CK139" s="408"/>
      <c r="CL139" s="408"/>
      <c r="CM139" s="408"/>
      <c r="CN139" s="408"/>
      <c r="CO139" s="408">
        <v>-30.045480000000154</v>
      </c>
      <c r="CP139" s="408">
        <v>630.36011999999994</v>
      </c>
      <c r="CQ139" s="408">
        <v>30</v>
      </c>
      <c r="CR139" s="408">
        <v>600.05031011093524</v>
      </c>
      <c r="CS139" s="408">
        <v>0</v>
      </c>
      <c r="CT139" s="408">
        <v>0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0</v>
      </c>
      <c r="DA139" s="408">
        <v>0</v>
      </c>
      <c r="DB139" s="408">
        <v>0</v>
      </c>
      <c r="DC139" s="408">
        <v>614.47869257479579</v>
      </c>
      <c r="DD139" s="408">
        <v>18.350446795833051</v>
      </c>
      <c r="DE139" s="408">
        <v>0.71250487796735662</v>
      </c>
      <c r="DF139" s="408">
        <v>0</v>
      </c>
      <c r="DG139" s="408">
        <v>23.858768712157172</v>
      </c>
      <c r="DH139" s="408">
        <v>0</v>
      </c>
      <c r="DI139" s="408">
        <v>-46.252121041223063</v>
      </c>
      <c r="DJ139" s="408"/>
      <c r="DK139" s="408">
        <v>0</v>
      </c>
      <c r="DL139" s="408">
        <v>0</v>
      </c>
      <c r="DM139" s="408">
        <v>-2.6768015668846772</v>
      </c>
      <c r="DN139" s="408">
        <v>0</v>
      </c>
      <c r="DO139" s="408">
        <v>-7.2820277593723972</v>
      </c>
      <c r="DP139" s="408">
        <v>-1.1391524823383108</v>
      </c>
      <c r="DQ139" s="408">
        <v>0</v>
      </c>
      <c r="DR139" s="408">
        <v>0</v>
      </c>
      <c r="DS139" s="408"/>
      <c r="DT139" s="408"/>
      <c r="DU139" s="408"/>
      <c r="DV139" s="408">
        <v>0</v>
      </c>
      <c r="DW139" s="408">
        <v>0</v>
      </c>
      <c r="DX139" s="408">
        <v>0</v>
      </c>
      <c r="DY139" s="408">
        <v>-30.045480000000225</v>
      </c>
      <c r="DZ139" s="408">
        <v>630.36012000000028</v>
      </c>
      <c r="EA139" s="408">
        <v>0</v>
      </c>
      <c r="EB139" s="408">
        <v>0</v>
      </c>
      <c r="EC139" s="408">
        <v>0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239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139</v>
      </c>
      <c r="B140" s="408" t="s">
        <v>1034</v>
      </c>
      <c r="C140" s="408" t="s">
        <v>2241</v>
      </c>
      <c r="D140" s="408" t="s">
        <v>596</v>
      </c>
      <c r="E140" s="408" t="s">
        <v>996</v>
      </c>
      <c r="F140" s="408" t="s">
        <v>1320</v>
      </c>
      <c r="G140" s="408" t="s">
        <v>1320</v>
      </c>
      <c r="H140" s="408" t="s">
        <v>1320</v>
      </c>
      <c r="I140" s="408" t="s">
        <v>1320</v>
      </c>
      <c r="J140" s="408" t="s">
        <v>2234</v>
      </c>
      <c r="K140" s="827">
        <v>44440</v>
      </c>
      <c r="L140" s="408">
        <v>3022</v>
      </c>
      <c r="M140" s="408">
        <v>3022</v>
      </c>
      <c r="N140" s="408">
        <v>0</v>
      </c>
      <c r="O140" s="408">
        <v>0</v>
      </c>
      <c r="P140" s="408">
        <v>0</v>
      </c>
      <c r="Q140" s="408">
        <v>0</v>
      </c>
      <c r="R140" s="408">
        <v>59.12</v>
      </c>
      <c r="S140" s="408"/>
      <c r="T140" s="408"/>
      <c r="U140" s="408">
        <v>178660.63999999998</v>
      </c>
      <c r="V140" s="408"/>
      <c r="W140" s="408">
        <v>178660.63999999998</v>
      </c>
      <c r="X140" s="408">
        <v>102838.66</v>
      </c>
      <c r="Y140" s="408">
        <v>0</v>
      </c>
      <c r="Z140" s="408">
        <v>0</v>
      </c>
      <c r="AA140" s="408">
        <v>0</v>
      </c>
      <c r="AB140" s="408">
        <v>0</v>
      </c>
      <c r="AC140" s="408">
        <v>1728.7664179943872</v>
      </c>
      <c r="AD140" s="408">
        <v>15463.64245046203</v>
      </c>
      <c r="AE140" s="408">
        <v>145544.95280790603</v>
      </c>
      <c r="AF140" s="408"/>
      <c r="AG140" s="408"/>
      <c r="AH140" s="408"/>
      <c r="AI140" s="408">
        <v>0</v>
      </c>
      <c r="AJ140" s="408">
        <v>0</v>
      </c>
      <c r="AK140" s="408">
        <v>0</v>
      </c>
      <c r="AL140" s="408">
        <v>0</v>
      </c>
      <c r="AM140" s="408"/>
      <c r="AN140" s="408">
        <v>0</v>
      </c>
      <c r="AO140" s="408">
        <v>3650.7939336153613</v>
      </c>
      <c r="AP140" s="408">
        <v>12272.305325068259</v>
      </c>
      <c r="AQ140" s="408">
        <v>0</v>
      </c>
      <c r="AR140" s="408">
        <v>0</v>
      </c>
      <c r="AS140" s="408"/>
      <c r="AT140" s="408"/>
      <c r="AU140" s="408">
        <v>0</v>
      </c>
      <c r="AV140" s="408">
        <v>0</v>
      </c>
      <c r="AW140" s="408">
        <v>0</v>
      </c>
      <c r="AX140" s="408"/>
      <c r="AY140" s="408"/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/>
      <c r="BG140" s="408">
        <v>0</v>
      </c>
      <c r="BH140" s="408">
        <v>0</v>
      </c>
      <c r="BI140" s="408">
        <v>851.95</v>
      </c>
      <c r="BJ140" s="408">
        <v>4052.92</v>
      </c>
      <c r="BK140" s="408">
        <v>89568.65</v>
      </c>
      <c r="BL140" s="408">
        <v>16</v>
      </c>
      <c r="BM140" s="408"/>
      <c r="BN140" s="408"/>
      <c r="BO140" s="408"/>
      <c r="BP140" s="408"/>
      <c r="BQ140" s="408"/>
      <c r="BR140" s="408"/>
      <c r="BS140" s="408"/>
      <c r="BT140" s="408"/>
      <c r="BU140" s="408"/>
      <c r="BV140" s="408">
        <v>0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102838.66</v>
      </c>
      <c r="CJ140" s="408">
        <v>-75822.010000000009</v>
      </c>
      <c r="CK140" s="408"/>
      <c r="CL140" s="408"/>
      <c r="CM140" s="408"/>
      <c r="CN140" s="408"/>
      <c r="CO140" s="408">
        <v>-75821.98</v>
      </c>
      <c r="CP140" s="408">
        <v>0</v>
      </c>
      <c r="CQ140" s="408">
        <v>30</v>
      </c>
      <c r="CR140" s="408">
        <v>1249.5292442780628</v>
      </c>
      <c r="CS140" s="408">
        <v>354.46902626785277</v>
      </c>
      <c r="CT140" s="408">
        <v>1191.563314101053</v>
      </c>
      <c r="CU140" s="408">
        <v>0</v>
      </c>
      <c r="CV140" s="408">
        <v>0</v>
      </c>
      <c r="CW140" s="408"/>
      <c r="CX140" s="408"/>
      <c r="CY140" s="408"/>
      <c r="CZ140" s="408">
        <v>-296.50309609084616</v>
      </c>
      <c r="DA140" s="408">
        <v>0</v>
      </c>
      <c r="DB140" s="408">
        <v>0</v>
      </c>
      <c r="DC140" s="408"/>
      <c r="DD140" s="408"/>
      <c r="DE140" s="408">
        <v>0</v>
      </c>
      <c r="DF140" s="408">
        <v>0</v>
      </c>
      <c r="DG140" s="408">
        <v>0</v>
      </c>
      <c r="DH140" s="408">
        <v>0</v>
      </c>
      <c r="DI140" s="408">
        <v>0</v>
      </c>
      <c r="DJ140" s="408"/>
      <c r="DK140" s="408">
        <v>0</v>
      </c>
      <c r="DL140" s="408">
        <v>0</v>
      </c>
      <c r="DM140" s="408"/>
      <c r="DN140" s="408">
        <v>0</v>
      </c>
      <c r="DO140" s="408">
        <v>0</v>
      </c>
      <c r="DP140" s="408">
        <v>0</v>
      </c>
      <c r="DQ140" s="408">
        <v>0</v>
      </c>
      <c r="DR140" s="408">
        <v>0</v>
      </c>
      <c r="DS140" s="408"/>
      <c r="DT140" s="408"/>
      <c r="DU140" s="408">
        <v>145544.95280790603</v>
      </c>
      <c r="DV140" s="408"/>
      <c r="DW140" s="408">
        <v>0</v>
      </c>
      <c r="DX140" s="408">
        <v>0</v>
      </c>
      <c r="DY140" s="408">
        <v>-75821.979999999981</v>
      </c>
      <c r="DZ140" s="408"/>
      <c r="EA140" s="408">
        <v>0</v>
      </c>
      <c r="EB140" s="408"/>
      <c r="EC140" s="408">
        <v>-77058.336377142332</v>
      </c>
      <c r="ED140" s="408"/>
      <c r="EE140" s="408">
        <v>0</v>
      </c>
      <c r="EF140" s="408">
        <v>0</v>
      </c>
      <c r="EG140" s="408"/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/>
      <c r="EN140" s="408"/>
      <c r="EO140" s="408">
        <v>0</v>
      </c>
      <c r="EP140" s="408">
        <v>0</v>
      </c>
      <c r="EQ140" s="408"/>
      <c r="ER140" s="408">
        <v>0</v>
      </c>
      <c r="ES140" s="408"/>
      <c r="ET140" s="408">
        <v>0</v>
      </c>
      <c r="EU140" s="408"/>
      <c r="EV140" s="408">
        <v>239</v>
      </c>
      <c r="EW140" s="408"/>
      <c r="EX140" s="408"/>
      <c r="EY140" s="408"/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140</v>
      </c>
      <c r="B141" s="408" t="s">
        <v>2236</v>
      </c>
      <c r="C141" s="408" t="s">
        <v>2241</v>
      </c>
      <c r="D141" s="408" t="s">
        <v>596</v>
      </c>
      <c r="E141" s="408" t="s">
        <v>996</v>
      </c>
      <c r="F141" s="408" t="s">
        <v>1320</v>
      </c>
      <c r="G141" s="408" t="s">
        <v>1320</v>
      </c>
      <c r="H141" s="408" t="s">
        <v>1320</v>
      </c>
      <c r="I141" s="408" t="s">
        <v>1320</v>
      </c>
      <c r="J141" s="408" t="s">
        <v>2234</v>
      </c>
      <c r="K141" s="827">
        <v>44440</v>
      </c>
      <c r="L141" s="408">
        <v>100</v>
      </c>
      <c r="M141" s="408">
        <v>100</v>
      </c>
      <c r="N141" s="408">
        <v>0</v>
      </c>
      <c r="O141" s="408">
        <v>0</v>
      </c>
      <c r="P141" s="408">
        <v>0</v>
      </c>
      <c r="Q141" s="408">
        <v>0</v>
      </c>
      <c r="R141" s="408">
        <v>59.12</v>
      </c>
      <c r="S141" s="408"/>
      <c r="T141" s="408"/>
      <c r="U141" s="408">
        <v>5912</v>
      </c>
      <c r="V141" s="408"/>
      <c r="W141" s="408">
        <v>5912</v>
      </c>
      <c r="X141" s="408">
        <v>3403</v>
      </c>
      <c r="Y141" s="408">
        <v>0</v>
      </c>
      <c r="Z141" s="408">
        <v>0</v>
      </c>
      <c r="AA141" s="408">
        <v>0</v>
      </c>
      <c r="AB141" s="408">
        <v>0</v>
      </c>
      <c r="AC141" s="408">
        <v>57.206036333368203</v>
      </c>
      <c r="AD141" s="408">
        <v>511.70226507154302</v>
      </c>
      <c r="AE141" s="408">
        <v>4816.1797752450702</v>
      </c>
      <c r="AF141" s="408"/>
      <c r="AG141" s="408"/>
      <c r="AH141" s="408"/>
      <c r="AI141" s="408">
        <v>0</v>
      </c>
      <c r="AJ141" s="408">
        <v>0</v>
      </c>
      <c r="AK141" s="408">
        <v>0</v>
      </c>
      <c r="AL141" s="408">
        <v>0</v>
      </c>
      <c r="AM141" s="408"/>
      <c r="AN141" s="408">
        <v>0</v>
      </c>
      <c r="AO141" s="408">
        <v>120.807211569006</v>
      </c>
      <c r="AP141" s="408">
        <v>406.098786401994</v>
      </c>
      <c r="AQ141" s="408">
        <v>0</v>
      </c>
      <c r="AR141" s="408">
        <v>0</v>
      </c>
      <c r="AS141" s="408"/>
      <c r="AT141" s="408"/>
      <c r="AU141" s="408">
        <v>0</v>
      </c>
      <c r="AV141" s="408">
        <v>0</v>
      </c>
      <c r="AW141" s="408">
        <v>0</v>
      </c>
      <c r="AX141" s="408"/>
      <c r="AY141" s="408"/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/>
      <c r="BG141" s="408">
        <v>0</v>
      </c>
      <c r="BH141" s="408">
        <v>0</v>
      </c>
      <c r="BI141" s="408">
        <v>75.209999999999994</v>
      </c>
      <c r="BJ141" s="408">
        <v>357.81</v>
      </c>
      <c r="BK141" s="408">
        <v>8403.8700000000008</v>
      </c>
      <c r="BL141" s="408">
        <v>1</v>
      </c>
      <c r="BM141" s="408"/>
      <c r="BN141" s="408"/>
      <c r="BO141" s="408"/>
      <c r="BP141" s="408"/>
      <c r="BQ141" s="408"/>
      <c r="BR141" s="408"/>
      <c r="BS141" s="408"/>
      <c r="BT141" s="408"/>
      <c r="BU141" s="408"/>
      <c r="BV141" s="408">
        <v>0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3403</v>
      </c>
      <c r="CJ141" s="408">
        <v>-2509.0300000000007</v>
      </c>
      <c r="CK141" s="408"/>
      <c r="CL141" s="408"/>
      <c r="CM141" s="408"/>
      <c r="CN141" s="408"/>
      <c r="CO141" s="408">
        <v>-2508.9999999999995</v>
      </c>
      <c r="CP141" s="408">
        <v>0</v>
      </c>
      <c r="CQ141" s="408">
        <v>30</v>
      </c>
      <c r="CR141" s="408">
        <v>41.347757917871149</v>
      </c>
      <c r="CS141" s="408">
        <v>11.729617017467007</v>
      </c>
      <c r="CT141" s="408">
        <v>39.429626542059964</v>
      </c>
      <c r="CU141" s="408">
        <v>0</v>
      </c>
      <c r="CV141" s="408">
        <v>0</v>
      </c>
      <c r="CW141" s="408"/>
      <c r="CX141" s="408"/>
      <c r="CY141" s="408"/>
      <c r="CZ141" s="408">
        <v>-9.8114856416560201</v>
      </c>
      <c r="DA141" s="408">
        <v>0</v>
      </c>
      <c r="DB141" s="408">
        <v>0</v>
      </c>
      <c r="DC141" s="408"/>
      <c r="DD141" s="408"/>
      <c r="DE141" s="408">
        <v>0</v>
      </c>
      <c r="DF141" s="408">
        <v>0</v>
      </c>
      <c r="DG141" s="408">
        <v>0</v>
      </c>
      <c r="DH141" s="408">
        <v>0</v>
      </c>
      <c r="DI141" s="408">
        <v>0</v>
      </c>
      <c r="DJ141" s="408"/>
      <c r="DK141" s="408">
        <v>0</v>
      </c>
      <c r="DL141" s="408">
        <v>0</v>
      </c>
      <c r="DM141" s="408"/>
      <c r="DN141" s="408">
        <v>0</v>
      </c>
      <c r="DO141" s="408">
        <v>0</v>
      </c>
      <c r="DP141" s="408">
        <v>0</v>
      </c>
      <c r="DQ141" s="408">
        <v>0</v>
      </c>
      <c r="DR141" s="408">
        <v>0</v>
      </c>
      <c r="DS141" s="408"/>
      <c r="DT141" s="408"/>
      <c r="DU141" s="408">
        <v>4816.1797752450702</v>
      </c>
      <c r="DV141" s="408"/>
      <c r="DW141" s="408">
        <v>0</v>
      </c>
      <c r="DX141" s="408">
        <v>0</v>
      </c>
      <c r="DY141" s="408">
        <v>-2509</v>
      </c>
      <c r="DZ141" s="408"/>
      <c r="EA141" s="408">
        <v>0</v>
      </c>
      <c r="EB141" s="408"/>
      <c r="EC141" s="408">
        <v>-2549.9118589391901</v>
      </c>
      <c r="ED141" s="408"/>
      <c r="EE141" s="408">
        <v>0</v>
      </c>
      <c r="EF141" s="408">
        <v>0</v>
      </c>
      <c r="EG141" s="408"/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/>
      <c r="EN141" s="408"/>
      <c r="EO141" s="408">
        <v>0</v>
      </c>
      <c r="EP141" s="408">
        <v>0</v>
      </c>
      <c r="EQ141" s="408"/>
      <c r="ER141" s="408">
        <v>0</v>
      </c>
      <c r="ES141" s="408"/>
      <c r="ET141" s="408">
        <v>0</v>
      </c>
      <c r="EU141" s="408"/>
      <c r="EV141" s="408">
        <v>239</v>
      </c>
      <c r="EW141" s="408"/>
      <c r="EX141" s="408"/>
      <c r="EY141" s="408"/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141</v>
      </c>
      <c r="B142" s="408" t="s">
        <v>1034</v>
      </c>
      <c r="C142" s="408" t="s">
        <v>2233</v>
      </c>
      <c r="D142" s="408" t="s">
        <v>2243</v>
      </c>
      <c r="E142" s="408" t="s">
        <v>972</v>
      </c>
      <c r="F142" s="408" t="s">
        <v>1320</v>
      </c>
      <c r="G142" s="408" t="s">
        <v>1320</v>
      </c>
      <c r="H142" s="408" t="s">
        <v>1320</v>
      </c>
      <c r="I142" s="408" t="s">
        <v>1320</v>
      </c>
      <c r="J142" s="408" t="s">
        <v>2234</v>
      </c>
      <c r="K142" s="827">
        <v>44440</v>
      </c>
      <c r="L142" s="408">
        <v>0</v>
      </c>
      <c r="M142" s="408">
        <v>0</v>
      </c>
      <c r="N142" s="408">
        <v>2379.913</v>
      </c>
      <c r="O142" s="408">
        <v>2379.913</v>
      </c>
      <c r="P142" s="408">
        <v>2379.913</v>
      </c>
      <c r="Q142" s="408">
        <v>2379.913</v>
      </c>
      <c r="R142" s="408"/>
      <c r="S142" s="408">
        <v>516.83000000000004</v>
      </c>
      <c r="T142" s="408">
        <v>173.82</v>
      </c>
      <c r="U142" s="408"/>
      <c r="V142" s="408">
        <v>1643686.9134499999</v>
      </c>
      <c r="W142" s="408">
        <v>1643686.9134499999</v>
      </c>
      <c r="X142" s="408">
        <v>1241005.6338499999</v>
      </c>
      <c r="Y142" s="408">
        <v>0</v>
      </c>
      <c r="Z142" s="408">
        <v>145530.38470144547</v>
      </c>
      <c r="AA142" s="408">
        <v>0</v>
      </c>
      <c r="AB142" s="408">
        <v>0</v>
      </c>
      <c r="AC142" s="408">
        <v>6469.6603900358859</v>
      </c>
      <c r="AD142" s="408">
        <v>81932.340307314647</v>
      </c>
      <c r="AE142" s="408">
        <v>865373.95792256412</v>
      </c>
      <c r="AF142" s="408">
        <v>382980.68236283271</v>
      </c>
      <c r="AG142" s="408">
        <v>19267.455292829705</v>
      </c>
      <c r="AH142" s="408">
        <v>0</v>
      </c>
      <c r="AI142" s="408">
        <v>0</v>
      </c>
      <c r="AJ142" s="408">
        <v>0</v>
      </c>
      <c r="AK142" s="408">
        <v>0</v>
      </c>
      <c r="AL142" s="408">
        <v>22493.739764924576</v>
      </c>
      <c r="AM142" s="408"/>
      <c r="AN142" s="408">
        <v>3692.5349159904499</v>
      </c>
      <c r="AO142" s="408">
        <v>13799.934524513563</v>
      </c>
      <c r="AP142" s="408">
        <v>45192.919656350095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1320.405759886329</v>
      </c>
      <c r="BF142" s="408">
        <v>11437.120148272368</v>
      </c>
      <c r="BG142" s="408">
        <v>44214.792916507831</v>
      </c>
      <c r="BH142" s="408">
        <v>0</v>
      </c>
      <c r="BI142" s="408">
        <v>5997.49</v>
      </c>
      <c r="BJ142" s="408">
        <v>27668.47</v>
      </c>
      <c r="BK142" s="408">
        <v>96962.14</v>
      </c>
      <c r="BL142" s="408">
        <v>10254</v>
      </c>
      <c r="BM142" s="408"/>
      <c r="BN142" s="408"/>
      <c r="BO142" s="408"/>
      <c r="BP142" s="408"/>
      <c r="BQ142" s="408"/>
      <c r="BR142" s="408">
        <v>148911.15641</v>
      </c>
      <c r="BS142" s="408"/>
      <c r="BT142" s="408"/>
      <c r="BU142" s="408"/>
      <c r="BV142" s="408">
        <v>439953.00118749921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1092093.1007999999</v>
      </c>
      <c r="CJ142" s="408">
        <v>-354346.65321000014</v>
      </c>
      <c r="CK142" s="408"/>
      <c r="CL142" s="408"/>
      <c r="CM142" s="408"/>
      <c r="CN142" s="408"/>
      <c r="CO142" s="408">
        <v>-453111.63607000012</v>
      </c>
      <c r="CP142" s="408">
        <v>50430.356469999992</v>
      </c>
      <c r="CQ142" s="408">
        <v>30</v>
      </c>
      <c r="CR142" s="408">
        <v>55465.964441864984</v>
      </c>
      <c r="CS142" s="408">
        <v>1339.8864582368733</v>
      </c>
      <c r="CT142" s="408">
        <v>4387.9469825137494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-1570.9877313129837</v>
      </c>
      <c r="DA142" s="408">
        <v>0</v>
      </c>
      <c r="DB142" s="408">
        <v>0</v>
      </c>
      <c r="DC142" s="408">
        <v>49159.803303810651</v>
      </c>
      <c r="DD142" s="408">
        <v>1468.0807746810333</v>
      </c>
      <c r="DE142" s="408">
        <v>169.4886724749515</v>
      </c>
      <c r="DF142" s="408">
        <v>0</v>
      </c>
      <c r="DG142" s="408">
        <v>5675.4573350384308</v>
      </c>
      <c r="DH142" s="408">
        <v>0</v>
      </c>
      <c r="DI142" s="408">
        <v>-4253.1990615259274</v>
      </c>
      <c r="DJ142" s="408"/>
      <c r="DK142" s="408">
        <v>0</v>
      </c>
      <c r="DL142" s="408">
        <v>0</v>
      </c>
      <c r="DM142" s="408">
        <v>-214.15069407856572</v>
      </c>
      <c r="DN142" s="408">
        <v>0</v>
      </c>
      <c r="DO142" s="408">
        <v>-582.58009045620929</v>
      </c>
      <c r="DP142" s="408">
        <v>-113.78150751690919</v>
      </c>
      <c r="DQ142" s="408">
        <v>0</v>
      </c>
      <c r="DR142" s="408">
        <v>0</v>
      </c>
      <c r="DS142" s="408"/>
      <c r="DT142" s="408"/>
      <c r="DU142" s="408"/>
      <c r="DV142" s="408">
        <v>865373.95792256412</v>
      </c>
      <c r="DW142" s="408">
        <v>0</v>
      </c>
      <c r="DX142" s="408">
        <v>0</v>
      </c>
      <c r="DY142" s="408">
        <v>-453111.63607000001</v>
      </c>
      <c r="DZ142" s="408">
        <v>50430.356469999999</v>
      </c>
      <c r="EA142" s="408">
        <v>0</v>
      </c>
      <c r="EB142" s="408">
        <v>0</v>
      </c>
      <c r="EC142" s="408">
        <v>-458169.63250953477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239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142</v>
      </c>
      <c r="B143" s="408" t="s">
        <v>2235</v>
      </c>
      <c r="C143" s="408" t="s">
        <v>2233</v>
      </c>
      <c r="D143" s="408" t="s">
        <v>2243</v>
      </c>
      <c r="E143" s="408" t="s">
        <v>972</v>
      </c>
      <c r="F143" s="408" t="s">
        <v>1320</v>
      </c>
      <c r="G143" s="408" t="s">
        <v>1320</v>
      </c>
      <c r="H143" s="408" t="s">
        <v>1320</v>
      </c>
      <c r="I143" s="408" t="s">
        <v>1320</v>
      </c>
      <c r="J143" s="408" t="s">
        <v>2234</v>
      </c>
      <c r="K143" s="827">
        <v>44440</v>
      </c>
      <c r="L143" s="408">
        <v>0</v>
      </c>
      <c r="M143" s="408">
        <v>0</v>
      </c>
      <c r="N143" s="408">
        <v>-3.8250000000000002</v>
      </c>
      <c r="O143" s="408">
        <v>-3.8250000000000002</v>
      </c>
      <c r="P143" s="408">
        <v>-3.8250000000000002</v>
      </c>
      <c r="Q143" s="408">
        <v>-3.8250000000000002</v>
      </c>
      <c r="R143" s="408"/>
      <c r="S143" s="408">
        <v>516.83000000000004</v>
      </c>
      <c r="T143" s="408">
        <v>173.82</v>
      </c>
      <c r="U143" s="408"/>
      <c r="V143" s="408">
        <v>-2641.7362499999999</v>
      </c>
      <c r="W143" s="408">
        <v>-2641.7362499999999</v>
      </c>
      <c r="X143" s="408">
        <v>-1994.5462499999999</v>
      </c>
      <c r="Y143" s="408">
        <v>0</v>
      </c>
      <c r="Z143" s="408">
        <v>-233.89666827444066</v>
      </c>
      <c r="AA143" s="408">
        <v>0</v>
      </c>
      <c r="AB143" s="408">
        <v>0</v>
      </c>
      <c r="AC143" s="408">
        <v>-10.398048580720079</v>
      </c>
      <c r="AD143" s="408">
        <v>-131.68178907190244</v>
      </c>
      <c r="AE143" s="408">
        <v>-1390.8304165126237</v>
      </c>
      <c r="AF143" s="408">
        <v>-615.52716844600411</v>
      </c>
      <c r="AG143" s="408">
        <v>-30.966685124655239</v>
      </c>
      <c r="AH143" s="408">
        <v>0</v>
      </c>
      <c r="AI143" s="408">
        <v>0</v>
      </c>
      <c r="AJ143" s="408">
        <v>0</v>
      </c>
      <c r="AK143" s="408">
        <v>0</v>
      </c>
      <c r="AL143" s="408">
        <v>-36.151974715393592</v>
      </c>
      <c r="AM143" s="408"/>
      <c r="AN143" s="408">
        <v>-5.9346480538000641</v>
      </c>
      <c r="AO143" s="408">
        <v>-22.17927695519306</v>
      </c>
      <c r="AP143" s="408">
        <v>-72.634133132404045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-2.1221582602243059</v>
      </c>
      <c r="BF143" s="408">
        <v>-18.381757890789203</v>
      </c>
      <c r="BG143" s="408">
        <v>-71.062086263507311</v>
      </c>
      <c r="BH143" s="408">
        <v>0</v>
      </c>
      <c r="BI143" s="408">
        <v>-0.42</v>
      </c>
      <c r="BJ143" s="408">
        <v>-1.92</v>
      </c>
      <c r="BK143" s="408">
        <v>-17.04</v>
      </c>
      <c r="BL143" s="408">
        <v>0</v>
      </c>
      <c r="BM143" s="408"/>
      <c r="BN143" s="408"/>
      <c r="BO143" s="408"/>
      <c r="BP143" s="408"/>
      <c r="BQ143" s="408"/>
      <c r="BR143" s="408">
        <v>-239.33024999999998</v>
      </c>
      <c r="BS143" s="408"/>
      <c r="BT143" s="408"/>
      <c r="BU143" s="408"/>
      <c r="BV143" s="408">
        <v>-707.09317086052499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-1757.5104000000001</v>
      </c>
      <c r="CJ143" s="408">
        <v>567.17984999999999</v>
      </c>
      <c r="CK143" s="408"/>
      <c r="CL143" s="408"/>
      <c r="CM143" s="408"/>
      <c r="CN143" s="408"/>
      <c r="CO143" s="408">
        <v>728.24175000000025</v>
      </c>
      <c r="CP143" s="408">
        <v>-81.051749999999998</v>
      </c>
      <c r="CQ143" s="408">
        <v>30</v>
      </c>
      <c r="CR143" s="408">
        <v>-89.144987228580931</v>
      </c>
      <c r="CS143" s="408">
        <v>-2.1534676699341695</v>
      </c>
      <c r="CT143" s="408">
        <v>-7.0523154451927894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2.5248940075843791</v>
      </c>
      <c r="DA143" s="408">
        <v>0</v>
      </c>
      <c r="DB143" s="408">
        <v>0</v>
      </c>
      <c r="DC143" s="408">
        <v>-79.009714908518049</v>
      </c>
      <c r="DD143" s="408">
        <v>-2.3595017814327477</v>
      </c>
      <c r="DE143" s="408">
        <v>-0.27240246690391201</v>
      </c>
      <c r="DF143" s="408">
        <v>0</v>
      </c>
      <c r="DG143" s="408">
        <v>-9.1216041538165484</v>
      </c>
      <c r="DH143" s="408">
        <v>0</v>
      </c>
      <c r="DI143" s="408">
        <v>6.8357483699348052</v>
      </c>
      <c r="DJ143" s="408"/>
      <c r="DK143" s="408">
        <v>0</v>
      </c>
      <c r="DL143" s="408">
        <v>0</v>
      </c>
      <c r="DM143" s="408">
        <v>0.34418333983238725</v>
      </c>
      <c r="DN143" s="408">
        <v>0</v>
      </c>
      <c r="DO143" s="408">
        <v>0.93632365804758422</v>
      </c>
      <c r="DP143" s="408">
        <v>0.18286982181793121</v>
      </c>
      <c r="DQ143" s="408">
        <v>0</v>
      </c>
      <c r="DR143" s="408">
        <v>0</v>
      </c>
      <c r="DS143" s="408"/>
      <c r="DT143" s="408"/>
      <c r="DU143" s="408"/>
      <c r="DV143" s="408">
        <v>-1390.8304165126237</v>
      </c>
      <c r="DW143" s="408">
        <v>0</v>
      </c>
      <c r="DX143" s="408">
        <v>0</v>
      </c>
      <c r="DY143" s="408">
        <v>728.24175000000014</v>
      </c>
      <c r="DZ143" s="408">
        <v>-81.05174999999997</v>
      </c>
      <c r="EA143" s="408">
        <v>0</v>
      </c>
      <c r="EB143" s="408">
        <v>0</v>
      </c>
      <c r="EC143" s="408">
        <v>736.37097000981578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239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143</v>
      </c>
      <c r="B144" s="408" t="s">
        <v>2236</v>
      </c>
      <c r="C144" s="408" t="s">
        <v>2233</v>
      </c>
      <c r="D144" s="408" t="s">
        <v>2243</v>
      </c>
      <c r="E144" s="408" t="s">
        <v>972</v>
      </c>
      <c r="F144" s="408" t="s">
        <v>1320</v>
      </c>
      <c r="G144" s="408" t="s">
        <v>1320</v>
      </c>
      <c r="H144" s="408" t="s">
        <v>1320</v>
      </c>
      <c r="I144" s="408" t="s">
        <v>1320</v>
      </c>
      <c r="J144" s="408" t="s">
        <v>2234</v>
      </c>
      <c r="K144" s="827">
        <v>44440</v>
      </c>
      <c r="L144" s="408">
        <v>0</v>
      </c>
      <c r="M144" s="408">
        <v>0</v>
      </c>
      <c r="N144" s="408">
        <v>31.346</v>
      </c>
      <c r="O144" s="408">
        <v>31.346</v>
      </c>
      <c r="P144" s="408">
        <v>31.346</v>
      </c>
      <c r="Q144" s="408">
        <v>31.346</v>
      </c>
      <c r="R144" s="408"/>
      <c r="S144" s="408">
        <v>516.83000000000004</v>
      </c>
      <c r="T144" s="408">
        <v>173.82</v>
      </c>
      <c r="U144" s="408"/>
      <c r="V144" s="408">
        <v>21649.1149</v>
      </c>
      <c r="W144" s="408">
        <v>21649.1149</v>
      </c>
      <c r="X144" s="408">
        <v>16345.3717</v>
      </c>
      <c r="Y144" s="408">
        <v>0</v>
      </c>
      <c r="Z144" s="408">
        <v>1916.7908401910108</v>
      </c>
      <c r="AA144" s="408">
        <v>0</v>
      </c>
      <c r="AB144" s="408">
        <v>0</v>
      </c>
      <c r="AC144" s="408">
        <v>85.212347924510212</v>
      </c>
      <c r="AD144" s="408">
        <v>1079.1365647706807</v>
      </c>
      <c r="AE144" s="408">
        <v>11397.900715295347</v>
      </c>
      <c r="AF144" s="408">
        <v>5044.2652606819465</v>
      </c>
      <c r="AG144" s="408">
        <v>253.7729965797237</v>
      </c>
      <c r="AH144" s="408">
        <v>0</v>
      </c>
      <c r="AI144" s="408">
        <v>0</v>
      </c>
      <c r="AJ144" s="408">
        <v>0</v>
      </c>
      <c r="AK144" s="408">
        <v>0</v>
      </c>
      <c r="AL144" s="408">
        <v>296.26661422973268</v>
      </c>
      <c r="AM144" s="408"/>
      <c r="AN144" s="408">
        <v>48.634634743638379</v>
      </c>
      <c r="AO144" s="408">
        <v>181.75989946077951</v>
      </c>
      <c r="AP144" s="408">
        <v>595.23909468453257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17.391156294115316</v>
      </c>
      <c r="BF144" s="408">
        <v>150.63910662605971</v>
      </c>
      <c r="BG144" s="408">
        <v>582.35611921984309</v>
      </c>
      <c r="BH144" s="408">
        <v>0</v>
      </c>
      <c r="BI144" s="408">
        <v>78.900000000000006</v>
      </c>
      <c r="BJ144" s="408">
        <v>368.65</v>
      </c>
      <c r="BK144" s="408">
        <v>1491.45</v>
      </c>
      <c r="BL144" s="408">
        <v>159</v>
      </c>
      <c r="BM144" s="408"/>
      <c r="BN144" s="408"/>
      <c r="BO144" s="408"/>
      <c r="BP144" s="408"/>
      <c r="BQ144" s="408"/>
      <c r="BR144" s="408">
        <v>1961.3192199999999</v>
      </c>
      <c r="BS144" s="408"/>
      <c r="BT144" s="408"/>
      <c r="BU144" s="408"/>
      <c r="BV144" s="408">
        <v>5794.6516428219647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14385.887999999999</v>
      </c>
      <c r="CJ144" s="408">
        <v>-4665.3004200000032</v>
      </c>
      <c r="CK144" s="408"/>
      <c r="CL144" s="408"/>
      <c r="CM144" s="408"/>
      <c r="CN144" s="408"/>
      <c r="CO144" s="408">
        <v>-5967.9649400000017</v>
      </c>
      <c r="CP144" s="408">
        <v>664.22173999999995</v>
      </c>
      <c r="CQ144" s="408">
        <v>30</v>
      </c>
      <c r="CR144" s="408">
        <v>730.54608357309553</v>
      </c>
      <c r="CS144" s="408">
        <v>17.647737929870971</v>
      </c>
      <c r="CT144" s="408">
        <v>57.793955541179912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-20.69158890503013</v>
      </c>
      <c r="DA144" s="408">
        <v>0</v>
      </c>
      <c r="DB144" s="408">
        <v>0</v>
      </c>
      <c r="DC144" s="408">
        <v>647.48719569213245</v>
      </c>
      <c r="DD144" s="408">
        <v>19.336194206742704</v>
      </c>
      <c r="DE144" s="408">
        <v>2.2323471183189625</v>
      </c>
      <c r="DF144" s="408">
        <v>0</v>
      </c>
      <c r="DG144" s="408">
        <v>74.751844132165616</v>
      </c>
      <c r="DH144" s="408">
        <v>0</v>
      </c>
      <c r="DI144" s="408">
        <v>-56.019181282085356</v>
      </c>
      <c r="DJ144" s="408"/>
      <c r="DK144" s="408">
        <v>0</v>
      </c>
      <c r="DL144" s="408">
        <v>0</v>
      </c>
      <c r="DM144" s="408">
        <v>-2.8205937177479825</v>
      </c>
      <c r="DN144" s="408">
        <v>0</v>
      </c>
      <c r="DO144" s="408">
        <v>-7.6732029765123002</v>
      </c>
      <c r="DP144" s="408">
        <v>-1.4986241659359152</v>
      </c>
      <c r="DQ144" s="408">
        <v>0</v>
      </c>
      <c r="DR144" s="408">
        <v>0</v>
      </c>
      <c r="DS144" s="408"/>
      <c r="DT144" s="408"/>
      <c r="DU144" s="408"/>
      <c r="DV144" s="408">
        <v>11397.900715295347</v>
      </c>
      <c r="DW144" s="408">
        <v>0</v>
      </c>
      <c r="DX144" s="408">
        <v>0</v>
      </c>
      <c r="DY144" s="408">
        <v>-5967.9649400000017</v>
      </c>
      <c r="DZ144" s="408">
        <v>664.22173999999995</v>
      </c>
      <c r="EA144" s="408">
        <v>0</v>
      </c>
      <c r="EB144" s="408">
        <v>0</v>
      </c>
      <c r="EC144" s="408">
        <v>-6034.5841636412242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239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144</v>
      </c>
      <c r="B145" s="408" t="s">
        <v>2236</v>
      </c>
      <c r="C145" s="408" t="s">
        <v>2233</v>
      </c>
      <c r="D145" s="408" t="s">
        <v>2243</v>
      </c>
      <c r="E145" s="408" t="s">
        <v>972</v>
      </c>
      <c r="F145" s="408" t="s">
        <v>1320</v>
      </c>
      <c r="G145" s="408" t="s">
        <v>1320</v>
      </c>
      <c r="H145" s="408" t="s">
        <v>1320</v>
      </c>
      <c r="I145" s="408" t="s">
        <v>1320</v>
      </c>
      <c r="J145" s="408" t="s">
        <v>2234</v>
      </c>
      <c r="K145" s="827">
        <v>44440</v>
      </c>
      <c r="L145" s="408">
        <v>0</v>
      </c>
      <c r="M145" s="408">
        <v>0</v>
      </c>
      <c r="N145" s="408">
        <v>0</v>
      </c>
      <c r="O145" s="408">
        <v>0</v>
      </c>
      <c r="P145" s="408">
        <v>0</v>
      </c>
      <c r="Q145" s="408">
        <v>0</v>
      </c>
      <c r="R145" s="408"/>
      <c r="S145" s="408"/>
      <c r="T145" s="408"/>
      <c r="U145" s="408"/>
      <c r="V145" s="408"/>
      <c r="W145" s="408"/>
      <c r="X145" s="408"/>
      <c r="Y145" s="408"/>
      <c r="Z145" s="408"/>
      <c r="AA145" s="408">
        <v>0</v>
      </c>
      <c r="AB145" s="408"/>
      <c r="AC145" s="408"/>
      <c r="AD145" s="408"/>
      <c r="AE145" s="408"/>
      <c r="AF145" s="408"/>
      <c r="AG145" s="408"/>
      <c r="AH145" s="408"/>
      <c r="AI145" s="408"/>
      <c r="AJ145" s="408"/>
      <c r="AK145" s="408"/>
      <c r="AL145" s="408"/>
      <c r="AM145" s="408"/>
      <c r="AN145" s="408"/>
      <c r="AO145" s="408"/>
      <c r="AP145" s="408"/>
      <c r="AQ145" s="408"/>
      <c r="AR145" s="408"/>
      <c r="AS145" s="408"/>
      <c r="AT145" s="408"/>
      <c r="AU145" s="408"/>
      <c r="AV145" s="408"/>
      <c r="AW145" s="408"/>
      <c r="AX145" s="408"/>
      <c r="AY145" s="408"/>
      <c r="AZ145" s="408">
        <v>0</v>
      </c>
      <c r="BA145" s="408"/>
      <c r="BB145" s="408"/>
      <c r="BC145" s="408"/>
      <c r="BD145" s="408"/>
      <c r="BE145" s="408"/>
      <c r="BF145" s="408"/>
      <c r="BG145" s="408"/>
      <c r="BH145" s="408"/>
      <c r="BI145" s="408">
        <v>0</v>
      </c>
      <c r="BJ145" s="408">
        <v>0</v>
      </c>
      <c r="BK145" s="408">
        <v>0</v>
      </c>
      <c r="BL145" s="408">
        <v>2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/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/>
      <c r="CJ145" s="408">
        <v>-0.03</v>
      </c>
      <c r="CK145" s="408"/>
      <c r="CL145" s="408"/>
      <c r="CM145" s="408"/>
      <c r="CN145" s="408"/>
      <c r="CO145" s="408">
        <v>0</v>
      </c>
      <c r="CP145" s="408">
        <v>0</v>
      </c>
      <c r="CQ145" s="408">
        <v>30</v>
      </c>
      <c r="CR145" s="408"/>
      <c r="CS145" s="408"/>
      <c r="CT145" s="408"/>
      <c r="CU145" s="408"/>
      <c r="CV145" s="408"/>
      <c r="CW145" s="408"/>
      <c r="CX145" s="408"/>
      <c r="CY145" s="408"/>
      <c r="CZ145" s="408"/>
      <c r="DA145" s="408"/>
      <c r="DB145" s="408"/>
      <c r="DC145" s="408"/>
      <c r="DD145" s="408"/>
      <c r="DE145" s="408"/>
      <c r="DF145" s="408"/>
      <c r="DG145" s="408"/>
      <c r="DH145" s="408"/>
      <c r="DI145" s="408"/>
      <c r="DJ145" s="408"/>
      <c r="DK145" s="408">
        <v>0</v>
      </c>
      <c r="DL145" s="408"/>
      <c r="DM145" s="408"/>
      <c r="DN145" s="408"/>
      <c r="DO145" s="408"/>
      <c r="DP145" s="408"/>
      <c r="DQ145" s="408"/>
      <c r="DR145" s="408"/>
      <c r="DS145" s="408"/>
      <c r="DT145" s="408"/>
      <c r="DU145" s="408"/>
      <c r="DV145" s="408"/>
      <c r="DW145" s="408"/>
      <c r="DX145" s="408"/>
      <c r="DY145" s="408"/>
      <c r="DZ145" s="408"/>
      <c r="EA145" s="408"/>
      <c r="EB145" s="408"/>
      <c r="EC145" s="408"/>
      <c r="ED145" s="408"/>
      <c r="EE145" s="408"/>
      <c r="EF145" s="408"/>
      <c r="EG145" s="408"/>
      <c r="EH145" s="408"/>
      <c r="EI145" s="408"/>
      <c r="EJ145" s="408"/>
      <c r="EK145" s="408"/>
      <c r="EL145" s="408"/>
      <c r="EM145" s="408"/>
      <c r="EN145" s="408"/>
      <c r="EO145" s="408"/>
      <c r="EP145" s="408"/>
      <c r="EQ145" s="408"/>
      <c r="ER145" s="408"/>
      <c r="ES145" s="408"/>
      <c r="ET145" s="408"/>
      <c r="EU145" s="408"/>
      <c r="EV145" s="408">
        <v>239</v>
      </c>
      <c r="EW145" s="408"/>
      <c r="EX145" s="408"/>
      <c r="EY145" s="408"/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145</v>
      </c>
      <c r="B146" s="408" t="s">
        <v>1034</v>
      </c>
      <c r="C146" s="408" t="s">
        <v>2241</v>
      </c>
      <c r="D146" s="408" t="s">
        <v>596</v>
      </c>
      <c r="E146" s="408" t="s">
        <v>972</v>
      </c>
      <c r="F146" s="408" t="s">
        <v>1320</v>
      </c>
      <c r="G146" s="408" t="s">
        <v>1320</v>
      </c>
      <c r="H146" s="408" t="s">
        <v>1320</v>
      </c>
      <c r="I146" s="408" t="s">
        <v>971</v>
      </c>
      <c r="J146" s="408" t="s">
        <v>2234</v>
      </c>
      <c r="K146" s="827">
        <v>44440</v>
      </c>
      <c r="L146" s="408">
        <v>0</v>
      </c>
      <c r="M146" s="408">
        <v>0</v>
      </c>
      <c r="N146" s="408">
        <v>45.895000000000003</v>
      </c>
      <c r="O146" s="408">
        <v>44.059199999999997</v>
      </c>
      <c r="P146" s="408">
        <v>45.895000000000003</v>
      </c>
      <c r="Q146" s="408">
        <v>44.059199999999997</v>
      </c>
      <c r="R146" s="408"/>
      <c r="S146" s="408">
        <v>1684.16</v>
      </c>
      <c r="T146" s="408">
        <v>173.82</v>
      </c>
      <c r="U146" s="408"/>
      <c r="V146" s="408">
        <v>85271.992100000003</v>
      </c>
      <c r="W146" s="408">
        <v>85271.992100000003</v>
      </c>
      <c r="X146" s="408">
        <v>58537.236700000009</v>
      </c>
      <c r="Y146" s="408">
        <v>0</v>
      </c>
      <c r="Z146" s="408">
        <v>2441.6152166526167</v>
      </c>
      <c r="AA146" s="408">
        <v>0</v>
      </c>
      <c r="AB146" s="408">
        <v>0</v>
      </c>
      <c r="AC146" s="408">
        <v>826.08245656255633</v>
      </c>
      <c r="AD146" s="408">
        <v>12602.121219717523</v>
      </c>
      <c r="AE146" s="408">
        <v>53159.832244972866</v>
      </c>
      <c r="AF146" s="408">
        <v>7385.5214106743433</v>
      </c>
      <c r="AG146" s="408">
        <v>371.55974216890257</v>
      </c>
      <c r="AH146" s="408">
        <v>0</v>
      </c>
      <c r="AI146" s="408">
        <v>0</v>
      </c>
      <c r="AJ146" s="408">
        <v>0</v>
      </c>
      <c r="AK146" s="408">
        <v>0</v>
      </c>
      <c r="AL146" s="408">
        <v>433.77643910143502</v>
      </c>
      <c r="AM146" s="408"/>
      <c r="AN146" s="408">
        <v>57.035123901326692</v>
      </c>
      <c r="AO146" s="408">
        <v>1774.1237118563697</v>
      </c>
      <c r="AP146" s="408">
        <v>5704.6875059475915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8.5637144054387999</v>
      </c>
      <c r="BF146" s="408">
        <v>220.55706624778315</v>
      </c>
      <c r="BG146" s="408">
        <v>286.76250175187658</v>
      </c>
      <c r="BH146" s="408">
        <v>0</v>
      </c>
      <c r="BI146" s="408">
        <v>0</v>
      </c>
      <c r="BJ146" s="408">
        <v>0</v>
      </c>
      <c r="BK146" s="408">
        <v>0</v>
      </c>
      <c r="BL146" s="408">
        <v>0</v>
      </c>
      <c r="BM146" s="408"/>
      <c r="BN146" s="408"/>
      <c r="BO146" s="408"/>
      <c r="BP146" s="408"/>
      <c r="BQ146" s="408"/>
      <c r="BR146" s="408">
        <v>2341.4894680000079</v>
      </c>
      <c r="BS146" s="408"/>
      <c r="BT146" s="408"/>
      <c r="BU146" s="408"/>
      <c r="BV146" s="408">
        <v>7901.404693079442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56196.767600000006</v>
      </c>
      <c r="CJ146" s="408">
        <v>-25664.374815999981</v>
      </c>
      <c r="CK146" s="408"/>
      <c r="CL146" s="408"/>
      <c r="CM146" s="408"/>
      <c r="CN146" s="408"/>
      <c r="CO146" s="408">
        <v>-27707.270450000004</v>
      </c>
      <c r="CP146" s="408">
        <v>972.51504999999997</v>
      </c>
      <c r="CQ146" s="408">
        <v>30</v>
      </c>
      <c r="CR146" s="408">
        <v>1410.262921037247</v>
      </c>
      <c r="CS146" s="408">
        <v>172.25620400811431</v>
      </c>
      <c r="CT146" s="408">
        <v>553.88911622109572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-241.63569294420085</v>
      </c>
      <c r="DA146" s="408">
        <v>0</v>
      </c>
      <c r="DB146" s="408">
        <v>0</v>
      </c>
      <c r="DC146" s="408">
        <v>948.0132982291334</v>
      </c>
      <c r="DD146" s="408">
        <v>28.310937061138816</v>
      </c>
      <c r="DE146" s="408">
        <v>1.0992473905577462</v>
      </c>
      <c r="DF146" s="408">
        <v>0</v>
      </c>
      <c r="DG146" s="408">
        <v>36.809136414026284</v>
      </c>
      <c r="DH146" s="408">
        <v>0</v>
      </c>
      <c r="DI146" s="408">
        <v>-71.357438993778487</v>
      </c>
      <c r="DJ146" s="408"/>
      <c r="DK146" s="408">
        <v>0</v>
      </c>
      <c r="DL146" s="408">
        <v>0</v>
      </c>
      <c r="DM146" s="408">
        <v>-4.1297501651261541</v>
      </c>
      <c r="DN146" s="408">
        <v>0</v>
      </c>
      <c r="DO146" s="408">
        <v>-11.234659944076839</v>
      </c>
      <c r="DP146" s="408">
        <v>-1.7574762396435659</v>
      </c>
      <c r="DQ146" s="408">
        <v>0</v>
      </c>
      <c r="DR146" s="408">
        <v>0</v>
      </c>
      <c r="DS146" s="408"/>
      <c r="DT146" s="408"/>
      <c r="DU146" s="408"/>
      <c r="DV146" s="408">
        <v>53159.832244972866</v>
      </c>
      <c r="DW146" s="408">
        <v>0</v>
      </c>
      <c r="DX146" s="408">
        <v>0</v>
      </c>
      <c r="DY146" s="408">
        <v>-27707.270450000004</v>
      </c>
      <c r="DZ146" s="408">
        <v>972.51504999999997</v>
      </c>
      <c r="EA146" s="408">
        <v>0</v>
      </c>
      <c r="EB146" s="408">
        <v>0</v>
      </c>
      <c r="EC146" s="408">
        <v>-28145.312880015244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239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146</v>
      </c>
      <c r="B147" s="408" t="s">
        <v>2236</v>
      </c>
      <c r="C147" s="408" t="s">
        <v>2241</v>
      </c>
      <c r="D147" s="408" t="s">
        <v>596</v>
      </c>
      <c r="E147" s="408" t="s">
        <v>972</v>
      </c>
      <c r="F147" s="408" t="s">
        <v>1320</v>
      </c>
      <c r="G147" s="408" t="s">
        <v>1320</v>
      </c>
      <c r="H147" s="408" t="s">
        <v>1320</v>
      </c>
      <c r="I147" s="408" t="s">
        <v>971</v>
      </c>
      <c r="J147" s="408" t="s">
        <v>2234</v>
      </c>
      <c r="K147" s="827">
        <v>44440</v>
      </c>
      <c r="L147" s="408">
        <v>0</v>
      </c>
      <c r="M147" s="408">
        <v>0</v>
      </c>
      <c r="N147" s="408">
        <v>3.6840000000000002</v>
      </c>
      <c r="O147" s="408">
        <v>3.5366399999999998</v>
      </c>
      <c r="P147" s="408">
        <v>3.6840000000000002</v>
      </c>
      <c r="Q147" s="408">
        <v>3.5366399999999998</v>
      </c>
      <c r="R147" s="408"/>
      <c r="S147" s="408">
        <v>1684.16</v>
      </c>
      <c r="T147" s="408">
        <v>173.82</v>
      </c>
      <c r="U147" s="408"/>
      <c r="V147" s="408">
        <v>6844.7983200000008</v>
      </c>
      <c r="W147" s="408">
        <v>6844.7983200000008</v>
      </c>
      <c r="X147" s="408">
        <v>4698.7946400000001</v>
      </c>
      <c r="Y147" s="408">
        <v>0</v>
      </c>
      <c r="Z147" s="408">
        <v>195.98889766092691</v>
      </c>
      <c r="AA147" s="408">
        <v>0</v>
      </c>
      <c r="AB147" s="408">
        <v>0</v>
      </c>
      <c r="AC147" s="408">
        <v>66.309789083265215</v>
      </c>
      <c r="AD147" s="408">
        <v>1011.5745630992342</v>
      </c>
      <c r="AE147" s="408">
        <v>4267.1494060459754</v>
      </c>
      <c r="AF147" s="408">
        <v>592.83714733466127</v>
      </c>
      <c r="AG147" s="408">
        <v>29.82516810437383</v>
      </c>
      <c r="AH147" s="408">
        <v>0</v>
      </c>
      <c r="AI147" s="408">
        <v>0</v>
      </c>
      <c r="AJ147" s="408">
        <v>0</v>
      </c>
      <c r="AK147" s="408">
        <v>0</v>
      </c>
      <c r="AL147" s="408">
        <v>34.819313686669283</v>
      </c>
      <c r="AM147" s="408"/>
      <c r="AN147" s="408">
        <v>4.5782197723605522</v>
      </c>
      <c r="AO147" s="408">
        <v>142.40923312951008</v>
      </c>
      <c r="AP147" s="408">
        <v>457.91630399631606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0.68741091338133864</v>
      </c>
      <c r="BF147" s="408">
        <v>17.704155835207171</v>
      </c>
      <c r="BG147" s="408">
        <v>23.018478188341071</v>
      </c>
      <c r="BH147" s="408">
        <v>0</v>
      </c>
      <c r="BI147" s="408">
        <v>0</v>
      </c>
      <c r="BJ147" s="408">
        <v>0</v>
      </c>
      <c r="BK147" s="408">
        <v>0</v>
      </c>
      <c r="BL147" s="408">
        <v>0</v>
      </c>
      <c r="BM147" s="408"/>
      <c r="BN147" s="408"/>
      <c r="BO147" s="408"/>
      <c r="BP147" s="408"/>
      <c r="BQ147" s="408"/>
      <c r="BR147" s="408">
        <v>187.95178560000048</v>
      </c>
      <c r="BS147" s="408"/>
      <c r="BT147" s="408"/>
      <c r="BU147" s="408"/>
      <c r="BV147" s="408">
        <v>634.24719227159085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4515.1283999999996</v>
      </c>
      <c r="CJ147" s="408">
        <v>-2055.9079872000002</v>
      </c>
      <c r="CK147" s="408"/>
      <c r="CL147" s="408"/>
      <c r="CM147" s="408"/>
      <c r="CN147" s="408"/>
      <c r="CO147" s="408">
        <v>-2224.0676400000002</v>
      </c>
      <c r="CP147" s="408">
        <v>78.063959999999994</v>
      </c>
      <c r="CQ147" s="408">
        <v>30</v>
      </c>
      <c r="CR147" s="408">
        <v>113.20206125070717</v>
      </c>
      <c r="CS147" s="408">
        <v>13.827036835513525</v>
      </c>
      <c r="CT147" s="408">
        <v>44.46078013200821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-19.396141035111327</v>
      </c>
      <c r="DA147" s="408">
        <v>0</v>
      </c>
      <c r="DB147" s="408">
        <v>0</v>
      </c>
      <c r="DC147" s="408">
        <v>76.097199927576526</v>
      </c>
      <c r="DD147" s="408">
        <v>2.2725240687054225</v>
      </c>
      <c r="DE147" s="408">
        <v>8.8236788033875913E-2</v>
      </c>
      <c r="DF147" s="408">
        <v>0</v>
      </c>
      <c r="DG147" s="408">
        <v>2.9546760768988491</v>
      </c>
      <c r="DH147" s="408">
        <v>0</v>
      </c>
      <c r="DI147" s="408">
        <v>-5.727874610591158</v>
      </c>
      <c r="DJ147" s="408"/>
      <c r="DK147" s="408">
        <v>0</v>
      </c>
      <c r="DL147" s="408">
        <v>0</v>
      </c>
      <c r="DM147" s="408">
        <v>-0.33149579710915589</v>
      </c>
      <c r="DN147" s="408">
        <v>0</v>
      </c>
      <c r="DO147" s="408">
        <v>-0.90180819771171628</v>
      </c>
      <c r="DP147" s="408">
        <v>-0.14107293750619743</v>
      </c>
      <c r="DQ147" s="408">
        <v>0</v>
      </c>
      <c r="DR147" s="408">
        <v>0</v>
      </c>
      <c r="DS147" s="408"/>
      <c r="DT147" s="408"/>
      <c r="DU147" s="408"/>
      <c r="DV147" s="408">
        <v>4267.1494060459754</v>
      </c>
      <c r="DW147" s="408">
        <v>0</v>
      </c>
      <c r="DX147" s="408">
        <v>0</v>
      </c>
      <c r="DY147" s="408">
        <v>-2224.0676400000002</v>
      </c>
      <c r="DZ147" s="408">
        <v>78.063959999999952</v>
      </c>
      <c r="EA147" s="408">
        <v>0</v>
      </c>
      <c r="EB147" s="408">
        <v>0</v>
      </c>
      <c r="EC147" s="408">
        <v>-2259.2293855534626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239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147</v>
      </c>
      <c r="B148" s="408" t="s">
        <v>1034</v>
      </c>
      <c r="C148" s="408" t="s">
        <v>2241</v>
      </c>
      <c r="D148" s="408" t="s">
        <v>596</v>
      </c>
      <c r="E148" s="408" t="s">
        <v>972</v>
      </c>
      <c r="F148" s="408" t="s">
        <v>1320</v>
      </c>
      <c r="G148" s="408" t="s">
        <v>1320</v>
      </c>
      <c r="H148" s="408" t="s">
        <v>1320</v>
      </c>
      <c r="I148" s="408" t="s">
        <v>2242</v>
      </c>
      <c r="J148" s="408" t="s">
        <v>2234</v>
      </c>
      <c r="K148" s="827">
        <v>44440</v>
      </c>
      <c r="L148" s="408">
        <v>0</v>
      </c>
      <c r="M148" s="408">
        <v>0</v>
      </c>
      <c r="N148" s="408">
        <v>506.72899999999998</v>
      </c>
      <c r="O148" s="408">
        <v>486.45983999999999</v>
      </c>
      <c r="P148" s="408">
        <v>506.72899999999998</v>
      </c>
      <c r="Q148" s="408">
        <v>486.45983999999999</v>
      </c>
      <c r="R148" s="408"/>
      <c r="S148" s="408">
        <v>70.33</v>
      </c>
      <c r="T148" s="408">
        <v>173.82</v>
      </c>
      <c r="U148" s="408"/>
      <c r="V148" s="408">
        <v>123717.88535</v>
      </c>
      <c r="W148" s="408">
        <v>123717.88535</v>
      </c>
      <c r="X148" s="408">
        <v>133943.67656999998</v>
      </c>
      <c r="Y148" s="408">
        <v>0</v>
      </c>
      <c r="Z148" s="408">
        <v>26957.996233122645</v>
      </c>
      <c r="AA148" s="408">
        <v>0</v>
      </c>
      <c r="AB148" s="408">
        <v>0</v>
      </c>
      <c r="AC148" s="408">
        <v>0</v>
      </c>
      <c r="AD148" s="408">
        <v>0</v>
      </c>
      <c r="AE148" s="408">
        <v>0</v>
      </c>
      <c r="AF148" s="408">
        <v>81543.912820777841</v>
      </c>
      <c r="AG148" s="408">
        <v>4102.4097742565818</v>
      </c>
      <c r="AH148" s="408">
        <v>0</v>
      </c>
      <c r="AI148" s="408">
        <v>0</v>
      </c>
      <c r="AJ148" s="408">
        <v>0</v>
      </c>
      <c r="AK148" s="408">
        <v>0</v>
      </c>
      <c r="AL148" s="408">
        <v>4789.3474498187397</v>
      </c>
      <c r="AM148" s="408"/>
      <c r="AN148" s="408">
        <v>629.72766748873232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94.552400848754701</v>
      </c>
      <c r="BF148" s="408">
        <v>2435.1816455533913</v>
      </c>
      <c r="BG148" s="408">
        <v>3166.1591840119113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/>
      <c r="BR148" s="408">
        <v>5357.7470627999992</v>
      </c>
      <c r="BS148" s="408"/>
      <c r="BT148" s="408"/>
      <c r="BU148" s="408"/>
      <c r="BV148" s="408">
        <v>87239.806051191888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128585.9718</v>
      </c>
      <c r="CJ148" s="408">
        <v>9816.7718639999948</v>
      </c>
      <c r="CK148" s="408"/>
      <c r="CL148" s="408"/>
      <c r="CM148" s="408"/>
      <c r="CN148" s="408"/>
      <c r="CO148" s="408">
        <v>-511.79629000000256</v>
      </c>
      <c r="CP148" s="408">
        <v>10737.587509999999</v>
      </c>
      <c r="CQ148" s="408">
        <v>30</v>
      </c>
      <c r="CR148" s="408">
        <v>10221.288610737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0</v>
      </c>
      <c r="DA148" s="408">
        <v>0</v>
      </c>
      <c r="DB148" s="408">
        <v>0</v>
      </c>
      <c r="DC148" s="408">
        <v>10467.062438138135</v>
      </c>
      <c r="DD148" s="408">
        <v>312.58247796173464</v>
      </c>
      <c r="DE148" s="408">
        <v>12.136845647018973</v>
      </c>
      <c r="DF148" s="408">
        <v>0</v>
      </c>
      <c r="DG148" s="408">
        <v>406.41152382488553</v>
      </c>
      <c r="DH148" s="408">
        <v>0</v>
      </c>
      <c r="DI148" s="408">
        <v>-787.86106773893698</v>
      </c>
      <c r="DJ148" s="408"/>
      <c r="DK148" s="408">
        <v>0</v>
      </c>
      <c r="DL148" s="408">
        <v>0</v>
      </c>
      <c r="DM148" s="408">
        <v>-45.596778982987871</v>
      </c>
      <c r="DN148" s="408">
        <v>0</v>
      </c>
      <c r="DO148" s="408">
        <v>-124.04244468465276</v>
      </c>
      <c r="DP148" s="408">
        <v>-19.404383428224151</v>
      </c>
      <c r="DQ148" s="408">
        <v>0</v>
      </c>
      <c r="DR148" s="408">
        <v>0</v>
      </c>
      <c r="DS148" s="408"/>
      <c r="DT148" s="408"/>
      <c r="DU148" s="408"/>
      <c r="DV148" s="408">
        <v>0</v>
      </c>
      <c r="DW148" s="408">
        <v>0</v>
      </c>
      <c r="DX148" s="408">
        <v>0</v>
      </c>
      <c r="DY148" s="408">
        <v>-511.79628999999841</v>
      </c>
      <c r="DZ148" s="408">
        <v>10737.587509999998</v>
      </c>
      <c r="EA148" s="408">
        <v>0</v>
      </c>
      <c r="EB148" s="408">
        <v>0</v>
      </c>
      <c r="EC148" s="408">
        <v>0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239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148</v>
      </c>
      <c r="B149" s="408" t="s">
        <v>2236</v>
      </c>
      <c r="C149" s="408" t="s">
        <v>2241</v>
      </c>
      <c r="D149" s="408" t="s">
        <v>596</v>
      </c>
      <c r="E149" s="408" t="s">
        <v>972</v>
      </c>
      <c r="F149" s="408" t="s">
        <v>1320</v>
      </c>
      <c r="G149" s="408" t="s">
        <v>1320</v>
      </c>
      <c r="H149" s="408" t="s">
        <v>1320</v>
      </c>
      <c r="I149" s="408" t="s">
        <v>2242</v>
      </c>
      <c r="J149" s="408" t="s">
        <v>2234</v>
      </c>
      <c r="K149" s="827">
        <v>44440</v>
      </c>
      <c r="L149" s="408">
        <v>0</v>
      </c>
      <c r="M149" s="408">
        <v>0</v>
      </c>
      <c r="N149" s="408">
        <v>29.379000000000001</v>
      </c>
      <c r="O149" s="408">
        <v>28.20384</v>
      </c>
      <c r="P149" s="408">
        <v>29.379000000000001</v>
      </c>
      <c r="Q149" s="408">
        <v>28.20384</v>
      </c>
      <c r="R149" s="408"/>
      <c r="S149" s="408">
        <v>70.33</v>
      </c>
      <c r="T149" s="408">
        <v>173.82</v>
      </c>
      <c r="U149" s="408"/>
      <c r="V149" s="408">
        <v>7172.88285</v>
      </c>
      <c r="W149" s="408">
        <v>7172.88285</v>
      </c>
      <c r="X149" s="408">
        <v>7765.7510700000003</v>
      </c>
      <c r="Y149" s="408">
        <v>0</v>
      </c>
      <c r="Z149" s="408">
        <v>1562.9635788220335</v>
      </c>
      <c r="AA149" s="408">
        <v>0</v>
      </c>
      <c r="AB149" s="408">
        <v>0</v>
      </c>
      <c r="AC149" s="408">
        <v>0</v>
      </c>
      <c r="AD149" s="408">
        <v>0</v>
      </c>
      <c r="AE149" s="408">
        <v>0</v>
      </c>
      <c r="AF149" s="408">
        <v>4727.7314200719366</v>
      </c>
      <c r="AG149" s="408">
        <v>237.84842935352845</v>
      </c>
      <c r="AH149" s="408">
        <v>0</v>
      </c>
      <c r="AI149" s="408">
        <v>0</v>
      </c>
      <c r="AJ149" s="408">
        <v>0</v>
      </c>
      <c r="AK149" s="408">
        <v>0</v>
      </c>
      <c r="AL149" s="408">
        <v>277.67552030419563</v>
      </c>
      <c r="AM149" s="408"/>
      <c r="AN149" s="408">
        <v>36.510184226976293</v>
      </c>
      <c r="AO149" s="408">
        <v>0</v>
      </c>
      <c r="AP149" s="408">
        <v>0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5.481934099953949</v>
      </c>
      <c r="BF149" s="408">
        <v>141.18631766627348</v>
      </c>
      <c r="BG149" s="408">
        <v>183.56674014529651</v>
      </c>
      <c r="BH149" s="408">
        <v>0</v>
      </c>
      <c r="BI149" s="408">
        <v>0</v>
      </c>
      <c r="BJ149" s="408">
        <v>0</v>
      </c>
      <c r="BK149" s="408">
        <v>0</v>
      </c>
      <c r="BL149" s="408">
        <v>0</v>
      </c>
      <c r="BM149" s="408"/>
      <c r="BN149" s="408"/>
      <c r="BO149" s="408"/>
      <c r="BP149" s="408"/>
      <c r="BQ149" s="408"/>
      <c r="BR149" s="408">
        <v>310.63004280000041</v>
      </c>
      <c r="BS149" s="408"/>
      <c r="BT149" s="408"/>
      <c r="BU149" s="408"/>
      <c r="BV149" s="408">
        <v>5057.9664119834606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7454.1059999999989</v>
      </c>
      <c r="CJ149" s="408">
        <v>568.108463999999</v>
      </c>
      <c r="CK149" s="408"/>
      <c r="CL149" s="408"/>
      <c r="CM149" s="408"/>
      <c r="CN149" s="408"/>
      <c r="CO149" s="408">
        <v>-29.672790000000152</v>
      </c>
      <c r="CP149" s="408">
        <v>622.54100999999991</v>
      </c>
      <c r="CQ149" s="408">
        <v>30</v>
      </c>
      <c r="CR149" s="408">
        <v>592.60716891048651</v>
      </c>
      <c r="CS149" s="408">
        <v>0</v>
      </c>
      <c r="CT149" s="408">
        <v>0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0</v>
      </c>
      <c r="DA149" s="408">
        <v>0</v>
      </c>
      <c r="DB149" s="408">
        <v>0</v>
      </c>
      <c r="DC149" s="408">
        <v>606.85657890126822</v>
      </c>
      <c r="DD149" s="408">
        <v>18.122824271035995</v>
      </c>
      <c r="DE149" s="408">
        <v>0.70366682835158567</v>
      </c>
      <c r="DF149" s="408">
        <v>0</v>
      </c>
      <c r="DG149" s="408">
        <v>23.562819886865185</v>
      </c>
      <c r="DH149" s="408">
        <v>0</v>
      </c>
      <c r="DI149" s="408">
        <v>-45.67840070156285</v>
      </c>
      <c r="DJ149" s="408"/>
      <c r="DK149" s="408">
        <v>0</v>
      </c>
      <c r="DL149" s="408">
        <v>0</v>
      </c>
      <c r="DM149" s="408">
        <v>-2.6435979976302519</v>
      </c>
      <c r="DN149" s="408">
        <v>0</v>
      </c>
      <c r="DO149" s="408">
        <v>-7.1917000653019159</v>
      </c>
      <c r="DP149" s="408">
        <v>-1.1250222125392426</v>
      </c>
      <c r="DQ149" s="408">
        <v>0</v>
      </c>
      <c r="DR149" s="408">
        <v>0</v>
      </c>
      <c r="DS149" s="408"/>
      <c r="DT149" s="408"/>
      <c r="DU149" s="408"/>
      <c r="DV149" s="408">
        <v>0</v>
      </c>
      <c r="DW149" s="408">
        <v>0</v>
      </c>
      <c r="DX149" s="408">
        <v>0</v>
      </c>
      <c r="DY149" s="408">
        <v>-29.672790000000077</v>
      </c>
      <c r="DZ149" s="408">
        <v>622.54100999999991</v>
      </c>
      <c r="EA149" s="408">
        <v>0</v>
      </c>
      <c r="EB149" s="408">
        <v>0</v>
      </c>
      <c r="EC149" s="408">
        <v>0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239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149</v>
      </c>
      <c r="B150" s="408" t="s">
        <v>1034</v>
      </c>
      <c r="C150" s="408" t="s">
        <v>2241</v>
      </c>
      <c r="D150" s="408" t="s">
        <v>596</v>
      </c>
      <c r="E150" s="408" t="s">
        <v>972</v>
      </c>
      <c r="F150" s="408" t="s">
        <v>1320</v>
      </c>
      <c r="G150" s="408" t="s">
        <v>1320</v>
      </c>
      <c r="H150" s="408" t="s">
        <v>1320</v>
      </c>
      <c r="I150" s="408" t="s">
        <v>1320</v>
      </c>
      <c r="J150" s="408" t="s">
        <v>2234</v>
      </c>
      <c r="K150" s="827">
        <v>44440</v>
      </c>
      <c r="L150" s="408">
        <v>2172</v>
      </c>
      <c r="M150" s="408">
        <v>2085.12</v>
      </c>
      <c r="N150" s="408">
        <v>0</v>
      </c>
      <c r="O150" s="408">
        <v>0</v>
      </c>
      <c r="P150" s="408">
        <v>0</v>
      </c>
      <c r="Q150" s="408">
        <v>0</v>
      </c>
      <c r="R150" s="408">
        <v>59.12</v>
      </c>
      <c r="S150" s="408"/>
      <c r="T150" s="408"/>
      <c r="U150" s="408">
        <v>128408.64</v>
      </c>
      <c r="V150" s="408"/>
      <c r="W150" s="408">
        <v>128408.64</v>
      </c>
      <c r="X150" s="408">
        <v>73913.16</v>
      </c>
      <c r="Y150" s="408">
        <v>0</v>
      </c>
      <c r="Z150" s="408">
        <v>0</v>
      </c>
      <c r="AA150" s="408">
        <v>0</v>
      </c>
      <c r="AB150" s="408">
        <v>0</v>
      </c>
      <c r="AC150" s="408">
        <v>1242.5151091607574</v>
      </c>
      <c r="AD150" s="408">
        <v>11114.173197353915</v>
      </c>
      <c r="AE150" s="408">
        <v>104607.42471832293</v>
      </c>
      <c r="AF150" s="408"/>
      <c r="AG150" s="408"/>
      <c r="AH150" s="408"/>
      <c r="AI150" s="408">
        <v>0</v>
      </c>
      <c r="AJ150" s="408">
        <v>0</v>
      </c>
      <c r="AK150" s="408">
        <v>0</v>
      </c>
      <c r="AL150" s="408">
        <v>0</v>
      </c>
      <c r="AM150" s="408"/>
      <c r="AN150" s="408">
        <v>0</v>
      </c>
      <c r="AO150" s="408">
        <v>2623.9326352788103</v>
      </c>
      <c r="AP150" s="408">
        <v>8820.4656406513095</v>
      </c>
      <c r="AQ150" s="408">
        <v>0</v>
      </c>
      <c r="AR150" s="408">
        <v>0</v>
      </c>
      <c r="AS150" s="408"/>
      <c r="AT150" s="408"/>
      <c r="AU150" s="408">
        <v>0</v>
      </c>
      <c r="AV150" s="408">
        <v>0</v>
      </c>
      <c r="AW150" s="408">
        <v>0</v>
      </c>
      <c r="AX150" s="408"/>
      <c r="AY150" s="408"/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/>
      <c r="BG150" s="408">
        <v>0</v>
      </c>
      <c r="BH150" s="408">
        <v>0</v>
      </c>
      <c r="BI150" s="408">
        <v>1344.12</v>
      </c>
      <c r="BJ150" s="408">
        <v>6394.21</v>
      </c>
      <c r="BK150" s="408">
        <v>8611.76</v>
      </c>
      <c r="BL150" s="408">
        <v>15</v>
      </c>
      <c r="BM150" s="408"/>
      <c r="BN150" s="408"/>
      <c r="BO150" s="408"/>
      <c r="BP150" s="408"/>
      <c r="BQ150" s="408"/>
      <c r="BR150" s="408">
        <v>2956.5264000000038</v>
      </c>
      <c r="BS150" s="408"/>
      <c r="BT150" s="408"/>
      <c r="BU150" s="408"/>
      <c r="BV150" s="408">
        <v>0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70956.633600000001</v>
      </c>
      <c r="CJ150" s="408">
        <v>-52315.690799999968</v>
      </c>
      <c r="CK150" s="408"/>
      <c r="CL150" s="408"/>
      <c r="CM150" s="408"/>
      <c r="CN150" s="408"/>
      <c r="CO150" s="408">
        <v>-54495.479999999989</v>
      </c>
      <c r="CP150" s="408">
        <v>0</v>
      </c>
      <c r="CQ150" s="408">
        <v>30</v>
      </c>
      <c r="CR150" s="408">
        <v>898.07330197615738</v>
      </c>
      <c r="CS150" s="408">
        <v>254.76728161938308</v>
      </c>
      <c r="CT150" s="408">
        <v>856.41148849354249</v>
      </c>
      <c r="CU150" s="408">
        <v>0</v>
      </c>
      <c r="CV150" s="408">
        <v>0</v>
      </c>
      <c r="CW150" s="408"/>
      <c r="CX150" s="408"/>
      <c r="CY150" s="408"/>
      <c r="CZ150" s="408">
        <v>-213.10546813676956</v>
      </c>
      <c r="DA150" s="408">
        <v>0</v>
      </c>
      <c r="DB150" s="408">
        <v>0</v>
      </c>
      <c r="DC150" s="408"/>
      <c r="DD150" s="408"/>
      <c r="DE150" s="408">
        <v>0</v>
      </c>
      <c r="DF150" s="408">
        <v>0</v>
      </c>
      <c r="DG150" s="408">
        <v>0</v>
      </c>
      <c r="DH150" s="408">
        <v>0</v>
      </c>
      <c r="DI150" s="408">
        <v>0</v>
      </c>
      <c r="DJ150" s="408"/>
      <c r="DK150" s="408">
        <v>0</v>
      </c>
      <c r="DL150" s="408">
        <v>0</v>
      </c>
      <c r="DM150" s="408"/>
      <c r="DN150" s="408">
        <v>0</v>
      </c>
      <c r="DO150" s="408">
        <v>0</v>
      </c>
      <c r="DP150" s="408">
        <v>0</v>
      </c>
      <c r="DQ150" s="408">
        <v>0</v>
      </c>
      <c r="DR150" s="408">
        <v>0</v>
      </c>
      <c r="DS150" s="408"/>
      <c r="DT150" s="408"/>
      <c r="DU150" s="408">
        <v>104607.42471832293</v>
      </c>
      <c r="DV150" s="408"/>
      <c r="DW150" s="408">
        <v>0</v>
      </c>
      <c r="DX150" s="408">
        <v>0</v>
      </c>
      <c r="DY150" s="408">
        <v>-54495.479999999996</v>
      </c>
      <c r="DZ150" s="408"/>
      <c r="EA150" s="408">
        <v>0</v>
      </c>
      <c r="EB150" s="408"/>
      <c r="EC150" s="408">
        <v>-55384.085576159217</v>
      </c>
      <c r="ED150" s="408"/>
      <c r="EE150" s="408">
        <v>0</v>
      </c>
      <c r="EF150" s="408">
        <v>0</v>
      </c>
      <c r="EG150" s="408"/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/>
      <c r="EN150" s="408"/>
      <c r="EO150" s="408">
        <v>0</v>
      </c>
      <c r="EP150" s="408">
        <v>0</v>
      </c>
      <c r="EQ150" s="408"/>
      <c r="ER150" s="408">
        <v>0</v>
      </c>
      <c r="ES150" s="408"/>
      <c r="ET150" s="408">
        <v>0</v>
      </c>
      <c r="EU150" s="408"/>
      <c r="EV150" s="408">
        <v>239</v>
      </c>
      <c r="EW150" s="408"/>
      <c r="EX150" s="408"/>
      <c r="EY150" s="408"/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150</v>
      </c>
      <c r="B151" s="408" t="s">
        <v>2236</v>
      </c>
      <c r="C151" s="408" t="s">
        <v>2241</v>
      </c>
      <c r="D151" s="408" t="s">
        <v>596</v>
      </c>
      <c r="E151" s="408" t="s">
        <v>972</v>
      </c>
      <c r="F151" s="408" t="s">
        <v>1320</v>
      </c>
      <c r="G151" s="408" t="s">
        <v>1320</v>
      </c>
      <c r="H151" s="408" t="s">
        <v>1320</v>
      </c>
      <c r="I151" s="408" t="s">
        <v>1320</v>
      </c>
      <c r="J151" s="408" t="s">
        <v>2234</v>
      </c>
      <c r="K151" s="827">
        <v>44440</v>
      </c>
      <c r="L151" s="408">
        <v>170</v>
      </c>
      <c r="M151" s="408">
        <v>163.19999999999999</v>
      </c>
      <c r="N151" s="408">
        <v>0</v>
      </c>
      <c r="O151" s="408">
        <v>0</v>
      </c>
      <c r="P151" s="408">
        <v>0</v>
      </c>
      <c r="Q151" s="408">
        <v>0</v>
      </c>
      <c r="R151" s="408">
        <v>59.12</v>
      </c>
      <c r="S151" s="408"/>
      <c r="T151" s="408"/>
      <c r="U151" s="408">
        <v>10050.4</v>
      </c>
      <c r="V151" s="408"/>
      <c r="W151" s="408">
        <v>10050.4</v>
      </c>
      <c r="X151" s="408">
        <v>5785.1</v>
      </c>
      <c r="Y151" s="408">
        <v>0</v>
      </c>
      <c r="Z151" s="408">
        <v>0</v>
      </c>
      <c r="AA151" s="408">
        <v>0</v>
      </c>
      <c r="AB151" s="408">
        <v>0</v>
      </c>
      <c r="AC151" s="408">
        <v>97.250261766725941</v>
      </c>
      <c r="AD151" s="408">
        <v>869.89385062162319</v>
      </c>
      <c r="AE151" s="408">
        <v>8187.5056179166195</v>
      </c>
      <c r="AF151" s="408"/>
      <c r="AG151" s="408"/>
      <c r="AH151" s="408"/>
      <c r="AI151" s="408">
        <v>0</v>
      </c>
      <c r="AJ151" s="408">
        <v>0</v>
      </c>
      <c r="AK151" s="408">
        <v>0</v>
      </c>
      <c r="AL151" s="408">
        <v>0</v>
      </c>
      <c r="AM151" s="408"/>
      <c r="AN151" s="408">
        <v>0</v>
      </c>
      <c r="AO151" s="408">
        <v>205.3722596673102</v>
      </c>
      <c r="AP151" s="408">
        <v>690.3679368833898</v>
      </c>
      <c r="AQ151" s="408">
        <v>0</v>
      </c>
      <c r="AR151" s="408">
        <v>0</v>
      </c>
      <c r="AS151" s="408"/>
      <c r="AT151" s="408"/>
      <c r="AU151" s="408">
        <v>0</v>
      </c>
      <c r="AV151" s="408">
        <v>0</v>
      </c>
      <c r="AW151" s="408">
        <v>0</v>
      </c>
      <c r="AX151" s="408"/>
      <c r="AY151" s="408"/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/>
      <c r="BG151" s="408">
        <v>0</v>
      </c>
      <c r="BH151" s="408">
        <v>0</v>
      </c>
      <c r="BI151" s="408">
        <v>93.61</v>
      </c>
      <c r="BJ151" s="408">
        <v>445.33</v>
      </c>
      <c r="BK151" s="408">
        <v>7.2</v>
      </c>
      <c r="BL151" s="408">
        <v>1</v>
      </c>
      <c r="BM151" s="408"/>
      <c r="BN151" s="408"/>
      <c r="BO151" s="408"/>
      <c r="BP151" s="408"/>
      <c r="BQ151" s="408"/>
      <c r="BR151" s="408">
        <v>231.40400000000039</v>
      </c>
      <c r="BS151" s="408"/>
      <c r="BT151" s="408"/>
      <c r="BU151" s="408"/>
      <c r="BV151" s="408">
        <v>0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5553.6959999999999</v>
      </c>
      <c r="CJ151" s="408">
        <v>-4094.7179999999989</v>
      </c>
      <c r="CK151" s="408"/>
      <c r="CL151" s="408"/>
      <c r="CM151" s="408"/>
      <c r="CN151" s="408"/>
      <c r="CO151" s="408">
        <v>-4265.2999999999993</v>
      </c>
      <c r="CP151" s="408">
        <v>0</v>
      </c>
      <c r="CQ151" s="408">
        <v>30</v>
      </c>
      <c r="CR151" s="408">
        <v>70.291188460380681</v>
      </c>
      <c r="CS151" s="408">
        <v>19.940348929693897</v>
      </c>
      <c r="CT151" s="408">
        <v>67.030365121501973</v>
      </c>
      <c r="CU151" s="408">
        <v>0</v>
      </c>
      <c r="CV151" s="408">
        <v>0</v>
      </c>
      <c r="CW151" s="408"/>
      <c r="CX151" s="408"/>
      <c r="CY151" s="408"/>
      <c r="CZ151" s="408">
        <v>-16.679525590815274</v>
      </c>
      <c r="DA151" s="408">
        <v>0</v>
      </c>
      <c r="DB151" s="408">
        <v>0</v>
      </c>
      <c r="DC151" s="408"/>
      <c r="DD151" s="408"/>
      <c r="DE151" s="408">
        <v>0</v>
      </c>
      <c r="DF151" s="408">
        <v>0</v>
      </c>
      <c r="DG151" s="408">
        <v>0</v>
      </c>
      <c r="DH151" s="408">
        <v>0</v>
      </c>
      <c r="DI151" s="408">
        <v>0</v>
      </c>
      <c r="DJ151" s="408"/>
      <c r="DK151" s="408">
        <v>0</v>
      </c>
      <c r="DL151" s="408">
        <v>0</v>
      </c>
      <c r="DM151" s="408"/>
      <c r="DN151" s="408">
        <v>0</v>
      </c>
      <c r="DO151" s="408">
        <v>0</v>
      </c>
      <c r="DP151" s="408">
        <v>0</v>
      </c>
      <c r="DQ151" s="408">
        <v>0</v>
      </c>
      <c r="DR151" s="408">
        <v>0</v>
      </c>
      <c r="DS151" s="408"/>
      <c r="DT151" s="408"/>
      <c r="DU151" s="408">
        <v>8187.5056179166195</v>
      </c>
      <c r="DV151" s="408"/>
      <c r="DW151" s="408">
        <v>0</v>
      </c>
      <c r="DX151" s="408">
        <v>0</v>
      </c>
      <c r="DY151" s="408">
        <v>-4265.2999999999993</v>
      </c>
      <c r="DZ151" s="408"/>
      <c r="EA151" s="408">
        <v>0</v>
      </c>
      <c r="EB151" s="408"/>
      <c r="EC151" s="408">
        <v>-4334.8501601966236</v>
      </c>
      <c r="ED151" s="408"/>
      <c r="EE151" s="408">
        <v>0</v>
      </c>
      <c r="EF151" s="408">
        <v>0</v>
      </c>
      <c r="EG151" s="408"/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/>
      <c r="EN151" s="408"/>
      <c r="EO151" s="408">
        <v>0</v>
      </c>
      <c r="EP151" s="408">
        <v>0</v>
      </c>
      <c r="EQ151" s="408"/>
      <c r="ER151" s="408">
        <v>0</v>
      </c>
      <c r="ES151" s="408"/>
      <c r="ET151" s="408">
        <v>0</v>
      </c>
      <c r="EU151" s="408"/>
      <c r="EV151" s="408">
        <v>239</v>
      </c>
      <c r="EW151" s="408"/>
      <c r="EX151" s="408"/>
      <c r="EY151" s="408"/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151</v>
      </c>
      <c r="B152" s="408" t="s">
        <v>1034</v>
      </c>
      <c r="C152" s="408" t="s">
        <v>2233</v>
      </c>
      <c r="D152" s="408" t="s">
        <v>1956</v>
      </c>
      <c r="E152" s="408" t="s">
        <v>2244</v>
      </c>
      <c r="F152" s="408" t="s">
        <v>1320</v>
      </c>
      <c r="G152" s="408" t="s">
        <v>1320</v>
      </c>
      <c r="H152" s="408" t="s">
        <v>1320</v>
      </c>
      <c r="I152" s="408" t="s">
        <v>1320</v>
      </c>
      <c r="J152" s="408" t="s">
        <v>2234</v>
      </c>
      <c r="K152" s="827">
        <v>44440</v>
      </c>
      <c r="L152" s="408">
        <v>0</v>
      </c>
      <c r="M152" s="408">
        <v>0</v>
      </c>
      <c r="N152" s="408">
        <v>182.65799999999999</v>
      </c>
      <c r="O152" s="408">
        <v>182.65799999999999</v>
      </c>
      <c r="P152" s="408">
        <v>182.65799999999999</v>
      </c>
      <c r="Q152" s="408">
        <v>182.65799999999999</v>
      </c>
      <c r="R152" s="408"/>
      <c r="S152" s="408">
        <v>516.83000000000004</v>
      </c>
      <c r="T152" s="408">
        <v>173.82</v>
      </c>
      <c r="U152" s="408"/>
      <c r="V152" s="408">
        <v>126152.74769999999</v>
      </c>
      <c r="W152" s="408">
        <v>126152.74769999999</v>
      </c>
      <c r="X152" s="408">
        <v>95247.0141</v>
      </c>
      <c r="Y152" s="408">
        <v>0</v>
      </c>
      <c r="Z152" s="408">
        <v>11169.437289849093</v>
      </c>
      <c r="AA152" s="408">
        <v>0</v>
      </c>
      <c r="AB152" s="408">
        <v>0</v>
      </c>
      <c r="AC152" s="408">
        <v>496.5455575574295</v>
      </c>
      <c r="AD152" s="408">
        <v>6288.29600739753</v>
      </c>
      <c r="AE152" s="408">
        <v>66417.333913558905</v>
      </c>
      <c r="AF152" s="408">
        <v>29393.715433728161</v>
      </c>
      <c r="AG152" s="408">
        <v>1478.7745807841245</v>
      </c>
      <c r="AH152" s="408">
        <v>0</v>
      </c>
      <c r="AI152" s="408">
        <v>0</v>
      </c>
      <c r="AJ152" s="408">
        <v>0</v>
      </c>
      <c r="AK152" s="408">
        <v>0</v>
      </c>
      <c r="AL152" s="408">
        <v>1726.391476487415</v>
      </c>
      <c r="AM152" s="408"/>
      <c r="AN152" s="408">
        <v>283.40155404209463</v>
      </c>
      <c r="AO152" s="408">
        <v>1059.1431032893211</v>
      </c>
      <c r="AP152" s="408">
        <v>3468.5504548231784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101.34096300550358</v>
      </c>
      <c r="BF152" s="408">
        <v>877.79742034399317</v>
      </c>
      <c r="BG152" s="408">
        <v>3393.4793601881611</v>
      </c>
      <c r="BH152" s="408">
        <v>0</v>
      </c>
      <c r="BI152" s="408">
        <v>440.29</v>
      </c>
      <c r="BJ152" s="408">
        <v>2045.48</v>
      </c>
      <c r="BK152" s="408">
        <v>49278.91</v>
      </c>
      <c r="BL152" s="408">
        <v>259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33766.333177265813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95248.057000000001</v>
      </c>
      <c r="CJ152" s="408">
        <v>-30904.720699999976</v>
      </c>
      <c r="CK152" s="408"/>
      <c r="CL152" s="408"/>
      <c r="CM152" s="408"/>
      <c r="CN152" s="408"/>
      <c r="CO152" s="408">
        <v>-34776.256620000007</v>
      </c>
      <c r="CP152" s="408">
        <v>3870.5230199999992</v>
      </c>
      <c r="CQ152" s="408">
        <v>30</v>
      </c>
      <c r="CR152" s="408">
        <v>4257.0052489406953</v>
      </c>
      <c r="CS152" s="408">
        <v>102.83610396204858</v>
      </c>
      <c r="CT152" s="408">
        <v>336.77433584000619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-120.57309533002626</v>
      </c>
      <c r="DA152" s="408">
        <v>0</v>
      </c>
      <c r="DB152" s="408">
        <v>0</v>
      </c>
      <c r="DC152" s="408">
        <v>3773.0082368000221</v>
      </c>
      <c r="DD152" s="408">
        <v>112.67500036416811</v>
      </c>
      <c r="DE152" s="408">
        <v>13.008232627381631</v>
      </c>
      <c r="DF152" s="408">
        <v>0</v>
      </c>
      <c r="DG152" s="408">
        <v>435.5905807915874</v>
      </c>
      <c r="DH152" s="408">
        <v>0</v>
      </c>
      <c r="DI152" s="408">
        <v>-326.43245117792321</v>
      </c>
      <c r="DJ152" s="408"/>
      <c r="DK152" s="408">
        <v>0</v>
      </c>
      <c r="DL152" s="408">
        <v>0</v>
      </c>
      <c r="DM152" s="408">
        <v>-16.436036728654699</v>
      </c>
      <c r="DN152" s="408">
        <v>0</v>
      </c>
      <c r="DO152" s="408">
        <v>-44.712942936380614</v>
      </c>
      <c r="DP152" s="408">
        <v>-8.7327152715345164</v>
      </c>
      <c r="DQ152" s="408">
        <v>0</v>
      </c>
      <c r="DR152" s="408">
        <v>0</v>
      </c>
      <c r="DS152" s="408"/>
      <c r="DT152" s="408"/>
      <c r="DU152" s="408"/>
      <c r="DV152" s="408">
        <v>66417.333913558905</v>
      </c>
      <c r="DW152" s="408">
        <v>0</v>
      </c>
      <c r="DX152" s="408">
        <v>0</v>
      </c>
      <c r="DY152" s="408">
        <v>-34776.25662</v>
      </c>
      <c r="DZ152" s="408">
        <v>3870.5230200000005</v>
      </c>
      <c r="EA152" s="408">
        <v>0</v>
      </c>
      <c r="EB152" s="408">
        <v>0</v>
      </c>
      <c r="EC152" s="408">
        <v>-35164.457160798149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239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152</v>
      </c>
      <c r="B153" s="408" t="s">
        <v>2236</v>
      </c>
      <c r="C153" s="408" t="s">
        <v>2233</v>
      </c>
      <c r="D153" s="408" t="s">
        <v>1956</v>
      </c>
      <c r="E153" s="408" t="s">
        <v>2244</v>
      </c>
      <c r="F153" s="408" t="s">
        <v>1320</v>
      </c>
      <c r="G153" s="408" t="s">
        <v>1320</v>
      </c>
      <c r="H153" s="408" t="s">
        <v>1320</v>
      </c>
      <c r="I153" s="408" t="s">
        <v>1320</v>
      </c>
      <c r="J153" s="408" t="s">
        <v>2234</v>
      </c>
      <c r="K153" s="827">
        <v>44440</v>
      </c>
      <c r="L153" s="408">
        <v>0</v>
      </c>
      <c r="M153" s="408">
        <v>0</v>
      </c>
      <c r="N153" s="408">
        <v>0.33900000000000002</v>
      </c>
      <c r="O153" s="408">
        <v>0.33900000000000002</v>
      </c>
      <c r="P153" s="408">
        <v>0.33900000000000002</v>
      </c>
      <c r="Q153" s="408">
        <v>0.33900000000000002</v>
      </c>
      <c r="R153" s="408"/>
      <c r="S153" s="408">
        <v>516.83000000000004</v>
      </c>
      <c r="T153" s="408">
        <v>173.82</v>
      </c>
      <c r="U153" s="408"/>
      <c r="V153" s="408">
        <v>234.13035000000002</v>
      </c>
      <c r="W153" s="408">
        <v>234.13035000000002</v>
      </c>
      <c r="X153" s="408">
        <v>176.77154999999999</v>
      </c>
      <c r="Y153" s="408">
        <v>0</v>
      </c>
      <c r="Z153" s="408">
        <v>20.729665501970036</v>
      </c>
      <c r="AA153" s="408">
        <v>0</v>
      </c>
      <c r="AB153" s="408">
        <v>0</v>
      </c>
      <c r="AC153" s="408">
        <v>0.921552540879505</v>
      </c>
      <c r="AD153" s="408">
        <v>11.670621305980374</v>
      </c>
      <c r="AE153" s="408">
        <v>123.26575456151097</v>
      </c>
      <c r="AF153" s="408">
        <v>54.552603948547819</v>
      </c>
      <c r="AG153" s="408">
        <v>2.7444983679106212</v>
      </c>
      <c r="AH153" s="408">
        <v>0</v>
      </c>
      <c r="AI153" s="408">
        <v>0</v>
      </c>
      <c r="AJ153" s="408">
        <v>0</v>
      </c>
      <c r="AK153" s="408">
        <v>0</v>
      </c>
      <c r="AL153" s="408">
        <v>3.2040573669329224</v>
      </c>
      <c r="AM153" s="408"/>
      <c r="AN153" s="408">
        <v>0.52597272947404494</v>
      </c>
      <c r="AO153" s="408">
        <v>1.9656927811269143</v>
      </c>
      <c r="AP153" s="408">
        <v>6.4373780736954176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</v>
      </c>
      <c r="BE153" s="408">
        <v>0.18808147718066395</v>
      </c>
      <c r="BF153" s="408">
        <v>1.6291283463993569</v>
      </c>
      <c r="BG153" s="408">
        <v>6.2980515668833927</v>
      </c>
      <c r="BH153" s="408">
        <v>0</v>
      </c>
      <c r="BI153" s="408">
        <v>0.83</v>
      </c>
      <c r="BJ153" s="408">
        <v>3.99</v>
      </c>
      <c r="BK153" s="408">
        <v>202.45</v>
      </c>
      <c r="BL153" s="408">
        <v>1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>
        <v>62.667865339011236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177.29300000000001</v>
      </c>
      <c r="CJ153" s="408">
        <v>-56.867349999999988</v>
      </c>
      <c r="CK153" s="408"/>
      <c r="CL153" s="408"/>
      <c r="CM153" s="408"/>
      <c r="CN153" s="408"/>
      <c r="CO153" s="408">
        <v>-64.542210000000026</v>
      </c>
      <c r="CP153" s="408">
        <v>7.1834099999999994</v>
      </c>
      <c r="CQ153" s="408">
        <v>30</v>
      </c>
      <c r="CR153" s="408">
        <v>7.9006929857487478</v>
      </c>
      <c r="CS153" s="408">
        <v>0.19085635035494986</v>
      </c>
      <c r="CT153" s="408">
        <v>0.62502874141708631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-0.22377491988787135</v>
      </c>
      <c r="DA153" s="408">
        <v>0</v>
      </c>
      <c r="DB153" s="408">
        <v>0</v>
      </c>
      <c r="DC153" s="408">
        <v>7.0024296350294435</v>
      </c>
      <c r="DD153" s="408">
        <v>0.2091166284720789</v>
      </c>
      <c r="DE153" s="408">
        <v>2.4142336282464372E-2</v>
      </c>
      <c r="DF153" s="408">
        <v>0</v>
      </c>
      <c r="DG153" s="408">
        <v>0.80842452500491735</v>
      </c>
      <c r="DH153" s="408">
        <v>0</v>
      </c>
      <c r="DI153" s="408">
        <v>-0.60583495357069239</v>
      </c>
      <c r="DJ153" s="408"/>
      <c r="DK153" s="408">
        <v>0</v>
      </c>
      <c r="DL153" s="408">
        <v>0</v>
      </c>
      <c r="DM153" s="408">
        <v>-3.0504092079262524E-2</v>
      </c>
      <c r="DN153" s="408">
        <v>0</v>
      </c>
      <c r="DO153" s="408">
        <v>-8.2983979105393679E-2</v>
      </c>
      <c r="DP153" s="408">
        <v>-1.6207286168961721E-2</v>
      </c>
      <c r="DQ153" s="408">
        <v>0</v>
      </c>
      <c r="DR153" s="408">
        <v>0</v>
      </c>
      <c r="DS153" s="408"/>
      <c r="DT153" s="408"/>
      <c r="DU153" s="408"/>
      <c r="DV153" s="408">
        <v>123.26575456151097</v>
      </c>
      <c r="DW153" s="408">
        <v>0</v>
      </c>
      <c r="DX153" s="408">
        <v>0</v>
      </c>
      <c r="DY153" s="408">
        <v>-64.542210000000011</v>
      </c>
      <c r="DZ153" s="408">
        <v>7.183409999999995</v>
      </c>
      <c r="EA153" s="408">
        <v>0</v>
      </c>
      <c r="EB153" s="408">
        <v>0</v>
      </c>
      <c r="EC153" s="408">
        <v>-65.262682047928763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239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153</v>
      </c>
      <c r="B154" s="408" t="s">
        <v>1034</v>
      </c>
      <c r="C154" s="408" t="s">
        <v>2245</v>
      </c>
      <c r="D154" s="408" t="s">
        <v>596</v>
      </c>
      <c r="E154" s="408" t="s">
        <v>2244</v>
      </c>
      <c r="F154" s="408" t="s">
        <v>1320</v>
      </c>
      <c r="G154" s="408" t="s">
        <v>1320</v>
      </c>
      <c r="H154" s="408" t="s">
        <v>1320</v>
      </c>
      <c r="I154" s="408" t="s">
        <v>971</v>
      </c>
      <c r="J154" s="408" t="s">
        <v>2234</v>
      </c>
      <c r="K154" s="827">
        <v>44440</v>
      </c>
      <c r="L154" s="408">
        <v>500</v>
      </c>
      <c r="M154" s="408">
        <v>500</v>
      </c>
      <c r="N154" s="408">
        <v>25.507000000000001</v>
      </c>
      <c r="O154" s="408">
        <v>25.507000000000001</v>
      </c>
      <c r="P154" s="408">
        <v>25.507000000000001</v>
      </c>
      <c r="Q154" s="408">
        <v>25.507000000000001</v>
      </c>
      <c r="R154" s="408">
        <v>67.099999999999994</v>
      </c>
      <c r="S154" s="408">
        <v>70.33</v>
      </c>
      <c r="T154" s="408">
        <v>173.82</v>
      </c>
      <c r="U154" s="408">
        <v>33550</v>
      </c>
      <c r="V154" s="408">
        <v>6227.5340500000002</v>
      </c>
      <c r="W154" s="408">
        <v>39777.534050000002</v>
      </c>
      <c r="X154" s="408">
        <v>27762.265309999999</v>
      </c>
      <c r="Y154" s="408">
        <v>0</v>
      </c>
      <c r="Z154" s="408">
        <v>1356.9730761773244</v>
      </c>
      <c r="AA154" s="408">
        <v>0</v>
      </c>
      <c r="AB154" s="408">
        <v>0</v>
      </c>
      <c r="AC154" s="408">
        <v>374.209043067023</v>
      </c>
      <c r="AD154" s="408">
        <v>5708.6165703177003</v>
      </c>
      <c r="AE154" s="408">
        <v>24080.89887622535</v>
      </c>
      <c r="AF154" s="408">
        <v>4104.6409112554848</v>
      </c>
      <c r="AG154" s="408">
        <v>206.50123855544606</v>
      </c>
      <c r="AH154" s="408">
        <v>0</v>
      </c>
      <c r="AI154" s="408">
        <v>0</v>
      </c>
      <c r="AJ154" s="408">
        <v>0</v>
      </c>
      <c r="AK154" s="408">
        <v>0</v>
      </c>
      <c r="AL154" s="408">
        <v>241.07932524589395</v>
      </c>
      <c r="AM154" s="408"/>
      <c r="AN154" s="408">
        <v>31.698331089468134</v>
      </c>
      <c r="AO154" s="408">
        <v>803.65015205406496</v>
      </c>
      <c r="AP154" s="408">
        <v>2584.1485843891401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4.7594435851296977</v>
      </c>
      <c r="BF154" s="408">
        <v>122.57869242362359</v>
      </c>
      <c r="BG154" s="408">
        <v>159.37359477470568</v>
      </c>
      <c r="BH154" s="408">
        <v>0</v>
      </c>
      <c r="BI154" s="408">
        <v>0</v>
      </c>
      <c r="BJ154" s="408">
        <v>0</v>
      </c>
      <c r="BK154" s="408">
        <v>0</v>
      </c>
      <c r="BL154" s="408">
        <v>0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>
        <v>4391.3526420389435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27763.058300000001</v>
      </c>
      <c r="CJ154" s="408">
        <v>-12014.505750000008</v>
      </c>
      <c r="CK154" s="408"/>
      <c r="CL154" s="408"/>
      <c r="CM154" s="408"/>
      <c r="CN154" s="408"/>
      <c r="CO154" s="408">
        <v>-12555.762069999999</v>
      </c>
      <c r="CP154" s="408">
        <v>540.49333000000001</v>
      </c>
      <c r="CQ154" s="408">
        <v>30</v>
      </c>
      <c r="CR154" s="408">
        <v>733.98026698754802</v>
      </c>
      <c r="CS154" s="408">
        <v>78.0293525294951</v>
      </c>
      <c r="CT154" s="408">
        <v>250.90450162240995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-109.45820125605042</v>
      </c>
      <c r="DA154" s="408">
        <v>0</v>
      </c>
      <c r="DB154" s="408">
        <v>0</v>
      </c>
      <c r="DC154" s="408">
        <v>526.8760256657697</v>
      </c>
      <c r="DD154" s="408">
        <v>15.734329918694144</v>
      </c>
      <c r="DE154" s="408">
        <v>0.61092718577092064</v>
      </c>
      <c r="DF154" s="408">
        <v>0</v>
      </c>
      <c r="DG154" s="408">
        <v>20.457362294641399</v>
      </c>
      <c r="DH154" s="408">
        <v>0</v>
      </c>
      <c r="DI154" s="408">
        <v>-39.658224129302198</v>
      </c>
      <c r="DJ154" s="408"/>
      <c r="DK154" s="408">
        <v>0</v>
      </c>
      <c r="DL154" s="408">
        <v>0</v>
      </c>
      <c r="DM154" s="408">
        <v>-2.2951854768901114</v>
      </c>
      <c r="DN154" s="408">
        <v>0</v>
      </c>
      <c r="DO154" s="408">
        <v>-6.2438712538090897</v>
      </c>
      <c r="DP154" s="408">
        <v>-0.97675011318419536</v>
      </c>
      <c r="DQ154" s="408">
        <v>0</v>
      </c>
      <c r="DR154" s="408">
        <v>0</v>
      </c>
      <c r="DS154" s="408"/>
      <c r="DT154" s="408"/>
      <c r="DU154" s="408">
        <v>24080.89887622535</v>
      </c>
      <c r="DV154" s="408">
        <v>0</v>
      </c>
      <c r="DW154" s="408">
        <v>0</v>
      </c>
      <c r="DX154" s="408">
        <v>0</v>
      </c>
      <c r="DY154" s="408">
        <v>-12555.762070000004</v>
      </c>
      <c r="DZ154" s="408">
        <v>540.49333000000024</v>
      </c>
      <c r="EA154" s="408">
        <v>0</v>
      </c>
      <c r="EB154" s="408">
        <v>0</v>
      </c>
      <c r="EC154" s="408">
        <v>-12749.55929469595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239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154</v>
      </c>
      <c r="B155" s="408" t="s">
        <v>1034</v>
      </c>
      <c r="C155" s="408" t="s">
        <v>2245</v>
      </c>
      <c r="D155" s="408" t="s">
        <v>596</v>
      </c>
      <c r="E155" s="408" t="s">
        <v>2244</v>
      </c>
      <c r="F155" s="408" t="s">
        <v>1320</v>
      </c>
      <c r="G155" s="408" t="s">
        <v>1320</v>
      </c>
      <c r="H155" s="408" t="s">
        <v>1320</v>
      </c>
      <c r="I155" s="408" t="s">
        <v>2242</v>
      </c>
      <c r="J155" s="408" t="s">
        <v>2234</v>
      </c>
      <c r="K155" s="827">
        <v>44440</v>
      </c>
      <c r="L155" s="408">
        <v>488</v>
      </c>
      <c r="M155" s="408">
        <v>488</v>
      </c>
      <c r="N155" s="408">
        <v>147.53</v>
      </c>
      <c r="O155" s="408">
        <v>147.53</v>
      </c>
      <c r="P155" s="408">
        <v>147.53</v>
      </c>
      <c r="Q155" s="408">
        <v>147.53</v>
      </c>
      <c r="R155" s="408">
        <v>59.12</v>
      </c>
      <c r="S155" s="408">
        <v>70.33</v>
      </c>
      <c r="T155" s="408">
        <v>173.82</v>
      </c>
      <c r="U155" s="408">
        <v>28850.559999999998</v>
      </c>
      <c r="V155" s="408">
        <v>36019.449500000002</v>
      </c>
      <c r="W155" s="408">
        <v>64870.0095</v>
      </c>
      <c r="X155" s="408">
        <v>55603.244900000005</v>
      </c>
      <c r="Y155" s="408">
        <v>0</v>
      </c>
      <c r="Z155" s="408">
        <v>7848.599910943688</v>
      </c>
      <c r="AA155" s="408">
        <v>0</v>
      </c>
      <c r="AB155" s="408">
        <v>0</v>
      </c>
      <c r="AC155" s="408">
        <v>279.16545730683686</v>
      </c>
      <c r="AD155" s="408">
        <v>2497.1070535491299</v>
      </c>
      <c r="AE155" s="408">
        <v>23502.957303195944</v>
      </c>
      <c r="AF155" s="408">
        <v>23740.842656428493</v>
      </c>
      <c r="AG155" s="408">
        <v>1194.3830212916046</v>
      </c>
      <c r="AH155" s="408">
        <v>0</v>
      </c>
      <c r="AI155" s="408">
        <v>0</v>
      </c>
      <c r="AJ155" s="408">
        <v>0</v>
      </c>
      <c r="AK155" s="408">
        <v>0</v>
      </c>
      <c r="AL155" s="408">
        <v>1394.3793018985664</v>
      </c>
      <c r="AM155" s="408"/>
      <c r="AN155" s="408">
        <v>183.34005510758746</v>
      </c>
      <c r="AO155" s="408">
        <v>589.53919245674933</v>
      </c>
      <c r="AP155" s="408">
        <v>1981.7620776417307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27.528157451451925</v>
      </c>
      <c r="BF155" s="408">
        <v>708.98320042565524</v>
      </c>
      <c r="BG155" s="408">
        <v>921.80132658142179</v>
      </c>
      <c r="BH155" s="408">
        <v>0</v>
      </c>
      <c r="BI155" s="408">
        <v>0</v>
      </c>
      <c r="BJ155" s="408">
        <v>0</v>
      </c>
      <c r="BK155" s="408">
        <v>0</v>
      </c>
      <c r="BL155" s="408">
        <v>0</v>
      </c>
      <c r="BM155" s="408"/>
      <c r="BN155" s="408"/>
      <c r="BO155" s="408"/>
      <c r="BP155" s="408"/>
      <c r="BQ155" s="408"/>
      <c r="BR155" s="408"/>
      <c r="BS155" s="408"/>
      <c r="BT155" s="408"/>
      <c r="BU155" s="408"/>
      <c r="BV155" s="408">
        <v>25399.155340887024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55603.244900000005</v>
      </c>
      <c r="CJ155" s="408">
        <v>-9266.7946000000011</v>
      </c>
      <c r="CK155" s="408"/>
      <c r="CL155" s="408"/>
      <c r="CM155" s="408"/>
      <c r="CN155" s="408"/>
      <c r="CO155" s="408">
        <v>-12392.925299999999</v>
      </c>
      <c r="CP155" s="408">
        <v>3126.1606999999999</v>
      </c>
      <c r="CQ155" s="408">
        <v>30</v>
      </c>
      <c r="CR155" s="408">
        <v>3177.6215608130005</v>
      </c>
      <c r="CS155" s="408">
        <v>57.240531045238868</v>
      </c>
      <c r="CT155" s="408">
        <v>192.41657752525271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-47.880049931281519</v>
      </c>
      <c r="DA155" s="408">
        <v>0</v>
      </c>
      <c r="DB155" s="408">
        <v>0</v>
      </c>
      <c r="DC155" s="408">
        <v>3047.3995399878877</v>
      </c>
      <c r="DD155" s="408">
        <v>91.005829494058275</v>
      </c>
      <c r="DE155" s="408">
        <v>3.5335432515303218</v>
      </c>
      <c r="DF155" s="408">
        <v>0</v>
      </c>
      <c r="DG155" s="408">
        <v>118.32338806321604</v>
      </c>
      <c r="DH155" s="408">
        <v>0</v>
      </c>
      <c r="DI155" s="408">
        <v>-229.37930002728444</v>
      </c>
      <c r="DJ155" s="408"/>
      <c r="DK155" s="408">
        <v>0</v>
      </c>
      <c r="DL155" s="408">
        <v>0</v>
      </c>
      <c r="DM155" s="408">
        <v>-13.275128921692158</v>
      </c>
      <c r="DN155" s="408">
        <v>0</v>
      </c>
      <c r="DO155" s="408">
        <v>-36.113942293270611</v>
      </c>
      <c r="DP155" s="408">
        <v>-5.6494273806431181</v>
      </c>
      <c r="DQ155" s="408">
        <v>0</v>
      </c>
      <c r="DR155" s="408">
        <v>0</v>
      </c>
      <c r="DS155" s="408"/>
      <c r="DT155" s="408"/>
      <c r="DU155" s="408">
        <v>23502.957303195944</v>
      </c>
      <c r="DV155" s="408">
        <v>0</v>
      </c>
      <c r="DW155" s="408">
        <v>0</v>
      </c>
      <c r="DX155" s="408">
        <v>0</v>
      </c>
      <c r="DY155" s="408">
        <v>-12392.925299999995</v>
      </c>
      <c r="DZ155" s="408">
        <v>3126.1607000000004</v>
      </c>
      <c r="EA155" s="408">
        <v>0</v>
      </c>
      <c r="EB155" s="408">
        <v>0</v>
      </c>
      <c r="EC155" s="408">
        <v>-12443.569871623249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239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155</v>
      </c>
      <c r="B156" s="408" t="s">
        <v>1034</v>
      </c>
      <c r="C156" s="408" t="s">
        <v>2245</v>
      </c>
      <c r="D156" s="408" t="s">
        <v>596</v>
      </c>
      <c r="E156" s="408" t="s">
        <v>2244</v>
      </c>
      <c r="F156" s="408" t="s">
        <v>1320</v>
      </c>
      <c r="G156" s="408" t="s">
        <v>1320</v>
      </c>
      <c r="H156" s="408" t="s">
        <v>1320</v>
      </c>
      <c r="I156" s="408" t="s">
        <v>1320</v>
      </c>
      <c r="J156" s="408" t="s">
        <v>2234</v>
      </c>
      <c r="K156" s="827">
        <v>44440</v>
      </c>
      <c r="L156" s="408">
        <v>0</v>
      </c>
      <c r="M156" s="408">
        <v>0</v>
      </c>
      <c r="N156" s="408">
        <v>0</v>
      </c>
      <c r="O156" s="408">
        <v>0</v>
      </c>
      <c r="P156" s="408">
        <v>0</v>
      </c>
      <c r="Q156" s="408">
        <v>0</v>
      </c>
      <c r="R156" s="408"/>
      <c r="S156" s="408"/>
      <c r="T156" s="408"/>
      <c r="U156" s="408"/>
      <c r="V156" s="408"/>
      <c r="W156" s="408"/>
      <c r="X156" s="408"/>
      <c r="Y156" s="408"/>
      <c r="Z156" s="408"/>
      <c r="AA156" s="408">
        <v>0</v>
      </c>
      <c r="AB156" s="408"/>
      <c r="AC156" s="408"/>
      <c r="AD156" s="408"/>
      <c r="AE156" s="408"/>
      <c r="AF156" s="408"/>
      <c r="AG156" s="408"/>
      <c r="AH156" s="408"/>
      <c r="AI156" s="408"/>
      <c r="AJ156" s="408"/>
      <c r="AK156" s="408"/>
      <c r="AL156" s="408"/>
      <c r="AM156" s="408"/>
      <c r="AN156" s="408"/>
      <c r="AO156" s="408"/>
      <c r="AP156" s="408"/>
      <c r="AQ156" s="408"/>
      <c r="AR156" s="408"/>
      <c r="AS156" s="408"/>
      <c r="AT156" s="408"/>
      <c r="AU156" s="408"/>
      <c r="AV156" s="408"/>
      <c r="AW156" s="408"/>
      <c r="AX156" s="408"/>
      <c r="AY156" s="408"/>
      <c r="AZ156" s="408">
        <v>0</v>
      </c>
      <c r="BA156" s="408"/>
      <c r="BB156" s="408"/>
      <c r="BC156" s="408"/>
      <c r="BD156" s="408"/>
      <c r="BE156" s="408"/>
      <c r="BF156" s="408"/>
      <c r="BG156" s="408"/>
      <c r="BH156" s="408"/>
      <c r="BI156" s="408">
        <v>442.47</v>
      </c>
      <c r="BJ156" s="408">
        <v>2104.77</v>
      </c>
      <c r="BK156" s="408">
        <v>0</v>
      </c>
      <c r="BL156" s="408">
        <v>1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/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/>
      <c r="CJ156" s="408">
        <v>-0.03</v>
      </c>
      <c r="CK156" s="408"/>
      <c r="CL156" s="408"/>
      <c r="CM156" s="408"/>
      <c r="CN156" s="408"/>
      <c r="CO156" s="408">
        <v>0</v>
      </c>
      <c r="CP156" s="408">
        <v>0</v>
      </c>
      <c r="CQ156" s="408">
        <v>30</v>
      </c>
      <c r="CR156" s="408"/>
      <c r="CS156" s="408"/>
      <c r="CT156" s="408"/>
      <c r="CU156" s="408"/>
      <c r="CV156" s="408"/>
      <c r="CW156" s="408"/>
      <c r="CX156" s="408"/>
      <c r="CY156" s="408"/>
      <c r="CZ156" s="408"/>
      <c r="DA156" s="408"/>
      <c r="DB156" s="408"/>
      <c r="DC156" s="408"/>
      <c r="DD156" s="408"/>
      <c r="DE156" s="408"/>
      <c r="DF156" s="408"/>
      <c r="DG156" s="408"/>
      <c r="DH156" s="408"/>
      <c r="DI156" s="408"/>
      <c r="DJ156" s="408"/>
      <c r="DK156" s="408">
        <v>0</v>
      </c>
      <c r="DL156" s="408"/>
      <c r="DM156" s="408"/>
      <c r="DN156" s="408"/>
      <c r="DO156" s="408"/>
      <c r="DP156" s="408"/>
      <c r="DQ156" s="408"/>
      <c r="DR156" s="408"/>
      <c r="DS156" s="408"/>
      <c r="DT156" s="408"/>
      <c r="DU156" s="408"/>
      <c r="DV156" s="408"/>
      <c r="DW156" s="408"/>
      <c r="DX156" s="408"/>
      <c r="DY156" s="408"/>
      <c r="DZ156" s="408"/>
      <c r="EA156" s="408"/>
      <c r="EB156" s="408"/>
      <c r="EC156" s="408"/>
      <c r="ED156" s="408"/>
      <c r="EE156" s="408"/>
      <c r="EF156" s="408"/>
      <c r="EG156" s="408"/>
      <c r="EH156" s="408"/>
      <c r="EI156" s="408"/>
      <c r="EJ156" s="408"/>
      <c r="EK156" s="408"/>
      <c r="EL156" s="408"/>
      <c r="EM156" s="408"/>
      <c r="EN156" s="408"/>
      <c r="EO156" s="408"/>
      <c r="EP156" s="408"/>
      <c r="EQ156" s="408"/>
      <c r="ER156" s="408"/>
      <c r="ES156" s="408"/>
      <c r="ET156" s="408"/>
      <c r="EU156" s="408"/>
      <c r="EV156" s="408">
        <v>239</v>
      </c>
      <c r="EW156" s="408"/>
      <c r="EX156" s="408"/>
      <c r="EY156" s="408"/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156</v>
      </c>
      <c r="B157" s="408" t="s">
        <v>1034</v>
      </c>
      <c r="C157" s="408" t="s">
        <v>2233</v>
      </c>
      <c r="D157" s="408" t="s">
        <v>2246</v>
      </c>
      <c r="E157" s="408" t="s">
        <v>2247</v>
      </c>
      <c r="F157" s="408" t="s">
        <v>2248</v>
      </c>
      <c r="G157" s="408" t="s">
        <v>1320</v>
      </c>
      <c r="H157" s="408" t="s">
        <v>1320</v>
      </c>
      <c r="I157" s="408" t="s">
        <v>1320</v>
      </c>
      <c r="J157" s="408" t="s">
        <v>2234</v>
      </c>
      <c r="K157" s="827">
        <v>44440</v>
      </c>
      <c r="L157" s="408">
        <v>0</v>
      </c>
      <c r="M157" s="408">
        <v>0</v>
      </c>
      <c r="N157" s="408">
        <v>288.93400000000003</v>
      </c>
      <c r="O157" s="408">
        <v>288.93400000000003</v>
      </c>
      <c r="P157" s="408">
        <v>288.93400000000003</v>
      </c>
      <c r="Q157" s="408">
        <v>288.93400000000003</v>
      </c>
      <c r="R157" s="408"/>
      <c r="S157" s="408">
        <v>284.26</v>
      </c>
      <c r="T157" s="408">
        <v>95.6</v>
      </c>
      <c r="U157" s="408"/>
      <c r="V157" s="408">
        <v>109754.46924000001</v>
      </c>
      <c r="W157" s="408">
        <v>109754.46924000001</v>
      </c>
      <c r="X157" s="408">
        <v>82863.381860000009</v>
      </c>
      <c r="Y157" s="408">
        <v>0</v>
      </c>
      <c r="Z157" s="408">
        <v>9717.4862674938704</v>
      </c>
      <c r="AA157" s="408">
        <v>0</v>
      </c>
      <c r="AB157" s="408">
        <v>0</v>
      </c>
      <c r="AC157" s="408">
        <v>431.99800594561515</v>
      </c>
      <c r="AD157" s="408">
        <v>5470.8602154341406</v>
      </c>
      <c r="AE157" s="408">
        <v>57783.531388382129</v>
      </c>
      <c r="AF157" s="408">
        <v>25572.731970791621</v>
      </c>
      <c r="AG157" s="408">
        <v>1286.5439241552745</v>
      </c>
      <c r="AH157" s="408">
        <v>0</v>
      </c>
      <c r="AI157" s="408">
        <v>0</v>
      </c>
      <c r="AJ157" s="408">
        <v>0</v>
      </c>
      <c r="AK157" s="408">
        <v>0</v>
      </c>
      <c r="AL157" s="408">
        <v>1501.9723043999063</v>
      </c>
      <c r="AM157" s="408"/>
      <c r="AN157" s="408">
        <v>246.56127592867193</v>
      </c>
      <c r="AO157" s="408">
        <v>921.46169000639509</v>
      </c>
      <c r="AP157" s="408">
        <v>3017.6624424478227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88.167325782433181</v>
      </c>
      <c r="BF157" s="408">
        <v>763.68971475281376</v>
      </c>
      <c r="BG157" s="408">
        <v>2952.3500804844662</v>
      </c>
      <c r="BH157" s="408">
        <v>0</v>
      </c>
      <c r="BI157" s="408">
        <v>470.12</v>
      </c>
      <c r="BJ157" s="408">
        <v>2236.62</v>
      </c>
      <c r="BK157" s="408">
        <v>31649.55</v>
      </c>
      <c r="BL157" s="408">
        <v>15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29376.939091811335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82862.234700000001</v>
      </c>
      <c r="CJ157" s="408">
        <v>-26892.264539999989</v>
      </c>
      <c r="CK157" s="408"/>
      <c r="CL157" s="408"/>
      <c r="CM157" s="408"/>
      <c r="CN157" s="408"/>
      <c r="CO157" s="408">
        <v>-30257.168480000004</v>
      </c>
      <c r="CP157" s="408">
        <v>3366.0811000000022</v>
      </c>
      <c r="CQ157" s="408">
        <v>30</v>
      </c>
      <c r="CR157" s="408">
        <v>3703.6234658682515</v>
      </c>
      <c r="CS157" s="408">
        <v>89.468108564607064</v>
      </c>
      <c r="CT157" s="408">
        <v>292.99595842162398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-104.89941146484307</v>
      </c>
      <c r="DA157" s="408">
        <v>0</v>
      </c>
      <c r="DB157" s="408">
        <v>0</v>
      </c>
      <c r="DC157" s="408">
        <v>3282.542779622825</v>
      </c>
      <c r="DD157" s="408">
        <v>98.028015227207675</v>
      </c>
      <c r="DE157" s="408">
        <v>11.31725069407274</v>
      </c>
      <c r="DF157" s="408">
        <v>0</v>
      </c>
      <c r="DG157" s="408">
        <v>378.96676235774157</v>
      </c>
      <c r="DH157" s="408">
        <v>0</v>
      </c>
      <c r="DI157" s="408">
        <v>-283.99844855826814</v>
      </c>
      <c r="DJ157" s="408"/>
      <c r="DK157" s="408">
        <v>0</v>
      </c>
      <c r="DL157" s="408">
        <v>0</v>
      </c>
      <c r="DM157" s="408">
        <v>-14.299463532319805</v>
      </c>
      <c r="DN157" s="408">
        <v>0</v>
      </c>
      <c r="DO157" s="408">
        <v>-38.90056389486881</v>
      </c>
      <c r="DP157" s="408">
        <v>-7.5975215695241616</v>
      </c>
      <c r="DQ157" s="408">
        <v>0</v>
      </c>
      <c r="DR157" s="408">
        <v>0</v>
      </c>
      <c r="DS157" s="408"/>
      <c r="DT157" s="408"/>
      <c r="DU157" s="408"/>
      <c r="DV157" s="408">
        <v>57783.531388382129</v>
      </c>
      <c r="DW157" s="408">
        <v>0</v>
      </c>
      <c r="DX157" s="408">
        <v>0</v>
      </c>
      <c r="DY157" s="408">
        <v>-30257.16848</v>
      </c>
      <c r="DZ157" s="408">
        <v>3366.0811000000031</v>
      </c>
      <c r="EA157" s="408">
        <v>0</v>
      </c>
      <c r="EB157" s="408">
        <v>0</v>
      </c>
      <c r="EC157" s="408">
        <v>-30593.316448849288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239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157</v>
      </c>
      <c r="B158" s="408" t="s">
        <v>1034</v>
      </c>
      <c r="C158" s="408" t="s">
        <v>2233</v>
      </c>
      <c r="D158" s="408" t="s">
        <v>1956</v>
      </c>
      <c r="E158" s="408" t="s">
        <v>999</v>
      </c>
      <c r="F158" s="408" t="s">
        <v>2249</v>
      </c>
      <c r="G158" s="408" t="s">
        <v>1320</v>
      </c>
      <c r="H158" s="408" t="s">
        <v>1320</v>
      </c>
      <c r="I158" s="408" t="s">
        <v>1320</v>
      </c>
      <c r="J158" s="408" t="s">
        <v>2234</v>
      </c>
      <c r="K158" s="827">
        <v>44440</v>
      </c>
      <c r="L158" s="408">
        <v>0</v>
      </c>
      <c r="M158" s="408">
        <v>0</v>
      </c>
      <c r="N158" s="408">
        <v>9.2629999999999999</v>
      </c>
      <c r="O158" s="408">
        <v>8.7072199999999995</v>
      </c>
      <c r="P158" s="408">
        <v>9.2629999999999999</v>
      </c>
      <c r="Q158" s="408">
        <v>8.7072199999999995</v>
      </c>
      <c r="R158" s="408"/>
      <c r="S158" s="408">
        <v>516.83000000000004</v>
      </c>
      <c r="T158" s="408">
        <v>173.82</v>
      </c>
      <c r="U158" s="408"/>
      <c r="V158" s="408">
        <v>6397.4909500000003</v>
      </c>
      <c r="W158" s="408">
        <v>6397.4909500000003</v>
      </c>
      <c r="X158" s="408">
        <v>4830.1913500000001</v>
      </c>
      <c r="Y158" s="408">
        <v>0</v>
      </c>
      <c r="Z158" s="408">
        <v>566.42740868657347</v>
      </c>
      <c r="AA158" s="408">
        <v>0</v>
      </c>
      <c r="AB158" s="408">
        <v>0</v>
      </c>
      <c r="AC158" s="408">
        <v>25.18094745181963</v>
      </c>
      <c r="AD158" s="408">
        <v>318.89370252889734</v>
      </c>
      <c r="AE158" s="408">
        <v>3368.1731106291327</v>
      </c>
      <c r="AF158" s="408">
        <v>1490.6217415203494</v>
      </c>
      <c r="AG158" s="408">
        <v>74.992001126714115</v>
      </c>
      <c r="AH158" s="408">
        <v>0</v>
      </c>
      <c r="AI158" s="408">
        <v>0</v>
      </c>
      <c r="AJ158" s="408">
        <v>0</v>
      </c>
      <c r="AK158" s="408">
        <v>0</v>
      </c>
      <c r="AL158" s="408">
        <v>87.549213539527017</v>
      </c>
      <c r="AM158" s="408"/>
      <c r="AN158" s="408">
        <v>14.371933313032677</v>
      </c>
      <c r="AO158" s="408">
        <v>53.711540506131577</v>
      </c>
      <c r="AP158" s="408">
        <v>175.89803273345325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5.1392292717536581</v>
      </c>
      <c r="BF158" s="408">
        <v>44.51509106990337</v>
      </c>
      <c r="BG158" s="408">
        <v>172.09100785852763</v>
      </c>
      <c r="BH158" s="408">
        <v>0</v>
      </c>
      <c r="BI158" s="408">
        <v>22.95</v>
      </c>
      <c r="BJ158" s="408">
        <v>109.3</v>
      </c>
      <c r="BK158" s="408">
        <v>2651.8</v>
      </c>
      <c r="BL158" s="408">
        <v>7</v>
      </c>
      <c r="BM158" s="408"/>
      <c r="BN158" s="408"/>
      <c r="BO158" s="408"/>
      <c r="BP158" s="408"/>
      <c r="BQ158" s="408">
        <v>289.81148100000019</v>
      </c>
      <c r="BR158" s="408"/>
      <c r="BS158" s="408"/>
      <c r="BT158" s="408"/>
      <c r="BU158" s="408"/>
      <c r="BV158" s="408">
        <v>1712.3670697205339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4541.8294999999998</v>
      </c>
      <c r="CJ158" s="408">
        <v>-1471.841993</v>
      </c>
      <c r="CK158" s="408"/>
      <c r="CL158" s="408"/>
      <c r="CM158" s="408"/>
      <c r="CN158" s="408"/>
      <c r="CO158" s="408">
        <v>-1763.5825700000005</v>
      </c>
      <c r="CP158" s="408">
        <v>196.28296999999998</v>
      </c>
      <c r="CQ158" s="408">
        <v>30</v>
      </c>
      <c r="CR158" s="408">
        <v>215.88235730675706</v>
      </c>
      <c r="CS158" s="408">
        <v>5.215051248784377</v>
      </c>
      <c r="CT158" s="408">
        <v>17.078587704266852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-6.1145341679095964</v>
      </c>
      <c r="DA158" s="408">
        <v>0</v>
      </c>
      <c r="DB158" s="408">
        <v>0</v>
      </c>
      <c r="DC158" s="408">
        <v>191.33777495362142</v>
      </c>
      <c r="DD158" s="408">
        <v>5.7140039219376533</v>
      </c>
      <c r="DE158" s="408">
        <v>0.65967687606037551</v>
      </c>
      <c r="DF158" s="408">
        <v>0</v>
      </c>
      <c r="DG158" s="408">
        <v>22.089782817464737</v>
      </c>
      <c r="DH158" s="408">
        <v>0</v>
      </c>
      <c r="DI158" s="408">
        <v>-16.55412735966172</v>
      </c>
      <c r="DJ158" s="408"/>
      <c r="DK158" s="408">
        <v>0</v>
      </c>
      <c r="DL158" s="408">
        <v>0</v>
      </c>
      <c r="DM158" s="408">
        <v>-0.83350856911566495</v>
      </c>
      <c r="DN158" s="408">
        <v>0</v>
      </c>
      <c r="DO158" s="408">
        <v>-2.2674943907175873</v>
      </c>
      <c r="DP158" s="408">
        <v>-0.44285572797372375</v>
      </c>
      <c r="DQ158" s="408">
        <v>0</v>
      </c>
      <c r="DR158" s="408">
        <v>0</v>
      </c>
      <c r="DS158" s="408"/>
      <c r="DT158" s="408"/>
      <c r="DU158" s="408"/>
      <c r="DV158" s="408">
        <v>3368.1731106291327</v>
      </c>
      <c r="DW158" s="408">
        <v>0</v>
      </c>
      <c r="DX158" s="408">
        <v>0</v>
      </c>
      <c r="DY158" s="408">
        <v>-1763.5825700000005</v>
      </c>
      <c r="DZ158" s="408">
        <v>196.28296999999998</v>
      </c>
      <c r="EA158" s="408">
        <v>0</v>
      </c>
      <c r="EB158" s="408">
        <v>0</v>
      </c>
      <c r="EC158" s="408">
        <v>-1783.2690967845549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239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158</v>
      </c>
      <c r="B159" s="408" t="s">
        <v>1034</v>
      </c>
      <c r="C159" s="408" t="s">
        <v>2245</v>
      </c>
      <c r="D159" s="408" t="s">
        <v>596</v>
      </c>
      <c r="E159" s="408" t="s">
        <v>999</v>
      </c>
      <c r="F159" s="408" t="s">
        <v>2249</v>
      </c>
      <c r="G159" s="408" t="s">
        <v>1320</v>
      </c>
      <c r="H159" s="408" t="s">
        <v>1320</v>
      </c>
      <c r="I159" s="408" t="s">
        <v>971</v>
      </c>
      <c r="J159" s="408" t="s">
        <v>2234</v>
      </c>
      <c r="K159" s="827">
        <v>44440</v>
      </c>
      <c r="L159" s="408">
        <v>100</v>
      </c>
      <c r="M159" s="408">
        <v>94</v>
      </c>
      <c r="N159" s="408">
        <v>3.1859999999999999</v>
      </c>
      <c r="O159" s="408">
        <v>2.9948399999999999</v>
      </c>
      <c r="P159" s="408">
        <v>3.1859999999999999</v>
      </c>
      <c r="Q159" s="408">
        <v>2.9948399999999999</v>
      </c>
      <c r="R159" s="408">
        <v>67.099999999999994</v>
      </c>
      <c r="S159" s="408">
        <v>70.33</v>
      </c>
      <c r="T159" s="408">
        <v>173.82</v>
      </c>
      <c r="U159" s="408">
        <v>6709.9999999999991</v>
      </c>
      <c r="V159" s="408">
        <v>777.86189999999999</v>
      </c>
      <c r="W159" s="408">
        <v>7487.8618999999999</v>
      </c>
      <c r="X159" s="408">
        <v>5046.1553799999992</v>
      </c>
      <c r="Y159" s="408">
        <v>0</v>
      </c>
      <c r="Z159" s="408">
        <v>169.49528445920552</v>
      </c>
      <c r="AA159" s="408">
        <v>0</v>
      </c>
      <c r="AB159" s="408">
        <v>0</v>
      </c>
      <c r="AC159" s="408">
        <v>74.841808613404609</v>
      </c>
      <c r="AD159" s="408">
        <v>1141.7233140635399</v>
      </c>
      <c r="AE159" s="408">
        <v>4816.1797752450702</v>
      </c>
      <c r="AF159" s="408">
        <v>512.69792383502465</v>
      </c>
      <c r="AG159" s="408">
        <v>25.793427139124599</v>
      </c>
      <c r="AH159" s="408">
        <v>0</v>
      </c>
      <c r="AI159" s="408">
        <v>0</v>
      </c>
      <c r="AJ159" s="408">
        <v>0</v>
      </c>
      <c r="AK159" s="408">
        <v>0</v>
      </c>
      <c r="AL159" s="408">
        <v>30.112468351174897</v>
      </c>
      <c r="AM159" s="408"/>
      <c r="AN159" s="408">
        <v>3.9593399008525294</v>
      </c>
      <c r="AO159" s="408">
        <v>160.73003041081299</v>
      </c>
      <c r="AP159" s="408">
        <v>516.82971687782799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0.59448728828255837</v>
      </c>
      <c r="BF159" s="408">
        <v>15.310923043151478</v>
      </c>
      <c r="BG159" s="408">
        <v>19.906859801317765</v>
      </c>
      <c r="BH159" s="408">
        <v>0</v>
      </c>
      <c r="BI159" s="408">
        <v>0</v>
      </c>
      <c r="BJ159" s="408">
        <v>0</v>
      </c>
      <c r="BK159" s="408">
        <v>0</v>
      </c>
      <c r="BL159" s="408">
        <v>0</v>
      </c>
      <c r="BM159" s="408"/>
      <c r="BN159" s="408"/>
      <c r="BO159" s="408"/>
      <c r="BP159" s="408"/>
      <c r="BQ159" s="408">
        <v>302.7693228</v>
      </c>
      <c r="BR159" s="408"/>
      <c r="BS159" s="408"/>
      <c r="BT159" s="408"/>
      <c r="BU159" s="408"/>
      <c r="BV159" s="408">
        <v>548.51019396777644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4742.1066999999994</v>
      </c>
      <c r="CJ159" s="408">
        <v>-2296.5134860000007</v>
      </c>
      <c r="CK159" s="408"/>
      <c r="CL159" s="408"/>
      <c r="CM159" s="408"/>
      <c r="CN159" s="408"/>
      <c r="CO159" s="408">
        <v>-2509.2178599999997</v>
      </c>
      <c r="CP159" s="408">
        <v>67.51133999999999</v>
      </c>
      <c r="CQ159" s="408">
        <v>30</v>
      </c>
      <c r="CR159" s="408">
        <v>108.16030094401731</v>
      </c>
      <c r="CS159" s="408">
        <v>15.60587050589902</v>
      </c>
      <c r="CT159" s="408">
        <v>50.180900324482081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-21.891640251209992</v>
      </c>
      <c r="DA159" s="408">
        <v>0</v>
      </c>
      <c r="DB159" s="408">
        <v>0</v>
      </c>
      <c r="DC159" s="408">
        <v>65.810444888506709</v>
      </c>
      <c r="DD159" s="408">
        <v>1.9653261897110408</v>
      </c>
      <c r="DE159" s="408">
        <v>7.6309013755680888E-2</v>
      </c>
      <c r="DF159" s="408">
        <v>0</v>
      </c>
      <c r="DG159" s="408">
        <v>2.5552654671551949</v>
      </c>
      <c r="DH159" s="408">
        <v>0</v>
      </c>
      <c r="DI159" s="408">
        <v>-4.9535853717001714</v>
      </c>
      <c r="DJ159" s="408"/>
      <c r="DK159" s="408">
        <v>0</v>
      </c>
      <c r="DL159" s="408">
        <v>0</v>
      </c>
      <c r="DM159" s="408">
        <v>-0.2866844760015681</v>
      </c>
      <c r="DN159" s="408">
        <v>0</v>
      </c>
      <c r="DO159" s="408">
        <v>-0.77990252929140169</v>
      </c>
      <c r="DP159" s="408">
        <v>-0.12200281728956153</v>
      </c>
      <c r="DQ159" s="408">
        <v>0</v>
      </c>
      <c r="DR159" s="408">
        <v>0</v>
      </c>
      <c r="DS159" s="408"/>
      <c r="DT159" s="408"/>
      <c r="DU159" s="408">
        <v>4816.1797752450702</v>
      </c>
      <c r="DV159" s="408">
        <v>0</v>
      </c>
      <c r="DW159" s="408">
        <v>0</v>
      </c>
      <c r="DX159" s="408">
        <v>0</v>
      </c>
      <c r="DY159" s="408">
        <v>-2509.2178599999997</v>
      </c>
      <c r="DZ159" s="408">
        <v>67.511339999999905</v>
      </c>
      <c r="EA159" s="408">
        <v>0</v>
      </c>
      <c r="EB159" s="408">
        <v>0</v>
      </c>
      <c r="EC159" s="408">
        <v>-2549.9118589391901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239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159</v>
      </c>
      <c r="B160" s="408" t="s">
        <v>1034</v>
      </c>
      <c r="C160" s="408" t="s">
        <v>2245</v>
      </c>
      <c r="D160" s="408" t="s">
        <v>596</v>
      </c>
      <c r="E160" s="408" t="s">
        <v>999</v>
      </c>
      <c r="F160" s="408" t="s">
        <v>2249</v>
      </c>
      <c r="G160" s="408" t="s">
        <v>1320</v>
      </c>
      <c r="H160" s="408" t="s">
        <v>1320</v>
      </c>
      <c r="I160" s="408" t="s">
        <v>2242</v>
      </c>
      <c r="J160" s="408" t="s">
        <v>2234</v>
      </c>
      <c r="K160" s="827">
        <v>44440</v>
      </c>
      <c r="L160" s="408">
        <v>100</v>
      </c>
      <c r="M160" s="408">
        <v>94</v>
      </c>
      <c r="N160" s="408">
        <v>29.164000000000001</v>
      </c>
      <c r="O160" s="408">
        <v>27.414159999999999</v>
      </c>
      <c r="P160" s="408">
        <v>29.164000000000001</v>
      </c>
      <c r="Q160" s="408">
        <v>27.414159999999999</v>
      </c>
      <c r="R160" s="408">
        <v>59.12</v>
      </c>
      <c r="S160" s="408">
        <v>70.33</v>
      </c>
      <c r="T160" s="408">
        <v>173.82</v>
      </c>
      <c r="U160" s="408">
        <v>5912</v>
      </c>
      <c r="V160" s="408">
        <v>7120.3905999999997</v>
      </c>
      <c r="W160" s="408">
        <v>13032.390599999999</v>
      </c>
      <c r="X160" s="408">
        <v>11111.920119999999</v>
      </c>
      <c r="Y160" s="408">
        <v>0</v>
      </c>
      <c r="Z160" s="408">
        <v>1551.5255731224952</v>
      </c>
      <c r="AA160" s="408">
        <v>0</v>
      </c>
      <c r="AB160" s="408">
        <v>0</v>
      </c>
      <c r="AC160" s="408">
        <v>57.206036333368203</v>
      </c>
      <c r="AD160" s="408">
        <v>511.70226507154302</v>
      </c>
      <c r="AE160" s="408">
        <v>4816.1797752450702</v>
      </c>
      <c r="AF160" s="408">
        <v>4693.1331609305271</v>
      </c>
      <c r="AG160" s="408">
        <v>236.10781829423411</v>
      </c>
      <c r="AH160" s="408">
        <v>0</v>
      </c>
      <c r="AI160" s="408">
        <v>0</v>
      </c>
      <c r="AJ160" s="408">
        <v>0</v>
      </c>
      <c r="AK160" s="408">
        <v>0</v>
      </c>
      <c r="AL160" s="408">
        <v>275.64344852280755</v>
      </c>
      <c r="AM160" s="408"/>
      <c r="AN160" s="408">
        <v>36.242997133855361</v>
      </c>
      <c r="AO160" s="408">
        <v>120.807211569006</v>
      </c>
      <c r="AP160" s="408">
        <v>406.098786401994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5.4418164706442349</v>
      </c>
      <c r="BF160" s="408">
        <v>140.15309467371929</v>
      </c>
      <c r="BG160" s="408">
        <v>182.22337076134065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>
        <v>666.71520720000058</v>
      </c>
      <c r="BR160" s="408"/>
      <c r="BS160" s="408"/>
      <c r="BT160" s="408"/>
      <c r="BU160" s="408"/>
      <c r="BV160" s="408">
        <v>5020.9514428362309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10444.105299999999</v>
      </c>
      <c r="CJ160" s="408">
        <v>-1806.3718640000006</v>
      </c>
      <c r="CK160" s="408"/>
      <c r="CL160" s="408"/>
      <c r="CM160" s="408"/>
      <c r="CN160" s="408"/>
      <c r="CO160" s="408">
        <v>-2538.4556399999997</v>
      </c>
      <c r="CP160" s="408">
        <v>617.98515999999995</v>
      </c>
      <c r="CQ160" s="408">
        <v>30</v>
      </c>
      <c r="CR160" s="408">
        <v>629.61813724002241</v>
      </c>
      <c r="CS160" s="408">
        <v>11.729617017467007</v>
      </c>
      <c r="CT160" s="408">
        <v>39.429626542059964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-9.8114856416560201</v>
      </c>
      <c r="DA160" s="408">
        <v>0</v>
      </c>
      <c r="DB160" s="408">
        <v>0</v>
      </c>
      <c r="DC160" s="408">
        <v>602.41550995869784</v>
      </c>
      <c r="DD160" s="408">
        <v>17.990198680707124</v>
      </c>
      <c r="DE160" s="408">
        <v>0.69851728724754558</v>
      </c>
      <c r="DF160" s="408">
        <v>0</v>
      </c>
      <c r="DG160" s="408">
        <v>23.390383579445739</v>
      </c>
      <c r="DH160" s="408">
        <v>0</v>
      </c>
      <c r="DI160" s="408">
        <v>-45.344119202844922</v>
      </c>
      <c r="DJ160" s="408"/>
      <c r="DK160" s="408">
        <v>0</v>
      </c>
      <c r="DL160" s="408">
        <v>0</v>
      </c>
      <c r="DM160" s="408">
        <v>-2.6242517445416524</v>
      </c>
      <c r="DN160" s="408">
        <v>0</v>
      </c>
      <c r="DO160" s="408">
        <v>-7.1390701080522376</v>
      </c>
      <c r="DP160" s="408">
        <v>-1.1167891285099714</v>
      </c>
      <c r="DQ160" s="408">
        <v>0</v>
      </c>
      <c r="DR160" s="408">
        <v>0</v>
      </c>
      <c r="DS160" s="408"/>
      <c r="DT160" s="408"/>
      <c r="DU160" s="408">
        <v>4816.1797752450702</v>
      </c>
      <c r="DV160" s="408">
        <v>0</v>
      </c>
      <c r="DW160" s="408">
        <v>0</v>
      </c>
      <c r="DX160" s="408">
        <v>0</v>
      </c>
      <c r="DY160" s="408">
        <v>-2538.4556400000001</v>
      </c>
      <c r="DZ160" s="408">
        <v>617.98516000000018</v>
      </c>
      <c r="EA160" s="408">
        <v>0</v>
      </c>
      <c r="EB160" s="408">
        <v>0</v>
      </c>
      <c r="EC160" s="408">
        <v>-2549.9118589391901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239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160</v>
      </c>
      <c r="B161" s="408" t="s">
        <v>1034</v>
      </c>
      <c r="C161" s="408" t="s">
        <v>2245</v>
      </c>
      <c r="D161" s="408" t="s">
        <v>596</v>
      </c>
      <c r="E161" s="408" t="s">
        <v>999</v>
      </c>
      <c r="F161" s="408" t="s">
        <v>2249</v>
      </c>
      <c r="G161" s="408" t="s">
        <v>1320</v>
      </c>
      <c r="H161" s="408" t="s">
        <v>1320</v>
      </c>
      <c r="I161" s="408" t="s">
        <v>1320</v>
      </c>
      <c r="J161" s="408" t="s">
        <v>2234</v>
      </c>
      <c r="K161" s="827">
        <v>44440</v>
      </c>
      <c r="L161" s="408">
        <v>0</v>
      </c>
      <c r="M161" s="408">
        <v>0</v>
      </c>
      <c r="N161" s="408">
        <v>0</v>
      </c>
      <c r="O161" s="408">
        <v>0</v>
      </c>
      <c r="P161" s="408">
        <v>0</v>
      </c>
      <c r="Q161" s="408">
        <v>0</v>
      </c>
      <c r="R161" s="408"/>
      <c r="S161" s="408"/>
      <c r="T161" s="408"/>
      <c r="U161" s="408"/>
      <c r="V161" s="408"/>
      <c r="W161" s="408"/>
      <c r="X161" s="408"/>
      <c r="Y161" s="408"/>
      <c r="Z161" s="408"/>
      <c r="AA161" s="408">
        <v>0</v>
      </c>
      <c r="AB161" s="408"/>
      <c r="AC161" s="408"/>
      <c r="AD161" s="408"/>
      <c r="AE161" s="408"/>
      <c r="AF161" s="408"/>
      <c r="AG161" s="408"/>
      <c r="AH161" s="408"/>
      <c r="AI161" s="408"/>
      <c r="AJ161" s="408"/>
      <c r="AK161" s="408"/>
      <c r="AL161" s="408"/>
      <c r="AM161" s="408"/>
      <c r="AN161" s="408"/>
      <c r="AO161" s="408"/>
      <c r="AP161" s="408"/>
      <c r="AQ161" s="408"/>
      <c r="AR161" s="408"/>
      <c r="AS161" s="408"/>
      <c r="AT161" s="408"/>
      <c r="AU161" s="408"/>
      <c r="AV161" s="408"/>
      <c r="AW161" s="408"/>
      <c r="AX161" s="408"/>
      <c r="AY161" s="408"/>
      <c r="AZ161" s="408">
        <v>0</v>
      </c>
      <c r="BA161" s="408"/>
      <c r="BB161" s="408"/>
      <c r="BC161" s="408"/>
      <c r="BD161" s="408"/>
      <c r="BE161" s="408"/>
      <c r="BF161" s="408"/>
      <c r="BG161" s="408"/>
      <c r="BH161" s="408"/>
      <c r="BI161" s="408">
        <v>78.75</v>
      </c>
      <c r="BJ161" s="408">
        <v>374.64</v>
      </c>
      <c r="BK161" s="408">
        <v>8788.09</v>
      </c>
      <c r="BL161" s="408">
        <v>1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/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/>
      <c r="CJ161" s="408">
        <v>-0.03</v>
      </c>
      <c r="CK161" s="408"/>
      <c r="CL161" s="408"/>
      <c r="CM161" s="408"/>
      <c r="CN161" s="408"/>
      <c r="CO161" s="408">
        <v>0</v>
      </c>
      <c r="CP161" s="408">
        <v>0</v>
      </c>
      <c r="CQ161" s="408">
        <v>30</v>
      </c>
      <c r="CR161" s="408"/>
      <c r="CS161" s="408"/>
      <c r="CT161" s="408"/>
      <c r="CU161" s="408"/>
      <c r="CV161" s="408"/>
      <c r="CW161" s="408"/>
      <c r="CX161" s="408"/>
      <c r="CY161" s="408"/>
      <c r="CZ161" s="408"/>
      <c r="DA161" s="408"/>
      <c r="DB161" s="408"/>
      <c r="DC161" s="408"/>
      <c r="DD161" s="408"/>
      <c r="DE161" s="408"/>
      <c r="DF161" s="408"/>
      <c r="DG161" s="408"/>
      <c r="DH161" s="408"/>
      <c r="DI161" s="408"/>
      <c r="DJ161" s="408"/>
      <c r="DK161" s="408">
        <v>0</v>
      </c>
      <c r="DL161" s="408"/>
      <c r="DM161" s="408"/>
      <c r="DN161" s="408"/>
      <c r="DO161" s="408"/>
      <c r="DP161" s="408"/>
      <c r="DQ161" s="408"/>
      <c r="DR161" s="408"/>
      <c r="DS161" s="408"/>
      <c r="DT161" s="408"/>
      <c r="DU161" s="408"/>
      <c r="DV161" s="408"/>
      <c r="DW161" s="408"/>
      <c r="DX161" s="408"/>
      <c r="DY161" s="408"/>
      <c r="DZ161" s="408"/>
      <c r="EA161" s="408"/>
      <c r="EB161" s="408"/>
      <c r="EC161" s="408"/>
      <c r="ED161" s="408"/>
      <c r="EE161" s="408"/>
      <c r="EF161" s="408"/>
      <c r="EG161" s="408"/>
      <c r="EH161" s="408"/>
      <c r="EI161" s="408"/>
      <c r="EJ161" s="408"/>
      <c r="EK161" s="408"/>
      <c r="EL161" s="408"/>
      <c r="EM161" s="408"/>
      <c r="EN161" s="408"/>
      <c r="EO161" s="408"/>
      <c r="EP161" s="408"/>
      <c r="EQ161" s="408"/>
      <c r="ER161" s="408"/>
      <c r="ES161" s="408"/>
      <c r="ET161" s="408"/>
      <c r="EU161" s="408"/>
      <c r="EV161" s="408">
        <v>239</v>
      </c>
      <c r="EW161" s="408"/>
      <c r="EX161" s="408"/>
      <c r="EY161" s="408"/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161</v>
      </c>
      <c r="B162" s="408" t="s">
        <v>1034</v>
      </c>
      <c r="C162" s="408" t="s">
        <v>2233</v>
      </c>
      <c r="D162" s="408" t="s">
        <v>1956</v>
      </c>
      <c r="E162" s="408" t="s">
        <v>2250</v>
      </c>
      <c r="F162" s="408" t="s">
        <v>1320</v>
      </c>
      <c r="G162" s="408" t="s">
        <v>1320</v>
      </c>
      <c r="H162" s="408" t="s">
        <v>1320</v>
      </c>
      <c r="I162" s="408" t="s">
        <v>1320</v>
      </c>
      <c r="J162" s="408" t="s">
        <v>2234</v>
      </c>
      <c r="K162" s="827">
        <v>44440</v>
      </c>
      <c r="L162" s="408">
        <v>0</v>
      </c>
      <c r="M162" s="408">
        <v>0</v>
      </c>
      <c r="N162" s="408">
        <v>0.84</v>
      </c>
      <c r="O162" s="408">
        <v>0.84</v>
      </c>
      <c r="P162" s="408">
        <v>0.84</v>
      </c>
      <c r="Q162" s="408">
        <v>0.84</v>
      </c>
      <c r="R162" s="408"/>
      <c r="S162" s="408">
        <v>516.83000000000004</v>
      </c>
      <c r="T162" s="408">
        <v>173.82</v>
      </c>
      <c r="U162" s="408"/>
      <c r="V162" s="408">
        <v>580.14599999999996</v>
      </c>
      <c r="W162" s="408">
        <v>580.14599999999996</v>
      </c>
      <c r="X162" s="408">
        <v>438.01799999999992</v>
      </c>
      <c r="Y162" s="408">
        <v>0</v>
      </c>
      <c r="Z162" s="408">
        <v>51.365542836739905</v>
      </c>
      <c r="AA162" s="408">
        <v>0</v>
      </c>
      <c r="AB162" s="408">
        <v>0</v>
      </c>
      <c r="AC162" s="408">
        <v>2.2834930216483307</v>
      </c>
      <c r="AD162" s="408">
        <v>28.918353678535436</v>
      </c>
      <c r="AE162" s="408">
        <v>305.43726794002714</v>
      </c>
      <c r="AF162" s="408">
        <v>135.17459385480873</v>
      </c>
      <c r="AG162" s="408">
        <v>6.8005269293360522</v>
      </c>
      <c r="AH162" s="408">
        <v>0</v>
      </c>
      <c r="AI162" s="408">
        <v>0</v>
      </c>
      <c r="AJ162" s="408">
        <v>0</v>
      </c>
      <c r="AK162" s="408">
        <v>0</v>
      </c>
      <c r="AL162" s="408">
        <v>7.9392571924001611</v>
      </c>
      <c r="AM162" s="408"/>
      <c r="AN162" s="408">
        <v>1.3032952588737394</v>
      </c>
      <c r="AO162" s="408">
        <v>4.8707431744737697</v>
      </c>
      <c r="AP162" s="408">
        <v>15.951025315351476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0.46604259832376904</v>
      </c>
      <c r="BF162" s="408">
        <v>4.0367782034674331</v>
      </c>
      <c r="BG162" s="408">
        <v>15.605791493162387</v>
      </c>
      <c r="BH162" s="408">
        <v>0</v>
      </c>
      <c r="BI162" s="408">
        <v>2</v>
      </c>
      <c r="BJ162" s="408">
        <v>8.56</v>
      </c>
      <c r="BK162" s="408">
        <v>234.21</v>
      </c>
      <c r="BL162" s="408">
        <v>6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155.28320614976235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438.01799999999992</v>
      </c>
      <c r="CJ162" s="408">
        <v>-142.15800000000002</v>
      </c>
      <c r="CK162" s="408"/>
      <c r="CL162" s="408"/>
      <c r="CM162" s="408"/>
      <c r="CN162" s="408"/>
      <c r="CO162" s="408">
        <v>-159.92760000000004</v>
      </c>
      <c r="CP162" s="408">
        <v>17.799599999999998</v>
      </c>
      <c r="CQ162" s="408">
        <v>30</v>
      </c>
      <c r="CR162" s="408">
        <v>19.576938371766801</v>
      </c>
      <c r="CS162" s="408">
        <v>0.47291839026005267</v>
      </c>
      <c r="CT162" s="408">
        <v>1.5487437840423368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-0.55448652715578817</v>
      </c>
      <c r="DA162" s="408">
        <v>0</v>
      </c>
      <c r="DB162" s="408">
        <v>0</v>
      </c>
      <c r="DC162" s="408">
        <v>17.35115307794905</v>
      </c>
      <c r="DD162" s="408">
        <v>0.5181650970989562</v>
      </c>
      <c r="DE162" s="408">
        <v>5.9821718222035636E-2</v>
      </c>
      <c r="DF162" s="408">
        <v>0</v>
      </c>
      <c r="DG162" s="408">
        <v>2.0031758141714757</v>
      </c>
      <c r="DH162" s="408">
        <v>0</v>
      </c>
      <c r="DI162" s="408">
        <v>-1.5011839557503919</v>
      </c>
      <c r="DJ162" s="408"/>
      <c r="DK162" s="408">
        <v>0</v>
      </c>
      <c r="DL162" s="408">
        <v>0</v>
      </c>
      <c r="DM162" s="408">
        <v>-7.558536090436796E-2</v>
      </c>
      <c r="DN162" s="408">
        <v>0</v>
      </c>
      <c r="DO162" s="408">
        <v>-0.20562401902221517</v>
      </c>
      <c r="DP162" s="408">
        <v>-4.0159647144329957E-2</v>
      </c>
      <c r="DQ162" s="408">
        <v>0</v>
      </c>
      <c r="DR162" s="408">
        <v>0</v>
      </c>
      <c r="DS162" s="408"/>
      <c r="DT162" s="408"/>
      <c r="DU162" s="408"/>
      <c r="DV162" s="408">
        <v>305.43726794002714</v>
      </c>
      <c r="DW162" s="408">
        <v>0</v>
      </c>
      <c r="DX162" s="408">
        <v>0</v>
      </c>
      <c r="DY162" s="408">
        <v>-159.92760000000004</v>
      </c>
      <c r="DZ162" s="408">
        <v>17.799599999999998</v>
      </c>
      <c r="EA162" s="408">
        <v>0</v>
      </c>
      <c r="EB162" s="408">
        <v>0</v>
      </c>
      <c r="EC162" s="408">
        <v>-161.71284047274384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239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162</v>
      </c>
      <c r="B163" s="408" t="s">
        <v>1034</v>
      </c>
      <c r="C163" s="408" t="s">
        <v>2233</v>
      </c>
      <c r="D163" s="408" t="s">
        <v>2243</v>
      </c>
      <c r="E163" s="408" t="s">
        <v>972</v>
      </c>
      <c r="F163" s="408" t="s">
        <v>2251</v>
      </c>
      <c r="G163" s="408" t="s">
        <v>2252</v>
      </c>
      <c r="H163" s="408" t="s">
        <v>1320</v>
      </c>
      <c r="I163" s="408" t="s">
        <v>1320</v>
      </c>
      <c r="J163" s="408" t="s">
        <v>2234</v>
      </c>
      <c r="K163" s="827">
        <v>44440</v>
      </c>
      <c r="L163" s="408">
        <v>0</v>
      </c>
      <c r="M163" s="408">
        <v>0</v>
      </c>
      <c r="N163" s="408">
        <v>0</v>
      </c>
      <c r="O163" s="408">
        <v>0</v>
      </c>
      <c r="P163" s="408">
        <v>0</v>
      </c>
      <c r="Q163" s="408">
        <v>0</v>
      </c>
      <c r="R163" s="408"/>
      <c r="S163" s="408"/>
      <c r="T163" s="408"/>
      <c r="U163" s="408"/>
      <c r="V163" s="408"/>
      <c r="W163" s="408"/>
      <c r="X163" s="408"/>
      <c r="Y163" s="408"/>
      <c r="Z163" s="408"/>
      <c r="AA163" s="408">
        <v>0</v>
      </c>
      <c r="AB163" s="408"/>
      <c r="AC163" s="408"/>
      <c r="AD163" s="408"/>
      <c r="AE163" s="408"/>
      <c r="AF163" s="408"/>
      <c r="AG163" s="408"/>
      <c r="AH163" s="408"/>
      <c r="AI163" s="408"/>
      <c r="AJ163" s="408"/>
      <c r="AK163" s="408"/>
      <c r="AL163" s="408"/>
      <c r="AM163" s="408"/>
      <c r="AN163" s="408"/>
      <c r="AO163" s="408"/>
      <c r="AP163" s="408"/>
      <c r="AQ163" s="408"/>
      <c r="AR163" s="408"/>
      <c r="AS163" s="408"/>
      <c r="AT163" s="408"/>
      <c r="AU163" s="408"/>
      <c r="AV163" s="408"/>
      <c r="AW163" s="408"/>
      <c r="AX163" s="408"/>
      <c r="AY163" s="408"/>
      <c r="AZ163" s="408">
        <v>0</v>
      </c>
      <c r="BA163" s="408"/>
      <c r="BB163" s="408"/>
      <c r="BC163" s="408"/>
      <c r="BD163" s="408"/>
      <c r="BE163" s="408"/>
      <c r="BF163" s="408"/>
      <c r="BG163" s="408"/>
      <c r="BH163" s="408"/>
      <c r="BI163" s="408">
        <v>280.45</v>
      </c>
      <c r="BJ163" s="408">
        <v>1335.94</v>
      </c>
      <c r="BK163" s="408">
        <v>542.04999999999995</v>
      </c>
      <c r="BL163" s="408">
        <v>65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/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/>
      <c r="CJ163" s="408">
        <v>-0.03</v>
      </c>
      <c r="CK163" s="408"/>
      <c r="CL163" s="408"/>
      <c r="CM163" s="408"/>
      <c r="CN163" s="408"/>
      <c r="CO163" s="408">
        <v>0</v>
      </c>
      <c r="CP163" s="408">
        <v>0</v>
      </c>
      <c r="CQ163" s="408">
        <v>30</v>
      </c>
      <c r="CR163" s="408"/>
      <c r="CS163" s="408"/>
      <c r="CT163" s="408"/>
      <c r="CU163" s="408"/>
      <c r="CV163" s="408"/>
      <c r="CW163" s="408"/>
      <c r="CX163" s="408"/>
      <c r="CY163" s="408"/>
      <c r="CZ163" s="408"/>
      <c r="DA163" s="408"/>
      <c r="DB163" s="408"/>
      <c r="DC163" s="408"/>
      <c r="DD163" s="408"/>
      <c r="DE163" s="408"/>
      <c r="DF163" s="408"/>
      <c r="DG163" s="408"/>
      <c r="DH163" s="408"/>
      <c r="DI163" s="408"/>
      <c r="DJ163" s="408"/>
      <c r="DK163" s="408">
        <v>0</v>
      </c>
      <c r="DL163" s="408"/>
      <c r="DM163" s="408"/>
      <c r="DN163" s="408"/>
      <c r="DO163" s="408"/>
      <c r="DP163" s="408"/>
      <c r="DQ163" s="408"/>
      <c r="DR163" s="408"/>
      <c r="DS163" s="408"/>
      <c r="DT163" s="408"/>
      <c r="DU163" s="408"/>
      <c r="DV163" s="408"/>
      <c r="DW163" s="408"/>
      <c r="DX163" s="408"/>
      <c r="DY163" s="408"/>
      <c r="DZ163" s="408"/>
      <c r="EA163" s="408"/>
      <c r="EB163" s="408"/>
      <c r="EC163" s="408"/>
      <c r="ED163" s="408"/>
      <c r="EE163" s="408"/>
      <c r="EF163" s="408"/>
      <c r="EG163" s="408"/>
      <c r="EH163" s="408"/>
      <c r="EI163" s="408"/>
      <c r="EJ163" s="408"/>
      <c r="EK163" s="408"/>
      <c r="EL163" s="408"/>
      <c r="EM163" s="408"/>
      <c r="EN163" s="408"/>
      <c r="EO163" s="408"/>
      <c r="EP163" s="408"/>
      <c r="EQ163" s="408"/>
      <c r="ER163" s="408"/>
      <c r="ES163" s="408"/>
      <c r="ET163" s="408"/>
      <c r="EU163" s="408"/>
      <c r="EV163" s="408">
        <v>239</v>
      </c>
      <c r="EW163" s="408"/>
      <c r="EX163" s="408"/>
      <c r="EY163" s="408"/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163</v>
      </c>
      <c r="B164" s="408" t="s">
        <v>2236</v>
      </c>
      <c r="C164" s="408" t="s">
        <v>2233</v>
      </c>
      <c r="D164" s="408" t="s">
        <v>2243</v>
      </c>
      <c r="E164" s="408" t="s">
        <v>972</v>
      </c>
      <c r="F164" s="408" t="s">
        <v>2251</v>
      </c>
      <c r="G164" s="408" t="s">
        <v>2252</v>
      </c>
      <c r="H164" s="408" t="s">
        <v>1320</v>
      </c>
      <c r="I164" s="408" t="s">
        <v>1320</v>
      </c>
      <c r="J164" s="408" t="s">
        <v>2234</v>
      </c>
      <c r="K164" s="827">
        <v>44440</v>
      </c>
      <c r="L164" s="408">
        <v>0</v>
      </c>
      <c r="M164" s="408">
        <v>0</v>
      </c>
      <c r="N164" s="408">
        <v>0</v>
      </c>
      <c r="O164" s="408">
        <v>0</v>
      </c>
      <c r="P164" s="408">
        <v>0</v>
      </c>
      <c r="Q164" s="408">
        <v>0</v>
      </c>
      <c r="R164" s="408"/>
      <c r="S164" s="408"/>
      <c r="T164" s="408"/>
      <c r="U164" s="408"/>
      <c r="V164" s="408"/>
      <c r="W164" s="408"/>
      <c r="X164" s="408"/>
      <c r="Y164" s="408"/>
      <c r="Z164" s="408"/>
      <c r="AA164" s="408">
        <v>0</v>
      </c>
      <c r="AB164" s="408"/>
      <c r="AC164" s="408"/>
      <c r="AD164" s="408"/>
      <c r="AE164" s="408"/>
      <c r="AF164" s="408"/>
      <c r="AG164" s="408"/>
      <c r="AH164" s="408"/>
      <c r="AI164" s="408"/>
      <c r="AJ164" s="408"/>
      <c r="AK164" s="408"/>
      <c r="AL164" s="408"/>
      <c r="AM164" s="408"/>
      <c r="AN164" s="408"/>
      <c r="AO164" s="408"/>
      <c r="AP164" s="408"/>
      <c r="AQ164" s="408"/>
      <c r="AR164" s="408"/>
      <c r="AS164" s="408"/>
      <c r="AT164" s="408"/>
      <c r="AU164" s="408"/>
      <c r="AV164" s="408"/>
      <c r="AW164" s="408"/>
      <c r="AX164" s="408"/>
      <c r="AY164" s="408"/>
      <c r="AZ164" s="408">
        <v>0</v>
      </c>
      <c r="BA164" s="408"/>
      <c r="BB164" s="408"/>
      <c r="BC164" s="408"/>
      <c r="BD164" s="408"/>
      <c r="BE164" s="408"/>
      <c r="BF164" s="408"/>
      <c r="BG164" s="408"/>
      <c r="BH164" s="408"/>
      <c r="BI164" s="408">
        <v>0.72</v>
      </c>
      <c r="BJ164" s="408">
        <v>3.57</v>
      </c>
      <c r="BK164" s="408">
        <v>27.36</v>
      </c>
      <c r="BL164" s="408">
        <v>3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/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/>
      <c r="CJ164" s="408">
        <v>-0.03</v>
      </c>
      <c r="CK164" s="408"/>
      <c r="CL164" s="408"/>
      <c r="CM164" s="408"/>
      <c r="CN164" s="408"/>
      <c r="CO164" s="408">
        <v>0</v>
      </c>
      <c r="CP164" s="408">
        <v>0</v>
      </c>
      <c r="CQ164" s="408">
        <v>30</v>
      </c>
      <c r="CR164" s="408"/>
      <c r="CS164" s="408"/>
      <c r="CT164" s="408"/>
      <c r="CU164" s="408"/>
      <c r="CV164" s="408"/>
      <c r="CW164" s="408"/>
      <c r="CX164" s="408"/>
      <c r="CY164" s="408"/>
      <c r="CZ164" s="408"/>
      <c r="DA164" s="408"/>
      <c r="DB164" s="408"/>
      <c r="DC164" s="408"/>
      <c r="DD164" s="408"/>
      <c r="DE164" s="408"/>
      <c r="DF164" s="408"/>
      <c r="DG164" s="408"/>
      <c r="DH164" s="408"/>
      <c r="DI164" s="408"/>
      <c r="DJ164" s="408"/>
      <c r="DK164" s="408">
        <v>0</v>
      </c>
      <c r="DL164" s="408"/>
      <c r="DM164" s="408"/>
      <c r="DN164" s="408"/>
      <c r="DO164" s="408"/>
      <c r="DP164" s="408"/>
      <c r="DQ164" s="408"/>
      <c r="DR164" s="408"/>
      <c r="DS164" s="408"/>
      <c r="DT164" s="408"/>
      <c r="DU164" s="408"/>
      <c r="DV164" s="408"/>
      <c r="DW164" s="408"/>
      <c r="DX164" s="408"/>
      <c r="DY164" s="408"/>
      <c r="DZ164" s="408"/>
      <c r="EA164" s="408"/>
      <c r="EB164" s="408"/>
      <c r="EC164" s="408"/>
      <c r="ED164" s="408"/>
      <c r="EE164" s="408"/>
      <c r="EF164" s="408"/>
      <c r="EG164" s="408"/>
      <c r="EH164" s="408"/>
      <c r="EI164" s="408"/>
      <c r="EJ164" s="408"/>
      <c r="EK164" s="408"/>
      <c r="EL164" s="408"/>
      <c r="EM164" s="408"/>
      <c r="EN164" s="408"/>
      <c r="EO164" s="408"/>
      <c r="EP164" s="408"/>
      <c r="EQ164" s="408"/>
      <c r="ER164" s="408"/>
      <c r="ES164" s="408"/>
      <c r="ET164" s="408"/>
      <c r="EU164" s="408"/>
      <c r="EV164" s="408">
        <v>239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164</v>
      </c>
      <c r="B165" s="408" t="s">
        <v>1034</v>
      </c>
      <c r="C165" s="408" t="s">
        <v>2233</v>
      </c>
      <c r="D165" s="408" t="s">
        <v>2243</v>
      </c>
      <c r="E165" s="408" t="s">
        <v>972</v>
      </c>
      <c r="F165" s="408" t="s">
        <v>2251</v>
      </c>
      <c r="G165" s="408" t="s">
        <v>2252</v>
      </c>
      <c r="H165" s="408" t="s">
        <v>1320</v>
      </c>
      <c r="I165" s="408" t="s">
        <v>1320</v>
      </c>
      <c r="J165" s="408" t="s">
        <v>2234</v>
      </c>
      <c r="K165" s="827">
        <v>44440</v>
      </c>
      <c r="L165" s="408">
        <v>0</v>
      </c>
      <c r="M165" s="408">
        <v>0</v>
      </c>
      <c r="N165" s="408">
        <v>82.129000000000005</v>
      </c>
      <c r="O165" s="408">
        <v>82.129000000000005</v>
      </c>
      <c r="P165" s="408">
        <v>82.129000000000005</v>
      </c>
      <c r="Q165" s="408">
        <v>82.129000000000005</v>
      </c>
      <c r="R165" s="408"/>
      <c r="S165" s="408">
        <v>516.83000000000004</v>
      </c>
      <c r="T165" s="408">
        <v>173.82</v>
      </c>
      <c r="U165" s="408"/>
      <c r="V165" s="408">
        <v>56722.393850000008</v>
      </c>
      <c r="W165" s="408">
        <v>56722.393850000008</v>
      </c>
      <c r="X165" s="408">
        <v>42826.167050000004</v>
      </c>
      <c r="Y165" s="408">
        <v>0</v>
      </c>
      <c r="Z165" s="408">
        <v>5022.1436519507288</v>
      </c>
      <c r="AA165" s="408">
        <v>0</v>
      </c>
      <c r="AB165" s="408">
        <v>0</v>
      </c>
      <c r="AC165" s="408">
        <v>223.26309330351879</v>
      </c>
      <c r="AD165" s="408">
        <v>2827.4231776957586</v>
      </c>
      <c r="AE165" s="408">
        <v>29863.401641245826</v>
      </c>
      <c r="AF165" s="408">
        <v>13216.374069882844</v>
      </c>
      <c r="AG165" s="408">
        <v>664.90532878504848</v>
      </c>
      <c r="AH165" s="408">
        <v>0</v>
      </c>
      <c r="AI165" s="408">
        <v>0</v>
      </c>
      <c r="AJ165" s="408">
        <v>0</v>
      </c>
      <c r="AK165" s="408">
        <v>0</v>
      </c>
      <c r="AL165" s="408">
        <v>776.24196899361061</v>
      </c>
      <c r="AM165" s="408"/>
      <c r="AN165" s="408">
        <v>127.42659085243019</v>
      </c>
      <c r="AO165" s="408">
        <v>476.22531687661456</v>
      </c>
      <c r="AP165" s="408">
        <v>1559.5735215767875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45.566205425872418</v>
      </c>
      <c r="BF165" s="408">
        <v>394.68637746735334</v>
      </c>
      <c r="BG165" s="408">
        <v>1525.8191065975404</v>
      </c>
      <c r="BH165" s="408">
        <v>0</v>
      </c>
      <c r="BI165" s="408">
        <v>0</v>
      </c>
      <c r="BJ165" s="408">
        <v>0</v>
      </c>
      <c r="BK165" s="408">
        <v>0</v>
      </c>
      <c r="BL165" s="408">
        <v>0</v>
      </c>
      <c r="BM165" s="408"/>
      <c r="BN165" s="408"/>
      <c r="BO165" s="408"/>
      <c r="BP165" s="408"/>
      <c r="BQ165" s="408"/>
      <c r="BR165" s="408">
        <v>5138.8115299999999</v>
      </c>
      <c r="BS165" s="408"/>
      <c r="BT165" s="408"/>
      <c r="BU165" s="408"/>
      <c r="BV165" s="408">
        <v>15182.44575937361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37687.814400000003</v>
      </c>
      <c r="CJ165" s="408">
        <v>-12227.757930000007</v>
      </c>
      <c r="CK165" s="408"/>
      <c r="CL165" s="408"/>
      <c r="CM165" s="408"/>
      <c r="CN165" s="408"/>
      <c r="CO165" s="408">
        <v>-15636.540310000004</v>
      </c>
      <c r="CP165" s="408">
        <v>1740.31351</v>
      </c>
      <c r="CQ165" s="408">
        <v>30</v>
      </c>
      <c r="CR165" s="408">
        <v>1914.0885375414691</v>
      </c>
      <c r="CS165" s="408">
        <v>46.238469611509458</v>
      </c>
      <c r="CT165" s="408">
        <v>151.42473599953928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-54.213599986640475</v>
      </c>
      <c r="DA165" s="408">
        <v>0</v>
      </c>
      <c r="DB165" s="408">
        <v>0</v>
      </c>
      <c r="DC165" s="408">
        <v>1696.4676799272347</v>
      </c>
      <c r="DD165" s="408">
        <v>50.662358642428785</v>
      </c>
      <c r="DE165" s="408">
        <v>5.8489260664970999</v>
      </c>
      <c r="DF165" s="408">
        <v>0</v>
      </c>
      <c r="DG165" s="408">
        <v>195.85574576439171</v>
      </c>
      <c r="DH165" s="408">
        <v>0</v>
      </c>
      <c r="DI165" s="408">
        <v>-146.77468702598071</v>
      </c>
      <c r="DJ165" s="408"/>
      <c r="DK165" s="408">
        <v>0</v>
      </c>
      <c r="DL165" s="408">
        <v>0</v>
      </c>
      <c r="DM165" s="408">
        <v>-7.3901786972795662</v>
      </c>
      <c r="DN165" s="408">
        <v>0</v>
      </c>
      <c r="DO165" s="408">
        <v>-20.10439887889936</v>
      </c>
      <c r="DP165" s="408">
        <v>-3.9265138813293845</v>
      </c>
      <c r="DQ165" s="408">
        <v>0</v>
      </c>
      <c r="DR165" s="408">
        <v>0</v>
      </c>
      <c r="DS165" s="408"/>
      <c r="DT165" s="408"/>
      <c r="DU165" s="408"/>
      <c r="DV165" s="408">
        <v>29863.401641245826</v>
      </c>
      <c r="DW165" s="408">
        <v>0</v>
      </c>
      <c r="DX165" s="408">
        <v>0</v>
      </c>
      <c r="DY165" s="408">
        <v>-15636.540310000008</v>
      </c>
      <c r="DZ165" s="408">
        <v>1740.31351</v>
      </c>
      <c r="EA165" s="408">
        <v>0</v>
      </c>
      <c r="EB165" s="408">
        <v>0</v>
      </c>
      <c r="EC165" s="408">
        <v>-15811.087946649977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239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165</v>
      </c>
      <c r="B166" s="408" t="s">
        <v>2236</v>
      </c>
      <c r="C166" s="408" t="s">
        <v>2233</v>
      </c>
      <c r="D166" s="408" t="s">
        <v>2243</v>
      </c>
      <c r="E166" s="408" t="s">
        <v>972</v>
      </c>
      <c r="F166" s="408" t="s">
        <v>2251</v>
      </c>
      <c r="G166" s="408" t="s">
        <v>2252</v>
      </c>
      <c r="H166" s="408" t="s">
        <v>1320</v>
      </c>
      <c r="I166" s="408" t="s">
        <v>1320</v>
      </c>
      <c r="J166" s="408" t="s">
        <v>2234</v>
      </c>
      <c r="K166" s="827">
        <v>44440</v>
      </c>
      <c r="L166" s="408">
        <v>0</v>
      </c>
      <c r="M166" s="408">
        <v>0</v>
      </c>
      <c r="N166" s="408">
        <v>0.2</v>
      </c>
      <c r="O166" s="408">
        <v>0.2</v>
      </c>
      <c r="P166" s="408">
        <v>0.2</v>
      </c>
      <c r="Q166" s="408">
        <v>0.2</v>
      </c>
      <c r="R166" s="408"/>
      <c r="S166" s="408">
        <v>516.83000000000004</v>
      </c>
      <c r="T166" s="408">
        <v>173.82</v>
      </c>
      <c r="U166" s="408"/>
      <c r="V166" s="408">
        <v>138.13000000000002</v>
      </c>
      <c r="W166" s="408">
        <v>138.13000000000002</v>
      </c>
      <c r="X166" s="408">
        <v>104.28999999999999</v>
      </c>
      <c r="Y166" s="408">
        <v>0</v>
      </c>
      <c r="Z166" s="408">
        <v>12.22989115160474</v>
      </c>
      <c r="AA166" s="408">
        <v>0</v>
      </c>
      <c r="AB166" s="408">
        <v>0</v>
      </c>
      <c r="AC166" s="408">
        <v>0.54368881467817409</v>
      </c>
      <c r="AD166" s="408">
        <v>6.8853223044131999</v>
      </c>
      <c r="AE166" s="408">
        <v>72.723159033339797</v>
      </c>
      <c r="AF166" s="408">
        <v>32.1844271082878</v>
      </c>
      <c r="AG166" s="408">
        <v>1.619173078413346</v>
      </c>
      <c r="AH166" s="408">
        <v>0</v>
      </c>
      <c r="AI166" s="408">
        <v>0</v>
      </c>
      <c r="AJ166" s="408">
        <v>0</v>
      </c>
      <c r="AK166" s="408">
        <v>0</v>
      </c>
      <c r="AL166" s="408">
        <v>1.8902993315238481</v>
      </c>
      <c r="AM166" s="408"/>
      <c r="AN166" s="408">
        <v>0.31030839496993801</v>
      </c>
      <c r="AO166" s="408">
        <v>1.159700755827088</v>
      </c>
      <c r="AP166" s="408">
        <v>3.7978631703217802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0.11096252341042122</v>
      </c>
      <c r="BF166" s="408">
        <v>0.96113766749224594</v>
      </c>
      <c r="BG166" s="408">
        <v>3.7156646412291403</v>
      </c>
      <c r="BH166" s="408">
        <v>0</v>
      </c>
      <c r="BI166" s="408">
        <v>0</v>
      </c>
      <c r="BJ166" s="408">
        <v>0</v>
      </c>
      <c r="BK166" s="408">
        <v>0</v>
      </c>
      <c r="BL166" s="408">
        <v>0</v>
      </c>
      <c r="BM166" s="408"/>
      <c r="BN166" s="408"/>
      <c r="BO166" s="408"/>
      <c r="BP166" s="408"/>
      <c r="BQ166" s="408"/>
      <c r="BR166" s="408">
        <v>12.513999999999999</v>
      </c>
      <c r="BS166" s="408"/>
      <c r="BT166" s="408"/>
      <c r="BU166" s="408"/>
      <c r="BV166" s="408">
        <v>36.972191940419606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91.77600000000001</v>
      </c>
      <c r="CJ166" s="408">
        <v>-29.808000000000007</v>
      </c>
      <c r="CK166" s="408"/>
      <c r="CL166" s="408"/>
      <c r="CM166" s="408"/>
      <c r="CN166" s="408"/>
      <c r="CO166" s="408">
        <v>-38.07800000000001</v>
      </c>
      <c r="CP166" s="408">
        <v>4.2379999999999995</v>
      </c>
      <c r="CQ166" s="408">
        <v>30</v>
      </c>
      <c r="CR166" s="408">
        <v>4.6611758028016226</v>
      </c>
      <c r="CS166" s="408">
        <v>0.1125996167285841</v>
      </c>
      <c r="CT166" s="408">
        <v>0.36874852001008041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-0.13202060170375951</v>
      </c>
      <c r="DA166" s="408">
        <v>0</v>
      </c>
      <c r="DB166" s="408">
        <v>0</v>
      </c>
      <c r="DC166" s="408">
        <v>4.1312269233212007</v>
      </c>
      <c r="DD166" s="408">
        <v>0.12337264216641819</v>
      </c>
      <c r="DE166" s="408">
        <v>1.4243266243341809E-2</v>
      </c>
      <c r="DF166" s="408">
        <v>0</v>
      </c>
      <c r="DG166" s="408">
        <v>0.47694662242177976</v>
      </c>
      <c r="DH166" s="408">
        <v>0</v>
      </c>
      <c r="DI166" s="408">
        <v>-0.35742475136913932</v>
      </c>
      <c r="DJ166" s="408"/>
      <c r="DK166" s="408">
        <v>0</v>
      </c>
      <c r="DL166" s="408">
        <v>0</v>
      </c>
      <c r="DM166" s="408">
        <v>-1.7996514501040117E-2</v>
      </c>
      <c r="DN166" s="408">
        <v>0</v>
      </c>
      <c r="DO166" s="408">
        <v>-4.8958099767194119E-2</v>
      </c>
      <c r="DP166" s="408">
        <v>-9.561820748649974E-3</v>
      </c>
      <c r="DQ166" s="408">
        <v>0</v>
      </c>
      <c r="DR166" s="408">
        <v>0</v>
      </c>
      <c r="DS166" s="408"/>
      <c r="DT166" s="408"/>
      <c r="DU166" s="408"/>
      <c r="DV166" s="408">
        <v>72.723159033339797</v>
      </c>
      <c r="DW166" s="408">
        <v>0</v>
      </c>
      <c r="DX166" s="408">
        <v>0</v>
      </c>
      <c r="DY166" s="408">
        <v>-38.078000000000017</v>
      </c>
      <c r="DZ166" s="408">
        <v>4.2379999999999995</v>
      </c>
      <c r="EA166" s="408">
        <v>0</v>
      </c>
      <c r="EB166" s="408">
        <v>0</v>
      </c>
      <c r="EC166" s="408">
        <v>-38.503057255415193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239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166</v>
      </c>
      <c r="B167" s="408" t="s">
        <v>1034</v>
      </c>
      <c r="C167" s="408" t="s">
        <v>2233</v>
      </c>
      <c r="D167" s="408" t="s">
        <v>2243</v>
      </c>
      <c r="E167" s="408" t="s">
        <v>972</v>
      </c>
      <c r="F167" s="408" t="s">
        <v>2251</v>
      </c>
      <c r="G167" s="408" t="s">
        <v>2253</v>
      </c>
      <c r="H167" s="408" t="s">
        <v>1320</v>
      </c>
      <c r="I167" s="408" t="s">
        <v>1320</v>
      </c>
      <c r="J167" s="408" t="s">
        <v>2234</v>
      </c>
      <c r="K167" s="827">
        <v>44440</v>
      </c>
      <c r="L167" s="408">
        <v>0</v>
      </c>
      <c r="M167" s="408">
        <v>0</v>
      </c>
      <c r="N167" s="408">
        <v>31.27</v>
      </c>
      <c r="O167" s="408">
        <v>12.507999999999999</v>
      </c>
      <c r="P167" s="408">
        <v>31.27</v>
      </c>
      <c r="Q167" s="408">
        <v>12.507999999999999</v>
      </c>
      <c r="R167" s="408"/>
      <c r="S167" s="408">
        <v>516.83000000000004</v>
      </c>
      <c r="T167" s="408">
        <v>173.82</v>
      </c>
      <c r="U167" s="408"/>
      <c r="V167" s="408">
        <v>21596.625500000002</v>
      </c>
      <c r="W167" s="408">
        <v>21596.625500000002</v>
      </c>
      <c r="X167" s="408">
        <v>16305.7415</v>
      </c>
      <c r="Y167" s="408">
        <v>0</v>
      </c>
      <c r="Z167" s="408">
        <v>1912.143481553401</v>
      </c>
      <c r="AA167" s="408">
        <v>0</v>
      </c>
      <c r="AB167" s="408">
        <v>0</v>
      </c>
      <c r="AC167" s="408">
        <v>85.005746174932511</v>
      </c>
      <c r="AD167" s="408">
        <v>1076.5201422950038</v>
      </c>
      <c r="AE167" s="408">
        <v>11370.265914862677</v>
      </c>
      <c r="AF167" s="408">
        <v>5032.0351783807973</v>
      </c>
      <c r="AG167" s="408">
        <v>253.15771080992661</v>
      </c>
      <c r="AH167" s="408">
        <v>0</v>
      </c>
      <c r="AI167" s="408">
        <v>0</v>
      </c>
      <c r="AJ167" s="408">
        <v>0</v>
      </c>
      <c r="AK167" s="408">
        <v>0</v>
      </c>
      <c r="AL167" s="408">
        <v>295.54830048375362</v>
      </c>
      <c r="AM167" s="408"/>
      <c r="AN167" s="408">
        <v>48.516717553549803</v>
      </c>
      <c r="AO167" s="408">
        <v>181.3192131735652</v>
      </c>
      <c r="AP167" s="408">
        <v>593.79590667981029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17.348990535219357</v>
      </c>
      <c r="BF167" s="408">
        <v>150.27387431241266</v>
      </c>
      <c r="BG167" s="408">
        <v>580.94416665617609</v>
      </c>
      <c r="BH167" s="408">
        <v>0</v>
      </c>
      <c r="BI167" s="408">
        <v>0</v>
      </c>
      <c r="BJ167" s="408">
        <v>0</v>
      </c>
      <c r="BK167" s="408">
        <v>0</v>
      </c>
      <c r="BL167" s="408">
        <v>0</v>
      </c>
      <c r="BM167" s="408"/>
      <c r="BN167" s="408"/>
      <c r="BO167" s="408"/>
      <c r="BP167" s="408"/>
      <c r="BQ167" s="408"/>
      <c r="BR167" s="408"/>
      <c r="BS167" s="408">
        <v>10566.070459999999</v>
      </c>
      <c r="BT167" s="408"/>
      <c r="BU167" s="408"/>
      <c r="BV167" s="408">
        <v>5780.6022098846051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5740.5887999999995</v>
      </c>
      <c r="CJ167" s="408">
        <v>-1861.4283600000008</v>
      </c>
      <c r="CK167" s="408"/>
      <c r="CL167" s="408"/>
      <c r="CM167" s="408"/>
      <c r="CN167" s="408"/>
      <c r="CO167" s="408">
        <v>-5953.4953000000014</v>
      </c>
      <c r="CP167" s="408">
        <v>662.61129999999991</v>
      </c>
      <c r="CQ167" s="408">
        <v>30</v>
      </c>
      <c r="CR167" s="408">
        <v>728.77483676803604</v>
      </c>
      <c r="CS167" s="408">
        <v>17.604950075514125</v>
      </c>
      <c r="CT167" s="408">
        <v>57.653831103576067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-20.641421076382812</v>
      </c>
      <c r="DA167" s="408">
        <v>0</v>
      </c>
      <c r="DB167" s="408">
        <v>0</v>
      </c>
      <c r="DC167" s="408">
        <v>645.91732946127013</v>
      </c>
      <c r="DD167" s="408">
        <v>19.289312602719463</v>
      </c>
      <c r="DE167" s="408">
        <v>2.2269346771464882</v>
      </c>
      <c r="DF167" s="408">
        <v>0</v>
      </c>
      <c r="DG167" s="408">
        <v>74.570604415645334</v>
      </c>
      <c r="DH167" s="408">
        <v>0</v>
      </c>
      <c r="DI167" s="408">
        <v>-55.883359876565009</v>
      </c>
      <c r="DJ167" s="408"/>
      <c r="DK167" s="408">
        <v>0</v>
      </c>
      <c r="DL167" s="408">
        <v>0</v>
      </c>
      <c r="DM167" s="408">
        <v>-2.8137550422376023</v>
      </c>
      <c r="DN167" s="408">
        <v>0</v>
      </c>
      <c r="DO167" s="408">
        <v>-7.6545988986007956</v>
      </c>
      <c r="DP167" s="408">
        <v>-1.4949906740514294</v>
      </c>
      <c r="DQ167" s="408">
        <v>0</v>
      </c>
      <c r="DR167" s="408">
        <v>0</v>
      </c>
      <c r="DS167" s="408"/>
      <c r="DT167" s="408"/>
      <c r="DU167" s="408"/>
      <c r="DV167" s="408">
        <v>11370.265914862677</v>
      </c>
      <c r="DW167" s="408">
        <v>0</v>
      </c>
      <c r="DX167" s="408">
        <v>0</v>
      </c>
      <c r="DY167" s="408">
        <v>-5953.4953000000005</v>
      </c>
      <c r="DZ167" s="408">
        <v>662.61130000000048</v>
      </c>
      <c r="EA167" s="408">
        <v>0</v>
      </c>
      <c r="EB167" s="408">
        <v>0</v>
      </c>
      <c r="EC167" s="408">
        <v>-6019.953001884166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239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167</v>
      </c>
      <c r="B168" s="408" t="s">
        <v>2236</v>
      </c>
      <c r="C168" s="408" t="s">
        <v>2233</v>
      </c>
      <c r="D168" s="408" t="s">
        <v>2243</v>
      </c>
      <c r="E168" s="408" t="s">
        <v>972</v>
      </c>
      <c r="F168" s="408" t="s">
        <v>2251</v>
      </c>
      <c r="G168" s="408" t="s">
        <v>2253</v>
      </c>
      <c r="H168" s="408" t="s">
        <v>1320</v>
      </c>
      <c r="I168" s="408" t="s">
        <v>1320</v>
      </c>
      <c r="J168" s="408" t="s">
        <v>2234</v>
      </c>
      <c r="K168" s="827">
        <v>44440</v>
      </c>
      <c r="L168" s="408">
        <v>0</v>
      </c>
      <c r="M168" s="408">
        <v>0</v>
      </c>
      <c r="N168" s="408">
        <v>0.1</v>
      </c>
      <c r="O168" s="408">
        <v>0.04</v>
      </c>
      <c r="P168" s="408">
        <v>0.1</v>
      </c>
      <c r="Q168" s="408">
        <v>0.04</v>
      </c>
      <c r="R168" s="408"/>
      <c r="S168" s="408">
        <v>516.83000000000004</v>
      </c>
      <c r="T168" s="408">
        <v>173.82</v>
      </c>
      <c r="U168" s="408"/>
      <c r="V168" s="408">
        <v>69.065000000000012</v>
      </c>
      <c r="W168" s="408">
        <v>69.065000000000012</v>
      </c>
      <c r="X168" s="408">
        <v>52.144999999999996</v>
      </c>
      <c r="Y168" s="408">
        <v>0</v>
      </c>
      <c r="Z168" s="408">
        <v>6.1149455758023699</v>
      </c>
      <c r="AA168" s="408">
        <v>0</v>
      </c>
      <c r="AB168" s="408">
        <v>0</v>
      </c>
      <c r="AC168" s="408">
        <v>0.27184440733908705</v>
      </c>
      <c r="AD168" s="408">
        <v>3.4426611522066</v>
      </c>
      <c r="AE168" s="408">
        <v>36.361579516669899</v>
      </c>
      <c r="AF168" s="408">
        <v>16.0922135541439</v>
      </c>
      <c r="AG168" s="408">
        <v>0.80958653920667301</v>
      </c>
      <c r="AH168" s="408">
        <v>0</v>
      </c>
      <c r="AI168" s="408">
        <v>0</v>
      </c>
      <c r="AJ168" s="408">
        <v>0</v>
      </c>
      <c r="AK168" s="408">
        <v>0</v>
      </c>
      <c r="AL168" s="408">
        <v>0.94514966576192405</v>
      </c>
      <c r="AM168" s="408"/>
      <c r="AN168" s="408">
        <v>0.155154197484969</v>
      </c>
      <c r="AO168" s="408">
        <v>0.57985037791354399</v>
      </c>
      <c r="AP168" s="408">
        <v>1.8989315851608901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5.5481261705210609E-2</v>
      </c>
      <c r="BF168" s="408">
        <v>0.48056883374612297</v>
      </c>
      <c r="BG168" s="408">
        <v>1.8578323206145702</v>
      </c>
      <c r="BH168" s="408">
        <v>0</v>
      </c>
      <c r="BI168" s="408">
        <v>0</v>
      </c>
      <c r="BJ168" s="408">
        <v>0</v>
      </c>
      <c r="BK168" s="408">
        <v>0</v>
      </c>
      <c r="BL168" s="408">
        <v>0</v>
      </c>
      <c r="BM168" s="408"/>
      <c r="BN168" s="408"/>
      <c r="BO168" s="408"/>
      <c r="BP168" s="408"/>
      <c r="BQ168" s="408"/>
      <c r="BR168" s="408"/>
      <c r="BS168" s="408">
        <v>33.7898</v>
      </c>
      <c r="BT168" s="408"/>
      <c r="BU168" s="408"/>
      <c r="BV168" s="408">
        <v>18.486095970209803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18.3552</v>
      </c>
      <c r="CJ168" s="408">
        <v>-5.9856000000000051</v>
      </c>
      <c r="CK168" s="408"/>
      <c r="CL168" s="408"/>
      <c r="CM168" s="408"/>
      <c r="CN168" s="408"/>
      <c r="CO168" s="408">
        <v>-19.039000000000005</v>
      </c>
      <c r="CP168" s="408">
        <v>2.1189999999999998</v>
      </c>
      <c r="CQ168" s="408">
        <v>30</v>
      </c>
      <c r="CR168" s="408">
        <v>2.3305879014008113</v>
      </c>
      <c r="CS168" s="408">
        <v>5.6299808364292048E-2</v>
      </c>
      <c r="CT168" s="408">
        <v>0.1843742600050402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-6.6010300851879755E-2</v>
      </c>
      <c r="DA168" s="408">
        <v>0</v>
      </c>
      <c r="DB168" s="408">
        <v>0</v>
      </c>
      <c r="DC168" s="408">
        <v>2.0656134616606003</v>
      </c>
      <c r="DD168" s="408">
        <v>6.1686321083209095E-2</v>
      </c>
      <c r="DE168" s="408">
        <v>7.1216331216709047E-3</v>
      </c>
      <c r="DF168" s="408">
        <v>0</v>
      </c>
      <c r="DG168" s="408">
        <v>0.23847331121088988</v>
      </c>
      <c r="DH168" s="408">
        <v>0</v>
      </c>
      <c r="DI168" s="408">
        <v>-0.17871237568456966</v>
      </c>
      <c r="DJ168" s="408"/>
      <c r="DK168" s="408">
        <v>0</v>
      </c>
      <c r="DL168" s="408">
        <v>0</v>
      </c>
      <c r="DM168" s="408">
        <v>-8.9982572505200586E-3</v>
      </c>
      <c r="DN168" s="408">
        <v>0</v>
      </c>
      <c r="DO168" s="408">
        <v>-2.4479049883597059E-2</v>
      </c>
      <c r="DP168" s="408">
        <v>-4.780910374324987E-3</v>
      </c>
      <c r="DQ168" s="408">
        <v>0</v>
      </c>
      <c r="DR168" s="408">
        <v>0</v>
      </c>
      <c r="DS168" s="408"/>
      <c r="DT168" s="408"/>
      <c r="DU168" s="408"/>
      <c r="DV168" s="408">
        <v>36.361579516669899</v>
      </c>
      <c r="DW168" s="408">
        <v>0</v>
      </c>
      <c r="DX168" s="408">
        <v>0</v>
      </c>
      <c r="DY168" s="408">
        <v>-19.039000000000009</v>
      </c>
      <c r="DZ168" s="408">
        <v>2.1189999999999998</v>
      </c>
      <c r="EA168" s="408">
        <v>0</v>
      </c>
      <c r="EB168" s="408">
        <v>0</v>
      </c>
      <c r="EC168" s="408">
        <v>-19.251528627707597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239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168</v>
      </c>
      <c r="B169" s="408" t="s">
        <v>1034</v>
      </c>
      <c r="C169" s="408" t="s">
        <v>2241</v>
      </c>
      <c r="D169" s="408" t="s">
        <v>596</v>
      </c>
      <c r="E169" s="408" t="s">
        <v>972</v>
      </c>
      <c r="F169" s="408" t="s">
        <v>2251</v>
      </c>
      <c r="G169" s="408" t="s">
        <v>1320</v>
      </c>
      <c r="H169" s="408" t="s">
        <v>1320</v>
      </c>
      <c r="I169" s="408" t="s">
        <v>971</v>
      </c>
      <c r="J169" s="408" t="s">
        <v>2234</v>
      </c>
      <c r="K169" s="827">
        <v>44440</v>
      </c>
      <c r="L169" s="408">
        <v>0</v>
      </c>
      <c r="M169" s="408">
        <v>0</v>
      </c>
      <c r="N169" s="408">
        <v>0.623</v>
      </c>
      <c r="O169" s="408">
        <v>0.59807999999999995</v>
      </c>
      <c r="P169" s="408">
        <v>0.623</v>
      </c>
      <c r="Q169" s="408">
        <v>0.59807999999999995</v>
      </c>
      <c r="R169" s="408"/>
      <c r="S169" s="408">
        <v>1684.16</v>
      </c>
      <c r="T169" s="408">
        <v>173.82</v>
      </c>
      <c r="U169" s="408"/>
      <c r="V169" s="408">
        <v>1157.5215400000002</v>
      </c>
      <c r="W169" s="408">
        <v>1157.5215400000002</v>
      </c>
      <c r="X169" s="408">
        <v>794.61158</v>
      </c>
      <c r="Y169" s="408">
        <v>0</v>
      </c>
      <c r="Z169" s="408">
        <v>33.143616515406478</v>
      </c>
      <c r="AA169" s="408">
        <v>0</v>
      </c>
      <c r="AB169" s="408">
        <v>0</v>
      </c>
      <c r="AC169" s="408">
        <v>11.213626112615156</v>
      </c>
      <c r="AD169" s="408">
        <v>171.06703387915928</v>
      </c>
      <c r="AE169" s="408">
        <v>721.61619977378996</v>
      </c>
      <c r="AF169" s="408">
        <v>100.2544904423165</v>
      </c>
      <c r="AG169" s="408">
        <v>5.0437241392575727</v>
      </c>
      <c r="AH169" s="408">
        <v>0</v>
      </c>
      <c r="AI169" s="408">
        <v>0</v>
      </c>
      <c r="AJ169" s="408">
        <v>0</v>
      </c>
      <c r="AK169" s="408">
        <v>0</v>
      </c>
      <c r="AL169" s="408">
        <v>5.8882824176967858</v>
      </c>
      <c r="AM169" s="408"/>
      <c r="AN169" s="408">
        <v>0.77422120471786748</v>
      </c>
      <c r="AO169" s="408">
        <v>24.08277748091335</v>
      </c>
      <c r="AP169" s="408">
        <v>77.438072038464952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0.11624782818582355</v>
      </c>
      <c r="BF169" s="408">
        <v>2.9939438342383462</v>
      </c>
      <c r="BG169" s="408">
        <v>3.892647098625539</v>
      </c>
      <c r="BH169" s="408">
        <v>0</v>
      </c>
      <c r="BI169" s="408">
        <v>0</v>
      </c>
      <c r="BJ169" s="408">
        <v>0</v>
      </c>
      <c r="BK169" s="408">
        <v>0</v>
      </c>
      <c r="BL169" s="408">
        <v>0</v>
      </c>
      <c r="BM169" s="408"/>
      <c r="BN169" s="408"/>
      <c r="BO169" s="408"/>
      <c r="BP169" s="408"/>
      <c r="BQ169" s="408"/>
      <c r="BR169" s="408">
        <v>31.784463200000069</v>
      </c>
      <c r="BS169" s="408"/>
      <c r="BT169" s="408"/>
      <c r="BU169" s="408"/>
      <c r="BV169" s="408">
        <v>107.25732920336621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765.27599999999995</v>
      </c>
      <c r="CJ169" s="408">
        <v>-345.97467840000002</v>
      </c>
      <c r="CK169" s="408"/>
      <c r="CL169" s="408"/>
      <c r="CM169" s="408"/>
      <c r="CN169" s="408"/>
      <c r="CO169" s="408">
        <v>-376.11133000000001</v>
      </c>
      <c r="CP169" s="408">
        <v>13.201369999999999</v>
      </c>
      <c r="CQ169" s="408">
        <v>30</v>
      </c>
      <c r="CR169" s="408">
        <v>19.143562475350279</v>
      </c>
      <c r="CS169" s="408">
        <v>2.3382855452022042</v>
      </c>
      <c r="CT169" s="408">
        <v>7.5187475630404776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-3.2800748818877139</v>
      </c>
      <c r="DA169" s="408">
        <v>0</v>
      </c>
      <c r="DB169" s="408">
        <v>0</v>
      </c>
      <c r="DC169" s="408">
        <v>12.868771866145536</v>
      </c>
      <c r="DD169" s="408">
        <v>0.38430578034839247</v>
      </c>
      <c r="DE169" s="408">
        <v>1.4921693524729829E-2</v>
      </c>
      <c r="DF169" s="408">
        <v>0</v>
      </c>
      <c r="DG169" s="408">
        <v>0.49966427684798731</v>
      </c>
      <c r="DH169" s="408">
        <v>0</v>
      </c>
      <c r="DI169" s="408">
        <v>-0.96863894744796397</v>
      </c>
      <c r="DJ169" s="408"/>
      <c r="DK169" s="408">
        <v>0</v>
      </c>
      <c r="DL169" s="408">
        <v>0</v>
      </c>
      <c r="DM169" s="408">
        <v>-5.6059142670739526E-2</v>
      </c>
      <c r="DN169" s="408">
        <v>0</v>
      </c>
      <c r="DO169" s="408">
        <v>-0.15250448077480883</v>
      </c>
      <c r="DP169" s="408">
        <v>-2.3856796977839489E-2</v>
      </c>
      <c r="DQ169" s="408">
        <v>0</v>
      </c>
      <c r="DR169" s="408">
        <v>0</v>
      </c>
      <c r="DS169" s="408"/>
      <c r="DT169" s="408"/>
      <c r="DU169" s="408"/>
      <c r="DV169" s="408">
        <v>721.61619977378996</v>
      </c>
      <c r="DW169" s="408">
        <v>0</v>
      </c>
      <c r="DX169" s="408">
        <v>0</v>
      </c>
      <c r="DY169" s="408">
        <v>-376.11133000000007</v>
      </c>
      <c r="DZ169" s="408">
        <v>13.201369999999997</v>
      </c>
      <c r="EA169" s="408">
        <v>0</v>
      </c>
      <c r="EB169" s="408">
        <v>0</v>
      </c>
      <c r="EC169" s="408">
        <v>-382.05752095543073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239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169</v>
      </c>
      <c r="B170" s="408" t="s">
        <v>1034</v>
      </c>
      <c r="C170" s="408" t="s">
        <v>2241</v>
      </c>
      <c r="D170" s="408" t="s">
        <v>596</v>
      </c>
      <c r="E170" s="408" t="s">
        <v>972</v>
      </c>
      <c r="F170" s="408" t="s">
        <v>2251</v>
      </c>
      <c r="G170" s="408" t="s">
        <v>1320</v>
      </c>
      <c r="H170" s="408" t="s">
        <v>1320</v>
      </c>
      <c r="I170" s="408" t="s">
        <v>2242</v>
      </c>
      <c r="J170" s="408" t="s">
        <v>2234</v>
      </c>
      <c r="K170" s="827">
        <v>44440</v>
      </c>
      <c r="L170" s="408">
        <v>0</v>
      </c>
      <c r="M170" s="408">
        <v>0</v>
      </c>
      <c r="N170" s="408">
        <v>90.587000000000003</v>
      </c>
      <c r="O170" s="408">
        <v>86.963520000000003</v>
      </c>
      <c r="P170" s="408">
        <v>90.587000000000003</v>
      </c>
      <c r="Q170" s="408">
        <v>86.963520000000003</v>
      </c>
      <c r="R170" s="408"/>
      <c r="S170" s="408">
        <v>70.33</v>
      </c>
      <c r="T170" s="408">
        <v>173.82</v>
      </c>
      <c r="U170" s="408"/>
      <c r="V170" s="408">
        <v>22116.816050000001</v>
      </c>
      <c r="W170" s="408">
        <v>22116.816050000001</v>
      </c>
      <c r="X170" s="408">
        <v>23944.861709999997</v>
      </c>
      <c r="Y170" s="408">
        <v>0</v>
      </c>
      <c r="Z170" s="408">
        <v>4819.2308014143282</v>
      </c>
      <c r="AA170" s="408">
        <v>0</v>
      </c>
      <c r="AB170" s="408">
        <v>0</v>
      </c>
      <c r="AC170" s="408">
        <v>0</v>
      </c>
      <c r="AD170" s="408">
        <v>0</v>
      </c>
      <c r="AE170" s="408">
        <v>0</v>
      </c>
      <c r="AF170" s="408">
        <v>14577.453492292334</v>
      </c>
      <c r="AG170" s="408">
        <v>733.38015827114884</v>
      </c>
      <c r="AH170" s="408">
        <v>0</v>
      </c>
      <c r="AI170" s="408">
        <v>0</v>
      </c>
      <c r="AJ170" s="408">
        <v>0</v>
      </c>
      <c r="AK170" s="408">
        <v>0</v>
      </c>
      <c r="AL170" s="408">
        <v>856.18272772375406</v>
      </c>
      <c r="AM170" s="408"/>
      <c r="AN170" s="408">
        <v>112.57524281184183</v>
      </c>
      <c r="AO170" s="408">
        <v>0</v>
      </c>
      <c r="AP170" s="408">
        <v>0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16.902956680367897</v>
      </c>
      <c r="BF170" s="408">
        <v>435.3328894256004</v>
      </c>
      <c r="BG170" s="408">
        <v>566.00838318329329</v>
      </c>
      <c r="BH170" s="408">
        <v>0</v>
      </c>
      <c r="BI170" s="408">
        <v>0</v>
      </c>
      <c r="BJ170" s="408">
        <v>0</v>
      </c>
      <c r="BK170" s="408">
        <v>0</v>
      </c>
      <c r="BL170" s="408">
        <v>0</v>
      </c>
      <c r="BM170" s="408"/>
      <c r="BN170" s="408"/>
      <c r="BO170" s="408"/>
      <c r="BP170" s="408"/>
      <c r="BQ170" s="408"/>
      <c r="BR170" s="408">
        <v>957.79446840000014</v>
      </c>
      <c r="BS170" s="408"/>
      <c r="BT170" s="408"/>
      <c r="BU170" s="408"/>
      <c r="BV170" s="408">
        <v>15595.697721581595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22986.136799999997</v>
      </c>
      <c r="CJ170" s="408">
        <v>1753.9633919999978</v>
      </c>
      <c r="CK170" s="408"/>
      <c r="CL170" s="408"/>
      <c r="CM170" s="408"/>
      <c r="CN170" s="408"/>
      <c r="CO170" s="408">
        <v>-91.492870000000465</v>
      </c>
      <c r="CP170" s="408">
        <v>1919.5385299999998</v>
      </c>
      <c r="CQ170" s="408">
        <v>30</v>
      </c>
      <c r="CR170" s="408">
        <v>1827.2407369241337</v>
      </c>
      <c r="CS170" s="408">
        <v>0</v>
      </c>
      <c r="CT170" s="408">
        <v>0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0</v>
      </c>
      <c r="DA170" s="408">
        <v>0</v>
      </c>
      <c r="DB170" s="408">
        <v>0</v>
      </c>
      <c r="DC170" s="408">
        <v>1871.177266514489</v>
      </c>
      <c r="DD170" s="408">
        <v>55.879787679646654</v>
      </c>
      <c r="DE170" s="408">
        <v>2.1696813022868362</v>
      </c>
      <c r="DF170" s="408">
        <v>0</v>
      </c>
      <c r="DG170" s="408">
        <v>72.653431535840468</v>
      </c>
      <c r="DH170" s="408">
        <v>0</v>
      </c>
      <c r="DI170" s="408">
        <v>-140.84445639240494</v>
      </c>
      <c r="DJ170" s="408"/>
      <c r="DK170" s="408">
        <v>0</v>
      </c>
      <c r="DL170" s="408">
        <v>0</v>
      </c>
      <c r="DM170" s="408">
        <v>-8.1512512955285956</v>
      </c>
      <c r="DN170" s="408">
        <v>0</v>
      </c>
      <c r="DO170" s="408">
        <v>-22.174836918053984</v>
      </c>
      <c r="DP170" s="408">
        <v>-3.4688855021373115</v>
      </c>
      <c r="DQ170" s="408">
        <v>0</v>
      </c>
      <c r="DR170" s="408">
        <v>0</v>
      </c>
      <c r="DS170" s="408"/>
      <c r="DT170" s="408"/>
      <c r="DU170" s="408"/>
      <c r="DV170" s="408">
        <v>0</v>
      </c>
      <c r="DW170" s="408">
        <v>0</v>
      </c>
      <c r="DX170" s="408">
        <v>0</v>
      </c>
      <c r="DY170" s="408">
        <v>-91.492870000000948</v>
      </c>
      <c r="DZ170" s="408">
        <v>1919.538529999998</v>
      </c>
      <c r="EA170" s="408">
        <v>0</v>
      </c>
      <c r="EB170" s="408">
        <v>0</v>
      </c>
      <c r="EC170" s="408">
        <v>0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239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170</v>
      </c>
      <c r="B171" s="408" t="s">
        <v>1034</v>
      </c>
      <c r="C171" s="408" t="s">
        <v>2241</v>
      </c>
      <c r="D171" s="408" t="s">
        <v>596</v>
      </c>
      <c r="E171" s="408" t="s">
        <v>972</v>
      </c>
      <c r="F171" s="408" t="s">
        <v>2251</v>
      </c>
      <c r="G171" s="408" t="s">
        <v>1320</v>
      </c>
      <c r="H171" s="408" t="s">
        <v>1320</v>
      </c>
      <c r="I171" s="408" t="s">
        <v>1320</v>
      </c>
      <c r="J171" s="408" t="s">
        <v>2234</v>
      </c>
      <c r="K171" s="827">
        <v>44440</v>
      </c>
      <c r="L171" s="408">
        <v>1073</v>
      </c>
      <c r="M171" s="408">
        <v>1030.08</v>
      </c>
      <c r="N171" s="408">
        <v>0</v>
      </c>
      <c r="O171" s="408">
        <v>0</v>
      </c>
      <c r="P171" s="408">
        <v>0</v>
      </c>
      <c r="Q171" s="408">
        <v>0</v>
      </c>
      <c r="R171" s="408">
        <v>59.12</v>
      </c>
      <c r="S171" s="408"/>
      <c r="T171" s="408"/>
      <c r="U171" s="408">
        <v>63435.759999999995</v>
      </c>
      <c r="V171" s="408"/>
      <c r="W171" s="408">
        <v>63435.759999999995</v>
      </c>
      <c r="X171" s="408">
        <v>36514.19</v>
      </c>
      <c r="Y171" s="408">
        <v>0</v>
      </c>
      <c r="Z171" s="408">
        <v>0</v>
      </c>
      <c r="AA171" s="408">
        <v>0</v>
      </c>
      <c r="AB171" s="408">
        <v>0</v>
      </c>
      <c r="AC171" s="408">
        <v>613.82076985704089</v>
      </c>
      <c r="AD171" s="408">
        <v>5490.5653042176564</v>
      </c>
      <c r="AE171" s="408">
        <v>51677.608988379601</v>
      </c>
      <c r="AF171" s="408"/>
      <c r="AG171" s="408"/>
      <c r="AH171" s="408"/>
      <c r="AI171" s="408">
        <v>0</v>
      </c>
      <c r="AJ171" s="408">
        <v>0</v>
      </c>
      <c r="AK171" s="408">
        <v>0</v>
      </c>
      <c r="AL171" s="408">
        <v>0</v>
      </c>
      <c r="AM171" s="408"/>
      <c r="AN171" s="408">
        <v>0</v>
      </c>
      <c r="AO171" s="408">
        <v>1296.2613801354344</v>
      </c>
      <c r="AP171" s="408">
        <v>4357.4399780933954</v>
      </c>
      <c r="AQ171" s="408">
        <v>0</v>
      </c>
      <c r="AR171" s="408">
        <v>0</v>
      </c>
      <c r="AS171" s="408"/>
      <c r="AT171" s="408"/>
      <c r="AU171" s="408">
        <v>0</v>
      </c>
      <c r="AV171" s="408">
        <v>0</v>
      </c>
      <c r="AW171" s="408">
        <v>0</v>
      </c>
      <c r="AX171" s="408"/>
      <c r="AY171" s="408"/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/>
      <c r="BG171" s="408">
        <v>0</v>
      </c>
      <c r="BH171" s="408">
        <v>0</v>
      </c>
      <c r="BI171" s="408">
        <v>397.7</v>
      </c>
      <c r="BJ171" s="408">
        <v>1892.04</v>
      </c>
      <c r="BK171" s="408">
        <v>50.53</v>
      </c>
      <c r="BL171" s="408">
        <v>9</v>
      </c>
      <c r="BM171" s="408"/>
      <c r="BN171" s="408"/>
      <c r="BO171" s="408"/>
      <c r="BP171" s="408"/>
      <c r="BQ171" s="408"/>
      <c r="BR171" s="408">
        <v>1460.5676000000026</v>
      </c>
      <c r="BS171" s="408"/>
      <c r="BT171" s="408"/>
      <c r="BU171" s="408"/>
      <c r="BV171" s="408">
        <v>0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35053.6224</v>
      </c>
      <c r="CJ171" s="408">
        <v>-25844.737199999996</v>
      </c>
      <c r="CK171" s="408"/>
      <c r="CL171" s="408"/>
      <c r="CM171" s="408"/>
      <c r="CN171" s="408"/>
      <c r="CO171" s="408">
        <v>-26921.569999999996</v>
      </c>
      <c r="CP171" s="408">
        <v>0</v>
      </c>
      <c r="CQ171" s="408">
        <v>30</v>
      </c>
      <c r="CR171" s="408">
        <v>443.66144245875512</v>
      </c>
      <c r="CS171" s="408">
        <v>125.85879059742092</v>
      </c>
      <c r="CT171" s="408">
        <v>423.07989279630419</v>
      </c>
      <c r="CU171" s="408">
        <v>0</v>
      </c>
      <c r="CV171" s="408">
        <v>0</v>
      </c>
      <c r="CW171" s="408"/>
      <c r="CX171" s="408"/>
      <c r="CY171" s="408"/>
      <c r="CZ171" s="408">
        <v>-105.27724093496909</v>
      </c>
      <c r="DA171" s="408">
        <v>0</v>
      </c>
      <c r="DB171" s="408">
        <v>0</v>
      </c>
      <c r="DC171" s="408"/>
      <c r="DD171" s="408"/>
      <c r="DE171" s="408">
        <v>0</v>
      </c>
      <c r="DF171" s="408">
        <v>0</v>
      </c>
      <c r="DG171" s="408">
        <v>0</v>
      </c>
      <c r="DH171" s="408">
        <v>0</v>
      </c>
      <c r="DI171" s="408">
        <v>0</v>
      </c>
      <c r="DJ171" s="408"/>
      <c r="DK171" s="408">
        <v>0</v>
      </c>
      <c r="DL171" s="408">
        <v>0</v>
      </c>
      <c r="DM171" s="408"/>
      <c r="DN171" s="408">
        <v>0</v>
      </c>
      <c r="DO171" s="408">
        <v>0</v>
      </c>
      <c r="DP171" s="408">
        <v>0</v>
      </c>
      <c r="DQ171" s="408">
        <v>0</v>
      </c>
      <c r="DR171" s="408">
        <v>0</v>
      </c>
      <c r="DS171" s="408"/>
      <c r="DT171" s="408"/>
      <c r="DU171" s="408">
        <v>51677.608988379601</v>
      </c>
      <c r="DV171" s="408"/>
      <c r="DW171" s="408">
        <v>0</v>
      </c>
      <c r="DX171" s="408">
        <v>0</v>
      </c>
      <c r="DY171" s="408">
        <v>-26921.569999999992</v>
      </c>
      <c r="DZ171" s="408"/>
      <c r="EA171" s="408">
        <v>0</v>
      </c>
      <c r="EB171" s="408"/>
      <c r="EC171" s="408">
        <v>-27360.554246417509</v>
      </c>
      <c r="ED171" s="408"/>
      <c r="EE171" s="408">
        <v>0</v>
      </c>
      <c r="EF171" s="408">
        <v>0</v>
      </c>
      <c r="EG171" s="408"/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/>
      <c r="EN171" s="408"/>
      <c r="EO171" s="408">
        <v>0</v>
      </c>
      <c r="EP171" s="408">
        <v>0</v>
      </c>
      <c r="EQ171" s="408"/>
      <c r="ER171" s="408">
        <v>0</v>
      </c>
      <c r="ES171" s="408"/>
      <c r="ET171" s="408">
        <v>0</v>
      </c>
      <c r="EU171" s="408"/>
      <c r="EV171" s="408">
        <v>239</v>
      </c>
      <c r="EW171" s="408"/>
      <c r="EX171" s="408"/>
      <c r="EY171" s="408"/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171</v>
      </c>
      <c r="B172" s="408" t="s">
        <v>1034</v>
      </c>
      <c r="C172" s="408" t="s">
        <v>2241</v>
      </c>
      <c r="D172" s="408" t="s">
        <v>596</v>
      </c>
      <c r="E172" s="408" t="s">
        <v>972</v>
      </c>
      <c r="F172" s="408" t="s">
        <v>2251</v>
      </c>
      <c r="G172" s="408" t="s">
        <v>2253</v>
      </c>
      <c r="H172" s="408" t="s">
        <v>1320</v>
      </c>
      <c r="I172" s="408" t="s">
        <v>2242</v>
      </c>
      <c r="J172" s="408" t="s">
        <v>2234</v>
      </c>
      <c r="K172" s="827">
        <v>44440</v>
      </c>
      <c r="L172" s="408">
        <v>0</v>
      </c>
      <c r="M172" s="408">
        <v>0</v>
      </c>
      <c r="N172" s="408">
        <v>45.994</v>
      </c>
      <c r="O172" s="408">
        <v>13.7982</v>
      </c>
      <c r="P172" s="408">
        <v>45.994</v>
      </c>
      <c r="Q172" s="408">
        <v>13.7982</v>
      </c>
      <c r="R172" s="408"/>
      <c r="S172" s="408">
        <v>70.33</v>
      </c>
      <c r="T172" s="408">
        <v>173.82</v>
      </c>
      <c r="U172" s="408"/>
      <c r="V172" s="408">
        <v>11229.435099999999</v>
      </c>
      <c r="W172" s="408">
        <v>11229.435099999999</v>
      </c>
      <c r="X172" s="408">
        <v>12157.594019999999</v>
      </c>
      <c r="Y172" s="408">
        <v>0</v>
      </c>
      <c r="Z172" s="408">
        <v>2446.8820192770554</v>
      </c>
      <c r="AA172" s="408">
        <v>0</v>
      </c>
      <c r="AB172" s="408">
        <v>0</v>
      </c>
      <c r="AC172" s="408">
        <v>0</v>
      </c>
      <c r="AD172" s="408">
        <v>0</v>
      </c>
      <c r="AE172" s="408">
        <v>0</v>
      </c>
      <c r="AF172" s="408">
        <v>7401.4527020929445</v>
      </c>
      <c r="AG172" s="408">
        <v>372.36123284271713</v>
      </c>
      <c r="AH172" s="408">
        <v>0</v>
      </c>
      <c r="AI172" s="408">
        <v>0</v>
      </c>
      <c r="AJ172" s="408">
        <v>0</v>
      </c>
      <c r="AK172" s="408">
        <v>0</v>
      </c>
      <c r="AL172" s="408">
        <v>434.7121372705393</v>
      </c>
      <c r="AM172" s="408"/>
      <c r="AN172" s="408">
        <v>57.158154237228885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8.582187174283737</v>
      </c>
      <c r="BF172" s="408">
        <v>221.0328293931918</v>
      </c>
      <c r="BG172" s="408">
        <v>287.38107649146554</v>
      </c>
      <c r="BH172" s="408">
        <v>0</v>
      </c>
      <c r="BI172" s="408">
        <v>0</v>
      </c>
      <c r="BJ172" s="408">
        <v>0</v>
      </c>
      <c r="BK172" s="408">
        <v>0</v>
      </c>
      <c r="BL172" s="408">
        <v>0</v>
      </c>
      <c r="BM172" s="408"/>
      <c r="BN172" s="408"/>
      <c r="BO172" s="408"/>
      <c r="BP172" s="408"/>
      <c r="BQ172" s="408"/>
      <c r="BR172" s="408"/>
      <c r="BS172" s="408">
        <v>8510.3158139999978</v>
      </c>
      <c r="BT172" s="408"/>
      <c r="BU172" s="408"/>
      <c r="BV172" s="408">
        <v>7918.448795151885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3647.7539999999999</v>
      </c>
      <c r="CJ172" s="408">
        <v>278.89346999999998</v>
      </c>
      <c r="CK172" s="408"/>
      <c r="CL172" s="408"/>
      <c r="CM172" s="408"/>
      <c r="CN172" s="408"/>
      <c r="CO172" s="408">
        <v>-46.453940000000237</v>
      </c>
      <c r="CP172" s="408">
        <v>974.61285999999984</v>
      </c>
      <c r="CQ172" s="408">
        <v>30</v>
      </c>
      <c r="CR172" s="408">
        <v>927.75023407429944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0</v>
      </c>
      <c r="DA172" s="408">
        <v>0</v>
      </c>
      <c r="DB172" s="408">
        <v>0</v>
      </c>
      <c r="DC172" s="408">
        <v>950.05825555617685</v>
      </c>
      <c r="DD172" s="408">
        <v>28.372006519011165</v>
      </c>
      <c r="DE172" s="408">
        <v>1.1016185746010017</v>
      </c>
      <c r="DF172" s="408">
        <v>0</v>
      </c>
      <c r="DG172" s="408">
        <v>36.888537318372926</v>
      </c>
      <c r="DH172" s="408">
        <v>0</v>
      </c>
      <c r="DI172" s="408">
        <v>-71.511363962956239</v>
      </c>
      <c r="DJ172" s="408"/>
      <c r="DK172" s="408">
        <v>0</v>
      </c>
      <c r="DL172" s="408">
        <v>0</v>
      </c>
      <c r="DM172" s="408">
        <v>-4.1386584398041464</v>
      </c>
      <c r="DN172" s="408">
        <v>0</v>
      </c>
      <c r="DO172" s="408">
        <v>-11.25889420346158</v>
      </c>
      <c r="DP172" s="408">
        <v>-1.7612672876384394</v>
      </c>
      <c r="DQ172" s="408">
        <v>0</v>
      </c>
      <c r="DR172" s="408">
        <v>0</v>
      </c>
      <c r="DS172" s="408"/>
      <c r="DT172" s="408"/>
      <c r="DU172" s="408"/>
      <c r="DV172" s="408">
        <v>0</v>
      </c>
      <c r="DW172" s="408">
        <v>0</v>
      </c>
      <c r="DX172" s="408">
        <v>0</v>
      </c>
      <c r="DY172" s="408">
        <v>-46.453939999999875</v>
      </c>
      <c r="DZ172" s="408">
        <v>974.61285999999927</v>
      </c>
      <c r="EA172" s="408">
        <v>0</v>
      </c>
      <c r="EB172" s="408">
        <v>0</v>
      </c>
      <c r="EC172" s="408">
        <v>0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239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172</v>
      </c>
      <c r="B173" s="408" t="s">
        <v>1034</v>
      </c>
      <c r="C173" s="408" t="s">
        <v>2233</v>
      </c>
      <c r="D173" s="408" t="s">
        <v>2243</v>
      </c>
      <c r="E173" s="408" t="s">
        <v>972</v>
      </c>
      <c r="F173" s="408" t="s">
        <v>2254</v>
      </c>
      <c r="G173" s="408" t="s">
        <v>2252</v>
      </c>
      <c r="H173" s="408" t="s">
        <v>1320</v>
      </c>
      <c r="I173" s="408" t="s">
        <v>1320</v>
      </c>
      <c r="J173" s="408" t="s">
        <v>2234</v>
      </c>
      <c r="K173" s="827">
        <v>44440</v>
      </c>
      <c r="L173" s="408">
        <v>0</v>
      </c>
      <c r="M173" s="408">
        <v>0</v>
      </c>
      <c r="N173" s="408">
        <v>0</v>
      </c>
      <c r="O173" s="408">
        <v>0</v>
      </c>
      <c r="P173" s="408">
        <v>0</v>
      </c>
      <c r="Q173" s="408">
        <v>0</v>
      </c>
      <c r="R173" s="408"/>
      <c r="S173" s="408"/>
      <c r="T173" s="408"/>
      <c r="U173" s="408"/>
      <c r="V173" s="408"/>
      <c r="W173" s="408"/>
      <c r="X173" s="408"/>
      <c r="Y173" s="408"/>
      <c r="Z173" s="408"/>
      <c r="AA173" s="408">
        <v>0</v>
      </c>
      <c r="AB173" s="408"/>
      <c r="AC173" s="408"/>
      <c r="AD173" s="408"/>
      <c r="AE173" s="408"/>
      <c r="AF173" s="408"/>
      <c r="AG173" s="408"/>
      <c r="AH173" s="408"/>
      <c r="AI173" s="408"/>
      <c r="AJ173" s="408"/>
      <c r="AK173" s="408"/>
      <c r="AL173" s="408"/>
      <c r="AM173" s="408"/>
      <c r="AN173" s="408"/>
      <c r="AO173" s="408"/>
      <c r="AP173" s="408"/>
      <c r="AQ173" s="408"/>
      <c r="AR173" s="408"/>
      <c r="AS173" s="408"/>
      <c r="AT173" s="408"/>
      <c r="AU173" s="408"/>
      <c r="AV173" s="408"/>
      <c r="AW173" s="408"/>
      <c r="AX173" s="408"/>
      <c r="AY173" s="408"/>
      <c r="AZ173" s="408">
        <v>0</v>
      </c>
      <c r="BA173" s="408"/>
      <c r="BB173" s="408"/>
      <c r="BC173" s="408"/>
      <c r="BD173" s="408"/>
      <c r="BE173" s="408"/>
      <c r="BF173" s="408"/>
      <c r="BG173" s="408"/>
      <c r="BH173" s="408"/>
      <c r="BI173" s="408">
        <v>0.11</v>
      </c>
      <c r="BJ173" s="408">
        <v>0.56999999999999995</v>
      </c>
      <c r="BK173" s="408">
        <v>4.3899999999999997</v>
      </c>
      <c r="BL173" s="408">
        <v>1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/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/>
      <c r="CJ173" s="408">
        <v>-0.03</v>
      </c>
      <c r="CK173" s="408"/>
      <c r="CL173" s="408"/>
      <c r="CM173" s="408"/>
      <c r="CN173" s="408"/>
      <c r="CO173" s="408">
        <v>0</v>
      </c>
      <c r="CP173" s="408">
        <v>0</v>
      </c>
      <c r="CQ173" s="408">
        <v>30</v>
      </c>
      <c r="CR173" s="408"/>
      <c r="CS173" s="408"/>
      <c r="CT173" s="408"/>
      <c r="CU173" s="408"/>
      <c r="CV173" s="408"/>
      <c r="CW173" s="408"/>
      <c r="CX173" s="408"/>
      <c r="CY173" s="408"/>
      <c r="CZ173" s="408"/>
      <c r="DA173" s="408"/>
      <c r="DB173" s="408"/>
      <c r="DC173" s="408"/>
      <c r="DD173" s="408"/>
      <c r="DE173" s="408"/>
      <c r="DF173" s="408"/>
      <c r="DG173" s="408"/>
      <c r="DH173" s="408"/>
      <c r="DI173" s="408"/>
      <c r="DJ173" s="408"/>
      <c r="DK173" s="408">
        <v>0</v>
      </c>
      <c r="DL173" s="408"/>
      <c r="DM173" s="408"/>
      <c r="DN173" s="408"/>
      <c r="DO173" s="408"/>
      <c r="DP173" s="408"/>
      <c r="DQ173" s="408"/>
      <c r="DR173" s="408"/>
      <c r="DS173" s="408"/>
      <c r="DT173" s="408"/>
      <c r="DU173" s="408"/>
      <c r="DV173" s="408"/>
      <c r="DW173" s="408"/>
      <c r="DX173" s="408"/>
      <c r="DY173" s="408"/>
      <c r="DZ173" s="408"/>
      <c r="EA173" s="408"/>
      <c r="EB173" s="408"/>
      <c r="EC173" s="408"/>
      <c r="ED173" s="408"/>
      <c r="EE173" s="408"/>
      <c r="EF173" s="408"/>
      <c r="EG173" s="408"/>
      <c r="EH173" s="408"/>
      <c r="EI173" s="408"/>
      <c r="EJ173" s="408"/>
      <c r="EK173" s="408"/>
      <c r="EL173" s="408"/>
      <c r="EM173" s="408"/>
      <c r="EN173" s="408"/>
      <c r="EO173" s="408"/>
      <c r="EP173" s="408"/>
      <c r="EQ173" s="408"/>
      <c r="ER173" s="408"/>
      <c r="ES173" s="408"/>
      <c r="ET173" s="408"/>
      <c r="EU173" s="408"/>
      <c r="EV173" s="408">
        <v>239</v>
      </c>
      <c r="EW173" s="408"/>
      <c r="EX173" s="408"/>
      <c r="EY173" s="408"/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173</v>
      </c>
      <c r="B174" s="408" t="s">
        <v>1034</v>
      </c>
      <c r="C174" s="408" t="s">
        <v>2233</v>
      </c>
      <c r="D174" s="408" t="s">
        <v>2243</v>
      </c>
      <c r="E174" s="408" t="s">
        <v>972</v>
      </c>
      <c r="F174" s="408" t="s">
        <v>2254</v>
      </c>
      <c r="G174" s="408" t="s">
        <v>2252</v>
      </c>
      <c r="H174" s="408" t="s">
        <v>1320</v>
      </c>
      <c r="I174" s="408" t="s">
        <v>1320</v>
      </c>
      <c r="J174" s="408" t="s">
        <v>2234</v>
      </c>
      <c r="K174" s="827">
        <v>44440</v>
      </c>
      <c r="L174" s="408">
        <v>0</v>
      </c>
      <c r="M174" s="408">
        <v>0</v>
      </c>
      <c r="N174" s="408">
        <v>4.8000000000000001E-2</v>
      </c>
      <c r="O174" s="408">
        <v>4.8000000000000001E-2</v>
      </c>
      <c r="P174" s="408">
        <v>4.8000000000000001E-2</v>
      </c>
      <c r="Q174" s="408">
        <v>4.8000000000000001E-2</v>
      </c>
      <c r="R174" s="408"/>
      <c r="S174" s="408">
        <v>516.83000000000004</v>
      </c>
      <c r="T174" s="408">
        <v>173.82</v>
      </c>
      <c r="U174" s="408"/>
      <c r="V174" s="408">
        <v>33.151200000000003</v>
      </c>
      <c r="W174" s="408">
        <v>33.151200000000003</v>
      </c>
      <c r="X174" s="408">
        <v>25.029599999999999</v>
      </c>
      <c r="Y174" s="408">
        <v>0</v>
      </c>
      <c r="Z174" s="408">
        <v>2.9351738763851376</v>
      </c>
      <c r="AA174" s="408">
        <v>0</v>
      </c>
      <c r="AB174" s="408">
        <v>0</v>
      </c>
      <c r="AC174" s="408">
        <v>0.13048531552276177</v>
      </c>
      <c r="AD174" s="408">
        <v>1.6524773530591679</v>
      </c>
      <c r="AE174" s="408">
        <v>17.453558168001553</v>
      </c>
      <c r="AF174" s="408">
        <v>7.7242625059890715</v>
      </c>
      <c r="AG174" s="408">
        <v>0.38860153881920301</v>
      </c>
      <c r="AH174" s="408">
        <v>0</v>
      </c>
      <c r="AI174" s="408">
        <v>0</v>
      </c>
      <c r="AJ174" s="408">
        <v>0</v>
      </c>
      <c r="AK174" s="408">
        <v>0</v>
      </c>
      <c r="AL174" s="408">
        <v>0.45367183956572349</v>
      </c>
      <c r="AM174" s="408"/>
      <c r="AN174" s="408">
        <v>7.447401479278512E-2</v>
      </c>
      <c r="AO174" s="408">
        <v>0.27832818139850113</v>
      </c>
      <c r="AP174" s="408">
        <v>0.91148716087722725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2.663100561850109E-2</v>
      </c>
      <c r="BF174" s="408">
        <v>0.23067304019813903</v>
      </c>
      <c r="BG174" s="408">
        <v>0.89175951389499364</v>
      </c>
      <c r="BH174" s="408">
        <v>0</v>
      </c>
      <c r="BI174" s="408">
        <v>0</v>
      </c>
      <c r="BJ174" s="408">
        <v>0</v>
      </c>
      <c r="BK174" s="408">
        <v>0</v>
      </c>
      <c r="BL174" s="408">
        <v>0</v>
      </c>
      <c r="BM174" s="408"/>
      <c r="BN174" s="408"/>
      <c r="BO174" s="408"/>
      <c r="BP174" s="408"/>
      <c r="BQ174" s="408"/>
      <c r="BR174" s="408">
        <v>3.0033599999999998</v>
      </c>
      <c r="BS174" s="408"/>
      <c r="BT174" s="408"/>
      <c r="BU174" s="408"/>
      <c r="BV174" s="408">
        <v>8.8733260657007058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22.944000000000003</v>
      </c>
      <c r="CJ174" s="408">
        <v>-6.2589600000000019</v>
      </c>
      <c r="CK174" s="408"/>
      <c r="CL174" s="408"/>
      <c r="CM174" s="408"/>
      <c r="CN174" s="408"/>
      <c r="CO174" s="408">
        <v>-9.1387200000000028</v>
      </c>
      <c r="CP174" s="408">
        <v>1.0171199999999998</v>
      </c>
      <c r="CQ174" s="408">
        <v>30</v>
      </c>
      <c r="CR174" s="408">
        <v>1.1186821926723862</v>
      </c>
      <c r="CS174" s="408">
        <v>2.7023908014860154E-2</v>
      </c>
      <c r="CT174" s="408">
        <v>8.8499644802419231E-2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-3.1684944408902238E-2</v>
      </c>
      <c r="DA174" s="408">
        <v>0</v>
      </c>
      <c r="DB174" s="408">
        <v>0</v>
      </c>
      <c r="DC174" s="408">
        <v>0.99149446159708798</v>
      </c>
      <c r="DD174" s="408">
        <v>2.9609434119940353E-2</v>
      </c>
      <c r="DE174" s="408">
        <v>3.4183838984020339E-3</v>
      </c>
      <c r="DF174" s="408">
        <v>0</v>
      </c>
      <c r="DG174" s="408">
        <v>0.11446718938122724</v>
      </c>
      <c r="DH174" s="408">
        <v>0</v>
      </c>
      <c r="DI174" s="408">
        <v>-8.5781940328593542E-2</v>
      </c>
      <c r="DJ174" s="408"/>
      <c r="DK174" s="408">
        <v>0</v>
      </c>
      <c r="DL174" s="408">
        <v>0</v>
      </c>
      <c r="DM174" s="408">
        <v>-4.3191634802495771E-3</v>
      </c>
      <c r="DN174" s="408">
        <v>0</v>
      </c>
      <c r="DO174" s="408">
        <v>-1.174994394412654E-2</v>
      </c>
      <c r="DP174" s="408">
        <v>-2.2948369796760015E-3</v>
      </c>
      <c r="DQ174" s="408">
        <v>0</v>
      </c>
      <c r="DR174" s="408">
        <v>0</v>
      </c>
      <c r="DS174" s="408"/>
      <c r="DT174" s="408"/>
      <c r="DU174" s="408"/>
      <c r="DV174" s="408">
        <v>17.453558168001553</v>
      </c>
      <c r="DW174" s="408">
        <v>0</v>
      </c>
      <c r="DX174" s="408">
        <v>0</v>
      </c>
      <c r="DY174" s="408">
        <v>-9.1387200000000028</v>
      </c>
      <c r="DZ174" s="408">
        <v>1.0171199999999985</v>
      </c>
      <c r="EA174" s="408">
        <v>0</v>
      </c>
      <c r="EB174" s="408">
        <v>0</v>
      </c>
      <c r="EC174" s="408">
        <v>-9.2407337412996498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239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174</v>
      </c>
      <c r="B175" s="408" t="s">
        <v>1034</v>
      </c>
      <c r="C175" s="408" t="s">
        <v>2233</v>
      </c>
      <c r="D175" s="408" t="s">
        <v>2243</v>
      </c>
      <c r="E175" s="408" t="s">
        <v>972</v>
      </c>
      <c r="F175" s="408" t="s">
        <v>2254</v>
      </c>
      <c r="G175" s="408" t="s">
        <v>2253</v>
      </c>
      <c r="H175" s="408" t="s">
        <v>1320</v>
      </c>
      <c r="I175" s="408" t="s">
        <v>1320</v>
      </c>
      <c r="J175" s="408" t="s">
        <v>2234</v>
      </c>
      <c r="K175" s="827">
        <v>44440</v>
      </c>
      <c r="L175" s="408">
        <v>0</v>
      </c>
      <c r="M175" s="408">
        <v>0</v>
      </c>
      <c r="N175" s="408">
        <v>2E-3</v>
      </c>
      <c r="O175" s="408">
        <v>8.0000000000000004E-4</v>
      </c>
      <c r="P175" s="408">
        <v>2E-3</v>
      </c>
      <c r="Q175" s="408">
        <v>8.0000000000000004E-4</v>
      </c>
      <c r="R175" s="408"/>
      <c r="S175" s="408">
        <v>516.83000000000004</v>
      </c>
      <c r="T175" s="408">
        <v>173.82</v>
      </c>
      <c r="U175" s="408"/>
      <c r="V175" s="408">
        <v>1.3813</v>
      </c>
      <c r="W175" s="408">
        <v>1.3813</v>
      </c>
      <c r="X175" s="408">
        <v>1.0428999999999999</v>
      </c>
      <c r="Y175" s="408">
        <v>0</v>
      </c>
      <c r="Z175" s="408">
        <v>0.1222989115160474</v>
      </c>
      <c r="AA175" s="408">
        <v>0</v>
      </c>
      <c r="AB175" s="408">
        <v>0</v>
      </c>
      <c r="AC175" s="408">
        <v>5.4368881467817404E-3</v>
      </c>
      <c r="AD175" s="408">
        <v>6.8853223044131995E-2</v>
      </c>
      <c r="AE175" s="408">
        <v>0.72723159033339801</v>
      </c>
      <c r="AF175" s="408">
        <v>0.321844271082878</v>
      </c>
      <c r="AG175" s="408">
        <v>1.6191730784133457E-2</v>
      </c>
      <c r="AH175" s="408">
        <v>0</v>
      </c>
      <c r="AI175" s="408">
        <v>0</v>
      </c>
      <c r="AJ175" s="408">
        <v>0</v>
      </c>
      <c r="AK175" s="408">
        <v>0</v>
      </c>
      <c r="AL175" s="408">
        <v>1.8902993315238481E-2</v>
      </c>
      <c r="AM175" s="408"/>
      <c r="AN175" s="408">
        <v>3.1030839496993799E-3</v>
      </c>
      <c r="AO175" s="408">
        <v>1.159700755827088E-2</v>
      </c>
      <c r="AP175" s="408">
        <v>3.7978631703217802E-2</v>
      </c>
      <c r="AQ175" s="408">
        <v>0</v>
      </c>
      <c r="AR175" s="408">
        <v>0</v>
      </c>
      <c r="AS175" s="408">
        <v>0</v>
      </c>
      <c r="AT175" s="408">
        <v>0</v>
      </c>
      <c r="AU175" s="408">
        <v>0</v>
      </c>
      <c r="AV175" s="408">
        <v>0</v>
      </c>
      <c r="AW175" s="408">
        <v>0</v>
      </c>
      <c r="AX175" s="408">
        <v>0</v>
      </c>
      <c r="AY175" s="408">
        <v>0</v>
      </c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1.1096252341042121E-3</v>
      </c>
      <c r="BF175" s="408">
        <v>9.6113766749224595E-3</v>
      </c>
      <c r="BG175" s="408">
        <v>3.7156646412291404E-2</v>
      </c>
      <c r="BH175" s="408">
        <v>0</v>
      </c>
      <c r="BI175" s="408">
        <v>0</v>
      </c>
      <c r="BJ175" s="408">
        <v>0</v>
      </c>
      <c r="BK175" s="408">
        <v>0</v>
      </c>
      <c r="BL175" s="408">
        <v>0</v>
      </c>
      <c r="BM175" s="408"/>
      <c r="BN175" s="408"/>
      <c r="BO175" s="408"/>
      <c r="BP175" s="408"/>
      <c r="BQ175" s="408"/>
      <c r="BR175" s="408"/>
      <c r="BS175" s="408">
        <v>0.67579600000000006</v>
      </c>
      <c r="BT175" s="408"/>
      <c r="BU175" s="408"/>
      <c r="BV175" s="408">
        <v>0.36972191940419608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0</v>
      </c>
      <c r="CJ175" s="408">
        <v>-0.51621600000000001</v>
      </c>
      <c r="CK175" s="408"/>
      <c r="CL175" s="408"/>
      <c r="CM175" s="408"/>
      <c r="CN175" s="408"/>
      <c r="CO175" s="408">
        <v>-0.38078000000000012</v>
      </c>
      <c r="CP175" s="408">
        <v>4.2379999999999994E-2</v>
      </c>
      <c r="CQ175" s="408">
        <v>30</v>
      </c>
      <c r="CR175" s="408">
        <v>4.6611758028016093E-2</v>
      </c>
      <c r="CS175" s="408">
        <v>1.1259961672858403E-3</v>
      </c>
      <c r="CT175" s="408">
        <v>3.6874852001008013E-3</v>
      </c>
      <c r="CU175" s="408">
        <v>0</v>
      </c>
      <c r="CV175" s="408">
        <v>0</v>
      </c>
      <c r="CW175" s="408">
        <v>0</v>
      </c>
      <c r="CX175" s="408">
        <v>0</v>
      </c>
      <c r="CY175" s="408">
        <v>0</v>
      </c>
      <c r="CZ175" s="408">
        <v>-1.3202060170375979E-3</v>
      </c>
      <c r="DA175" s="408">
        <v>0</v>
      </c>
      <c r="DB175" s="408">
        <v>0</v>
      </c>
      <c r="DC175" s="408">
        <v>4.1312269233212018E-2</v>
      </c>
      <c r="DD175" s="408">
        <v>1.233726421664182E-3</v>
      </c>
      <c r="DE175" s="408">
        <v>1.4243266243341808E-4</v>
      </c>
      <c r="DF175" s="408">
        <v>0</v>
      </c>
      <c r="DG175" s="408">
        <v>4.7694662242177971E-3</v>
      </c>
      <c r="DH175" s="408">
        <v>0</v>
      </c>
      <c r="DI175" s="408">
        <v>-3.5742475136913976E-3</v>
      </c>
      <c r="DJ175" s="408"/>
      <c r="DK175" s="408">
        <v>0</v>
      </c>
      <c r="DL175" s="408">
        <v>0</v>
      </c>
      <c r="DM175" s="408">
        <v>-1.7996514501039673E-4</v>
      </c>
      <c r="DN175" s="408">
        <v>0</v>
      </c>
      <c r="DO175" s="408">
        <v>-4.8958099767194146E-4</v>
      </c>
      <c r="DP175" s="408">
        <v>-9.5618207486499775E-5</v>
      </c>
      <c r="DQ175" s="408">
        <v>0</v>
      </c>
      <c r="DR175" s="408">
        <v>0</v>
      </c>
      <c r="DS175" s="408"/>
      <c r="DT175" s="408"/>
      <c r="DU175" s="408"/>
      <c r="DV175" s="408">
        <v>0.72723159033339801</v>
      </c>
      <c r="DW175" s="408">
        <v>0</v>
      </c>
      <c r="DX175" s="408">
        <v>0</v>
      </c>
      <c r="DY175" s="408">
        <v>-0.38078000000000001</v>
      </c>
      <c r="DZ175" s="408">
        <v>4.2379999999999973E-2</v>
      </c>
      <c r="EA175" s="408">
        <v>0</v>
      </c>
      <c r="EB175" s="408">
        <v>0</v>
      </c>
      <c r="EC175" s="408">
        <v>-0.38503057255415202</v>
      </c>
      <c r="ED175" s="408">
        <v>0</v>
      </c>
      <c r="EE175" s="408">
        <v>0</v>
      </c>
      <c r="EF175" s="408">
        <v>0</v>
      </c>
      <c r="EG175" s="408">
        <v>0</v>
      </c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>
        <v>0</v>
      </c>
      <c r="EN175" s="408">
        <v>0</v>
      </c>
      <c r="EO175" s="408">
        <v>0</v>
      </c>
      <c r="EP175" s="408">
        <v>0</v>
      </c>
      <c r="EQ175" s="408">
        <v>0</v>
      </c>
      <c r="ER175" s="408">
        <v>0</v>
      </c>
      <c r="ES175" s="408">
        <v>0</v>
      </c>
      <c r="ET175" s="408">
        <v>0</v>
      </c>
      <c r="EU175" s="408">
        <v>0</v>
      </c>
      <c r="EV175" s="408">
        <v>239</v>
      </c>
      <c r="EW175" s="408">
        <v>0</v>
      </c>
      <c r="EX175" s="408">
        <v>0</v>
      </c>
      <c r="EY175" s="408">
        <v>0</v>
      </c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175</v>
      </c>
      <c r="B176" s="408" t="s">
        <v>1034</v>
      </c>
      <c r="C176" s="408" t="s">
        <v>2233</v>
      </c>
      <c r="D176" s="408" t="s">
        <v>1953</v>
      </c>
      <c r="E176" s="408" t="s">
        <v>967</v>
      </c>
      <c r="F176" s="408" t="s">
        <v>967</v>
      </c>
      <c r="G176" s="408" t="s">
        <v>1320</v>
      </c>
      <c r="H176" s="408" t="s">
        <v>1320</v>
      </c>
      <c r="I176" s="408" t="s">
        <v>1320</v>
      </c>
      <c r="J176" s="408" t="s">
        <v>2234</v>
      </c>
      <c r="K176" s="827">
        <v>44470</v>
      </c>
      <c r="L176" s="408">
        <v>0</v>
      </c>
      <c r="M176" s="408">
        <v>0</v>
      </c>
      <c r="N176" s="408">
        <v>1841.672</v>
      </c>
      <c r="O176" s="408">
        <v>1841.672</v>
      </c>
      <c r="P176" s="408">
        <v>1841.672</v>
      </c>
      <c r="Q176" s="408">
        <v>1841.672</v>
      </c>
      <c r="R176" s="408"/>
      <c r="S176" s="408">
        <v>516.83000000000004</v>
      </c>
      <c r="T176" s="408">
        <v>173.82</v>
      </c>
      <c r="U176" s="408"/>
      <c r="V176" s="408">
        <v>1271950.7668000001</v>
      </c>
      <c r="W176" s="408">
        <v>1271950.7668000001</v>
      </c>
      <c r="X176" s="408">
        <v>960339.86440000008</v>
      </c>
      <c r="Y176" s="408">
        <v>0</v>
      </c>
      <c r="Z176" s="408">
        <v>112617.24048479102</v>
      </c>
      <c r="AA176" s="408">
        <v>0</v>
      </c>
      <c r="AB176" s="408">
        <v>0</v>
      </c>
      <c r="AC176" s="408">
        <v>5006.4823335299106</v>
      </c>
      <c r="AD176" s="408">
        <v>63402.526495066333</v>
      </c>
      <c r="AE176" s="408">
        <v>669661.02871624485</v>
      </c>
      <c r="AF176" s="408">
        <v>296365.79120687302</v>
      </c>
      <c r="AG176" s="408">
        <v>14909.928608338318</v>
      </c>
      <c r="AH176" s="408">
        <v>0</v>
      </c>
      <c r="AI176" s="408">
        <v>0</v>
      </c>
      <c r="AJ176" s="408">
        <v>0</v>
      </c>
      <c r="AK176" s="408">
        <v>0</v>
      </c>
      <c r="AL176" s="408">
        <v>17406.556752430941</v>
      </c>
      <c r="AM176" s="408"/>
      <c r="AN176" s="408">
        <v>2857.4314119053784</v>
      </c>
      <c r="AO176" s="408">
        <v>10678.942051927925</v>
      </c>
      <c r="AP176" s="408">
        <v>34972.09130306427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1021.7828620715862</v>
      </c>
      <c r="BF176" s="408">
        <v>8850.5016518288976</v>
      </c>
      <c r="BG176" s="408">
        <v>34215.177655708765</v>
      </c>
      <c r="BH176" s="408">
        <v>0</v>
      </c>
      <c r="BI176" s="408">
        <v>10129.86</v>
      </c>
      <c r="BJ176" s="408">
        <v>47738.36</v>
      </c>
      <c r="BK176" s="408">
        <v>525347.75</v>
      </c>
      <c r="BL176" s="408">
        <v>12984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340453.25337648223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960338.82150000008</v>
      </c>
      <c r="CJ176" s="408">
        <v>-311611.97530000005</v>
      </c>
      <c r="CK176" s="408"/>
      <c r="CL176" s="408"/>
      <c r="CM176" s="408"/>
      <c r="CN176" s="408"/>
      <c r="CO176" s="408">
        <v>-350635.93208000006</v>
      </c>
      <c r="CP176" s="408">
        <v>39025.02968</v>
      </c>
      <c r="CQ176" s="408">
        <v>31</v>
      </c>
      <c r="CR176" s="408">
        <v>42921.784815486404</v>
      </c>
      <c r="CS176" s="408">
        <v>1036.8578066988248</v>
      </c>
      <c r="CT176" s="408">
        <v>3395.5691217200219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-1215.6932279048342</v>
      </c>
      <c r="DA176" s="408">
        <v>0</v>
      </c>
      <c r="DB176" s="408">
        <v>0</v>
      </c>
      <c r="DC176" s="408">
        <v>38041.824751634034</v>
      </c>
      <c r="DD176" s="408">
        <v>1136.0597032195583</v>
      </c>
      <c r="DE176" s="408">
        <v>131.15712314453901</v>
      </c>
      <c r="DF176" s="408">
        <v>0</v>
      </c>
      <c r="DG176" s="408">
        <v>4391.896200043826</v>
      </c>
      <c r="DH176" s="408">
        <v>0</v>
      </c>
      <c r="DI176" s="408">
        <v>-3291.295783517533</v>
      </c>
      <c r="DJ176" s="408"/>
      <c r="DK176" s="408">
        <v>0</v>
      </c>
      <c r="DL176" s="408">
        <v>0</v>
      </c>
      <c r="DM176" s="408">
        <v>-165.71838427079638</v>
      </c>
      <c r="DN176" s="408">
        <v>0</v>
      </c>
      <c r="DO176" s="408">
        <v>-450.82380757224018</v>
      </c>
      <c r="DP176" s="408">
        <v>-88.048687709038859</v>
      </c>
      <c r="DQ176" s="408">
        <v>0</v>
      </c>
      <c r="DR176" s="408">
        <v>0</v>
      </c>
      <c r="DS176" s="408"/>
      <c r="DT176" s="408"/>
      <c r="DU176" s="408"/>
      <c r="DV176" s="408">
        <v>669661.02871624485</v>
      </c>
      <c r="DW176" s="408">
        <v>0</v>
      </c>
      <c r="DX176" s="408">
        <v>0</v>
      </c>
      <c r="DY176" s="408">
        <v>-350635.93208000006</v>
      </c>
      <c r="DZ176" s="408">
        <v>39025.029680000036</v>
      </c>
      <c r="EA176" s="408">
        <v>0</v>
      </c>
      <c r="EB176" s="408">
        <v>0</v>
      </c>
      <c r="EC176" s="408">
        <v>-354550.0123084751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239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176</v>
      </c>
      <c r="B177" s="408" t="s">
        <v>2235</v>
      </c>
      <c r="C177" s="408" t="s">
        <v>2233</v>
      </c>
      <c r="D177" s="408" t="s">
        <v>1953</v>
      </c>
      <c r="E177" s="408" t="s">
        <v>967</v>
      </c>
      <c r="F177" s="408" t="s">
        <v>967</v>
      </c>
      <c r="G177" s="408" t="s">
        <v>1320</v>
      </c>
      <c r="H177" s="408" t="s">
        <v>1320</v>
      </c>
      <c r="I177" s="408" t="s">
        <v>1320</v>
      </c>
      <c r="J177" s="408" t="s">
        <v>2234</v>
      </c>
      <c r="K177" s="827">
        <v>44470</v>
      </c>
      <c r="L177" s="408">
        <v>0</v>
      </c>
      <c r="M177" s="408">
        <v>0</v>
      </c>
      <c r="N177" s="408">
        <v>-3.097</v>
      </c>
      <c r="O177" s="408">
        <v>-3.097</v>
      </c>
      <c r="P177" s="408">
        <v>-3.097</v>
      </c>
      <c r="Q177" s="408">
        <v>-3.097</v>
      </c>
      <c r="R177" s="408"/>
      <c r="S177" s="408">
        <v>516.83000000000004</v>
      </c>
      <c r="T177" s="408">
        <v>173.82</v>
      </c>
      <c r="U177" s="408"/>
      <c r="V177" s="408">
        <v>-2138.9430499999999</v>
      </c>
      <c r="W177" s="408">
        <v>-2138.9430499999999</v>
      </c>
      <c r="X177" s="408">
        <v>-1614.93065</v>
      </c>
      <c r="Y177" s="408">
        <v>0</v>
      </c>
      <c r="Z177" s="408">
        <v>-189.3798644825994</v>
      </c>
      <c r="AA177" s="408">
        <v>0</v>
      </c>
      <c r="AB177" s="408">
        <v>0</v>
      </c>
      <c r="AC177" s="408">
        <v>-8.4190212952915253</v>
      </c>
      <c r="AD177" s="408">
        <v>-106.61921588383839</v>
      </c>
      <c r="AE177" s="408">
        <v>-1126.1181176312668</v>
      </c>
      <c r="AF177" s="408">
        <v>-498.37585377183655</v>
      </c>
      <c r="AG177" s="408">
        <v>-25.072895119230662</v>
      </c>
      <c r="AH177" s="408">
        <v>0</v>
      </c>
      <c r="AI177" s="408">
        <v>0</v>
      </c>
      <c r="AJ177" s="408">
        <v>0</v>
      </c>
      <c r="AK177" s="408">
        <v>0</v>
      </c>
      <c r="AL177" s="408">
        <v>-29.271285148646786</v>
      </c>
      <c r="AM177" s="408"/>
      <c r="AN177" s="408">
        <v>-4.8051254961094898</v>
      </c>
      <c r="AO177" s="408">
        <v>-17.957966203982458</v>
      </c>
      <c r="AP177" s="408">
        <v>-58.809911192432764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-1.7182546750103724</v>
      </c>
      <c r="BF177" s="408">
        <v>-14.883216781117428</v>
      </c>
      <c r="BG177" s="408">
        <v>-57.537066969433234</v>
      </c>
      <c r="BH177" s="408">
        <v>0</v>
      </c>
      <c r="BI177" s="408">
        <v>-7.42</v>
      </c>
      <c r="BJ177" s="408">
        <v>-35.99</v>
      </c>
      <c r="BK177" s="408">
        <v>-1039.72</v>
      </c>
      <c r="BL177" s="408">
        <v>0</v>
      </c>
      <c r="BM177" s="408"/>
      <c r="BN177" s="408"/>
      <c r="BO177" s="408"/>
      <c r="BP177" s="408"/>
      <c r="BQ177" s="408"/>
      <c r="BR177" s="408"/>
      <c r="BS177" s="408"/>
      <c r="BT177" s="408"/>
      <c r="BU177" s="408"/>
      <c r="BV177" s="408">
        <v>-572.51439219739757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-1616.4949999999999</v>
      </c>
      <c r="CJ177" s="408">
        <v>522.41805000000022</v>
      </c>
      <c r="CK177" s="408"/>
      <c r="CL177" s="408"/>
      <c r="CM177" s="408"/>
      <c r="CN177" s="408"/>
      <c r="CO177" s="408">
        <v>589.63783000000012</v>
      </c>
      <c r="CP177" s="408">
        <v>-65.625429999999994</v>
      </c>
      <c r="CQ177" s="408">
        <v>31</v>
      </c>
      <c r="CR177" s="408">
        <v>-72.178307306383317</v>
      </c>
      <c r="CS177" s="408">
        <v>-1.7436050650421251</v>
      </c>
      <c r="CT177" s="408">
        <v>-5.7100708323560951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2.0443390173827112</v>
      </c>
      <c r="DA177" s="408">
        <v>0</v>
      </c>
      <c r="DB177" s="408">
        <v>0</v>
      </c>
      <c r="DC177" s="408">
        <v>-63.972048907628846</v>
      </c>
      <c r="DD177" s="408">
        <v>-1.9104253639469864</v>
      </c>
      <c r="DE177" s="408">
        <v>-0.22055697777814776</v>
      </c>
      <c r="DF177" s="408">
        <v>0</v>
      </c>
      <c r="DG177" s="408">
        <v>-7.3855184482012604</v>
      </c>
      <c r="DH177" s="408">
        <v>0</v>
      </c>
      <c r="DI177" s="408">
        <v>5.5347222749511502</v>
      </c>
      <c r="DJ177" s="408"/>
      <c r="DK177" s="408">
        <v>0</v>
      </c>
      <c r="DL177" s="408">
        <v>0</v>
      </c>
      <c r="DM177" s="408">
        <v>0.27867602704860417</v>
      </c>
      <c r="DN177" s="408">
        <v>0</v>
      </c>
      <c r="DO177" s="408">
        <v>0.75811617489500094</v>
      </c>
      <c r="DP177" s="408">
        <v>0.14806479429284547</v>
      </c>
      <c r="DQ177" s="408">
        <v>0</v>
      </c>
      <c r="DR177" s="408">
        <v>0</v>
      </c>
      <c r="DS177" s="408"/>
      <c r="DT177" s="408"/>
      <c r="DU177" s="408"/>
      <c r="DV177" s="408">
        <v>-1126.1181176312668</v>
      </c>
      <c r="DW177" s="408">
        <v>0</v>
      </c>
      <c r="DX177" s="408">
        <v>0</v>
      </c>
      <c r="DY177" s="408">
        <v>589.63783000000012</v>
      </c>
      <c r="DZ177" s="408">
        <v>-65.625430000000051</v>
      </c>
      <c r="EA177" s="408">
        <v>0</v>
      </c>
      <c r="EB177" s="408">
        <v>0</v>
      </c>
      <c r="EC177" s="408">
        <v>596.21984160010436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239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177</v>
      </c>
      <c r="B178" s="408" t="s">
        <v>2236</v>
      </c>
      <c r="C178" s="408" t="s">
        <v>2233</v>
      </c>
      <c r="D178" s="408" t="s">
        <v>1953</v>
      </c>
      <c r="E178" s="408" t="s">
        <v>967</v>
      </c>
      <c r="F178" s="408" t="s">
        <v>967</v>
      </c>
      <c r="G178" s="408" t="s">
        <v>1320</v>
      </c>
      <c r="H178" s="408" t="s">
        <v>1320</v>
      </c>
      <c r="I178" s="408" t="s">
        <v>1320</v>
      </c>
      <c r="J178" s="408" t="s">
        <v>2234</v>
      </c>
      <c r="K178" s="827">
        <v>44470</v>
      </c>
      <c r="L178" s="408">
        <v>0</v>
      </c>
      <c r="M178" s="408">
        <v>0</v>
      </c>
      <c r="N178" s="408">
        <v>17.097999999999999</v>
      </c>
      <c r="O178" s="408">
        <v>17.097999999999999</v>
      </c>
      <c r="P178" s="408">
        <v>17.097999999999999</v>
      </c>
      <c r="Q178" s="408">
        <v>17.097999999999999</v>
      </c>
      <c r="R178" s="408"/>
      <c r="S178" s="408">
        <v>516.83000000000004</v>
      </c>
      <c r="T178" s="408">
        <v>173.82</v>
      </c>
      <c r="U178" s="408"/>
      <c r="V178" s="408">
        <v>11808.733700000001</v>
      </c>
      <c r="W178" s="408">
        <v>11808.733700000001</v>
      </c>
      <c r="X178" s="408">
        <v>8915.7520999999979</v>
      </c>
      <c r="Y178" s="408">
        <v>0</v>
      </c>
      <c r="Z178" s="408">
        <v>1045.5333945506891</v>
      </c>
      <c r="AA178" s="408">
        <v>0</v>
      </c>
      <c r="AB178" s="408">
        <v>0</v>
      </c>
      <c r="AC178" s="408">
        <v>46.479956766837091</v>
      </c>
      <c r="AD178" s="408">
        <v>588.62620380428439</v>
      </c>
      <c r="AE178" s="408">
        <v>6217.1028657602192</v>
      </c>
      <c r="AF178" s="408">
        <v>2751.4466734875236</v>
      </c>
      <c r="AG178" s="408">
        <v>138.42310647355691</v>
      </c>
      <c r="AH178" s="408">
        <v>0</v>
      </c>
      <c r="AI178" s="408">
        <v>0</v>
      </c>
      <c r="AJ178" s="408">
        <v>0</v>
      </c>
      <c r="AK178" s="408">
        <v>0</v>
      </c>
      <c r="AL178" s="408">
        <v>161.60168985197376</v>
      </c>
      <c r="AM178" s="408"/>
      <c r="AN178" s="408">
        <v>26.528264685979998</v>
      </c>
      <c r="AO178" s="408">
        <v>99.142817615657748</v>
      </c>
      <c r="AP178" s="408">
        <v>324.67932243080895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9.4861861263569089</v>
      </c>
      <c r="BF178" s="408">
        <v>82.167659193912101</v>
      </c>
      <c r="BG178" s="408">
        <v>317.65217017867917</v>
      </c>
      <c r="BH178" s="408">
        <v>0</v>
      </c>
      <c r="BI178" s="408">
        <v>93.23</v>
      </c>
      <c r="BJ178" s="408">
        <v>443.53</v>
      </c>
      <c r="BK178" s="408">
        <v>14386.61</v>
      </c>
      <c r="BL178" s="408">
        <v>258</v>
      </c>
      <c r="BM178" s="408"/>
      <c r="BN178" s="408"/>
      <c r="BO178" s="408"/>
      <c r="BP178" s="408"/>
      <c r="BQ178" s="408"/>
      <c r="BR178" s="408"/>
      <c r="BS178" s="408"/>
      <c r="BT178" s="408"/>
      <c r="BU178" s="408"/>
      <c r="BV178" s="408">
        <v>3160.7526889864721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8916.7950000000019</v>
      </c>
      <c r="CJ178" s="408">
        <v>-2891.9686999999994</v>
      </c>
      <c r="CK178" s="408"/>
      <c r="CL178" s="408"/>
      <c r="CM178" s="408"/>
      <c r="CN178" s="408"/>
      <c r="CO178" s="408">
        <v>-3255.2882200000004</v>
      </c>
      <c r="CP178" s="408">
        <v>362.30661999999995</v>
      </c>
      <c r="CQ178" s="408">
        <v>31</v>
      </c>
      <c r="CR178" s="408">
        <v>398.48391938151235</v>
      </c>
      <c r="CS178" s="408">
        <v>9.6261412341266492</v>
      </c>
      <c r="CT178" s="408">
        <v>31.524310975661763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-11.286441239654323</v>
      </c>
      <c r="DA178" s="408">
        <v>0</v>
      </c>
      <c r="DB178" s="408">
        <v>0</v>
      </c>
      <c r="DC178" s="408">
        <v>353.17858967472966</v>
      </c>
      <c r="DD178" s="408">
        <v>10.547127178807088</v>
      </c>
      <c r="DE178" s="408">
        <v>1.2176568311432909</v>
      </c>
      <c r="DF178" s="408">
        <v>0</v>
      </c>
      <c r="DG178" s="408">
        <v>40.774166750837992</v>
      </c>
      <c r="DH178" s="408">
        <v>0</v>
      </c>
      <c r="DI178" s="408">
        <v>-30.556241994547804</v>
      </c>
      <c r="DJ178" s="408"/>
      <c r="DK178" s="408">
        <v>0</v>
      </c>
      <c r="DL178" s="408">
        <v>0</v>
      </c>
      <c r="DM178" s="408">
        <v>-1.53852202469389</v>
      </c>
      <c r="DN178" s="408">
        <v>0</v>
      </c>
      <c r="DO178" s="408">
        <v>-4.1854279490974307</v>
      </c>
      <c r="DP178" s="408">
        <v>-0.81744005580209134</v>
      </c>
      <c r="DQ178" s="408">
        <v>0</v>
      </c>
      <c r="DR178" s="408">
        <v>0</v>
      </c>
      <c r="DS178" s="408"/>
      <c r="DT178" s="408"/>
      <c r="DU178" s="408"/>
      <c r="DV178" s="408">
        <v>6217.1028657602192</v>
      </c>
      <c r="DW178" s="408">
        <v>0</v>
      </c>
      <c r="DX178" s="408">
        <v>0</v>
      </c>
      <c r="DY178" s="408">
        <v>-3255.2882200000013</v>
      </c>
      <c r="DZ178" s="408">
        <v>362.30661999999984</v>
      </c>
      <c r="EA178" s="408">
        <v>0</v>
      </c>
      <c r="EB178" s="408">
        <v>0</v>
      </c>
      <c r="EC178" s="408">
        <v>-3291.6263647654455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239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178</v>
      </c>
      <c r="B179" s="408" t="s">
        <v>2236</v>
      </c>
      <c r="C179" s="408" t="s">
        <v>2233</v>
      </c>
      <c r="D179" s="408" t="s">
        <v>1953</v>
      </c>
      <c r="E179" s="408" t="s">
        <v>967</v>
      </c>
      <c r="F179" s="408" t="s">
        <v>967</v>
      </c>
      <c r="G179" s="408" t="s">
        <v>1320</v>
      </c>
      <c r="H179" s="408" t="s">
        <v>1320</v>
      </c>
      <c r="I179" s="408" t="s">
        <v>1320</v>
      </c>
      <c r="J179" s="408" t="s">
        <v>2234</v>
      </c>
      <c r="K179" s="827">
        <v>44470</v>
      </c>
      <c r="L179" s="408">
        <v>0</v>
      </c>
      <c r="M179" s="408">
        <v>0</v>
      </c>
      <c r="N179" s="408">
        <v>-0.12</v>
      </c>
      <c r="O179" s="408">
        <v>-0.12</v>
      </c>
      <c r="P179" s="408">
        <v>-0.12</v>
      </c>
      <c r="Q179" s="408">
        <v>-0.12</v>
      </c>
      <c r="R179" s="408"/>
      <c r="S179" s="408">
        <v>516.83000000000004</v>
      </c>
      <c r="T179" s="408">
        <v>173.82</v>
      </c>
      <c r="U179" s="408"/>
      <c r="V179" s="408">
        <v>-82.878</v>
      </c>
      <c r="W179" s="408">
        <v>-82.878</v>
      </c>
      <c r="X179" s="408">
        <v>-62.573999999999998</v>
      </c>
      <c r="Y179" s="408">
        <v>0</v>
      </c>
      <c r="Z179" s="408">
        <v>-7.3379346909628431</v>
      </c>
      <c r="AA179" s="408">
        <v>0</v>
      </c>
      <c r="AB179" s="408">
        <v>0</v>
      </c>
      <c r="AC179" s="408">
        <v>-0.32621328880690442</v>
      </c>
      <c r="AD179" s="408">
        <v>-4.1311933826479192</v>
      </c>
      <c r="AE179" s="408">
        <v>-43.633895420003881</v>
      </c>
      <c r="AF179" s="408">
        <v>-19.310656264972678</v>
      </c>
      <c r="AG179" s="408">
        <v>-0.97150384704800752</v>
      </c>
      <c r="AH179" s="408">
        <v>0</v>
      </c>
      <c r="AI179" s="408">
        <v>0</v>
      </c>
      <c r="AJ179" s="408">
        <v>0</v>
      </c>
      <c r="AK179" s="408">
        <v>0</v>
      </c>
      <c r="AL179" s="408">
        <v>-1.1341795989143086</v>
      </c>
      <c r="AM179" s="408"/>
      <c r="AN179" s="408">
        <v>-0.18618503698196279</v>
      </c>
      <c r="AO179" s="408">
        <v>-0.69582045349625277</v>
      </c>
      <c r="AP179" s="408">
        <v>-2.2787179021930681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-6.6577514046252728E-2</v>
      </c>
      <c r="BF179" s="408">
        <v>-0.57668260049534747</v>
      </c>
      <c r="BG179" s="408">
        <v>-2.2293987847374841</v>
      </c>
      <c r="BH179" s="408">
        <v>0</v>
      </c>
      <c r="BI179" s="408">
        <v>-0.3</v>
      </c>
      <c r="BJ179" s="408">
        <v>-1.38</v>
      </c>
      <c r="BK179" s="408">
        <v>-69.430000000000007</v>
      </c>
      <c r="BL179" s="408">
        <v>4</v>
      </c>
      <c r="BM179" s="408"/>
      <c r="BN179" s="408"/>
      <c r="BO179" s="408"/>
      <c r="BP179" s="408"/>
      <c r="BQ179" s="408"/>
      <c r="BR179" s="408"/>
      <c r="BS179" s="408"/>
      <c r="BT179" s="408"/>
      <c r="BU179" s="408"/>
      <c r="BV179" s="408">
        <v>-22.183315164251759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-62.573999999999998</v>
      </c>
      <c r="CJ179" s="408">
        <v>20.274000000000001</v>
      </c>
      <c r="CK179" s="408"/>
      <c r="CL179" s="408"/>
      <c r="CM179" s="408"/>
      <c r="CN179" s="408"/>
      <c r="CO179" s="408">
        <v>22.846800000000005</v>
      </c>
      <c r="CP179" s="408">
        <v>-2.5427999999999997</v>
      </c>
      <c r="CQ179" s="408">
        <v>31</v>
      </c>
      <c r="CR179" s="408">
        <v>-2.7967054816809807</v>
      </c>
      <c r="CS179" s="408">
        <v>-6.7559770037150413E-2</v>
      </c>
      <c r="CT179" s="408">
        <v>-0.2212491120060478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7.9212361022254818E-2</v>
      </c>
      <c r="DA179" s="408">
        <v>0</v>
      </c>
      <c r="DB179" s="408">
        <v>0</v>
      </c>
      <c r="DC179" s="408">
        <v>-2.4787361539927204</v>
      </c>
      <c r="DD179" s="408">
        <v>-7.402358529985098E-2</v>
      </c>
      <c r="DE179" s="408">
        <v>-8.545959746005069E-3</v>
      </c>
      <c r="DF179" s="408">
        <v>0</v>
      </c>
      <c r="DG179" s="408">
        <v>-0.28616797345306777</v>
      </c>
      <c r="DH179" s="408">
        <v>0</v>
      </c>
      <c r="DI179" s="408">
        <v>0.21445485082148341</v>
      </c>
      <c r="DJ179" s="408"/>
      <c r="DK179" s="408">
        <v>0</v>
      </c>
      <c r="DL179" s="408">
        <v>0</v>
      </c>
      <c r="DM179" s="408">
        <v>1.0797908700624026E-2</v>
      </c>
      <c r="DN179" s="408">
        <v>0</v>
      </c>
      <c r="DO179" s="408">
        <v>2.9374859860316294E-2</v>
      </c>
      <c r="DP179" s="408">
        <v>5.73709244918999E-3</v>
      </c>
      <c r="DQ179" s="408">
        <v>0</v>
      </c>
      <c r="DR179" s="408">
        <v>0</v>
      </c>
      <c r="DS179" s="408"/>
      <c r="DT179" s="408"/>
      <c r="DU179" s="408"/>
      <c r="DV179" s="408">
        <v>-43.633895420003881</v>
      </c>
      <c r="DW179" s="408">
        <v>0</v>
      </c>
      <c r="DX179" s="408">
        <v>0</v>
      </c>
      <c r="DY179" s="408">
        <v>22.846800000000009</v>
      </c>
      <c r="DZ179" s="408">
        <v>-2.5427999999999997</v>
      </c>
      <c r="EA179" s="408">
        <v>0</v>
      </c>
      <c r="EB179" s="408">
        <v>0</v>
      </c>
      <c r="EC179" s="408">
        <v>23.101834353249121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239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179</v>
      </c>
      <c r="B180" s="408" t="s">
        <v>1034</v>
      </c>
      <c r="C180" s="408" t="s">
        <v>2233</v>
      </c>
      <c r="D180" s="408" t="s">
        <v>1953</v>
      </c>
      <c r="E180" s="408" t="s">
        <v>967</v>
      </c>
      <c r="F180" s="408" t="s">
        <v>2237</v>
      </c>
      <c r="G180" s="408" t="s">
        <v>1320</v>
      </c>
      <c r="H180" s="408" t="s">
        <v>1320</v>
      </c>
      <c r="I180" s="408" t="s">
        <v>1320</v>
      </c>
      <c r="J180" s="408" t="s">
        <v>2234</v>
      </c>
      <c r="K180" s="827">
        <v>44470</v>
      </c>
      <c r="L180" s="408">
        <v>0</v>
      </c>
      <c r="M180" s="408">
        <v>0</v>
      </c>
      <c r="N180" s="408">
        <v>24.48</v>
      </c>
      <c r="O180" s="408">
        <v>24.48</v>
      </c>
      <c r="P180" s="408">
        <v>24.48</v>
      </c>
      <c r="Q180" s="408">
        <v>24.48</v>
      </c>
      <c r="R180" s="408"/>
      <c r="S180" s="408">
        <v>446.23</v>
      </c>
      <c r="T180" s="408">
        <v>173.82</v>
      </c>
      <c r="U180" s="408"/>
      <c r="V180" s="408">
        <v>15178.824000000001</v>
      </c>
      <c r="W180" s="408">
        <v>15178.824000000001</v>
      </c>
      <c r="X180" s="408">
        <v>11086.502400000001</v>
      </c>
      <c r="Y180" s="408">
        <v>0</v>
      </c>
      <c r="Z180" s="408">
        <v>0</v>
      </c>
      <c r="AA180" s="408">
        <v>0</v>
      </c>
      <c r="AB180" s="408">
        <v>0</v>
      </c>
      <c r="AC180" s="408">
        <v>66.547510916608502</v>
      </c>
      <c r="AD180" s="408">
        <v>842.76345006017561</v>
      </c>
      <c r="AE180" s="408">
        <v>8901.3146656807912</v>
      </c>
      <c r="AF180" s="408">
        <v>3939.3738780544268</v>
      </c>
      <c r="AG180" s="408">
        <v>198.18678479779354</v>
      </c>
      <c r="AH180" s="408">
        <v>0</v>
      </c>
      <c r="AI180" s="408">
        <v>0</v>
      </c>
      <c r="AJ180" s="408">
        <v>0</v>
      </c>
      <c r="AK180" s="408">
        <v>0</v>
      </c>
      <c r="AL180" s="408">
        <v>0</v>
      </c>
      <c r="AM180" s="408"/>
      <c r="AN180" s="408">
        <v>37.981747544320413</v>
      </c>
      <c r="AO180" s="408">
        <v>141.94737251323556</v>
      </c>
      <c r="AP180" s="408">
        <v>464.85845204738587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13.581812865435557</v>
      </c>
      <c r="BF180" s="408">
        <v>117.6432505010509</v>
      </c>
      <c r="BG180" s="408">
        <v>454.79735208644678</v>
      </c>
      <c r="BH180" s="408">
        <v>0</v>
      </c>
      <c r="BI180" s="408">
        <v>106.05</v>
      </c>
      <c r="BJ180" s="408">
        <v>499.35</v>
      </c>
      <c r="BK180" s="408">
        <v>1793.04</v>
      </c>
      <c r="BL180" s="408">
        <v>39</v>
      </c>
      <c r="BM180" s="408"/>
      <c r="BN180" s="408"/>
      <c r="BO180" s="408"/>
      <c r="BP180" s="408"/>
      <c r="BQ180" s="408"/>
      <c r="BR180" s="408"/>
      <c r="BS180" s="408"/>
      <c r="BT180" s="408">
        <v>7206.1776</v>
      </c>
      <c r="BU180" s="408"/>
      <c r="BV180" s="408">
        <v>4525.3962935073596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3880.3248000000003</v>
      </c>
      <c r="CJ180" s="408">
        <v>-1432.354800000001</v>
      </c>
      <c r="CK180" s="408"/>
      <c r="CL180" s="408"/>
      <c r="CM180" s="408"/>
      <c r="CN180" s="408"/>
      <c r="CO180" s="408">
        <v>-4611.0528000000004</v>
      </c>
      <c r="CP180" s="408">
        <v>518.73119999999994</v>
      </c>
      <c r="CQ180" s="408">
        <v>31</v>
      </c>
      <c r="CR180" s="408">
        <v>620.26917924200734</v>
      </c>
      <c r="CS180" s="408">
        <v>13.78219308757869</v>
      </c>
      <c r="CT180" s="408">
        <v>45.134818849233852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-16.159321648540072</v>
      </c>
      <c r="DA180" s="408">
        <v>0</v>
      </c>
      <c r="DB180" s="408">
        <v>0</v>
      </c>
      <c r="DC180" s="408">
        <v>505.66217541451488</v>
      </c>
      <c r="DD180" s="408">
        <v>15.100811401169594</v>
      </c>
      <c r="DE180" s="408">
        <v>1.7433757881850358</v>
      </c>
      <c r="DF180" s="408">
        <v>0</v>
      </c>
      <c r="DG180" s="408">
        <v>58.37826658442583</v>
      </c>
      <c r="DH180" s="408">
        <v>0</v>
      </c>
      <c r="DI180" s="408">
        <v>0</v>
      </c>
      <c r="DJ180" s="408"/>
      <c r="DK180" s="408">
        <v>0</v>
      </c>
      <c r="DL180" s="408">
        <v>0</v>
      </c>
      <c r="DM180" s="408">
        <v>-2.2027733749272898</v>
      </c>
      <c r="DN180" s="408">
        <v>0</v>
      </c>
      <c r="DO180" s="408">
        <v>0</v>
      </c>
      <c r="DP180" s="408">
        <v>-1.1703668596347612</v>
      </c>
      <c r="DQ180" s="408">
        <v>0</v>
      </c>
      <c r="DR180" s="408">
        <v>0</v>
      </c>
      <c r="DS180" s="408"/>
      <c r="DT180" s="408"/>
      <c r="DU180" s="408"/>
      <c r="DV180" s="408">
        <v>8901.3146656807912</v>
      </c>
      <c r="DW180" s="408">
        <v>0</v>
      </c>
      <c r="DX180" s="408">
        <v>0</v>
      </c>
      <c r="DY180" s="408">
        <v>-4611.0527999999995</v>
      </c>
      <c r="DZ180" s="408">
        <v>518.73120000000017</v>
      </c>
      <c r="EA180" s="408">
        <v>0</v>
      </c>
      <c r="EB180" s="408">
        <v>0</v>
      </c>
      <c r="EC180" s="408">
        <v>-4712.7742080628204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239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180</v>
      </c>
      <c r="B181" s="408" t="s">
        <v>1034</v>
      </c>
      <c r="C181" s="408" t="s">
        <v>2233</v>
      </c>
      <c r="D181" s="408" t="s">
        <v>1953</v>
      </c>
      <c r="E181" s="408" t="s">
        <v>967</v>
      </c>
      <c r="F181" s="408" t="s">
        <v>2238</v>
      </c>
      <c r="G181" s="408" t="s">
        <v>1320</v>
      </c>
      <c r="H181" s="408" t="s">
        <v>1320</v>
      </c>
      <c r="I181" s="408" t="s">
        <v>1320</v>
      </c>
      <c r="J181" s="408" t="s">
        <v>2234</v>
      </c>
      <c r="K181" s="827">
        <v>44470</v>
      </c>
      <c r="L181" s="408">
        <v>0</v>
      </c>
      <c r="M181" s="408">
        <v>0</v>
      </c>
      <c r="N181" s="408">
        <v>49.563000000000002</v>
      </c>
      <c r="O181" s="408">
        <v>49.563000000000002</v>
      </c>
      <c r="P181" s="408">
        <v>49.563000000000002</v>
      </c>
      <c r="Q181" s="408">
        <v>49.563000000000002</v>
      </c>
      <c r="R181" s="408"/>
      <c r="S181" s="408">
        <v>446.23</v>
      </c>
      <c r="T181" s="408">
        <v>173.82</v>
      </c>
      <c r="U181" s="408"/>
      <c r="V181" s="408">
        <v>30731.53815</v>
      </c>
      <c r="W181" s="408">
        <v>30731.53815</v>
      </c>
      <c r="X181" s="408">
        <v>22446.09144</v>
      </c>
      <c r="Y181" s="408">
        <v>0</v>
      </c>
      <c r="Z181" s="408">
        <v>0</v>
      </c>
      <c r="AA181" s="408">
        <v>0</v>
      </c>
      <c r="AB181" s="408">
        <v>0</v>
      </c>
      <c r="AC181" s="408">
        <v>134.73424360947169</v>
      </c>
      <c r="AD181" s="408">
        <v>1706.2861468681572</v>
      </c>
      <c r="AE181" s="408">
        <v>18021.889655847102</v>
      </c>
      <c r="AF181" s="408">
        <v>7975.7838038403406</v>
      </c>
      <c r="AG181" s="408">
        <v>401.25537642700334</v>
      </c>
      <c r="AH181" s="408">
        <v>0</v>
      </c>
      <c r="AI181" s="408">
        <v>0</v>
      </c>
      <c r="AJ181" s="408">
        <v>0</v>
      </c>
      <c r="AK181" s="408">
        <v>0</v>
      </c>
      <c r="AL181" s="408">
        <v>0</v>
      </c>
      <c r="AM181" s="408"/>
      <c r="AN181" s="408">
        <v>76.899074899475181</v>
      </c>
      <c r="AO181" s="408">
        <v>287.39124280528983</v>
      </c>
      <c r="AP181" s="408">
        <v>941.16746155329201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27.498177738953533</v>
      </c>
      <c r="BF181" s="408">
        <v>238.18433106959094</v>
      </c>
      <c r="BG181" s="408">
        <v>920.79743306619946</v>
      </c>
      <c r="BH181" s="408">
        <v>0</v>
      </c>
      <c r="BI181" s="408">
        <v>217.02</v>
      </c>
      <c r="BJ181" s="408">
        <v>1034.9100000000001</v>
      </c>
      <c r="BK181" s="408">
        <v>6487.37</v>
      </c>
      <c r="BL181" s="408">
        <v>173</v>
      </c>
      <c r="BM181" s="408"/>
      <c r="BN181" s="408"/>
      <c r="BO181" s="408"/>
      <c r="BP181" s="408"/>
      <c r="BQ181" s="408"/>
      <c r="BR181" s="408"/>
      <c r="BS181" s="408"/>
      <c r="BT181" s="408">
        <v>8978.8330800000003</v>
      </c>
      <c r="BU181" s="408"/>
      <c r="BV181" s="408">
        <v>9162.263745715085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13466.443200000002</v>
      </c>
      <c r="CJ181" s="408">
        <v>-4972.509689999999</v>
      </c>
      <c r="CK181" s="408"/>
      <c r="CL181" s="408"/>
      <c r="CM181" s="408"/>
      <c r="CN181" s="408"/>
      <c r="CO181" s="408">
        <v>-9335.6866800000007</v>
      </c>
      <c r="CP181" s="408">
        <v>1050.2399699999999</v>
      </c>
      <c r="CQ181" s="408">
        <v>31</v>
      </c>
      <c r="CR181" s="408">
        <v>1255.8170478256343</v>
      </c>
      <c r="CS181" s="408">
        <v>27.90387401959407</v>
      </c>
      <c r="CT181" s="408">
        <v>91.381414486297899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-32.716685411217213</v>
      </c>
      <c r="DA181" s="408">
        <v>0</v>
      </c>
      <c r="DB181" s="408">
        <v>0</v>
      </c>
      <c r="DC181" s="408">
        <v>1023.7800000028437</v>
      </c>
      <c r="DD181" s="408">
        <v>30.573591318470903</v>
      </c>
      <c r="DE181" s="408">
        <v>3.5296950240937477</v>
      </c>
      <c r="DF181" s="408">
        <v>0</v>
      </c>
      <c r="DG181" s="408">
        <v>118.19452723545339</v>
      </c>
      <c r="DH181" s="408">
        <v>0</v>
      </c>
      <c r="DI181" s="408">
        <v>0</v>
      </c>
      <c r="DJ181" s="408"/>
      <c r="DK181" s="408">
        <v>0</v>
      </c>
      <c r="DL181" s="408">
        <v>0</v>
      </c>
      <c r="DM181" s="408">
        <v>-4.4598062410752277</v>
      </c>
      <c r="DN181" s="408">
        <v>0</v>
      </c>
      <c r="DO181" s="408">
        <v>0</v>
      </c>
      <c r="DP181" s="408">
        <v>-2.3695626088266977</v>
      </c>
      <c r="DQ181" s="408">
        <v>0</v>
      </c>
      <c r="DR181" s="408">
        <v>0</v>
      </c>
      <c r="DS181" s="408"/>
      <c r="DT181" s="408"/>
      <c r="DU181" s="408"/>
      <c r="DV181" s="408">
        <v>18021.889655847102</v>
      </c>
      <c r="DW181" s="408">
        <v>0</v>
      </c>
      <c r="DX181" s="408">
        <v>0</v>
      </c>
      <c r="DY181" s="408">
        <v>-9335.6866800000007</v>
      </c>
      <c r="DZ181" s="408">
        <v>1050.2399699999987</v>
      </c>
      <c r="EA181" s="408">
        <v>0</v>
      </c>
      <c r="EB181" s="408">
        <v>0</v>
      </c>
      <c r="EC181" s="408">
        <v>-9541.6351337507167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239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181</v>
      </c>
      <c r="B182" s="408" t="s">
        <v>1034</v>
      </c>
      <c r="C182" s="408" t="s">
        <v>2233</v>
      </c>
      <c r="D182" s="408" t="s">
        <v>1953</v>
      </c>
      <c r="E182" s="408" t="s">
        <v>967</v>
      </c>
      <c r="F182" s="408" t="s">
        <v>2239</v>
      </c>
      <c r="G182" s="408" t="s">
        <v>1320</v>
      </c>
      <c r="H182" s="408" t="s">
        <v>1320</v>
      </c>
      <c r="I182" s="408" t="s">
        <v>1320</v>
      </c>
      <c r="J182" s="408" t="s">
        <v>2234</v>
      </c>
      <c r="K182" s="827">
        <v>44470</v>
      </c>
      <c r="L182" s="408">
        <v>0</v>
      </c>
      <c r="M182" s="408">
        <v>0</v>
      </c>
      <c r="N182" s="408">
        <v>43.814</v>
      </c>
      <c r="O182" s="408">
        <v>43.814</v>
      </c>
      <c r="P182" s="408">
        <v>43.814</v>
      </c>
      <c r="Q182" s="408">
        <v>43.814</v>
      </c>
      <c r="R182" s="408"/>
      <c r="S182" s="408">
        <v>446.23</v>
      </c>
      <c r="T182" s="408">
        <v>173.82</v>
      </c>
      <c r="U182" s="408"/>
      <c r="V182" s="408">
        <v>27166.870699999999</v>
      </c>
      <c r="W182" s="408">
        <v>27166.870699999999</v>
      </c>
      <c r="X182" s="408">
        <v>19842.48432</v>
      </c>
      <c r="Y182" s="408">
        <v>0</v>
      </c>
      <c r="Z182" s="408">
        <v>0</v>
      </c>
      <c r="AA182" s="408">
        <v>0</v>
      </c>
      <c r="AB182" s="408">
        <v>0</v>
      </c>
      <c r="AC182" s="408">
        <v>119.10590863154758</v>
      </c>
      <c r="AD182" s="408">
        <v>1508.3675572277996</v>
      </c>
      <c r="AE182" s="408">
        <v>15931.462449433749</v>
      </c>
      <c r="AF182" s="408">
        <v>7050.6424466126082</v>
      </c>
      <c r="AG182" s="408">
        <v>354.71224628801167</v>
      </c>
      <c r="AH182" s="408">
        <v>0</v>
      </c>
      <c r="AI182" s="408">
        <v>0</v>
      </c>
      <c r="AJ182" s="408">
        <v>0</v>
      </c>
      <c r="AK182" s="408">
        <v>0</v>
      </c>
      <c r="AL182" s="408">
        <v>0</v>
      </c>
      <c r="AM182" s="408"/>
      <c r="AN182" s="408">
        <v>67.979260086064315</v>
      </c>
      <c r="AO182" s="408">
        <v>254.05564457904018</v>
      </c>
      <c r="AP182" s="408">
        <v>831.99788472239231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24.308560003520974</v>
      </c>
      <c r="BF182" s="408">
        <v>210.55642881752632</v>
      </c>
      <c r="BG182" s="408">
        <v>813.99065295406774</v>
      </c>
      <c r="BH182" s="408">
        <v>0</v>
      </c>
      <c r="BI182" s="408">
        <v>227.71</v>
      </c>
      <c r="BJ182" s="408">
        <v>1066.97</v>
      </c>
      <c r="BK182" s="408">
        <v>10121.049999999999</v>
      </c>
      <c r="BL182" s="408">
        <v>455</v>
      </c>
      <c r="BM182" s="408"/>
      <c r="BN182" s="408"/>
      <c r="BO182" s="408"/>
      <c r="BP182" s="408"/>
      <c r="BQ182" s="408"/>
      <c r="BR182" s="408"/>
      <c r="BS182" s="408"/>
      <c r="BT182" s="408">
        <v>1983.8979200000001</v>
      </c>
      <c r="BU182" s="408"/>
      <c r="BV182" s="408">
        <v>8099.4980883877233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17856.955999999998</v>
      </c>
      <c r="CJ182" s="408">
        <v>-6593.4766999999956</v>
      </c>
      <c r="CK182" s="408"/>
      <c r="CL182" s="408"/>
      <c r="CM182" s="408"/>
      <c r="CN182" s="408"/>
      <c r="CO182" s="408">
        <v>-8252.8050400000011</v>
      </c>
      <c r="CP182" s="408">
        <v>928.41865999999993</v>
      </c>
      <c r="CQ182" s="408">
        <v>31</v>
      </c>
      <c r="CR182" s="408">
        <v>1110.1500743181878</v>
      </c>
      <c r="CS182" s="408">
        <v>24.667198036730895</v>
      </c>
      <c r="CT182" s="408">
        <v>80.781738278608373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-28.921753215242461</v>
      </c>
      <c r="DA182" s="408">
        <v>0</v>
      </c>
      <c r="DB182" s="408">
        <v>0</v>
      </c>
      <c r="DC182" s="408">
        <v>905.0278820919757</v>
      </c>
      <c r="DD182" s="408">
        <v>27.027244719397231</v>
      </c>
      <c r="DE182" s="408">
        <v>3.1202723359288882</v>
      </c>
      <c r="DF182" s="408">
        <v>0</v>
      </c>
      <c r="DG182" s="408">
        <v>104.48469657393935</v>
      </c>
      <c r="DH182" s="408">
        <v>0</v>
      </c>
      <c r="DI182" s="408">
        <v>0</v>
      </c>
      <c r="DJ182" s="408"/>
      <c r="DK182" s="408">
        <v>0</v>
      </c>
      <c r="DL182" s="408">
        <v>0</v>
      </c>
      <c r="DM182" s="408">
        <v>-3.9424964317428248</v>
      </c>
      <c r="DN182" s="408">
        <v>0</v>
      </c>
      <c r="DO182" s="408">
        <v>0</v>
      </c>
      <c r="DP182" s="408">
        <v>-2.0947080714067567</v>
      </c>
      <c r="DQ182" s="408">
        <v>0</v>
      </c>
      <c r="DR182" s="408">
        <v>0</v>
      </c>
      <c r="DS182" s="408"/>
      <c r="DT182" s="408"/>
      <c r="DU182" s="408"/>
      <c r="DV182" s="408">
        <v>15931.462449433749</v>
      </c>
      <c r="DW182" s="408">
        <v>0</v>
      </c>
      <c r="DX182" s="408">
        <v>0</v>
      </c>
      <c r="DY182" s="408">
        <v>-8252.8050400000011</v>
      </c>
      <c r="DZ182" s="408">
        <v>928.41866000000027</v>
      </c>
      <c r="EA182" s="408">
        <v>0</v>
      </c>
      <c r="EB182" s="408">
        <v>0</v>
      </c>
      <c r="EC182" s="408">
        <v>-8434.8647529438076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239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182</v>
      </c>
      <c r="B183" s="408" t="s">
        <v>1034</v>
      </c>
      <c r="C183" s="408" t="s">
        <v>2233</v>
      </c>
      <c r="D183" s="408" t="s">
        <v>1953</v>
      </c>
      <c r="E183" s="408" t="s">
        <v>967</v>
      </c>
      <c r="F183" s="408" t="s">
        <v>2240</v>
      </c>
      <c r="G183" s="408" t="s">
        <v>1320</v>
      </c>
      <c r="H183" s="408" t="s">
        <v>1320</v>
      </c>
      <c r="I183" s="408" t="s">
        <v>1320</v>
      </c>
      <c r="J183" s="408" t="s">
        <v>2234</v>
      </c>
      <c r="K183" s="827">
        <v>44470</v>
      </c>
      <c r="L183" s="408">
        <v>0</v>
      </c>
      <c r="M183" s="408">
        <v>0</v>
      </c>
      <c r="N183" s="408">
        <v>9.891</v>
      </c>
      <c r="O183" s="408">
        <v>9.891</v>
      </c>
      <c r="P183" s="408">
        <v>9.891</v>
      </c>
      <c r="Q183" s="408">
        <v>9.891</v>
      </c>
      <c r="R183" s="408"/>
      <c r="S183" s="408">
        <v>446.23</v>
      </c>
      <c r="T183" s="408">
        <v>173.82</v>
      </c>
      <c r="U183" s="408"/>
      <c r="V183" s="408">
        <v>6132.9145499999995</v>
      </c>
      <c r="W183" s="408">
        <v>6132.9145499999995</v>
      </c>
      <c r="X183" s="408">
        <v>4479.4360799999995</v>
      </c>
      <c r="Y183" s="408">
        <v>0</v>
      </c>
      <c r="Z183" s="408">
        <v>0</v>
      </c>
      <c r="AA183" s="408">
        <v>0</v>
      </c>
      <c r="AB183" s="408">
        <v>0</v>
      </c>
      <c r="AC183" s="408">
        <v>26.888130329909096</v>
      </c>
      <c r="AD183" s="408">
        <v>340.51361456475479</v>
      </c>
      <c r="AE183" s="408">
        <v>3596.5238299938196</v>
      </c>
      <c r="AF183" s="408">
        <v>1591.6808426403732</v>
      </c>
      <c r="AG183" s="408">
        <v>80.076204592932015</v>
      </c>
      <c r="AH183" s="408">
        <v>0</v>
      </c>
      <c r="AI183" s="408">
        <v>0</v>
      </c>
      <c r="AJ183" s="408">
        <v>0</v>
      </c>
      <c r="AK183" s="408">
        <v>0</v>
      </c>
      <c r="AL183" s="408">
        <v>0</v>
      </c>
      <c r="AM183" s="408"/>
      <c r="AN183" s="408">
        <v>15.346301673238283</v>
      </c>
      <c r="AO183" s="408">
        <v>57.353000879428635</v>
      </c>
      <c r="AP183" s="408">
        <v>187.82332308826363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5.4876515952623812</v>
      </c>
      <c r="BF183" s="408">
        <v>47.533063345829021</v>
      </c>
      <c r="BG183" s="408">
        <v>183.75819483198711</v>
      </c>
      <c r="BH183" s="408">
        <v>0</v>
      </c>
      <c r="BI183" s="408">
        <v>70.12</v>
      </c>
      <c r="BJ183" s="408">
        <v>325.57</v>
      </c>
      <c r="BK183" s="408">
        <v>3461.29</v>
      </c>
      <c r="BL183" s="408">
        <v>149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>
        <v>1828.4597524134517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4478.9831999999997</v>
      </c>
      <c r="CJ183" s="408">
        <v>-1653.9613500000005</v>
      </c>
      <c r="CK183" s="408"/>
      <c r="CL183" s="408"/>
      <c r="CM183" s="408"/>
      <c r="CN183" s="408"/>
      <c r="CO183" s="408">
        <v>-1863.0687600000001</v>
      </c>
      <c r="CP183" s="408">
        <v>209.59028999999998</v>
      </c>
      <c r="CQ183" s="408">
        <v>31</v>
      </c>
      <c r="CR183" s="408">
        <v>250.61611323050192</v>
      </c>
      <c r="CS183" s="408">
        <v>5.5686140453121311</v>
      </c>
      <c r="CT183" s="408">
        <v>18.236458057098503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-6.5290788572594352</v>
      </c>
      <c r="DA183" s="408">
        <v>0</v>
      </c>
      <c r="DB183" s="408">
        <v>0</v>
      </c>
      <c r="DC183" s="408">
        <v>204.30982749284999</v>
      </c>
      <c r="DD183" s="408">
        <v>6.1013940183402084</v>
      </c>
      <c r="DE183" s="408">
        <v>0.70440073206446829</v>
      </c>
      <c r="DF183" s="408">
        <v>0</v>
      </c>
      <c r="DG183" s="408">
        <v>23.587395211869136</v>
      </c>
      <c r="DH183" s="408">
        <v>0</v>
      </c>
      <c r="DI183" s="408">
        <v>0</v>
      </c>
      <c r="DJ183" s="408"/>
      <c r="DK183" s="408">
        <v>0</v>
      </c>
      <c r="DL183" s="408">
        <v>0</v>
      </c>
      <c r="DM183" s="408">
        <v>-0.89001762464893375</v>
      </c>
      <c r="DN183" s="408">
        <v>0</v>
      </c>
      <c r="DO183" s="408">
        <v>0</v>
      </c>
      <c r="DP183" s="408">
        <v>-0.47287984512448666</v>
      </c>
      <c r="DQ183" s="408">
        <v>0</v>
      </c>
      <c r="DR183" s="408">
        <v>0</v>
      </c>
      <c r="DS183" s="408"/>
      <c r="DT183" s="408"/>
      <c r="DU183" s="408"/>
      <c r="DV183" s="408">
        <v>3596.5238299938196</v>
      </c>
      <c r="DW183" s="408">
        <v>0</v>
      </c>
      <c r="DX183" s="408">
        <v>0</v>
      </c>
      <c r="DY183" s="408">
        <v>-1863.0687600000001</v>
      </c>
      <c r="DZ183" s="408">
        <v>209.59028999999987</v>
      </c>
      <c r="EA183" s="408">
        <v>0</v>
      </c>
      <c r="EB183" s="408">
        <v>0</v>
      </c>
      <c r="EC183" s="408">
        <v>-1904.1686965665585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239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183</v>
      </c>
      <c r="B184" s="408" t="s">
        <v>1034</v>
      </c>
      <c r="C184" s="408" t="s">
        <v>2233</v>
      </c>
      <c r="D184" s="408" t="s">
        <v>1956</v>
      </c>
      <c r="E184" s="408" t="s">
        <v>968</v>
      </c>
      <c r="F184" s="408" t="s">
        <v>1320</v>
      </c>
      <c r="G184" s="408" t="s">
        <v>1320</v>
      </c>
      <c r="H184" s="408" t="s">
        <v>1320</v>
      </c>
      <c r="I184" s="408" t="s">
        <v>1320</v>
      </c>
      <c r="J184" s="408" t="s">
        <v>2234</v>
      </c>
      <c r="K184" s="827">
        <v>44470</v>
      </c>
      <c r="L184" s="408">
        <v>0</v>
      </c>
      <c r="M184" s="408">
        <v>0</v>
      </c>
      <c r="N184" s="408">
        <v>70.260999999999996</v>
      </c>
      <c r="O184" s="408">
        <v>70.260999999999996</v>
      </c>
      <c r="P184" s="408">
        <v>70.260999999999996</v>
      </c>
      <c r="Q184" s="408">
        <v>70.260999999999996</v>
      </c>
      <c r="R184" s="408"/>
      <c r="S184" s="408">
        <v>516.83000000000004</v>
      </c>
      <c r="T184" s="408">
        <v>173.82</v>
      </c>
      <c r="U184" s="408"/>
      <c r="V184" s="408">
        <v>48525.75965</v>
      </c>
      <c r="W184" s="408">
        <v>48525.75965</v>
      </c>
      <c r="X184" s="408">
        <v>36637.598449999998</v>
      </c>
      <c r="Y184" s="408">
        <v>0</v>
      </c>
      <c r="Z184" s="408">
        <v>4296.4219110145032</v>
      </c>
      <c r="AA184" s="408">
        <v>0</v>
      </c>
      <c r="AB184" s="408">
        <v>0</v>
      </c>
      <c r="AC184" s="408">
        <v>191.00059904051591</v>
      </c>
      <c r="AD184" s="408">
        <v>2418.8481521518788</v>
      </c>
      <c r="AE184" s="408">
        <v>25548.009384207438</v>
      </c>
      <c r="AF184" s="408">
        <v>11306.550165277044</v>
      </c>
      <c r="AG184" s="408">
        <v>568.8235983120004</v>
      </c>
      <c r="AH184" s="408">
        <v>0</v>
      </c>
      <c r="AI184" s="408">
        <v>0</v>
      </c>
      <c r="AJ184" s="408">
        <v>0</v>
      </c>
      <c r="AK184" s="408">
        <v>0</v>
      </c>
      <c r="AL184" s="408">
        <v>664.07160666098537</v>
      </c>
      <c r="AM184" s="408"/>
      <c r="AN184" s="408">
        <v>109.01289069491406</v>
      </c>
      <c r="AO184" s="408">
        <v>407.40867402583513</v>
      </c>
      <c r="AP184" s="408">
        <v>1334.2083210498929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38.981689286698021</v>
      </c>
      <c r="BF184" s="408">
        <v>337.65246827836341</v>
      </c>
      <c r="BG184" s="408">
        <v>1305.3315667870029</v>
      </c>
      <c r="BH184" s="408">
        <v>0</v>
      </c>
      <c r="BI184" s="408">
        <v>389</v>
      </c>
      <c r="BJ184" s="408">
        <v>1821.65</v>
      </c>
      <c r="BK184" s="408">
        <v>10356.56</v>
      </c>
      <c r="BL184" s="408">
        <v>34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12988.515889629109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36637.077000000005</v>
      </c>
      <c r="CJ184" s="408">
        <v>-11888.712650000001</v>
      </c>
      <c r="CK184" s="408"/>
      <c r="CL184" s="408"/>
      <c r="CM184" s="408"/>
      <c r="CN184" s="408"/>
      <c r="CO184" s="408">
        <v>-13376.991790000002</v>
      </c>
      <c r="CP184" s="408">
        <v>1488.8305899999998</v>
      </c>
      <c r="CQ184" s="408">
        <v>31</v>
      </c>
      <c r="CR184" s="408">
        <v>1637.4943654032359</v>
      </c>
      <c r="CS184" s="408">
        <v>39.556808354835198</v>
      </c>
      <c r="CT184" s="408">
        <v>129.54319882214122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-46.379497481539147</v>
      </c>
      <c r="DA184" s="408">
        <v>0</v>
      </c>
      <c r="DB184" s="408">
        <v>0</v>
      </c>
      <c r="DC184" s="408">
        <v>1451.3206742973562</v>
      </c>
      <c r="DD184" s="408">
        <v>43.341426056273576</v>
      </c>
      <c r="DE184" s="408">
        <v>5.0037306476171892</v>
      </c>
      <c r="DF184" s="408">
        <v>0</v>
      </c>
      <c r="DG184" s="408">
        <v>167.55373318988359</v>
      </c>
      <c r="DH184" s="408">
        <v>0</v>
      </c>
      <c r="DI184" s="408">
        <v>-125.56510227973649</v>
      </c>
      <c r="DJ184" s="408"/>
      <c r="DK184" s="408">
        <v>0</v>
      </c>
      <c r="DL184" s="408">
        <v>0</v>
      </c>
      <c r="DM184" s="408">
        <v>-6.3222655267877599</v>
      </c>
      <c r="DN184" s="408">
        <v>0</v>
      </c>
      <c r="DO184" s="408">
        <v>-17.199225238714121</v>
      </c>
      <c r="DP184" s="408">
        <v>-3.3591154381044959</v>
      </c>
      <c r="DQ184" s="408">
        <v>0</v>
      </c>
      <c r="DR184" s="408">
        <v>0</v>
      </c>
      <c r="DS184" s="408"/>
      <c r="DT184" s="408"/>
      <c r="DU184" s="408"/>
      <c r="DV184" s="408">
        <v>25548.009384207438</v>
      </c>
      <c r="DW184" s="408">
        <v>0</v>
      </c>
      <c r="DX184" s="408">
        <v>0</v>
      </c>
      <c r="DY184" s="408">
        <v>-13376.991790000004</v>
      </c>
      <c r="DZ184" s="408">
        <v>1488.8305899999996</v>
      </c>
      <c r="EA184" s="408">
        <v>0</v>
      </c>
      <c r="EB184" s="408">
        <v>0</v>
      </c>
      <c r="EC184" s="408">
        <v>-13526.316529113637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239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184</v>
      </c>
      <c r="B185" s="408" t="s">
        <v>2236</v>
      </c>
      <c r="C185" s="408" t="s">
        <v>2233</v>
      </c>
      <c r="D185" s="408" t="s">
        <v>1956</v>
      </c>
      <c r="E185" s="408" t="s">
        <v>968</v>
      </c>
      <c r="F185" s="408" t="s">
        <v>1320</v>
      </c>
      <c r="G185" s="408" t="s">
        <v>1320</v>
      </c>
      <c r="H185" s="408" t="s">
        <v>1320</v>
      </c>
      <c r="I185" s="408" t="s">
        <v>1320</v>
      </c>
      <c r="J185" s="408" t="s">
        <v>2234</v>
      </c>
      <c r="K185" s="827">
        <v>44470</v>
      </c>
      <c r="L185" s="408">
        <v>0</v>
      </c>
      <c r="M185" s="408">
        <v>0</v>
      </c>
      <c r="N185" s="408">
        <v>1.4219999999999999</v>
      </c>
      <c r="O185" s="408">
        <v>1.4219999999999999</v>
      </c>
      <c r="P185" s="408">
        <v>1.4219999999999999</v>
      </c>
      <c r="Q185" s="408">
        <v>1.4219999999999999</v>
      </c>
      <c r="R185" s="408"/>
      <c r="S185" s="408">
        <v>516.83000000000004</v>
      </c>
      <c r="T185" s="408">
        <v>173.82</v>
      </c>
      <c r="U185" s="408"/>
      <c r="V185" s="408">
        <v>982.10429999999997</v>
      </c>
      <c r="W185" s="408">
        <v>982.10429999999997</v>
      </c>
      <c r="X185" s="408">
        <v>741.50189999999998</v>
      </c>
      <c r="Y185" s="408">
        <v>0</v>
      </c>
      <c r="Z185" s="408">
        <v>86.954526087909699</v>
      </c>
      <c r="AA185" s="408">
        <v>0</v>
      </c>
      <c r="AB185" s="408">
        <v>0</v>
      </c>
      <c r="AC185" s="408">
        <v>3.8656274723618171</v>
      </c>
      <c r="AD185" s="408">
        <v>48.954641584377846</v>
      </c>
      <c r="AE185" s="408">
        <v>517.06166072704593</v>
      </c>
      <c r="AF185" s="408">
        <v>228.83127673992624</v>
      </c>
      <c r="AG185" s="408">
        <v>11.512320587518888</v>
      </c>
      <c r="AH185" s="408">
        <v>0</v>
      </c>
      <c r="AI185" s="408">
        <v>0</v>
      </c>
      <c r="AJ185" s="408">
        <v>0</v>
      </c>
      <c r="AK185" s="408">
        <v>0</v>
      </c>
      <c r="AL185" s="408">
        <v>13.440028247134558</v>
      </c>
      <c r="AM185" s="408"/>
      <c r="AN185" s="408">
        <v>2.206292688236259</v>
      </c>
      <c r="AO185" s="408">
        <v>8.2454723739305944</v>
      </c>
      <c r="AP185" s="408">
        <v>27.002807140987855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0.78894354144809475</v>
      </c>
      <c r="BF185" s="408">
        <v>6.8336888158698681</v>
      </c>
      <c r="BG185" s="408">
        <v>26.418375599139186</v>
      </c>
      <c r="BH185" s="408">
        <v>0</v>
      </c>
      <c r="BI185" s="408">
        <v>7.86</v>
      </c>
      <c r="BJ185" s="408">
        <v>36.869999999999997</v>
      </c>
      <c r="BK185" s="408">
        <v>330.35</v>
      </c>
      <c r="BL185" s="408">
        <v>3</v>
      </c>
      <c r="BM185" s="408"/>
      <c r="BN185" s="408"/>
      <c r="BO185" s="408"/>
      <c r="BP185" s="408"/>
      <c r="BQ185" s="408"/>
      <c r="BR185" s="408"/>
      <c r="BS185" s="408"/>
      <c r="BT185" s="408"/>
      <c r="BU185" s="408"/>
      <c r="BV185" s="408">
        <v>262.87228469638342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740.45899999999995</v>
      </c>
      <c r="CJ185" s="408">
        <v>-241.67529999999999</v>
      </c>
      <c r="CK185" s="408"/>
      <c r="CL185" s="408"/>
      <c r="CM185" s="408"/>
      <c r="CN185" s="408"/>
      <c r="CO185" s="408">
        <v>-270.73458000000005</v>
      </c>
      <c r="CP185" s="408">
        <v>30.132179999999995</v>
      </c>
      <c r="CQ185" s="408">
        <v>31</v>
      </c>
      <c r="CR185" s="408">
        <v>33.14095995791962</v>
      </c>
      <c r="CS185" s="408">
        <v>0.80058327494023374</v>
      </c>
      <c r="CT185" s="408">
        <v>2.6218019772716694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-0.93866647811373127</v>
      </c>
      <c r="DA185" s="408">
        <v>0</v>
      </c>
      <c r="DB185" s="408">
        <v>0</v>
      </c>
      <c r="DC185" s="408">
        <v>29.373023424813766</v>
      </c>
      <c r="DD185" s="408">
        <v>0.87717948580323313</v>
      </c>
      <c r="DE185" s="408">
        <v>0.10126962299016018</v>
      </c>
      <c r="DF185" s="408">
        <v>0</v>
      </c>
      <c r="DG185" s="408">
        <v>3.3910904854188573</v>
      </c>
      <c r="DH185" s="408">
        <v>0</v>
      </c>
      <c r="DI185" s="408">
        <v>-2.5412899822345878</v>
      </c>
      <c r="DJ185" s="408"/>
      <c r="DK185" s="408">
        <v>0</v>
      </c>
      <c r="DL185" s="408">
        <v>0</v>
      </c>
      <c r="DM185" s="408">
        <v>-0.12795521810239308</v>
      </c>
      <c r="DN185" s="408">
        <v>0</v>
      </c>
      <c r="DO185" s="408">
        <v>-0.34809208934474967</v>
      </c>
      <c r="DP185" s="408">
        <v>-6.7984545522901563E-2</v>
      </c>
      <c r="DQ185" s="408">
        <v>0</v>
      </c>
      <c r="DR185" s="408">
        <v>0</v>
      </c>
      <c r="DS185" s="408"/>
      <c r="DT185" s="408"/>
      <c r="DU185" s="408"/>
      <c r="DV185" s="408">
        <v>517.06166072704593</v>
      </c>
      <c r="DW185" s="408">
        <v>0</v>
      </c>
      <c r="DX185" s="408">
        <v>0</v>
      </c>
      <c r="DY185" s="408">
        <v>-270.73458000000005</v>
      </c>
      <c r="DZ185" s="408">
        <v>30.132180000000005</v>
      </c>
      <c r="EA185" s="408">
        <v>0</v>
      </c>
      <c r="EB185" s="408">
        <v>0</v>
      </c>
      <c r="EC185" s="408">
        <v>-273.75673708600203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239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185</v>
      </c>
      <c r="B186" s="408" t="s">
        <v>1034</v>
      </c>
      <c r="C186" s="408" t="s">
        <v>2245</v>
      </c>
      <c r="D186" s="408" t="s">
        <v>596</v>
      </c>
      <c r="E186" s="408" t="s">
        <v>968</v>
      </c>
      <c r="F186" s="408" t="s">
        <v>1320</v>
      </c>
      <c r="G186" s="408" t="s">
        <v>1320</v>
      </c>
      <c r="H186" s="408" t="s">
        <v>1320</v>
      </c>
      <c r="I186" s="408" t="s">
        <v>971</v>
      </c>
      <c r="J186" s="408" t="s">
        <v>2234</v>
      </c>
      <c r="K186" s="827">
        <v>44470</v>
      </c>
      <c r="L186" s="408">
        <v>1200</v>
      </c>
      <c r="M186" s="408">
        <v>1200</v>
      </c>
      <c r="N186" s="408">
        <v>48.942999999999998</v>
      </c>
      <c r="O186" s="408">
        <v>48.942999999999998</v>
      </c>
      <c r="P186" s="408">
        <v>48.942999999999998</v>
      </c>
      <c r="Q186" s="408">
        <v>48.942999999999998</v>
      </c>
      <c r="R186" s="408">
        <v>67.099999999999994</v>
      </c>
      <c r="S186" s="408">
        <v>70.33</v>
      </c>
      <c r="T186" s="408">
        <v>173.82</v>
      </c>
      <c r="U186" s="408">
        <v>80520</v>
      </c>
      <c r="V186" s="408">
        <v>11949.43345</v>
      </c>
      <c r="W186" s="408">
        <v>92469.433449999997</v>
      </c>
      <c r="X186" s="408">
        <v>63385.103189999994</v>
      </c>
      <c r="Y186" s="408">
        <v>0</v>
      </c>
      <c r="Z186" s="408">
        <v>2603.768897453514</v>
      </c>
      <c r="AA186" s="408">
        <v>0</v>
      </c>
      <c r="AB186" s="408">
        <v>0</v>
      </c>
      <c r="AC186" s="408">
        <v>898.10170336085525</v>
      </c>
      <c r="AD186" s="408">
        <v>13700.67976876248</v>
      </c>
      <c r="AE186" s="408">
        <v>57794.157302940846</v>
      </c>
      <c r="AF186" s="408">
        <v>7876.0120798046482</v>
      </c>
      <c r="AG186" s="408">
        <v>396.2359398839219</v>
      </c>
      <c r="AH186" s="408">
        <v>0</v>
      </c>
      <c r="AI186" s="408">
        <v>0</v>
      </c>
      <c r="AJ186" s="408">
        <v>0</v>
      </c>
      <c r="AK186" s="408">
        <v>0</v>
      </c>
      <c r="AL186" s="408">
        <v>462.58460091385842</v>
      </c>
      <c r="AM186" s="408"/>
      <c r="AN186" s="408">
        <v>60.822966970315548</v>
      </c>
      <c r="AO186" s="408">
        <v>1928.760364929756</v>
      </c>
      <c r="AP186" s="408">
        <v>6201.9566025339363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9.132451773513262</v>
      </c>
      <c r="BF186" s="408">
        <v>235.20480430036494</v>
      </c>
      <c r="BG186" s="408">
        <v>305.80710585558546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>
        <v>8426.1564417341124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63384.3102</v>
      </c>
      <c r="CJ186" s="408">
        <v>-29085.153249999981</v>
      </c>
      <c r="CK186" s="408"/>
      <c r="CL186" s="408"/>
      <c r="CM186" s="408"/>
      <c r="CN186" s="408"/>
      <c r="CO186" s="408">
        <v>-30121.432429999993</v>
      </c>
      <c r="CP186" s="408">
        <v>1037.1021699999999</v>
      </c>
      <c r="CQ186" s="408">
        <v>31</v>
      </c>
      <c r="CR186" s="408">
        <v>1513.9764172848445</v>
      </c>
      <c r="CS186" s="408">
        <v>187.27044607078801</v>
      </c>
      <c r="CT186" s="408">
        <v>602.17080389378407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-262.69968301452172</v>
      </c>
      <c r="DA186" s="408">
        <v>0</v>
      </c>
      <c r="DB186" s="408">
        <v>0</v>
      </c>
      <c r="DC186" s="408">
        <v>1010.9731965405481</v>
      </c>
      <c r="DD186" s="408">
        <v>30.191136127755016</v>
      </c>
      <c r="DE186" s="408">
        <v>1.172251117465251</v>
      </c>
      <c r="DF186" s="408">
        <v>0</v>
      </c>
      <c r="DG186" s="408">
        <v>39.253721832698318</v>
      </c>
      <c r="DH186" s="408">
        <v>0</v>
      </c>
      <c r="DI186" s="408">
        <v>-76.096462287232498</v>
      </c>
      <c r="DJ186" s="408"/>
      <c r="DK186" s="408">
        <v>0</v>
      </c>
      <c r="DL186" s="408">
        <v>0</v>
      </c>
      <c r="DM186" s="408">
        <v>-4.4040170461219645</v>
      </c>
      <c r="DN186" s="408">
        <v>0</v>
      </c>
      <c r="DO186" s="408">
        <v>-11.980781384528882</v>
      </c>
      <c r="DP186" s="408">
        <v>-1.8741945657887626</v>
      </c>
      <c r="DQ186" s="408">
        <v>0</v>
      </c>
      <c r="DR186" s="408">
        <v>0</v>
      </c>
      <c r="DS186" s="408"/>
      <c r="DT186" s="408"/>
      <c r="DU186" s="408">
        <v>57794.157302940846</v>
      </c>
      <c r="DV186" s="408">
        <v>0</v>
      </c>
      <c r="DW186" s="408">
        <v>0</v>
      </c>
      <c r="DX186" s="408">
        <v>0</v>
      </c>
      <c r="DY186" s="408">
        <v>-30121.432430000001</v>
      </c>
      <c r="DZ186" s="408">
        <v>1037.1021700000001</v>
      </c>
      <c r="EA186" s="408">
        <v>0</v>
      </c>
      <c r="EB186" s="408">
        <v>0</v>
      </c>
      <c r="EC186" s="408">
        <v>-30598.942307270285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239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186</v>
      </c>
      <c r="B187" s="408" t="s">
        <v>1034</v>
      </c>
      <c r="C187" s="408" t="s">
        <v>2245</v>
      </c>
      <c r="D187" s="408" t="s">
        <v>596</v>
      </c>
      <c r="E187" s="408" t="s">
        <v>968</v>
      </c>
      <c r="F187" s="408" t="s">
        <v>1320</v>
      </c>
      <c r="G187" s="408" t="s">
        <v>1320</v>
      </c>
      <c r="H187" s="408" t="s">
        <v>1320</v>
      </c>
      <c r="I187" s="408" t="s">
        <v>2242</v>
      </c>
      <c r="J187" s="408" t="s">
        <v>2234</v>
      </c>
      <c r="K187" s="827">
        <v>44470</v>
      </c>
      <c r="L187" s="408">
        <v>1200</v>
      </c>
      <c r="M187" s="408">
        <v>1200</v>
      </c>
      <c r="N187" s="408">
        <v>570.60299999999995</v>
      </c>
      <c r="O187" s="408">
        <v>570.60299999999995</v>
      </c>
      <c r="P187" s="408">
        <v>570.60299999999995</v>
      </c>
      <c r="Q187" s="408">
        <v>570.60299999999995</v>
      </c>
      <c r="R187" s="408">
        <v>59.12</v>
      </c>
      <c r="S187" s="408">
        <v>70.33</v>
      </c>
      <c r="T187" s="408">
        <v>173.82</v>
      </c>
      <c r="U187" s="408">
        <v>70944</v>
      </c>
      <c r="V187" s="408">
        <v>139312.72244999997</v>
      </c>
      <c r="W187" s="408">
        <v>210256.72245</v>
      </c>
      <c r="X187" s="408">
        <v>191663.49098999996</v>
      </c>
      <c r="Y187" s="408">
        <v>0</v>
      </c>
      <c r="Z187" s="408">
        <v>30356.094726389212</v>
      </c>
      <c r="AA187" s="408">
        <v>0</v>
      </c>
      <c r="AB187" s="408">
        <v>0</v>
      </c>
      <c r="AC187" s="408">
        <v>686.4724360004185</v>
      </c>
      <c r="AD187" s="408">
        <v>6140.4271808585163</v>
      </c>
      <c r="AE187" s="408">
        <v>57794.157302940846</v>
      </c>
      <c r="AF187" s="408">
        <v>91822.653306351698</v>
      </c>
      <c r="AG187" s="408">
        <v>4619.5250803094514</v>
      </c>
      <c r="AH187" s="408">
        <v>0</v>
      </c>
      <c r="AI187" s="408">
        <v>0</v>
      </c>
      <c r="AJ187" s="408">
        <v>0</v>
      </c>
      <c r="AK187" s="408">
        <v>0</v>
      </c>
      <c r="AL187" s="408">
        <v>5393.0523473275107</v>
      </c>
      <c r="AM187" s="408"/>
      <c r="AN187" s="408">
        <v>709.10584602829738</v>
      </c>
      <c r="AO187" s="408">
        <v>1449.6865388280721</v>
      </c>
      <c r="AP187" s="408">
        <v>4873.1854368239283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106.47088203260911</v>
      </c>
      <c r="BF187" s="408">
        <v>2742.1401824203899</v>
      </c>
      <c r="BG187" s="408">
        <v>3565.2586074109604</v>
      </c>
      <c r="BH187" s="408">
        <v>0</v>
      </c>
      <c r="BI187" s="408">
        <v>0</v>
      </c>
      <c r="BJ187" s="408">
        <v>0</v>
      </c>
      <c r="BK187" s="408">
        <v>0</v>
      </c>
      <c r="BL187" s="408">
        <v>0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98236.522978215653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191662.698</v>
      </c>
      <c r="CJ187" s="408">
        <v>-18594.054449999967</v>
      </c>
      <c r="CK187" s="408"/>
      <c r="CL187" s="408"/>
      <c r="CM187" s="408"/>
      <c r="CN187" s="408"/>
      <c r="CO187" s="408">
        <v>-30684.30903</v>
      </c>
      <c r="CP187" s="408">
        <v>12091.077569999998</v>
      </c>
      <c r="CQ187" s="408">
        <v>31</v>
      </c>
      <c r="CR187" s="408">
        <v>12005.871464660479</v>
      </c>
      <c r="CS187" s="408">
        <v>140.75540420960397</v>
      </c>
      <c r="CT187" s="408">
        <v>473.15551850471911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-117.73782769987247</v>
      </c>
      <c r="DA187" s="408">
        <v>0</v>
      </c>
      <c r="DB187" s="408">
        <v>0</v>
      </c>
      <c r="DC187" s="408">
        <v>11786.452380639239</v>
      </c>
      <c r="DD187" s="408">
        <v>351.9839986904235</v>
      </c>
      <c r="DE187" s="408">
        <v>13.666714430644319</v>
      </c>
      <c r="DF187" s="408">
        <v>0</v>
      </c>
      <c r="DG187" s="408">
        <v>457.64034568586158</v>
      </c>
      <c r="DH187" s="408">
        <v>0</v>
      </c>
      <c r="DI187" s="408">
        <v>-887.17221401388088</v>
      </c>
      <c r="DJ187" s="408"/>
      <c r="DK187" s="408">
        <v>0</v>
      </c>
      <c r="DL187" s="408">
        <v>0</v>
      </c>
      <c r="DM187" s="408">
        <v>-51.344325819184633</v>
      </c>
      <c r="DN187" s="408">
        <v>0</v>
      </c>
      <c r="DO187" s="408">
        <v>-139.67819300730116</v>
      </c>
      <c r="DP187" s="408">
        <v>-21.850336959785068</v>
      </c>
      <c r="DQ187" s="408">
        <v>0</v>
      </c>
      <c r="DR187" s="408">
        <v>0</v>
      </c>
      <c r="DS187" s="408"/>
      <c r="DT187" s="408"/>
      <c r="DU187" s="408">
        <v>57794.157302940846</v>
      </c>
      <c r="DV187" s="408">
        <v>0</v>
      </c>
      <c r="DW187" s="408">
        <v>0</v>
      </c>
      <c r="DX187" s="408">
        <v>0</v>
      </c>
      <c r="DY187" s="408">
        <v>-30684.309030000004</v>
      </c>
      <c r="DZ187" s="408">
        <v>12091.077569999994</v>
      </c>
      <c r="EA187" s="408">
        <v>0</v>
      </c>
      <c r="EB187" s="408">
        <v>0</v>
      </c>
      <c r="EC187" s="408">
        <v>-30598.942307270285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239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187</v>
      </c>
      <c r="B188" s="408" t="s">
        <v>1034</v>
      </c>
      <c r="C188" s="408" t="s">
        <v>2245</v>
      </c>
      <c r="D188" s="408" t="s">
        <v>596</v>
      </c>
      <c r="E188" s="408" t="s">
        <v>968</v>
      </c>
      <c r="F188" s="408" t="s">
        <v>1320</v>
      </c>
      <c r="G188" s="408" t="s">
        <v>1320</v>
      </c>
      <c r="H188" s="408" t="s">
        <v>1320</v>
      </c>
      <c r="I188" s="408" t="s">
        <v>1320</v>
      </c>
      <c r="J188" s="408" t="s">
        <v>2234</v>
      </c>
      <c r="K188" s="827">
        <v>44470</v>
      </c>
      <c r="L188" s="408">
        <v>0</v>
      </c>
      <c r="M188" s="408">
        <v>0</v>
      </c>
      <c r="N188" s="408">
        <v>0</v>
      </c>
      <c r="O188" s="408">
        <v>0</v>
      </c>
      <c r="P188" s="408">
        <v>0</v>
      </c>
      <c r="Q188" s="408">
        <v>0</v>
      </c>
      <c r="R188" s="408"/>
      <c r="S188" s="408"/>
      <c r="T188" s="408"/>
      <c r="U188" s="408"/>
      <c r="V188" s="408"/>
      <c r="W188" s="408"/>
      <c r="X188" s="408"/>
      <c r="Y188" s="408"/>
      <c r="Z188" s="408"/>
      <c r="AA188" s="408">
        <v>0</v>
      </c>
      <c r="AB188" s="408"/>
      <c r="AC188" s="408"/>
      <c r="AD188" s="408"/>
      <c r="AE188" s="408"/>
      <c r="AF188" s="408"/>
      <c r="AG188" s="408"/>
      <c r="AH188" s="408"/>
      <c r="AI188" s="408"/>
      <c r="AJ188" s="408"/>
      <c r="AK188" s="408"/>
      <c r="AL188" s="408"/>
      <c r="AM188" s="408"/>
      <c r="AN188" s="408"/>
      <c r="AO188" s="408"/>
      <c r="AP188" s="408"/>
      <c r="AQ188" s="408"/>
      <c r="AR188" s="408"/>
      <c r="AS188" s="408"/>
      <c r="AT188" s="408"/>
      <c r="AU188" s="408"/>
      <c r="AV188" s="408"/>
      <c r="AW188" s="408"/>
      <c r="AX188" s="408"/>
      <c r="AY188" s="408"/>
      <c r="AZ188" s="408">
        <v>0</v>
      </c>
      <c r="BA188" s="408"/>
      <c r="BB188" s="408"/>
      <c r="BC188" s="408"/>
      <c r="BD188" s="408"/>
      <c r="BE188" s="408"/>
      <c r="BF188" s="408"/>
      <c r="BG188" s="408"/>
      <c r="BH188" s="408"/>
      <c r="BI188" s="408">
        <v>2863.56</v>
      </c>
      <c r="BJ188" s="408">
        <v>13405.6</v>
      </c>
      <c r="BK188" s="408">
        <v>73586.39</v>
      </c>
      <c r="BL188" s="408">
        <v>1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/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/>
      <c r="CJ188" s="408">
        <v>-0.03</v>
      </c>
      <c r="CK188" s="408"/>
      <c r="CL188" s="408"/>
      <c r="CM188" s="408"/>
      <c r="CN188" s="408"/>
      <c r="CO188" s="408">
        <v>0</v>
      </c>
      <c r="CP188" s="408">
        <v>0</v>
      </c>
      <c r="CQ188" s="408">
        <v>31</v>
      </c>
      <c r="CR188" s="408"/>
      <c r="CS188" s="408"/>
      <c r="CT188" s="408"/>
      <c r="CU188" s="408"/>
      <c r="CV188" s="408"/>
      <c r="CW188" s="408"/>
      <c r="CX188" s="408"/>
      <c r="CY188" s="408"/>
      <c r="CZ188" s="408"/>
      <c r="DA188" s="408"/>
      <c r="DB188" s="408"/>
      <c r="DC188" s="408"/>
      <c r="DD188" s="408"/>
      <c r="DE188" s="408"/>
      <c r="DF188" s="408"/>
      <c r="DG188" s="408"/>
      <c r="DH188" s="408"/>
      <c r="DI188" s="408"/>
      <c r="DJ188" s="408"/>
      <c r="DK188" s="408">
        <v>0</v>
      </c>
      <c r="DL188" s="408"/>
      <c r="DM188" s="408"/>
      <c r="DN188" s="408"/>
      <c r="DO188" s="408"/>
      <c r="DP188" s="408"/>
      <c r="DQ188" s="408"/>
      <c r="DR188" s="408"/>
      <c r="DS188" s="408"/>
      <c r="DT188" s="408"/>
      <c r="DU188" s="408"/>
      <c r="DV188" s="408"/>
      <c r="DW188" s="408"/>
      <c r="DX188" s="408"/>
      <c r="DY188" s="408"/>
      <c r="DZ188" s="408"/>
      <c r="EA188" s="408"/>
      <c r="EB188" s="408"/>
      <c r="EC188" s="408"/>
      <c r="ED188" s="408"/>
      <c r="EE188" s="408"/>
      <c r="EF188" s="408"/>
      <c r="EG188" s="408"/>
      <c r="EH188" s="408"/>
      <c r="EI188" s="408"/>
      <c r="EJ188" s="408"/>
      <c r="EK188" s="408"/>
      <c r="EL188" s="408"/>
      <c r="EM188" s="408"/>
      <c r="EN188" s="408"/>
      <c r="EO188" s="408"/>
      <c r="EP188" s="408"/>
      <c r="EQ188" s="408"/>
      <c r="ER188" s="408"/>
      <c r="ES188" s="408"/>
      <c r="ET188" s="408"/>
      <c r="EU188" s="408"/>
      <c r="EV188" s="408">
        <v>239</v>
      </c>
      <c r="EW188" s="408"/>
      <c r="EX188" s="408"/>
      <c r="EY188" s="408"/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188</v>
      </c>
      <c r="B189" s="408" t="s">
        <v>1034</v>
      </c>
      <c r="C189" s="408" t="s">
        <v>2241</v>
      </c>
      <c r="D189" s="408" t="s">
        <v>596</v>
      </c>
      <c r="E189" s="408" t="s">
        <v>968</v>
      </c>
      <c r="F189" s="408" t="s">
        <v>1320</v>
      </c>
      <c r="G189" s="408" t="s">
        <v>1320</v>
      </c>
      <c r="H189" s="408" t="s">
        <v>1320</v>
      </c>
      <c r="I189" s="408" t="s">
        <v>971</v>
      </c>
      <c r="J189" s="408" t="s">
        <v>2234</v>
      </c>
      <c r="K189" s="827">
        <v>44470</v>
      </c>
      <c r="L189" s="408">
        <v>0</v>
      </c>
      <c r="M189" s="408">
        <v>0</v>
      </c>
      <c r="N189" s="408">
        <v>39.768999999999998</v>
      </c>
      <c r="O189" s="408">
        <v>39.768999999999998</v>
      </c>
      <c r="P189" s="408">
        <v>39.768999999999998</v>
      </c>
      <c r="Q189" s="408">
        <v>39.768999999999998</v>
      </c>
      <c r="R189" s="408"/>
      <c r="S189" s="408">
        <v>1684.16</v>
      </c>
      <c r="T189" s="408">
        <v>173.82</v>
      </c>
      <c r="U189" s="408"/>
      <c r="V189" s="408">
        <v>73890.00662</v>
      </c>
      <c r="W189" s="408">
        <v>73890.00662</v>
      </c>
      <c r="X189" s="408">
        <v>50723.76874</v>
      </c>
      <c r="Y189" s="408">
        <v>0</v>
      </c>
      <c r="Z189" s="408">
        <v>2115.7118542555377</v>
      </c>
      <c r="AA189" s="408">
        <v>0</v>
      </c>
      <c r="AB189" s="408">
        <v>0</v>
      </c>
      <c r="AC189" s="408">
        <v>715.81813302181718</v>
      </c>
      <c r="AD189" s="408">
        <v>10920.00781756065</v>
      </c>
      <c r="AE189" s="408">
        <v>46064.132662606506</v>
      </c>
      <c r="AF189" s="408">
        <v>6399.7124083474873</v>
      </c>
      <c r="AG189" s="408">
        <v>321.96447077710172</v>
      </c>
      <c r="AH189" s="408">
        <v>0</v>
      </c>
      <c r="AI189" s="408">
        <v>0</v>
      </c>
      <c r="AJ189" s="408">
        <v>0</v>
      </c>
      <c r="AK189" s="408">
        <v>0</v>
      </c>
      <c r="AL189" s="408">
        <v>375.87657057685954</v>
      </c>
      <c r="AM189" s="408"/>
      <c r="AN189" s="408">
        <v>49.422155843378604</v>
      </c>
      <c r="AO189" s="408">
        <v>1537.3161759846598</v>
      </c>
      <c r="AP189" s="408">
        <v>4943.233847347854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7.4206418605489839</v>
      </c>
      <c r="BF189" s="408">
        <v>191.11741949249563</v>
      </c>
      <c r="BG189" s="408">
        <v>248.48584665367426</v>
      </c>
      <c r="BH189" s="408">
        <v>0</v>
      </c>
      <c r="BI189" s="408">
        <v>0</v>
      </c>
      <c r="BJ189" s="408">
        <v>0</v>
      </c>
      <c r="BK189" s="408">
        <v>0</v>
      </c>
      <c r="BL189" s="408">
        <v>0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6846.7363163542059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50725.044200000011</v>
      </c>
      <c r="CJ189" s="408">
        <v>-23164.992419999973</v>
      </c>
      <c r="CK189" s="408"/>
      <c r="CL189" s="408"/>
      <c r="CM189" s="408"/>
      <c r="CN189" s="408"/>
      <c r="CO189" s="408">
        <v>-24008.94299</v>
      </c>
      <c r="CP189" s="408">
        <v>842.70510999999988</v>
      </c>
      <c r="CQ189" s="408">
        <v>31</v>
      </c>
      <c r="CR189" s="408">
        <v>1222.0230113679099</v>
      </c>
      <c r="CS189" s="408">
        <v>149.26368835818039</v>
      </c>
      <c r="CT189" s="408">
        <v>479.95677662047547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-209.38250076692202</v>
      </c>
      <c r="DA189" s="408">
        <v>0</v>
      </c>
      <c r="DB189" s="408">
        <v>0</v>
      </c>
      <c r="DC189" s="408">
        <v>821.47381756780396</v>
      </c>
      <c r="DD189" s="408">
        <v>24.53203303158142</v>
      </c>
      <c r="DE189" s="408">
        <v>0.95252139612356412</v>
      </c>
      <c r="DF189" s="408">
        <v>0</v>
      </c>
      <c r="DG189" s="408">
        <v>31.895904696577162</v>
      </c>
      <c r="DH189" s="408">
        <v>0</v>
      </c>
      <c r="DI189" s="408">
        <v>-61.832748476818324</v>
      </c>
      <c r="DJ189" s="408"/>
      <c r="DK189" s="408">
        <v>0</v>
      </c>
      <c r="DL189" s="408">
        <v>0</v>
      </c>
      <c r="DM189" s="408">
        <v>-3.5785169259592635</v>
      </c>
      <c r="DN189" s="408">
        <v>0</v>
      </c>
      <c r="DO189" s="408">
        <v>-9.7350733482077203</v>
      </c>
      <c r="DP189" s="408">
        <v>-1.522890784930496</v>
      </c>
      <c r="DQ189" s="408">
        <v>0</v>
      </c>
      <c r="DR189" s="408">
        <v>0</v>
      </c>
      <c r="DS189" s="408"/>
      <c r="DT189" s="408"/>
      <c r="DU189" s="408"/>
      <c r="DV189" s="408">
        <v>46064.132662606506</v>
      </c>
      <c r="DW189" s="408">
        <v>0</v>
      </c>
      <c r="DX189" s="408">
        <v>0</v>
      </c>
      <c r="DY189" s="408">
        <v>-24008.942989999996</v>
      </c>
      <c r="DZ189" s="408">
        <v>842.70510999999988</v>
      </c>
      <c r="EA189" s="408">
        <v>0</v>
      </c>
      <c r="EB189" s="408">
        <v>0</v>
      </c>
      <c r="EC189" s="408">
        <v>-24388.51613302813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239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189</v>
      </c>
      <c r="B190" s="408" t="s">
        <v>1034</v>
      </c>
      <c r="C190" s="408" t="s">
        <v>2241</v>
      </c>
      <c r="D190" s="408" t="s">
        <v>596</v>
      </c>
      <c r="E190" s="408" t="s">
        <v>968</v>
      </c>
      <c r="F190" s="408" t="s">
        <v>1320</v>
      </c>
      <c r="G190" s="408" t="s">
        <v>1320</v>
      </c>
      <c r="H190" s="408" t="s">
        <v>1320</v>
      </c>
      <c r="I190" s="408" t="s">
        <v>2242</v>
      </c>
      <c r="J190" s="408" t="s">
        <v>2234</v>
      </c>
      <c r="K190" s="827">
        <v>44470</v>
      </c>
      <c r="L190" s="408">
        <v>0</v>
      </c>
      <c r="M190" s="408">
        <v>0</v>
      </c>
      <c r="N190" s="408">
        <v>735.35400000000004</v>
      </c>
      <c r="O190" s="408">
        <v>735.35400000000004</v>
      </c>
      <c r="P190" s="408">
        <v>735.35400000000004</v>
      </c>
      <c r="Q190" s="408">
        <v>735.35400000000004</v>
      </c>
      <c r="R190" s="408"/>
      <c r="S190" s="408">
        <v>70.33</v>
      </c>
      <c r="T190" s="408">
        <v>173.82</v>
      </c>
      <c r="U190" s="408"/>
      <c r="V190" s="408">
        <v>179536.67910000001</v>
      </c>
      <c r="W190" s="408">
        <v>179536.67910000001</v>
      </c>
      <c r="X190" s="408">
        <v>194376.12281999999</v>
      </c>
      <c r="Y190" s="408">
        <v>0</v>
      </c>
      <c r="Z190" s="408">
        <v>39120.852293852673</v>
      </c>
      <c r="AA190" s="408">
        <v>0</v>
      </c>
      <c r="AB190" s="408">
        <v>0</v>
      </c>
      <c r="AC190" s="408">
        <v>0</v>
      </c>
      <c r="AD190" s="408">
        <v>0</v>
      </c>
      <c r="AE190" s="408">
        <v>0</v>
      </c>
      <c r="AF190" s="408">
        <v>118334.73605893934</v>
      </c>
      <c r="AG190" s="408">
        <v>5953.326999517838</v>
      </c>
      <c r="AH190" s="408">
        <v>0</v>
      </c>
      <c r="AI190" s="408">
        <v>0</v>
      </c>
      <c r="AJ190" s="408">
        <v>0</v>
      </c>
      <c r="AK190" s="408">
        <v>0</v>
      </c>
      <c r="AL190" s="408">
        <v>6950.1958731669383</v>
      </c>
      <c r="AM190" s="408"/>
      <c r="AN190" s="408">
        <v>913.8469659295389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137.21236829495683</v>
      </c>
      <c r="BF190" s="408">
        <v>3533.8821417054651</v>
      </c>
      <c r="BG190" s="408">
        <v>4594.6606975323994</v>
      </c>
      <c r="BH190" s="408">
        <v>0</v>
      </c>
      <c r="BI190" s="408">
        <v>0</v>
      </c>
      <c r="BJ190" s="408">
        <v>0</v>
      </c>
      <c r="BK190" s="408">
        <v>0</v>
      </c>
      <c r="BL190" s="408">
        <v>0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126600.49126647216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194375.0655</v>
      </c>
      <c r="CJ190" s="408">
        <v>14838.35639999999</v>
      </c>
      <c r="CK190" s="408"/>
      <c r="CL190" s="408"/>
      <c r="CM190" s="408"/>
      <c r="CN190" s="408"/>
      <c r="CO190" s="408">
        <v>-742.70754000000386</v>
      </c>
      <c r="CP190" s="408">
        <v>15582.151259999999</v>
      </c>
      <c r="CQ190" s="408">
        <v>31</v>
      </c>
      <c r="CR190" s="408">
        <v>14832.909632288443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0</v>
      </c>
      <c r="DA190" s="408">
        <v>0</v>
      </c>
      <c r="DB190" s="408">
        <v>0</v>
      </c>
      <c r="DC190" s="408">
        <v>15189.571214859694</v>
      </c>
      <c r="DD190" s="408">
        <v>453.61282953822138</v>
      </c>
      <c r="DE190" s="408">
        <v>17.612723948931261</v>
      </c>
      <c r="DF190" s="408">
        <v>0</v>
      </c>
      <c r="DG190" s="408">
        <v>589.7754809587077</v>
      </c>
      <c r="DH190" s="408">
        <v>0</v>
      </c>
      <c r="DI190" s="408">
        <v>-1143.326684689644</v>
      </c>
      <c r="DJ190" s="408"/>
      <c r="DK190" s="408">
        <v>0</v>
      </c>
      <c r="DL190" s="408">
        <v>0</v>
      </c>
      <c r="DM190" s="408">
        <v>-66.169044621989087</v>
      </c>
      <c r="DN190" s="408">
        <v>0</v>
      </c>
      <c r="DO190" s="408">
        <v>-180.00767248102511</v>
      </c>
      <c r="DP190" s="408">
        <v>-28.159215224465811</v>
      </c>
      <c r="DQ190" s="408">
        <v>0</v>
      </c>
      <c r="DR190" s="408">
        <v>0</v>
      </c>
      <c r="DS190" s="408"/>
      <c r="DT190" s="408"/>
      <c r="DU190" s="408"/>
      <c r="DV190" s="408">
        <v>0</v>
      </c>
      <c r="DW190" s="408">
        <v>0</v>
      </c>
      <c r="DX190" s="408">
        <v>0</v>
      </c>
      <c r="DY190" s="408">
        <v>-742.70754000001034</v>
      </c>
      <c r="DZ190" s="408">
        <v>15582.151260000013</v>
      </c>
      <c r="EA190" s="408">
        <v>0</v>
      </c>
      <c r="EB190" s="408">
        <v>0</v>
      </c>
      <c r="EC190" s="408">
        <v>0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239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190</v>
      </c>
      <c r="B191" s="408" t="s">
        <v>1034</v>
      </c>
      <c r="C191" s="408" t="s">
        <v>2241</v>
      </c>
      <c r="D191" s="408" t="s">
        <v>596</v>
      </c>
      <c r="E191" s="408" t="s">
        <v>968</v>
      </c>
      <c r="F191" s="408" t="s">
        <v>1320</v>
      </c>
      <c r="G191" s="408" t="s">
        <v>1320</v>
      </c>
      <c r="H191" s="408" t="s">
        <v>1320</v>
      </c>
      <c r="I191" s="408" t="s">
        <v>1320</v>
      </c>
      <c r="J191" s="408" t="s">
        <v>2234</v>
      </c>
      <c r="K191" s="827">
        <v>44470</v>
      </c>
      <c r="L191" s="408">
        <v>4655</v>
      </c>
      <c r="M191" s="408">
        <v>4655</v>
      </c>
      <c r="N191" s="408">
        <v>0</v>
      </c>
      <c r="O191" s="408">
        <v>0</v>
      </c>
      <c r="P191" s="408">
        <v>0</v>
      </c>
      <c r="Q191" s="408">
        <v>0</v>
      </c>
      <c r="R191" s="408">
        <v>59.12</v>
      </c>
      <c r="S191" s="408"/>
      <c r="T191" s="408"/>
      <c r="U191" s="408">
        <v>275203.59999999998</v>
      </c>
      <c r="V191" s="408"/>
      <c r="W191" s="408">
        <v>275203.59999999998</v>
      </c>
      <c r="X191" s="408">
        <v>158409.65</v>
      </c>
      <c r="Y191" s="408">
        <v>0</v>
      </c>
      <c r="Z191" s="408">
        <v>0</v>
      </c>
      <c r="AA191" s="408">
        <v>0</v>
      </c>
      <c r="AB191" s="408">
        <v>0</v>
      </c>
      <c r="AC191" s="408">
        <v>2662.9409913182899</v>
      </c>
      <c r="AD191" s="408">
        <v>23819.740439080328</v>
      </c>
      <c r="AE191" s="408">
        <v>224193.16853765803</v>
      </c>
      <c r="AF191" s="408"/>
      <c r="AG191" s="408"/>
      <c r="AH191" s="408"/>
      <c r="AI191" s="408">
        <v>0</v>
      </c>
      <c r="AJ191" s="408">
        <v>0</v>
      </c>
      <c r="AK191" s="408">
        <v>0</v>
      </c>
      <c r="AL191" s="408">
        <v>0</v>
      </c>
      <c r="AM191" s="408"/>
      <c r="AN191" s="408">
        <v>0</v>
      </c>
      <c r="AO191" s="408">
        <v>5623.5756985372291</v>
      </c>
      <c r="AP191" s="408">
        <v>18903.898507012822</v>
      </c>
      <c r="AQ191" s="408">
        <v>0</v>
      </c>
      <c r="AR191" s="408">
        <v>0</v>
      </c>
      <c r="AS191" s="408"/>
      <c r="AT191" s="408"/>
      <c r="AU191" s="408">
        <v>0</v>
      </c>
      <c r="AV191" s="408">
        <v>0</v>
      </c>
      <c r="AW191" s="408">
        <v>0</v>
      </c>
      <c r="AX191" s="408"/>
      <c r="AY191" s="408"/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/>
      <c r="BG191" s="408">
        <v>0</v>
      </c>
      <c r="BH191" s="408">
        <v>0</v>
      </c>
      <c r="BI191" s="408">
        <v>4375.8500000000004</v>
      </c>
      <c r="BJ191" s="408">
        <v>20485.79</v>
      </c>
      <c r="BK191" s="408">
        <v>114213.01</v>
      </c>
      <c r="BL191" s="408">
        <v>26</v>
      </c>
      <c r="BM191" s="408"/>
      <c r="BN191" s="408"/>
      <c r="BO191" s="408"/>
      <c r="BP191" s="408"/>
      <c r="BQ191" s="408"/>
      <c r="BR191" s="408"/>
      <c r="BS191" s="408"/>
      <c r="BT191" s="408"/>
      <c r="BU191" s="408"/>
      <c r="BV191" s="408">
        <v>0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158409.65</v>
      </c>
      <c r="CJ191" s="408">
        <v>-116793.98000000001</v>
      </c>
      <c r="CK191" s="408"/>
      <c r="CL191" s="408"/>
      <c r="CM191" s="408"/>
      <c r="CN191" s="408"/>
      <c r="CO191" s="408">
        <v>-116793.94999999998</v>
      </c>
      <c r="CP191" s="408">
        <v>0</v>
      </c>
      <c r="CQ191" s="408">
        <v>31</v>
      </c>
      <c r="CR191" s="408">
        <v>1924.7381310768906</v>
      </c>
      <c r="CS191" s="408">
        <v>546.01367216308881</v>
      </c>
      <c r="CT191" s="408">
        <v>1835.4491155328906</v>
      </c>
      <c r="CU191" s="408">
        <v>0</v>
      </c>
      <c r="CV191" s="408">
        <v>0</v>
      </c>
      <c r="CW191" s="408"/>
      <c r="CX191" s="408"/>
      <c r="CY191" s="408"/>
      <c r="CZ191" s="408">
        <v>-456.72465661908791</v>
      </c>
      <c r="DA191" s="408">
        <v>0</v>
      </c>
      <c r="DB191" s="408">
        <v>0</v>
      </c>
      <c r="DC191" s="408"/>
      <c r="DD191" s="408"/>
      <c r="DE191" s="408">
        <v>0</v>
      </c>
      <c r="DF191" s="408">
        <v>0</v>
      </c>
      <c r="DG191" s="408">
        <v>0</v>
      </c>
      <c r="DH191" s="408">
        <v>0</v>
      </c>
      <c r="DI191" s="408">
        <v>0</v>
      </c>
      <c r="DJ191" s="408"/>
      <c r="DK191" s="408">
        <v>0</v>
      </c>
      <c r="DL191" s="408">
        <v>0</v>
      </c>
      <c r="DM191" s="408"/>
      <c r="DN191" s="408">
        <v>0</v>
      </c>
      <c r="DO191" s="408">
        <v>0</v>
      </c>
      <c r="DP191" s="408">
        <v>0</v>
      </c>
      <c r="DQ191" s="408">
        <v>0</v>
      </c>
      <c r="DR191" s="408">
        <v>0</v>
      </c>
      <c r="DS191" s="408"/>
      <c r="DT191" s="408"/>
      <c r="DU191" s="408">
        <v>224193.16853765803</v>
      </c>
      <c r="DV191" s="408"/>
      <c r="DW191" s="408">
        <v>0</v>
      </c>
      <c r="DX191" s="408">
        <v>0</v>
      </c>
      <c r="DY191" s="408">
        <v>-116793.94999999998</v>
      </c>
      <c r="DZ191" s="408"/>
      <c r="EA191" s="408">
        <v>0</v>
      </c>
      <c r="EB191" s="408"/>
      <c r="EC191" s="408">
        <v>-118698.39703361932</v>
      </c>
      <c r="ED191" s="408"/>
      <c r="EE191" s="408">
        <v>0</v>
      </c>
      <c r="EF191" s="408">
        <v>0</v>
      </c>
      <c r="EG191" s="408"/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/>
      <c r="EN191" s="408"/>
      <c r="EO191" s="408">
        <v>0</v>
      </c>
      <c r="EP191" s="408">
        <v>0</v>
      </c>
      <c r="EQ191" s="408"/>
      <c r="ER191" s="408">
        <v>0</v>
      </c>
      <c r="ES191" s="408"/>
      <c r="ET191" s="408">
        <v>0</v>
      </c>
      <c r="EU191" s="408"/>
      <c r="EV191" s="408">
        <v>239</v>
      </c>
      <c r="EW191" s="408"/>
      <c r="EX191" s="408"/>
      <c r="EY191" s="408"/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191</v>
      </c>
      <c r="B192" s="408" t="s">
        <v>1034</v>
      </c>
      <c r="C192" s="408" t="s">
        <v>2233</v>
      </c>
      <c r="D192" s="408" t="s">
        <v>1956</v>
      </c>
      <c r="E192" s="408" t="s">
        <v>996</v>
      </c>
      <c r="F192" s="408" t="s">
        <v>1320</v>
      </c>
      <c r="G192" s="408" t="s">
        <v>1320</v>
      </c>
      <c r="H192" s="408" t="s">
        <v>1320</v>
      </c>
      <c r="I192" s="408" t="s">
        <v>1320</v>
      </c>
      <c r="J192" s="408" t="s">
        <v>2234</v>
      </c>
      <c r="K192" s="827">
        <v>44470</v>
      </c>
      <c r="L192" s="408">
        <v>0</v>
      </c>
      <c r="M192" s="408">
        <v>0</v>
      </c>
      <c r="N192" s="408">
        <v>328.30500000000001</v>
      </c>
      <c r="O192" s="408">
        <v>328.30500000000001</v>
      </c>
      <c r="P192" s="408">
        <v>328.30500000000001</v>
      </c>
      <c r="Q192" s="408">
        <v>328.30500000000001</v>
      </c>
      <c r="R192" s="408"/>
      <c r="S192" s="408">
        <v>516.83000000000004</v>
      </c>
      <c r="T192" s="408">
        <v>173.82</v>
      </c>
      <c r="U192" s="408"/>
      <c r="V192" s="408">
        <v>226743.84825000004</v>
      </c>
      <c r="W192" s="408">
        <v>226743.84825000004</v>
      </c>
      <c r="X192" s="408">
        <v>171194.64225</v>
      </c>
      <c r="Y192" s="408">
        <v>0</v>
      </c>
      <c r="Z192" s="408">
        <v>20075.672072637972</v>
      </c>
      <c r="AA192" s="408">
        <v>0</v>
      </c>
      <c r="AB192" s="408">
        <v>0</v>
      </c>
      <c r="AC192" s="408">
        <v>892.47878151458963</v>
      </c>
      <c r="AD192" s="408">
        <v>11302.428695751878</v>
      </c>
      <c r="AE192" s="408">
        <v>119376.88363220311</v>
      </c>
      <c r="AF192" s="408">
        <v>52831.541708932127</v>
      </c>
      <c r="AG192" s="408">
        <v>2657.9130875424676</v>
      </c>
      <c r="AH192" s="408">
        <v>0</v>
      </c>
      <c r="AI192" s="408">
        <v>0</v>
      </c>
      <c r="AJ192" s="408">
        <v>0</v>
      </c>
      <c r="AK192" s="408">
        <v>0</v>
      </c>
      <c r="AL192" s="408">
        <v>3102.9736101796843</v>
      </c>
      <c r="AM192" s="408"/>
      <c r="AN192" s="408">
        <v>509.37898805302746</v>
      </c>
      <c r="AO192" s="408">
        <v>1903.6777832090606</v>
      </c>
      <c r="AP192" s="408">
        <v>6234.2873406624603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182.14775624129169</v>
      </c>
      <c r="BF192" s="408">
        <v>1577.7315096302091</v>
      </c>
      <c r="BG192" s="408">
        <v>6099.3564001936647</v>
      </c>
      <c r="BH192" s="408">
        <v>0</v>
      </c>
      <c r="BI192" s="408">
        <v>1815.31</v>
      </c>
      <c r="BJ192" s="408">
        <v>8510.85</v>
      </c>
      <c r="BK192" s="408">
        <v>97769.82</v>
      </c>
      <c r="BL192" s="408">
        <v>518</v>
      </c>
      <c r="BM192" s="408"/>
      <c r="BN192" s="408"/>
      <c r="BO192" s="408"/>
      <c r="BP192" s="408"/>
      <c r="BQ192" s="408"/>
      <c r="BR192" s="408"/>
      <c r="BS192" s="408"/>
      <c r="BT192" s="408"/>
      <c r="BU192" s="408"/>
      <c r="BV192" s="408">
        <v>60690.777374997298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171197.24949999998</v>
      </c>
      <c r="CJ192" s="408">
        <v>-55546.628750000091</v>
      </c>
      <c r="CK192" s="408"/>
      <c r="CL192" s="408"/>
      <c r="CM192" s="408"/>
      <c r="CN192" s="408"/>
      <c r="CO192" s="408">
        <v>-62505.988950000014</v>
      </c>
      <c r="CP192" s="408">
        <v>6956.7829499999998</v>
      </c>
      <c r="CQ192" s="408">
        <v>31</v>
      </c>
      <c r="CR192" s="408">
        <v>7651.4366096939193</v>
      </c>
      <c r="CS192" s="408">
        <v>184.83508585038908</v>
      </c>
      <c r="CT192" s="408">
        <v>605.30991430954691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-216.71511821176318</v>
      </c>
      <c r="DA192" s="408">
        <v>0</v>
      </c>
      <c r="DB192" s="408">
        <v>0</v>
      </c>
      <c r="DC192" s="408">
        <v>6781.5122753048345</v>
      </c>
      <c r="DD192" s="408">
        <v>202.51927643222962</v>
      </c>
      <c r="DE192" s="408">
        <v>23.380677620101636</v>
      </c>
      <c r="DF192" s="408">
        <v>0</v>
      </c>
      <c r="DG192" s="408">
        <v>782.91980437091206</v>
      </c>
      <c r="DH192" s="408">
        <v>0</v>
      </c>
      <c r="DI192" s="408">
        <v>-586.72166499122977</v>
      </c>
      <c r="DJ192" s="408"/>
      <c r="DK192" s="408">
        <v>0</v>
      </c>
      <c r="DL192" s="408">
        <v>0</v>
      </c>
      <c r="DM192" s="408">
        <v>-29.541728466319455</v>
      </c>
      <c r="DN192" s="408">
        <v>0</v>
      </c>
      <c r="DO192" s="408">
        <v>-80.365944720343123</v>
      </c>
      <c r="DP192" s="408">
        <v>-15.69596780442771</v>
      </c>
      <c r="DQ192" s="408">
        <v>0</v>
      </c>
      <c r="DR192" s="408">
        <v>0</v>
      </c>
      <c r="DS192" s="408"/>
      <c r="DT192" s="408"/>
      <c r="DU192" s="408"/>
      <c r="DV192" s="408">
        <v>119376.88363220311</v>
      </c>
      <c r="DW192" s="408">
        <v>0</v>
      </c>
      <c r="DX192" s="408">
        <v>0</v>
      </c>
      <c r="DY192" s="408">
        <v>-62505.988950000028</v>
      </c>
      <c r="DZ192" s="408">
        <v>6956.7829500000007</v>
      </c>
      <c r="EA192" s="408">
        <v>0</v>
      </c>
      <c r="EB192" s="408">
        <v>0</v>
      </c>
      <c r="EC192" s="408">
        <v>-63203.731061195431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239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192</v>
      </c>
      <c r="B193" s="408" t="s">
        <v>2235</v>
      </c>
      <c r="C193" s="408" t="s">
        <v>2233</v>
      </c>
      <c r="D193" s="408" t="s">
        <v>1956</v>
      </c>
      <c r="E193" s="408" t="s">
        <v>996</v>
      </c>
      <c r="F193" s="408" t="s">
        <v>1320</v>
      </c>
      <c r="G193" s="408" t="s">
        <v>1320</v>
      </c>
      <c r="H193" s="408" t="s">
        <v>1320</v>
      </c>
      <c r="I193" s="408" t="s">
        <v>1320</v>
      </c>
      <c r="J193" s="408" t="s">
        <v>2234</v>
      </c>
      <c r="K193" s="827">
        <v>44470</v>
      </c>
      <c r="L193" s="408">
        <v>0</v>
      </c>
      <c r="M193" s="408">
        <v>0</v>
      </c>
      <c r="N193" s="408">
        <v>-1.2999999999999999E-2</v>
      </c>
      <c r="O193" s="408">
        <v>-1.2999999999999999E-2</v>
      </c>
      <c r="P193" s="408">
        <v>-1.2999999999999999E-2</v>
      </c>
      <c r="Q193" s="408">
        <v>-1.2999999999999999E-2</v>
      </c>
      <c r="R193" s="408"/>
      <c r="S193" s="408">
        <v>516.83000000000004</v>
      </c>
      <c r="T193" s="408">
        <v>173.82</v>
      </c>
      <c r="U193" s="408"/>
      <c r="V193" s="408">
        <v>-8.9784500000000005</v>
      </c>
      <c r="W193" s="408">
        <v>-8.9784500000000005</v>
      </c>
      <c r="X193" s="408">
        <v>-6.7788499999999994</v>
      </c>
      <c r="Y193" s="408">
        <v>0</v>
      </c>
      <c r="Z193" s="408">
        <v>-0.79494292485430806</v>
      </c>
      <c r="AA193" s="408">
        <v>0</v>
      </c>
      <c r="AB193" s="408">
        <v>0</v>
      </c>
      <c r="AC193" s="408">
        <v>-3.5339772954081312E-2</v>
      </c>
      <c r="AD193" s="408">
        <v>-0.44754594978685797</v>
      </c>
      <c r="AE193" s="408">
        <v>-4.7270053371670864</v>
      </c>
      <c r="AF193" s="408">
        <v>-2.0919877620387068</v>
      </c>
      <c r="AG193" s="408">
        <v>-0.10524625009686747</v>
      </c>
      <c r="AH193" s="408">
        <v>0</v>
      </c>
      <c r="AI193" s="408">
        <v>0</v>
      </c>
      <c r="AJ193" s="408">
        <v>0</v>
      </c>
      <c r="AK193" s="408">
        <v>0</v>
      </c>
      <c r="AL193" s="408">
        <v>-0.12286945654905011</v>
      </c>
      <c r="AM193" s="408"/>
      <c r="AN193" s="408">
        <v>-2.0170045673045967E-2</v>
      </c>
      <c r="AO193" s="408">
        <v>-7.5380549128760715E-2</v>
      </c>
      <c r="AP193" s="408">
        <v>-0.24686110607091569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-7.2125640216773781E-3</v>
      </c>
      <c r="BF193" s="408">
        <v>-6.2473948386995978E-2</v>
      </c>
      <c r="BG193" s="408">
        <v>-0.2415182016798941</v>
      </c>
      <c r="BH193" s="408">
        <v>0</v>
      </c>
      <c r="BI193" s="408">
        <v>-0.03</v>
      </c>
      <c r="BJ193" s="408">
        <v>-0.16</v>
      </c>
      <c r="BK193" s="408">
        <v>-3.66</v>
      </c>
      <c r="BL193" s="408">
        <v>0</v>
      </c>
      <c r="BM193" s="408"/>
      <c r="BN193" s="408"/>
      <c r="BO193" s="408"/>
      <c r="BP193" s="408"/>
      <c r="BQ193" s="408"/>
      <c r="BR193" s="408"/>
      <c r="BS193" s="408"/>
      <c r="BT193" s="408"/>
      <c r="BU193" s="408"/>
      <c r="BV193" s="408">
        <v>-2.4031924761272743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-5.2145000000000001</v>
      </c>
      <c r="CJ193" s="408">
        <v>3.733950000000001</v>
      </c>
      <c r="CK193" s="408"/>
      <c r="CL193" s="408"/>
      <c r="CM193" s="408"/>
      <c r="CN193" s="408"/>
      <c r="CO193" s="408">
        <v>2.4750700000000005</v>
      </c>
      <c r="CP193" s="408">
        <v>-0.27546999999999994</v>
      </c>
      <c r="CQ193" s="408">
        <v>31</v>
      </c>
      <c r="CR193" s="408">
        <v>-0.30297642718210405</v>
      </c>
      <c r="CS193" s="408">
        <v>-7.3189750873579595E-3</v>
      </c>
      <c r="CT193" s="408">
        <v>-2.3968653800655243E-2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8.5813391107443793E-3</v>
      </c>
      <c r="DA193" s="408">
        <v>0</v>
      </c>
      <c r="DB193" s="408">
        <v>0</v>
      </c>
      <c r="DC193" s="408">
        <v>-0.26852975001587787</v>
      </c>
      <c r="DD193" s="408">
        <v>-8.0192217408171784E-3</v>
      </c>
      <c r="DE193" s="408">
        <v>-9.2581230581721685E-4</v>
      </c>
      <c r="DF193" s="408">
        <v>0</v>
      </c>
      <c r="DG193" s="408">
        <v>-3.1001530457415688E-2</v>
      </c>
      <c r="DH193" s="408">
        <v>0</v>
      </c>
      <c r="DI193" s="408">
        <v>2.323260883899414E-2</v>
      </c>
      <c r="DJ193" s="408"/>
      <c r="DK193" s="408">
        <v>0</v>
      </c>
      <c r="DL193" s="408">
        <v>0</v>
      </c>
      <c r="DM193" s="408">
        <v>1.1697734425675926E-3</v>
      </c>
      <c r="DN193" s="408">
        <v>0</v>
      </c>
      <c r="DO193" s="408">
        <v>3.1822764848676161E-3</v>
      </c>
      <c r="DP193" s="408">
        <v>6.2151834866224984E-4</v>
      </c>
      <c r="DQ193" s="408">
        <v>0</v>
      </c>
      <c r="DR193" s="408">
        <v>0</v>
      </c>
      <c r="DS193" s="408"/>
      <c r="DT193" s="408"/>
      <c r="DU193" s="408"/>
      <c r="DV193" s="408">
        <v>-4.7270053371670864</v>
      </c>
      <c r="DW193" s="408">
        <v>0</v>
      </c>
      <c r="DX193" s="408">
        <v>0</v>
      </c>
      <c r="DY193" s="408">
        <v>2.4750700000000005</v>
      </c>
      <c r="DZ193" s="408">
        <v>-0.27546999999999988</v>
      </c>
      <c r="EA193" s="408">
        <v>0</v>
      </c>
      <c r="EB193" s="408">
        <v>0</v>
      </c>
      <c r="EC193" s="408">
        <v>2.5026987216019876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239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193</v>
      </c>
      <c r="B194" s="408" t="s">
        <v>2236</v>
      </c>
      <c r="C194" s="408" t="s">
        <v>2233</v>
      </c>
      <c r="D194" s="408" t="s">
        <v>1956</v>
      </c>
      <c r="E194" s="408" t="s">
        <v>996</v>
      </c>
      <c r="F194" s="408" t="s">
        <v>1320</v>
      </c>
      <c r="G194" s="408" t="s">
        <v>1320</v>
      </c>
      <c r="H194" s="408" t="s">
        <v>1320</v>
      </c>
      <c r="I194" s="408" t="s">
        <v>1320</v>
      </c>
      <c r="J194" s="408" t="s">
        <v>2234</v>
      </c>
      <c r="K194" s="827">
        <v>44470</v>
      </c>
      <c r="L194" s="408">
        <v>0</v>
      </c>
      <c r="M194" s="408">
        <v>0</v>
      </c>
      <c r="N194" s="408">
        <v>23.675000000000001</v>
      </c>
      <c r="O194" s="408">
        <v>23.675000000000001</v>
      </c>
      <c r="P194" s="408">
        <v>23.675000000000001</v>
      </c>
      <c r="Q194" s="408">
        <v>23.675000000000001</v>
      </c>
      <c r="R194" s="408"/>
      <c r="S194" s="408">
        <v>516.83000000000004</v>
      </c>
      <c r="T194" s="408">
        <v>173.82</v>
      </c>
      <c r="U194" s="408"/>
      <c r="V194" s="408">
        <v>16351.138750000002</v>
      </c>
      <c r="W194" s="408">
        <v>16351.138750000002</v>
      </c>
      <c r="X194" s="408">
        <v>12345.328750000001</v>
      </c>
      <c r="Y194" s="408">
        <v>0</v>
      </c>
      <c r="Z194" s="408">
        <v>1447.713365071211</v>
      </c>
      <c r="AA194" s="408">
        <v>0</v>
      </c>
      <c r="AB194" s="408">
        <v>0</v>
      </c>
      <c r="AC194" s="408">
        <v>64.359163437528849</v>
      </c>
      <c r="AD194" s="408">
        <v>815.05002778491246</v>
      </c>
      <c r="AE194" s="408">
        <v>8608.6039505715999</v>
      </c>
      <c r="AF194" s="408">
        <v>3809.8315589435683</v>
      </c>
      <c r="AG194" s="408">
        <v>191.66961315717981</v>
      </c>
      <c r="AH194" s="408">
        <v>0</v>
      </c>
      <c r="AI194" s="408">
        <v>0</v>
      </c>
      <c r="AJ194" s="408">
        <v>0</v>
      </c>
      <c r="AK194" s="408">
        <v>0</v>
      </c>
      <c r="AL194" s="408">
        <v>223.76418336913551</v>
      </c>
      <c r="AM194" s="408"/>
      <c r="AN194" s="408">
        <v>36.732756254566411</v>
      </c>
      <c r="AO194" s="408">
        <v>137.27957697103153</v>
      </c>
      <c r="AP194" s="408">
        <v>449.57205278684074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13.135188708708611</v>
      </c>
      <c r="BF194" s="408">
        <v>113.77467138939461</v>
      </c>
      <c r="BG194" s="408">
        <v>439.84180190549949</v>
      </c>
      <c r="BH194" s="408">
        <v>0</v>
      </c>
      <c r="BI194" s="408">
        <v>131.78</v>
      </c>
      <c r="BJ194" s="408">
        <v>617.77</v>
      </c>
      <c r="BK194" s="408">
        <v>12920.82</v>
      </c>
      <c r="BL194" s="408">
        <v>41</v>
      </c>
      <c r="BM194" s="408"/>
      <c r="BN194" s="408"/>
      <c r="BO194" s="408"/>
      <c r="BP194" s="408"/>
      <c r="BQ194" s="408"/>
      <c r="BR194" s="408"/>
      <c r="BS194" s="408"/>
      <c r="BT194" s="408"/>
      <c r="BU194" s="408"/>
      <c r="BV194" s="408">
        <v>4376.583220947171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12347.936</v>
      </c>
      <c r="CJ194" s="408">
        <v>-4003.2327500000029</v>
      </c>
      <c r="CK194" s="408"/>
      <c r="CL194" s="408"/>
      <c r="CM194" s="408"/>
      <c r="CN194" s="408"/>
      <c r="CO194" s="408">
        <v>-4507.4832500000011</v>
      </c>
      <c r="CP194" s="408">
        <v>501.67324999999994</v>
      </c>
      <c r="CQ194" s="408">
        <v>31</v>
      </c>
      <c r="CR194" s="408">
        <v>551.76668565664295</v>
      </c>
      <c r="CS194" s="408">
        <v>13.328979630246153</v>
      </c>
      <c r="CT194" s="408">
        <v>43.650606056193226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-15.627938726682487</v>
      </c>
      <c r="DA194" s="408">
        <v>0</v>
      </c>
      <c r="DB194" s="408">
        <v>0</v>
      </c>
      <c r="DC194" s="408">
        <v>489.03398704814708</v>
      </c>
      <c r="DD194" s="408">
        <v>14.604236516449745</v>
      </c>
      <c r="DE194" s="408">
        <v>1.6860466415555848</v>
      </c>
      <c r="DF194" s="408">
        <v>0</v>
      </c>
      <c r="DG194" s="408">
        <v>56.458556429178202</v>
      </c>
      <c r="DH194" s="408">
        <v>0</v>
      </c>
      <c r="DI194" s="408">
        <v>-42.310154943321777</v>
      </c>
      <c r="DJ194" s="408"/>
      <c r="DK194" s="408">
        <v>0</v>
      </c>
      <c r="DL194" s="408">
        <v>0</v>
      </c>
      <c r="DM194" s="408">
        <v>-2.1303374040605831</v>
      </c>
      <c r="DN194" s="408">
        <v>0</v>
      </c>
      <c r="DO194" s="408">
        <v>-5.7954150599416039</v>
      </c>
      <c r="DP194" s="408">
        <v>-1.1318805311214462</v>
      </c>
      <c r="DQ194" s="408">
        <v>0</v>
      </c>
      <c r="DR194" s="408">
        <v>0</v>
      </c>
      <c r="DS194" s="408"/>
      <c r="DT194" s="408"/>
      <c r="DU194" s="408"/>
      <c r="DV194" s="408">
        <v>8608.6039505715999</v>
      </c>
      <c r="DW194" s="408">
        <v>0</v>
      </c>
      <c r="DX194" s="408">
        <v>0</v>
      </c>
      <c r="DY194" s="408">
        <v>-4507.4832500000011</v>
      </c>
      <c r="DZ194" s="408">
        <v>501.67324999999983</v>
      </c>
      <c r="EA194" s="408">
        <v>0</v>
      </c>
      <c r="EB194" s="408">
        <v>0</v>
      </c>
      <c r="EC194" s="408">
        <v>-4557.7994026097749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239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194</v>
      </c>
      <c r="B195" s="408" t="s">
        <v>1034</v>
      </c>
      <c r="C195" s="408" t="s">
        <v>2241</v>
      </c>
      <c r="D195" s="408" t="s">
        <v>596</v>
      </c>
      <c r="E195" s="408" t="s">
        <v>996</v>
      </c>
      <c r="F195" s="408" t="s">
        <v>1320</v>
      </c>
      <c r="G195" s="408" t="s">
        <v>1320</v>
      </c>
      <c r="H195" s="408" t="s">
        <v>1320</v>
      </c>
      <c r="I195" s="408" t="s">
        <v>971</v>
      </c>
      <c r="J195" s="408" t="s">
        <v>2234</v>
      </c>
      <c r="K195" s="827">
        <v>44470</v>
      </c>
      <c r="L195" s="408">
        <v>0</v>
      </c>
      <c r="M195" s="408">
        <v>0</v>
      </c>
      <c r="N195" s="408">
        <v>15.673999999999999</v>
      </c>
      <c r="O195" s="408">
        <v>15.673999999999999</v>
      </c>
      <c r="P195" s="408">
        <v>15.673999999999999</v>
      </c>
      <c r="Q195" s="408">
        <v>15.673999999999999</v>
      </c>
      <c r="R195" s="408"/>
      <c r="S195" s="408">
        <v>1684.16</v>
      </c>
      <c r="T195" s="408">
        <v>173.82</v>
      </c>
      <c r="U195" s="408"/>
      <c r="V195" s="408">
        <v>29121.978520000001</v>
      </c>
      <c r="W195" s="408">
        <v>29121.978520000001</v>
      </c>
      <c r="X195" s="408">
        <v>19991.56004</v>
      </c>
      <c r="Y195" s="408">
        <v>0</v>
      </c>
      <c r="Z195" s="408">
        <v>833.85721550960045</v>
      </c>
      <c r="AA195" s="408">
        <v>0</v>
      </c>
      <c r="AB195" s="408">
        <v>0</v>
      </c>
      <c r="AC195" s="408">
        <v>282.12259340149268</v>
      </c>
      <c r="AD195" s="408">
        <v>4303.8598539678051</v>
      </c>
      <c r="AE195" s="408">
        <v>18155.075947438818</v>
      </c>
      <c r="AF195" s="408">
        <v>2522.2935524765148</v>
      </c>
      <c r="AG195" s="408">
        <v>126.89459415525391</v>
      </c>
      <c r="AH195" s="408">
        <v>0</v>
      </c>
      <c r="AI195" s="408">
        <v>0</v>
      </c>
      <c r="AJ195" s="408">
        <v>0</v>
      </c>
      <c r="AK195" s="408">
        <v>0</v>
      </c>
      <c r="AL195" s="408">
        <v>148.14275861152396</v>
      </c>
      <c r="AM195" s="408"/>
      <c r="AN195" s="408">
        <v>19.478560453848882</v>
      </c>
      <c r="AO195" s="408">
        <v>605.89639524211213</v>
      </c>
      <c r="AP195" s="408">
        <v>1948.2573693914924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2.9246684734905268</v>
      </c>
      <c r="BF195" s="408">
        <v>75.324359001367313</v>
      </c>
      <c r="BG195" s="408">
        <v>97.93475220522744</v>
      </c>
      <c r="BH195" s="408">
        <v>0</v>
      </c>
      <c r="BI195" s="408">
        <v>0</v>
      </c>
      <c r="BJ195" s="408">
        <v>0</v>
      </c>
      <c r="BK195" s="408">
        <v>0</v>
      </c>
      <c r="BL195" s="408">
        <v>0</v>
      </c>
      <c r="BM195" s="408"/>
      <c r="BN195" s="408"/>
      <c r="BO195" s="408"/>
      <c r="BP195" s="408"/>
      <c r="BQ195" s="408"/>
      <c r="BR195" s="408"/>
      <c r="BS195" s="408"/>
      <c r="BT195" s="408"/>
      <c r="BU195" s="408"/>
      <c r="BV195" s="408">
        <v>2698.4773321565999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19986.458200000001</v>
      </c>
      <c r="CJ195" s="408">
        <v>-9135.5503199999948</v>
      </c>
      <c r="CK195" s="408"/>
      <c r="CL195" s="408"/>
      <c r="CM195" s="408"/>
      <c r="CN195" s="408"/>
      <c r="CO195" s="408">
        <v>-9462.5505400000002</v>
      </c>
      <c r="CP195" s="408">
        <v>332.13205999999997</v>
      </c>
      <c r="CQ195" s="408">
        <v>31</v>
      </c>
      <c r="CR195" s="408">
        <v>481.63113681964751</v>
      </c>
      <c r="CS195" s="408">
        <v>58.828712095504557</v>
      </c>
      <c r="CT195" s="408">
        <v>189.16348202744211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-82.523103850253392</v>
      </c>
      <c r="DA195" s="408">
        <v>0</v>
      </c>
      <c r="DB195" s="408">
        <v>0</v>
      </c>
      <c r="DC195" s="408">
        <v>323.7642539806825</v>
      </c>
      <c r="DD195" s="408">
        <v>9.6687139665821888</v>
      </c>
      <c r="DE195" s="408">
        <v>0.37541352216150159</v>
      </c>
      <c r="DF195" s="408">
        <v>0</v>
      </c>
      <c r="DG195" s="408">
        <v>12.571007825546303</v>
      </c>
      <c r="DH195" s="408">
        <v>0</v>
      </c>
      <c r="DI195" s="408">
        <v>-24.369898655376119</v>
      </c>
      <c r="DJ195" s="408"/>
      <c r="DK195" s="408">
        <v>0</v>
      </c>
      <c r="DL195" s="408">
        <v>0</v>
      </c>
      <c r="DM195" s="408">
        <v>-1.4103868414465097</v>
      </c>
      <c r="DN195" s="408">
        <v>0</v>
      </c>
      <c r="DO195" s="408">
        <v>-3.8368462787549902</v>
      </c>
      <c r="DP195" s="408">
        <v>-0.60021097244085908</v>
      </c>
      <c r="DQ195" s="408">
        <v>0</v>
      </c>
      <c r="DR195" s="408">
        <v>0</v>
      </c>
      <c r="DS195" s="408"/>
      <c r="DT195" s="408"/>
      <c r="DU195" s="408"/>
      <c r="DV195" s="408">
        <v>18155.075947438818</v>
      </c>
      <c r="DW195" s="408">
        <v>0</v>
      </c>
      <c r="DX195" s="408">
        <v>0</v>
      </c>
      <c r="DY195" s="408">
        <v>-9462.5505400000002</v>
      </c>
      <c r="DZ195" s="408">
        <v>332.13205999999991</v>
      </c>
      <c r="EA195" s="408">
        <v>0</v>
      </c>
      <c r="EB195" s="408">
        <v>0</v>
      </c>
      <c r="EC195" s="408">
        <v>-9612.150214214158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239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195</v>
      </c>
      <c r="B196" s="408" t="s">
        <v>2236</v>
      </c>
      <c r="C196" s="408" t="s">
        <v>2241</v>
      </c>
      <c r="D196" s="408" t="s">
        <v>596</v>
      </c>
      <c r="E196" s="408" t="s">
        <v>996</v>
      </c>
      <c r="F196" s="408" t="s">
        <v>1320</v>
      </c>
      <c r="G196" s="408" t="s">
        <v>1320</v>
      </c>
      <c r="H196" s="408" t="s">
        <v>1320</v>
      </c>
      <c r="I196" s="408" t="s">
        <v>971</v>
      </c>
      <c r="J196" s="408" t="s">
        <v>2234</v>
      </c>
      <c r="K196" s="827">
        <v>44470</v>
      </c>
      <c r="L196" s="408">
        <v>0</v>
      </c>
      <c r="M196" s="408">
        <v>0</v>
      </c>
      <c r="N196" s="408">
        <v>3.7130000000000001</v>
      </c>
      <c r="O196" s="408">
        <v>3.7130000000000001</v>
      </c>
      <c r="P196" s="408">
        <v>3.7130000000000001</v>
      </c>
      <c r="Q196" s="408">
        <v>3.7130000000000001</v>
      </c>
      <c r="R196" s="408"/>
      <c r="S196" s="408">
        <v>1684.16</v>
      </c>
      <c r="T196" s="408">
        <v>173.82</v>
      </c>
      <c r="U196" s="408"/>
      <c r="V196" s="408">
        <v>6898.6797400000005</v>
      </c>
      <c r="W196" s="408">
        <v>6898.6797400000005</v>
      </c>
      <c r="X196" s="408">
        <v>4735.78298</v>
      </c>
      <c r="Y196" s="408">
        <v>0</v>
      </c>
      <c r="Z196" s="408">
        <v>197.53169842970183</v>
      </c>
      <c r="AA196" s="408">
        <v>0</v>
      </c>
      <c r="AB196" s="408">
        <v>0</v>
      </c>
      <c r="AC196" s="408">
        <v>66.831771679197544</v>
      </c>
      <c r="AD196" s="408">
        <v>1019.5375550454551</v>
      </c>
      <c r="AE196" s="408">
        <v>4300.7398872553485</v>
      </c>
      <c r="AF196" s="408">
        <v>597.503889265363</v>
      </c>
      <c r="AG196" s="408">
        <v>30.059948200743765</v>
      </c>
      <c r="AH196" s="408">
        <v>0</v>
      </c>
      <c r="AI196" s="408">
        <v>0</v>
      </c>
      <c r="AJ196" s="408">
        <v>0</v>
      </c>
      <c r="AK196" s="408">
        <v>0</v>
      </c>
      <c r="AL196" s="408">
        <v>35.093407089740239</v>
      </c>
      <c r="AM196" s="408"/>
      <c r="AN196" s="408">
        <v>4.6142589616652359</v>
      </c>
      <c r="AO196" s="408">
        <v>143.53026129475325</v>
      </c>
      <c r="AP196" s="408">
        <v>461.52096545557043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0.69282212849753266</v>
      </c>
      <c r="BF196" s="408">
        <v>17.843520796993545</v>
      </c>
      <c r="BG196" s="408">
        <v>23.199676849432787</v>
      </c>
      <c r="BH196" s="408">
        <v>0</v>
      </c>
      <c r="BI196" s="408">
        <v>0</v>
      </c>
      <c r="BJ196" s="408">
        <v>0</v>
      </c>
      <c r="BK196" s="408">
        <v>0</v>
      </c>
      <c r="BL196" s="408">
        <v>0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>
        <v>639.23990904028676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4731.9566000000004</v>
      </c>
      <c r="CJ196" s="408">
        <v>-2166.7531400000007</v>
      </c>
      <c r="CK196" s="408"/>
      <c r="CL196" s="408"/>
      <c r="CM196" s="408"/>
      <c r="CN196" s="408"/>
      <c r="CO196" s="408">
        <v>-2241.5752300000004</v>
      </c>
      <c r="CP196" s="408">
        <v>78.67846999999999</v>
      </c>
      <c r="CQ196" s="408">
        <v>31</v>
      </c>
      <c r="CR196" s="408">
        <v>114.09317411071515</v>
      </c>
      <c r="CS196" s="408">
        <v>13.93588158801893</v>
      </c>
      <c r="CT196" s="408">
        <v>44.810769986467562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-19.548825098634211</v>
      </c>
      <c r="DA196" s="408">
        <v>0</v>
      </c>
      <c r="DB196" s="408">
        <v>0</v>
      </c>
      <c r="DC196" s="408">
        <v>76.696227831458145</v>
      </c>
      <c r="DD196" s="408">
        <v>2.2904131018195528</v>
      </c>
      <c r="DE196" s="408">
        <v>8.8931377299071968E-2</v>
      </c>
      <c r="DF196" s="408">
        <v>0</v>
      </c>
      <c r="DG196" s="408">
        <v>2.9779349276670573</v>
      </c>
      <c r="DH196" s="408">
        <v>0</v>
      </c>
      <c r="DI196" s="408">
        <v>-5.7729637429763727</v>
      </c>
      <c r="DJ196" s="408"/>
      <c r="DK196" s="408">
        <v>0</v>
      </c>
      <c r="DL196" s="408">
        <v>0</v>
      </c>
      <c r="DM196" s="408">
        <v>-0.33410529171180414</v>
      </c>
      <c r="DN196" s="408">
        <v>0</v>
      </c>
      <c r="DO196" s="408">
        <v>-0.90890712217795766</v>
      </c>
      <c r="DP196" s="408">
        <v>-0.14218344651479597</v>
      </c>
      <c r="DQ196" s="408">
        <v>0</v>
      </c>
      <c r="DR196" s="408">
        <v>0</v>
      </c>
      <c r="DS196" s="408"/>
      <c r="DT196" s="408"/>
      <c r="DU196" s="408"/>
      <c r="DV196" s="408">
        <v>4300.7398872553485</v>
      </c>
      <c r="DW196" s="408">
        <v>0</v>
      </c>
      <c r="DX196" s="408">
        <v>0</v>
      </c>
      <c r="DY196" s="408">
        <v>-2241.5752300000004</v>
      </c>
      <c r="DZ196" s="408">
        <v>78.678470000000061</v>
      </c>
      <c r="EA196" s="408">
        <v>0</v>
      </c>
      <c r="EB196" s="408">
        <v>0</v>
      </c>
      <c r="EC196" s="408">
        <v>-2277.0137645385462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239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196</v>
      </c>
      <c r="B197" s="408" t="s">
        <v>1034</v>
      </c>
      <c r="C197" s="408" t="s">
        <v>2241</v>
      </c>
      <c r="D197" s="408" t="s">
        <v>596</v>
      </c>
      <c r="E197" s="408" t="s">
        <v>996</v>
      </c>
      <c r="F197" s="408" t="s">
        <v>1320</v>
      </c>
      <c r="G197" s="408" t="s">
        <v>1320</v>
      </c>
      <c r="H197" s="408" t="s">
        <v>1320</v>
      </c>
      <c r="I197" s="408" t="s">
        <v>2242</v>
      </c>
      <c r="J197" s="408" t="s">
        <v>2234</v>
      </c>
      <c r="K197" s="827">
        <v>44470</v>
      </c>
      <c r="L197" s="408">
        <v>0</v>
      </c>
      <c r="M197" s="408">
        <v>0</v>
      </c>
      <c r="N197" s="408">
        <v>291.52699999999999</v>
      </c>
      <c r="O197" s="408">
        <v>291.52699999999999</v>
      </c>
      <c r="P197" s="408">
        <v>291.52699999999999</v>
      </c>
      <c r="Q197" s="408">
        <v>291.52699999999999</v>
      </c>
      <c r="R197" s="408"/>
      <c r="S197" s="408">
        <v>70.33</v>
      </c>
      <c r="T197" s="408">
        <v>173.82</v>
      </c>
      <c r="U197" s="408"/>
      <c r="V197" s="408">
        <v>71176.317049999998</v>
      </c>
      <c r="W197" s="408">
        <v>71176.317049999998</v>
      </c>
      <c r="X197" s="408">
        <v>77059.331909999994</v>
      </c>
      <c r="Y197" s="408">
        <v>0</v>
      </c>
      <c r="Z197" s="408">
        <v>15509.24412822938</v>
      </c>
      <c r="AA197" s="408">
        <v>0</v>
      </c>
      <c r="AB197" s="408">
        <v>0</v>
      </c>
      <c r="AC197" s="408">
        <v>0</v>
      </c>
      <c r="AD197" s="408">
        <v>0</v>
      </c>
      <c r="AE197" s="408">
        <v>0</v>
      </c>
      <c r="AF197" s="408">
        <v>46913.147407989083</v>
      </c>
      <c r="AG197" s="408">
        <v>2360.1633501530373</v>
      </c>
      <c r="AH197" s="408">
        <v>0</v>
      </c>
      <c r="AI197" s="408">
        <v>0</v>
      </c>
      <c r="AJ197" s="408">
        <v>0</v>
      </c>
      <c r="AK197" s="408">
        <v>0</v>
      </c>
      <c r="AL197" s="408">
        <v>2755.3664661057637</v>
      </c>
      <c r="AM197" s="408"/>
      <c r="AN197" s="408">
        <v>362.28954277333185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54.397079626851657</v>
      </c>
      <c r="BF197" s="408">
        <v>1400.9879039550599</v>
      </c>
      <c r="BG197" s="408">
        <v>1821.527657658118</v>
      </c>
      <c r="BH197" s="408">
        <v>0</v>
      </c>
      <c r="BI197" s="408">
        <v>0</v>
      </c>
      <c r="BJ197" s="408">
        <v>0</v>
      </c>
      <c r="BK197" s="408">
        <v>0</v>
      </c>
      <c r="BL197" s="408">
        <v>0</v>
      </c>
      <c r="BM197" s="408"/>
      <c r="BN197" s="408"/>
      <c r="BO197" s="408"/>
      <c r="BP197" s="408"/>
      <c r="BQ197" s="408"/>
      <c r="BR197" s="408"/>
      <c r="BS197" s="408"/>
      <c r="BT197" s="408"/>
      <c r="BU197" s="408"/>
      <c r="BV197" s="408">
        <v>50190.060049229112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77060.124899999995</v>
      </c>
      <c r="CJ197" s="408">
        <v>5883.7778500000131</v>
      </c>
      <c r="CK197" s="408"/>
      <c r="CL197" s="408"/>
      <c r="CM197" s="408"/>
      <c r="CN197" s="408"/>
      <c r="CO197" s="408">
        <v>-294.44227000000149</v>
      </c>
      <c r="CP197" s="408">
        <v>6177.4571299999989</v>
      </c>
      <c r="CQ197" s="408">
        <v>31</v>
      </c>
      <c r="CR197" s="408">
        <v>5880.4244572983152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0</v>
      </c>
      <c r="DA197" s="408">
        <v>0</v>
      </c>
      <c r="DB197" s="408">
        <v>0</v>
      </c>
      <c r="DC197" s="408">
        <v>6021.8209563752971</v>
      </c>
      <c r="DD197" s="408">
        <v>179.83228126424683</v>
      </c>
      <c r="DE197" s="408">
        <v>6.9824663694765832</v>
      </c>
      <c r="DF197" s="408">
        <v>0</v>
      </c>
      <c r="DG197" s="408">
        <v>233.81320647939515</v>
      </c>
      <c r="DH197" s="408">
        <v>0</v>
      </c>
      <c r="DI197" s="408">
        <v>-453.26549989191335</v>
      </c>
      <c r="DJ197" s="408"/>
      <c r="DK197" s="408">
        <v>0</v>
      </c>
      <c r="DL197" s="408">
        <v>0</v>
      </c>
      <c r="DM197" s="408">
        <v>-26.232349414723558</v>
      </c>
      <c r="DN197" s="408">
        <v>0</v>
      </c>
      <c r="DO197" s="408">
        <v>-71.36303975415376</v>
      </c>
      <c r="DP197" s="408">
        <v>-11.163564129307588</v>
      </c>
      <c r="DQ197" s="408">
        <v>0</v>
      </c>
      <c r="DR197" s="408">
        <v>0</v>
      </c>
      <c r="DS197" s="408"/>
      <c r="DT197" s="408"/>
      <c r="DU197" s="408"/>
      <c r="DV197" s="408">
        <v>0</v>
      </c>
      <c r="DW197" s="408">
        <v>0</v>
      </c>
      <c r="DX197" s="408">
        <v>0</v>
      </c>
      <c r="DY197" s="408">
        <v>-294.44227000000319</v>
      </c>
      <c r="DZ197" s="408">
        <v>6177.4571300000025</v>
      </c>
      <c r="EA197" s="408">
        <v>0</v>
      </c>
      <c r="EB197" s="408">
        <v>0</v>
      </c>
      <c r="EC197" s="408">
        <v>0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239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197</v>
      </c>
      <c r="B198" s="408" t="s">
        <v>2236</v>
      </c>
      <c r="C198" s="408" t="s">
        <v>2241</v>
      </c>
      <c r="D198" s="408" t="s">
        <v>596</v>
      </c>
      <c r="E198" s="408" t="s">
        <v>996</v>
      </c>
      <c r="F198" s="408" t="s">
        <v>1320</v>
      </c>
      <c r="G198" s="408" t="s">
        <v>1320</v>
      </c>
      <c r="H198" s="408" t="s">
        <v>1320</v>
      </c>
      <c r="I198" s="408" t="s">
        <v>2242</v>
      </c>
      <c r="J198" s="408" t="s">
        <v>2234</v>
      </c>
      <c r="K198" s="827">
        <v>44470</v>
      </c>
      <c r="L198" s="408">
        <v>0</v>
      </c>
      <c r="M198" s="408">
        <v>0</v>
      </c>
      <c r="N198" s="408">
        <v>27.928000000000001</v>
      </c>
      <c r="O198" s="408">
        <v>27.928000000000001</v>
      </c>
      <c r="P198" s="408">
        <v>27.928000000000001</v>
      </c>
      <c r="Q198" s="408">
        <v>27.928000000000001</v>
      </c>
      <c r="R198" s="408"/>
      <c r="S198" s="408">
        <v>70.33</v>
      </c>
      <c r="T198" s="408">
        <v>173.82</v>
      </c>
      <c r="U198" s="408"/>
      <c r="V198" s="408">
        <v>6818.6211999999996</v>
      </c>
      <c r="W198" s="408">
        <v>6818.6211999999996</v>
      </c>
      <c r="X198" s="408">
        <v>7382.2082399999999</v>
      </c>
      <c r="Y198" s="408">
        <v>0</v>
      </c>
      <c r="Z198" s="408">
        <v>1485.7703403567771</v>
      </c>
      <c r="AA198" s="408">
        <v>0</v>
      </c>
      <c r="AB198" s="408">
        <v>0</v>
      </c>
      <c r="AC198" s="408">
        <v>0</v>
      </c>
      <c r="AD198" s="408">
        <v>0</v>
      </c>
      <c r="AE198" s="408">
        <v>0</v>
      </c>
      <c r="AF198" s="408">
        <v>4494.2334014013086</v>
      </c>
      <c r="AG198" s="408">
        <v>226.10132866963963</v>
      </c>
      <c r="AH198" s="408">
        <v>0</v>
      </c>
      <c r="AI198" s="408">
        <v>0</v>
      </c>
      <c r="AJ198" s="408">
        <v>0</v>
      </c>
      <c r="AK198" s="408">
        <v>0</v>
      </c>
      <c r="AL198" s="408">
        <v>263.96139865399016</v>
      </c>
      <c r="AM198" s="408"/>
      <c r="AN198" s="408">
        <v>34.706982031076407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5.211186750519551</v>
      </c>
      <c r="BF198" s="408">
        <v>134.21326388861723</v>
      </c>
      <c r="BG198" s="408">
        <v>174.50055886101777</v>
      </c>
      <c r="BH198" s="408">
        <v>0</v>
      </c>
      <c r="BI198" s="408">
        <v>0</v>
      </c>
      <c r="BJ198" s="408">
        <v>0</v>
      </c>
      <c r="BK198" s="408">
        <v>0</v>
      </c>
      <c r="BL198" s="408">
        <v>0</v>
      </c>
      <c r="BM198" s="408"/>
      <c r="BN198" s="408"/>
      <c r="BO198" s="408"/>
      <c r="BP198" s="408"/>
      <c r="BQ198" s="408"/>
      <c r="BR198" s="408"/>
      <c r="BS198" s="408"/>
      <c r="BT198" s="408"/>
      <c r="BU198" s="408"/>
      <c r="BV198" s="408">
        <v>4808.158410901462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7382.7368999999999</v>
      </c>
      <c r="CJ198" s="408">
        <v>564.08569999999963</v>
      </c>
      <c r="CK198" s="408"/>
      <c r="CL198" s="408"/>
      <c r="CM198" s="408"/>
      <c r="CN198" s="408"/>
      <c r="CO198" s="408">
        <v>-28.207280000000143</v>
      </c>
      <c r="CP198" s="408">
        <v>591.79431999999997</v>
      </c>
      <c r="CQ198" s="408">
        <v>31</v>
      </c>
      <c r="CR198" s="408">
        <v>563.33888196780299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0</v>
      </c>
      <c r="DA198" s="408">
        <v>0</v>
      </c>
      <c r="DB198" s="408">
        <v>0</v>
      </c>
      <c r="DC198" s="408">
        <v>576.88452757257255</v>
      </c>
      <c r="DD198" s="408">
        <v>17.227755752118611</v>
      </c>
      <c r="DE198" s="408">
        <v>0.66891341373780833</v>
      </c>
      <c r="DF198" s="408">
        <v>0</v>
      </c>
      <c r="DG198" s="408">
        <v>22.399075319118083</v>
      </c>
      <c r="DH198" s="408">
        <v>0</v>
      </c>
      <c r="DI198" s="408">
        <v>-43.422389284633482</v>
      </c>
      <c r="DJ198" s="408"/>
      <c r="DK198" s="408">
        <v>0</v>
      </c>
      <c r="DL198" s="408">
        <v>0</v>
      </c>
      <c r="DM198" s="408">
        <v>-2.5130332849252284</v>
      </c>
      <c r="DN198" s="408">
        <v>0</v>
      </c>
      <c r="DO198" s="408">
        <v>-6.8365090514910207</v>
      </c>
      <c r="DP198" s="408">
        <v>-1.0694584686951814</v>
      </c>
      <c r="DQ198" s="408">
        <v>0</v>
      </c>
      <c r="DR198" s="408">
        <v>0</v>
      </c>
      <c r="DS198" s="408"/>
      <c r="DT198" s="408"/>
      <c r="DU198" s="408"/>
      <c r="DV198" s="408">
        <v>0</v>
      </c>
      <c r="DW198" s="408">
        <v>0</v>
      </c>
      <c r="DX198" s="408">
        <v>0</v>
      </c>
      <c r="DY198" s="408">
        <v>-28.207280000000083</v>
      </c>
      <c r="DZ198" s="408">
        <v>591.79431999999997</v>
      </c>
      <c r="EA198" s="408">
        <v>0</v>
      </c>
      <c r="EB198" s="408">
        <v>0</v>
      </c>
      <c r="EC198" s="408">
        <v>0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239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198</v>
      </c>
      <c r="B199" s="408" t="s">
        <v>1034</v>
      </c>
      <c r="C199" s="408" t="s">
        <v>2241</v>
      </c>
      <c r="D199" s="408" t="s">
        <v>596</v>
      </c>
      <c r="E199" s="408" t="s">
        <v>996</v>
      </c>
      <c r="F199" s="408" t="s">
        <v>1320</v>
      </c>
      <c r="G199" s="408" t="s">
        <v>1320</v>
      </c>
      <c r="H199" s="408" t="s">
        <v>1320</v>
      </c>
      <c r="I199" s="408" t="s">
        <v>1320</v>
      </c>
      <c r="J199" s="408" t="s">
        <v>2234</v>
      </c>
      <c r="K199" s="827">
        <v>44470</v>
      </c>
      <c r="L199" s="408">
        <v>2975</v>
      </c>
      <c r="M199" s="408">
        <v>2975</v>
      </c>
      <c r="N199" s="408">
        <v>0</v>
      </c>
      <c r="O199" s="408">
        <v>0</v>
      </c>
      <c r="P199" s="408">
        <v>0</v>
      </c>
      <c r="Q199" s="408">
        <v>0</v>
      </c>
      <c r="R199" s="408">
        <v>59.12</v>
      </c>
      <c r="S199" s="408"/>
      <c r="T199" s="408"/>
      <c r="U199" s="408">
        <v>175882</v>
      </c>
      <c r="V199" s="408"/>
      <c r="W199" s="408">
        <v>175882</v>
      </c>
      <c r="X199" s="408">
        <v>101239.25</v>
      </c>
      <c r="Y199" s="408">
        <v>0</v>
      </c>
      <c r="Z199" s="408">
        <v>0</v>
      </c>
      <c r="AA199" s="408">
        <v>0</v>
      </c>
      <c r="AB199" s="408">
        <v>0</v>
      </c>
      <c r="AC199" s="408">
        <v>1701.8795809177041</v>
      </c>
      <c r="AD199" s="408">
        <v>15223.142385878406</v>
      </c>
      <c r="AE199" s="408">
        <v>143281.34831354083</v>
      </c>
      <c r="AF199" s="408"/>
      <c r="AG199" s="408"/>
      <c r="AH199" s="408"/>
      <c r="AI199" s="408">
        <v>0</v>
      </c>
      <c r="AJ199" s="408">
        <v>0</v>
      </c>
      <c r="AK199" s="408">
        <v>0</v>
      </c>
      <c r="AL199" s="408">
        <v>0</v>
      </c>
      <c r="AM199" s="408"/>
      <c r="AN199" s="408">
        <v>0</v>
      </c>
      <c r="AO199" s="408">
        <v>3594.0145441779287</v>
      </c>
      <c r="AP199" s="408">
        <v>12081.438895459321</v>
      </c>
      <c r="AQ199" s="408">
        <v>0</v>
      </c>
      <c r="AR199" s="408">
        <v>0</v>
      </c>
      <c r="AS199" s="408"/>
      <c r="AT199" s="408"/>
      <c r="AU199" s="408">
        <v>0</v>
      </c>
      <c r="AV199" s="408">
        <v>0</v>
      </c>
      <c r="AW199" s="408">
        <v>0</v>
      </c>
      <c r="AX199" s="408"/>
      <c r="AY199" s="408"/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/>
      <c r="BG199" s="408">
        <v>0</v>
      </c>
      <c r="BH199" s="408">
        <v>0</v>
      </c>
      <c r="BI199" s="408">
        <v>2027.92</v>
      </c>
      <c r="BJ199" s="408">
        <v>9493.9500000000007</v>
      </c>
      <c r="BK199" s="408">
        <v>99428.160000000003</v>
      </c>
      <c r="BL199" s="408">
        <v>16</v>
      </c>
      <c r="BM199" s="408"/>
      <c r="BN199" s="408"/>
      <c r="BO199" s="408"/>
      <c r="BP199" s="408"/>
      <c r="BQ199" s="408"/>
      <c r="BR199" s="408"/>
      <c r="BS199" s="408"/>
      <c r="BT199" s="408"/>
      <c r="BU199" s="408"/>
      <c r="BV199" s="408">
        <v>0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101239.25</v>
      </c>
      <c r="CJ199" s="408">
        <v>-74642.780000000028</v>
      </c>
      <c r="CK199" s="408"/>
      <c r="CL199" s="408"/>
      <c r="CM199" s="408"/>
      <c r="CN199" s="408"/>
      <c r="CO199" s="408">
        <v>-74642.749999999985</v>
      </c>
      <c r="CP199" s="408">
        <v>0</v>
      </c>
      <c r="CQ199" s="408">
        <v>31</v>
      </c>
      <c r="CR199" s="408">
        <v>1230.09579805666</v>
      </c>
      <c r="CS199" s="408">
        <v>348.95610626964299</v>
      </c>
      <c r="CT199" s="408">
        <v>1173.0313896262851</v>
      </c>
      <c r="CU199" s="408">
        <v>0</v>
      </c>
      <c r="CV199" s="408">
        <v>0</v>
      </c>
      <c r="CW199" s="408"/>
      <c r="CX199" s="408"/>
      <c r="CY199" s="408"/>
      <c r="CZ199" s="408">
        <v>-291.89169783926809</v>
      </c>
      <c r="DA199" s="408">
        <v>0</v>
      </c>
      <c r="DB199" s="408">
        <v>0</v>
      </c>
      <c r="DC199" s="408"/>
      <c r="DD199" s="408"/>
      <c r="DE199" s="408">
        <v>0</v>
      </c>
      <c r="DF199" s="408">
        <v>0</v>
      </c>
      <c r="DG199" s="408">
        <v>0</v>
      </c>
      <c r="DH199" s="408">
        <v>0</v>
      </c>
      <c r="DI199" s="408">
        <v>0</v>
      </c>
      <c r="DJ199" s="408"/>
      <c r="DK199" s="408">
        <v>0</v>
      </c>
      <c r="DL199" s="408">
        <v>0</v>
      </c>
      <c r="DM199" s="408"/>
      <c r="DN199" s="408">
        <v>0</v>
      </c>
      <c r="DO199" s="408">
        <v>0</v>
      </c>
      <c r="DP199" s="408">
        <v>0</v>
      </c>
      <c r="DQ199" s="408">
        <v>0</v>
      </c>
      <c r="DR199" s="408">
        <v>0</v>
      </c>
      <c r="DS199" s="408"/>
      <c r="DT199" s="408"/>
      <c r="DU199" s="408">
        <v>143281.34831354083</v>
      </c>
      <c r="DV199" s="408"/>
      <c r="DW199" s="408">
        <v>0</v>
      </c>
      <c r="DX199" s="408">
        <v>0</v>
      </c>
      <c r="DY199" s="408">
        <v>-74642.75</v>
      </c>
      <c r="DZ199" s="408"/>
      <c r="EA199" s="408">
        <v>0</v>
      </c>
      <c r="EB199" s="408"/>
      <c r="EC199" s="408">
        <v>-75859.877803440904</v>
      </c>
      <c r="ED199" s="408"/>
      <c r="EE199" s="408">
        <v>0</v>
      </c>
      <c r="EF199" s="408">
        <v>0</v>
      </c>
      <c r="EG199" s="408"/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/>
      <c r="EN199" s="408"/>
      <c r="EO199" s="408">
        <v>0</v>
      </c>
      <c r="EP199" s="408">
        <v>0</v>
      </c>
      <c r="EQ199" s="408"/>
      <c r="ER199" s="408">
        <v>0</v>
      </c>
      <c r="ES199" s="408"/>
      <c r="ET199" s="408">
        <v>0</v>
      </c>
      <c r="EU199" s="408"/>
      <c r="EV199" s="408">
        <v>239</v>
      </c>
      <c r="EW199" s="408"/>
      <c r="EX199" s="408"/>
      <c r="EY199" s="408"/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199</v>
      </c>
      <c r="B200" s="408" t="s">
        <v>2236</v>
      </c>
      <c r="C200" s="408" t="s">
        <v>2241</v>
      </c>
      <c r="D200" s="408" t="s">
        <v>596</v>
      </c>
      <c r="E200" s="408" t="s">
        <v>996</v>
      </c>
      <c r="F200" s="408" t="s">
        <v>1320</v>
      </c>
      <c r="G200" s="408" t="s">
        <v>1320</v>
      </c>
      <c r="H200" s="408" t="s">
        <v>1320</v>
      </c>
      <c r="I200" s="408" t="s">
        <v>1320</v>
      </c>
      <c r="J200" s="408" t="s">
        <v>2234</v>
      </c>
      <c r="K200" s="827">
        <v>44470</v>
      </c>
      <c r="L200" s="408">
        <v>100</v>
      </c>
      <c r="M200" s="408">
        <v>100</v>
      </c>
      <c r="N200" s="408">
        <v>0</v>
      </c>
      <c r="O200" s="408">
        <v>0</v>
      </c>
      <c r="P200" s="408">
        <v>0</v>
      </c>
      <c r="Q200" s="408">
        <v>0</v>
      </c>
      <c r="R200" s="408">
        <v>59.12</v>
      </c>
      <c r="S200" s="408"/>
      <c r="T200" s="408"/>
      <c r="U200" s="408">
        <v>5912</v>
      </c>
      <c r="V200" s="408"/>
      <c r="W200" s="408">
        <v>5912</v>
      </c>
      <c r="X200" s="408">
        <v>3403</v>
      </c>
      <c r="Y200" s="408">
        <v>0</v>
      </c>
      <c r="Z200" s="408">
        <v>0</v>
      </c>
      <c r="AA200" s="408">
        <v>0</v>
      </c>
      <c r="AB200" s="408">
        <v>0</v>
      </c>
      <c r="AC200" s="408">
        <v>57.206036333368203</v>
      </c>
      <c r="AD200" s="408">
        <v>511.70226507154302</v>
      </c>
      <c r="AE200" s="408">
        <v>4816.1797752450702</v>
      </c>
      <c r="AF200" s="408"/>
      <c r="AG200" s="408"/>
      <c r="AH200" s="408"/>
      <c r="AI200" s="408">
        <v>0</v>
      </c>
      <c r="AJ200" s="408">
        <v>0</v>
      </c>
      <c r="AK200" s="408">
        <v>0</v>
      </c>
      <c r="AL200" s="408">
        <v>0</v>
      </c>
      <c r="AM200" s="408"/>
      <c r="AN200" s="408">
        <v>0</v>
      </c>
      <c r="AO200" s="408">
        <v>120.807211569006</v>
      </c>
      <c r="AP200" s="408">
        <v>406.098786401994</v>
      </c>
      <c r="AQ200" s="408">
        <v>0</v>
      </c>
      <c r="AR200" s="408">
        <v>0</v>
      </c>
      <c r="AS200" s="408"/>
      <c r="AT200" s="408"/>
      <c r="AU200" s="408">
        <v>0</v>
      </c>
      <c r="AV200" s="408">
        <v>0</v>
      </c>
      <c r="AW200" s="408">
        <v>0</v>
      </c>
      <c r="AX200" s="408"/>
      <c r="AY200" s="408"/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/>
      <c r="BG200" s="408">
        <v>0</v>
      </c>
      <c r="BH200" s="408">
        <v>0</v>
      </c>
      <c r="BI200" s="408">
        <v>174.74</v>
      </c>
      <c r="BJ200" s="408">
        <v>818.07</v>
      </c>
      <c r="BK200" s="408">
        <v>9188.52</v>
      </c>
      <c r="BL200" s="408">
        <v>1</v>
      </c>
      <c r="BM200" s="408"/>
      <c r="BN200" s="408"/>
      <c r="BO200" s="408"/>
      <c r="BP200" s="408"/>
      <c r="BQ200" s="408"/>
      <c r="BR200" s="408"/>
      <c r="BS200" s="408"/>
      <c r="BT200" s="408"/>
      <c r="BU200" s="408"/>
      <c r="BV200" s="408">
        <v>0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3403</v>
      </c>
      <c r="CJ200" s="408">
        <v>-2509.0300000000007</v>
      </c>
      <c r="CK200" s="408"/>
      <c r="CL200" s="408"/>
      <c r="CM200" s="408"/>
      <c r="CN200" s="408"/>
      <c r="CO200" s="408">
        <v>-2508.9999999999995</v>
      </c>
      <c r="CP200" s="408">
        <v>0</v>
      </c>
      <c r="CQ200" s="408">
        <v>31</v>
      </c>
      <c r="CR200" s="408">
        <v>41.347757917871149</v>
      </c>
      <c r="CS200" s="408">
        <v>11.729617017467007</v>
      </c>
      <c r="CT200" s="408">
        <v>39.429626542059964</v>
      </c>
      <c r="CU200" s="408">
        <v>0</v>
      </c>
      <c r="CV200" s="408">
        <v>0</v>
      </c>
      <c r="CW200" s="408"/>
      <c r="CX200" s="408"/>
      <c r="CY200" s="408"/>
      <c r="CZ200" s="408">
        <v>-9.8114856416560201</v>
      </c>
      <c r="DA200" s="408">
        <v>0</v>
      </c>
      <c r="DB200" s="408">
        <v>0</v>
      </c>
      <c r="DC200" s="408"/>
      <c r="DD200" s="408"/>
      <c r="DE200" s="408">
        <v>0</v>
      </c>
      <c r="DF200" s="408">
        <v>0</v>
      </c>
      <c r="DG200" s="408">
        <v>0</v>
      </c>
      <c r="DH200" s="408">
        <v>0</v>
      </c>
      <c r="DI200" s="408">
        <v>0</v>
      </c>
      <c r="DJ200" s="408"/>
      <c r="DK200" s="408">
        <v>0</v>
      </c>
      <c r="DL200" s="408">
        <v>0</v>
      </c>
      <c r="DM200" s="408"/>
      <c r="DN200" s="408">
        <v>0</v>
      </c>
      <c r="DO200" s="408">
        <v>0</v>
      </c>
      <c r="DP200" s="408">
        <v>0</v>
      </c>
      <c r="DQ200" s="408">
        <v>0</v>
      </c>
      <c r="DR200" s="408">
        <v>0</v>
      </c>
      <c r="DS200" s="408"/>
      <c r="DT200" s="408"/>
      <c r="DU200" s="408">
        <v>4816.1797752450702</v>
      </c>
      <c r="DV200" s="408"/>
      <c r="DW200" s="408">
        <v>0</v>
      </c>
      <c r="DX200" s="408">
        <v>0</v>
      </c>
      <c r="DY200" s="408">
        <v>-2509</v>
      </c>
      <c r="DZ200" s="408"/>
      <c r="EA200" s="408">
        <v>0</v>
      </c>
      <c r="EB200" s="408"/>
      <c r="EC200" s="408">
        <v>-2549.9118589391901</v>
      </c>
      <c r="ED200" s="408"/>
      <c r="EE200" s="408">
        <v>0</v>
      </c>
      <c r="EF200" s="408">
        <v>0</v>
      </c>
      <c r="EG200" s="408"/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/>
      <c r="EN200" s="408"/>
      <c r="EO200" s="408">
        <v>0</v>
      </c>
      <c r="EP200" s="408">
        <v>0</v>
      </c>
      <c r="EQ200" s="408"/>
      <c r="ER200" s="408">
        <v>0</v>
      </c>
      <c r="ES200" s="408"/>
      <c r="ET200" s="408">
        <v>0</v>
      </c>
      <c r="EU200" s="408"/>
      <c r="EV200" s="408">
        <v>239</v>
      </c>
      <c r="EW200" s="408"/>
      <c r="EX200" s="408"/>
      <c r="EY200" s="408"/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200</v>
      </c>
      <c r="B201" s="408" t="s">
        <v>1034</v>
      </c>
      <c r="C201" s="408" t="s">
        <v>2233</v>
      </c>
      <c r="D201" s="408" t="s">
        <v>2243</v>
      </c>
      <c r="E201" s="408" t="s">
        <v>972</v>
      </c>
      <c r="F201" s="408" t="s">
        <v>1320</v>
      </c>
      <c r="G201" s="408" t="s">
        <v>1320</v>
      </c>
      <c r="H201" s="408" t="s">
        <v>1320</v>
      </c>
      <c r="I201" s="408" t="s">
        <v>1320</v>
      </c>
      <c r="J201" s="408" t="s">
        <v>2234</v>
      </c>
      <c r="K201" s="827">
        <v>44470</v>
      </c>
      <c r="L201" s="408">
        <v>0</v>
      </c>
      <c r="M201" s="408">
        <v>0</v>
      </c>
      <c r="N201" s="408">
        <v>2341.65</v>
      </c>
      <c r="O201" s="408">
        <v>2341.65</v>
      </c>
      <c r="P201" s="408">
        <v>2341.65</v>
      </c>
      <c r="Q201" s="408">
        <v>2341.65</v>
      </c>
      <c r="R201" s="408"/>
      <c r="S201" s="408">
        <v>516.83000000000004</v>
      </c>
      <c r="T201" s="408">
        <v>173.82</v>
      </c>
      <c r="U201" s="408"/>
      <c r="V201" s="408">
        <v>1617260.5725000002</v>
      </c>
      <c r="W201" s="408">
        <v>1617260.5725000002</v>
      </c>
      <c r="X201" s="408">
        <v>1221053.3925000001</v>
      </c>
      <c r="Y201" s="408">
        <v>0</v>
      </c>
      <c r="Z201" s="408">
        <v>143190.62307577621</v>
      </c>
      <c r="AA201" s="408">
        <v>0</v>
      </c>
      <c r="AB201" s="408">
        <v>0</v>
      </c>
      <c r="AC201" s="408">
        <v>6365.6445644557316</v>
      </c>
      <c r="AD201" s="408">
        <v>80615.07487064584</v>
      </c>
      <c r="AE201" s="408">
        <v>851460.9267521007</v>
      </c>
      <c r="AF201" s="408">
        <v>376823.31869061064</v>
      </c>
      <c r="AG201" s="408">
        <v>18957.683195333058</v>
      </c>
      <c r="AH201" s="408">
        <v>0</v>
      </c>
      <c r="AI201" s="408">
        <v>0</v>
      </c>
      <c r="AJ201" s="408">
        <v>0</v>
      </c>
      <c r="AK201" s="408">
        <v>0</v>
      </c>
      <c r="AL201" s="408">
        <v>22132.097148314093</v>
      </c>
      <c r="AM201" s="408"/>
      <c r="AN201" s="408">
        <v>3633.1682654067768</v>
      </c>
      <c r="AO201" s="408">
        <v>13578.066374412503</v>
      </c>
      <c r="AP201" s="408">
        <v>44466.331463919982</v>
      </c>
      <c r="AQ201" s="408">
        <v>0</v>
      </c>
      <c r="AR201" s="408">
        <v>0</v>
      </c>
      <c r="AS201" s="408">
        <v>0</v>
      </c>
      <c r="AT201" s="408">
        <v>0</v>
      </c>
      <c r="AU201" s="408">
        <v>0</v>
      </c>
      <c r="AV201" s="408">
        <v>0</v>
      </c>
      <c r="AW201" s="408">
        <v>0</v>
      </c>
      <c r="AX201" s="408">
        <v>0</v>
      </c>
      <c r="AY201" s="408">
        <v>0</v>
      </c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1299.1769647200642</v>
      </c>
      <c r="BF201" s="408">
        <v>11253.240095416089</v>
      </c>
      <c r="BG201" s="408">
        <v>43503.930535671083</v>
      </c>
      <c r="BH201" s="408">
        <v>0</v>
      </c>
      <c r="BI201" s="408">
        <v>12905.17</v>
      </c>
      <c r="BJ201" s="408">
        <v>60660.62</v>
      </c>
      <c r="BK201" s="408">
        <v>97507.14</v>
      </c>
      <c r="BL201" s="408">
        <v>10272</v>
      </c>
      <c r="BM201" s="408"/>
      <c r="BN201" s="408"/>
      <c r="BO201" s="408"/>
      <c r="BP201" s="408"/>
      <c r="BQ201" s="408"/>
      <c r="BR201" s="408">
        <v>146517.0405</v>
      </c>
      <c r="BS201" s="408"/>
      <c r="BT201" s="408"/>
      <c r="BU201" s="408"/>
      <c r="BV201" s="408">
        <v>432879.66628641787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1074536.352</v>
      </c>
      <c r="CJ201" s="408">
        <v>-348648.29850000003</v>
      </c>
      <c r="CK201" s="408"/>
      <c r="CL201" s="408"/>
      <c r="CM201" s="408"/>
      <c r="CN201" s="408"/>
      <c r="CO201" s="408">
        <v>-445826.7435000001</v>
      </c>
      <c r="CP201" s="408">
        <v>49619.563499999997</v>
      </c>
      <c r="CQ201" s="408">
        <v>31</v>
      </c>
      <c r="CR201" s="408">
        <v>54574.211593152024</v>
      </c>
      <c r="CS201" s="408">
        <v>1318.3444625624452</v>
      </c>
      <c r="CT201" s="408">
        <v>4317.3998594080258</v>
      </c>
      <c r="CU201" s="408">
        <v>0</v>
      </c>
      <c r="CV201" s="408">
        <v>0</v>
      </c>
      <c r="CW201" s="408">
        <v>0</v>
      </c>
      <c r="CX201" s="408">
        <v>0</v>
      </c>
      <c r="CY201" s="408">
        <v>0</v>
      </c>
      <c r="CZ201" s="408">
        <v>-1545.730209898029</v>
      </c>
      <c r="DA201" s="408">
        <v>0</v>
      </c>
      <c r="DB201" s="408">
        <v>0</v>
      </c>
      <c r="DC201" s="408">
        <v>48369.437624975457</v>
      </c>
      <c r="DD201" s="408">
        <v>1444.4777376449656</v>
      </c>
      <c r="DE201" s="408">
        <v>166.76372199360662</v>
      </c>
      <c r="DF201" s="408">
        <v>0</v>
      </c>
      <c r="DG201" s="408">
        <v>5584.2102919698082</v>
      </c>
      <c r="DH201" s="408">
        <v>0</v>
      </c>
      <c r="DI201" s="408">
        <v>-4184.8183452177618</v>
      </c>
      <c r="DJ201" s="408"/>
      <c r="DK201" s="408">
        <v>0</v>
      </c>
      <c r="DL201" s="408">
        <v>0</v>
      </c>
      <c r="DM201" s="408">
        <v>-210.70769090680187</v>
      </c>
      <c r="DN201" s="408">
        <v>0</v>
      </c>
      <c r="DO201" s="408">
        <v>-573.21367159924921</v>
      </c>
      <c r="DP201" s="408">
        <v>-111.95218778038134</v>
      </c>
      <c r="DQ201" s="408">
        <v>0</v>
      </c>
      <c r="DR201" s="408">
        <v>0</v>
      </c>
      <c r="DS201" s="408"/>
      <c r="DT201" s="408"/>
      <c r="DU201" s="408"/>
      <c r="DV201" s="408">
        <v>851460.9267521007</v>
      </c>
      <c r="DW201" s="408">
        <v>0</v>
      </c>
      <c r="DX201" s="408">
        <v>0</v>
      </c>
      <c r="DY201" s="408">
        <v>-445826.7435000001</v>
      </c>
      <c r="DZ201" s="408">
        <v>49619.563499999989</v>
      </c>
      <c r="EA201" s="408">
        <v>0</v>
      </c>
      <c r="EB201" s="408">
        <v>0</v>
      </c>
      <c r="EC201" s="408">
        <v>-450803.42011071497</v>
      </c>
      <c r="ED201" s="408">
        <v>0</v>
      </c>
      <c r="EE201" s="408">
        <v>0</v>
      </c>
      <c r="EF201" s="408">
        <v>0</v>
      </c>
      <c r="EG201" s="408">
        <v>0</v>
      </c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>
        <v>0</v>
      </c>
      <c r="EN201" s="408">
        <v>0</v>
      </c>
      <c r="EO201" s="408">
        <v>0</v>
      </c>
      <c r="EP201" s="408">
        <v>0</v>
      </c>
      <c r="EQ201" s="408">
        <v>0</v>
      </c>
      <c r="ER201" s="408">
        <v>0</v>
      </c>
      <c r="ES201" s="408">
        <v>0</v>
      </c>
      <c r="ET201" s="408">
        <v>0</v>
      </c>
      <c r="EU201" s="408">
        <v>0</v>
      </c>
      <c r="EV201" s="408">
        <v>239</v>
      </c>
      <c r="EW201" s="408">
        <v>0</v>
      </c>
      <c r="EX201" s="408">
        <v>0</v>
      </c>
      <c r="EY201" s="408">
        <v>0</v>
      </c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201</v>
      </c>
      <c r="B202" s="408" t="s">
        <v>2235</v>
      </c>
      <c r="C202" s="408" t="s">
        <v>2233</v>
      </c>
      <c r="D202" s="408" t="s">
        <v>2243</v>
      </c>
      <c r="E202" s="408" t="s">
        <v>972</v>
      </c>
      <c r="F202" s="408" t="s">
        <v>1320</v>
      </c>
      <c r="G202" s="408" t="s">
        <v>1320</v>
      </c>
      <c r="H202" s="408" t="s">
        <v>1320</v>
      </c>
      <c r="I202" s="408" t="s">
        <v>1320</v>
      </c>
      <c r="J202" s="408" t="s">
        <v>2234</v>
      </c>
      <c r="K202" s="827">
        <v>44470</v>
      </c>
      <c r="L202" s="408">
        <v>0</v>
      </c>
      <c r="M202" s="408">
        <v>0</v>
      </c>
      <c r="N202" s="408">
        <v>-4.47</v>
      </c>
      <c r="O202" s="408">
        <v>-4.47</v>
      </c>
      <c r="P202" s="408">
        <v>-4.47</v>
      </c>
      <c r="Q202" s="408">
        <v>-4.47</v>
      </c>
      <c r="R202" s="408"/>
      <c r="S202" s="408">
        <v>516.83000000000004</v>
      </c>
      <c r="T202" s="408">
        <v>173.82</v>
      </c>
      <c r="U202" s="408"/>
      <c r="V202" s="408">
        <v>-3087.2055</v>
      </c>
      <c r="W202" s="408">
        <v>-3087.2055</v>
      </c>
      <c r="X202" s="408">
        <v>-2330.8815</v>
      </c>
      <c r="Y202" s="408">
        <v>0</v>
      </c>
      <c r="Z202" s="408">
        <v>-273.33806723836591</v>
      </c>
      <c r="AA202" s="408">
        <v>0</v>
      </c>
      <c r="AB202" s="408">
        <v>0</v>
      </c>
      <c r="AC202" s="408">
        <v>-12.151445008057189</v>
      </c>
      <c r="AD202" s="408">
        <v>-153.886953503635</v>
      </c>
      <c r="AE202" s="408">
        <v>-1625.3626043951444</v>
      </c>
      <c r="AF202" s="408">
        <v>-719.3219458702323</v>
      </c>
      <c r="AG202" s="408">
        <v>-36.188518302538277</v>
      </c>
      <c r="AH202" s="408">
        <v>0</v>
      </c>
      <c r="AI202" s="408">
        <v>0</v>
      </c>
      <c r="AJ202" s="408">
        <v>0</v>
      </c>
      <c r="AK202" s="408">
        <v>0</v>
      </c>
      <c r="AL202" s="408">
        <v>-42.248190059557999</v>
      </c>
      <c r="AM202" s="408"/>
      <c r="AN202" s="408">
        <v>-6.9353926275781133</v>
      </c>
      <c r="AO202" s="408">
        <v>-25.919311892735415</v>
      </c>
      <c r="AP202" s="408">
        <v>-84.882241856691778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-2.4800123982229141</v>
      </c>
      <c r="BF202" s="408">
        <v>-21.481426868451695</v>
      </c>
      <c r="BG202" s="408">
        <v>-83.045104731471284</v>
      </c>
      <c r="BH202" s="408">
        <v>0</v>
      </c>
      <c r="BI202" s="408">
        <v>-11.96</v>
      </c>
      <c r="BJ202" s="408">
        <v>-56.19</v>
      </c>
      <c r="BK202" s="408">
        <v>-214.63</v>
      </c>
      <c r="BL202" s="408">
        <v>0</v>
      </c>
      <c r="BM202" s="408"/>
      <c r="BN202" s="408"/>
      <c r="BO202" s="408"/>
      <c r="BP202" s="408"/>
      <c r="BQ202" s="408"/>
      <c r="BR202" s="408">
        <v>-279.68789999999996</v>
      </c>
      <c r="BS202" s="408"/>
      <c r="BT202" s="408"/>
      <c r="BU202" s="408"/>
      <c r="BV202" s="408">
        <v>-826.32848986837814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-2051.1935999999996</v>
      </c>
      <c r="CJ202" s="408">
        <v>665.50829999999996</v>
      </c>
      <c r="CK202" s="408"/>
      <c r="CL202" s="408"/>
      <c r="CM202" s="408"/>
      <c r="CN202" s="408"/>
      <c r="CO202" s="408">
        <v>851.04330000000016</v>
      </c>
      <c r="CP202" s="408">
        <v>-94.71929999999999</v>
      </c>
      <c r="CQ202" s="408">
        <v>31</v>
      </c>
      <c r="CR202" s="408">
        <v>-104.17727919261642</v>
      </c>
      <c r="CS202" s="408">
        <v>-2.5166014338838529</v>
      </c>
      <c r="CT202" s="408">
        <v>-8.2415294222252982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2.9506604480790202</v>
      </c>
      <c r="DA202" s="408">
        <v>0</v>
      </c>
      <c r="DB202" s="408">
        <v>0</v>
      </c>
      <c r="DC202" s="408">
        <v>-92.332921736228855</v>
      </c>
      <c r="DD202" s="408">
        <v>-2.7573785524194463</v>
      </c>
      <c r="DE202" s="408">
        <v>-0.31833700053868919</v>
      </c>
      <c r="DF202" s="408">
        <v>0</v>
      </c>
      <c r="DG202" s="408">
        <v>-10.659757011126786</v>
      </c>
      <c r="DH202" s="408">
        <v>0</v>
      </c>
      <c r="DI202" s="408">
        <v>7.988443193100295</v>
      </c>
      <c r="DJ202" s="408"/>
      <c r="DK202" s="408">
        <v>0</v>
      </c>
      <c r="DL202" s="408">
        <v>0</v>
      </c>
      <c r="DM202" s="408">
        <v>0.40222209909823903</v>
      </c>
      <c r="DN202" s="408">
        <v>0</v>
      </c>
      <c r="DO202" s="408">
        <v>1.0942135297967823</v>
      </c>
      <c r="DP202" s="408">
        <v>0.21370669373232687</v>
      </c>
      <c r="DQ202" s="408">
        <v>0</v>
      </c>
      <c r="DR202" s="408">
        <v>0</v>
      </c>
      <c r="DS202" s="408"/>
      <c r="DT202" s="408"/>
      <c r="DU202" s="408"/>
      <c r="DV202" s="408">
        <v>-1625.3626043951444</v>
      </c>
      <c r="DW202" s="408">
        <v>0</v>
      </c>
      <c r="DX202" s="408">
        <v>0</v>
      </c>
      <c r="DY202" s="408">
        <v>851.04330000000027</v>
      </c>
      <c r="DZ202" s="408">
        <v>-94.719299999999976</v>
      </c>
      <c r="EA202" s="408">
        <v>0</v>
      </c>
      <c r="EB202" s="408">
        <v>0</v>
      </c>
      <c r="EC202" s="408">
        <v>860.54332965852973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239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202</v>
      </c>
      <c r="B203" s="408" t="s">
        <v>2236</v>
      </c>
      <c r="C203" s="408" t="s">
        <v>2233</v>
      </c>
      <c r="D203" s="408" t="s">
        <v>2243</v>
      </c>
      <c r="E203" s="408" t="s">
        <v>972</v>
      </c>
      <c r="F203" s="408" t="s">
        <v>1320</v>
      </c>
      <c r="G203" s="408" t="s">
        <v>1320</v>
      </c>
      <c r="H203" s="408" t="s">
        <v>1320</v>
      </c>
      <c r="I203" s="408" t="s">
        <v>1320</v>
      </c>
      <c r="J203" s="408" t="s">
        <v>2234</v>
      </c>
      <c r="K203" s="827">
        <v>44470</v>
      </c>
      <c r="L203" s="408">
        <v>0</v>
      </c>
      <c r="M203" s="408">
        <v>0</v>
      </c>
      <c r="N203" s="408">
        <v>19.739999999999998</v>
      </c>
      <c r="O203" s="408">
        <v>19.739999999999998</v>
      </c>
      <c r="P203" s="408">
        <v>19.739999999999998</v>
      </c>
      <c r="Q203" s="408">
        <v>19.739999999999998</v>
      </c>
      <c r="R203" s="408"/>
      <c r="S203" s="408">
        <v>516.83000000000004</v>
      </c>
      <c r="T203" s="408">
        <v>173.82</v>
      </c>
      <c r="U203" s="408"/>
      <c r="V203" s="408">
        <v>13633.431</v>
      </c>
      <c r="W203" s="408">
        <v>13633.431</v>
      </c>
      <c r="X203" s="408">
        <v>10293.422999999999</v>
      </c>
      <c r="Y203" s="408">
        <v>0</v>
      </c>
      <c r="Z203" s="408">
        <v>1207.0902566633877</v>
      </c>
      <c r="AA203" s="408">
        <v>0</v>
      </c>
      <c r="AB203" s="408">
        <v>0</v>
      </c>
      <c r="AC203" s="408">
        <v>53.66208600873577</v>
      </c>
      <c r="AD203" s="408">
        <v>679.58131144558274</v>
      </c>
      <c r="AE203" s="408">
        <v>7177.7757965906376</v>
      </c>
      <c r="AF203" s="408">
        <v>3176.6029555880054</v>
      </c>
      <c r="AG203" s="408">
        <v>159.81238283939723</v>
      </c>
      <c r="AH203" s="408">
        <v>0</v>
      </c>
      <c r="AI203" s="408">
        <v>0</v>
      </c>
      <c r="AJ203" s="408">
        <v>0</v>
      </c>
      <c r="AK203" s="408">
        <v>0</v>
      </c>
      <c r="AL203" s="408">
        <v>186.57254402140379</v>
      </c>
      <c r="AM203" s="408"/>
      <c r="AN203" s="408">
        <v>30.627438583532875</v>
      </c>
      <c r="AO203" s="408">
        <v>114.46246460013357</v>
      </c>
      <c r="AP203" s="408">
        <v>374.84909491075967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10.952001060608573</v>
      </c>
      <c r="BF203" s="408">
        <v>94.864287781484663</v>
      </c>
      <c r="BG203" s="408">
        <v>366.7361000893161</v>
      </c>
      <c r="BH203" s="408">
        <v>0</v>
      </c>
      <c r="BI203" s="408">
        <v>115.7</v>
      </c>
      <c r="BJ203" s="408">
        <v>546.37</v>
      </c>
      <c r="BK203" s="408">
        <v>1335.48</v>
      </c>
      <c r="BL203" s="408">
        <v>164</v>
      </c>
      <c r="BM203" s="408"/>
      <c r="BN203" s="408"/>
      <c r="BO203" s="408"/>
      <c r="BP203" s="408"/>
      <c r="BQ203" s="408"/>
      <c r="BR203" s="408">
        <v>1235.1317999999999</v>
      </c>
      <c r="BS203" s="408"/>
      <c r="BT203" s="408"/>
      <c r="BU203" s="408"/>
      <c r="BV203" s="408">
        <v>3649.1553445194145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9058.2911999999997</v>
      </c>
      <c r="CJ203" s="408">
        <v>-2939.1185999999998</v>
      </c>
      <c r="CK203" s="408"/>
      <c r="CL203" s="408"/>
      <c r="CM203" s="408"/>
      <c r="CN203" s="408"/>
      <c r="CO203" s="408">
        <v>-3758.2986000000005</v>
      </c>
      <c r="CP203" s="408">
        <v>418.29059999999993</v>
      </c>
      <c r="CQ203" s="408">
        <v>31</v>
      </c>
      <c r="CR203" s="408">
        <v>460.05805173652061</v>
      </c>
      <c r="CS203" s="408">
        <v>11.113582171111247</v>
      </c>
      <c r="CT203" s="408">
        <v>36.395478924994904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-13.0304333881611</v>
      </c>
      <c r="DA203" s="408">
        <v>0</v>
      </c>
      <c r="DB203" s="408">
        <v>0</v>
      </c>
      <c r="DC203" s="408">
        <v>407.75209733180282</v>
      </c>
      <c r="DD203" s="408">
        <v>12.176879781825477</v>
      </c>
      <c r="DE203" s="408">
        <v>1.4058103782178346</v>
      </c>
      <c r="DF203" s="408">
        <v>0</v>
      </c>
      <c r="DG203" s="408">
        <v>47.074631633029696</v>
      </c>
      <c r="DH203" s="408">
        <v>0</v>
      </c>
      <c r="DI203" s="408">
        <v>-35.277822960134017</v>
      </c>
      <c r="DJ203" s="408"/>
      <c r="DK203" s="408">
        <v>0</v>
      </c>
      <c r="DL203" s="408">
        <v>0</v>
      </c>
      <c r="DM203" s="408">
        <v>-1.7762559812526604</v>
      </c>
      <c r="DN203" s="408">
        <v>0</v>
      </c>
      <c r="DO203" s="408">
        <v>-4.8321644470220519</v>
      </c>
      <c r="DP203" s="408">
        <v>-0.943751707891753</v>
      </c>
      <c r="DQ203" s="408">
        <v>0</v>
      </c>
      <c r="DR203" s="408">
        <v>0</v>
      </c>
      <c r="DS203" s="408"/>
      <c r="DT203" s="408"/>
      <c r="DU203" s="408"/>
      <c r="DV203" s="408">
        <v>7177.7757965906376</v>
      </c>
      <c r="DW203" s="408">
        <v>0</v>
      </c>
      <c r="DX203" s="408">
        <v>0</v>
      </c>
      <c r="DY203" s="408">
        <v>-3758.298600000001</v>
      </c>
      <c r="DZ203" s="408">
        <v>418.29059999999981</v>
      </c>
      <c r="EA203" s="408">
        <v>0</v>
      </c>
      <c r="EB203" s="408">
        <v>0</v>
      </c>
      <c r="EC203" s="408">
        <v>-3800.2517511094798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239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203</v>
      </c>
      <c r="B204" s="408" t="s">
        <v>1034</v>
      </c>
      <c r="C204" s="408" t="s">
        <v>2241</v>
      </c>
      <c r="D204" s="408" t="s">
        <v>596</v>
      </c>
      <c r="E204" s="408" t="s">
        <v>972</v>
      </c>
      <c r="F204" s="408" t="s">
        <v>1320</v>
      </c>
      <c r="G204" s="408" t="s">
        <v>1320</v>
      </c>
      <c r="H204" s="408" t="s">
        <v>1320</v>
      </c>
      <c r="I204" s="408" t="s">
        <v>971</v>
      </c>
      <c r="J204" s="408" t="s">
        <v>2234</v>
      </c>
      <c r="K204" s="827">
        <v>44470</v>
      </c>
      <c r="L204" s="408">
        <v>0</v>
      </c>
      <c r="M204" s="408">
        <v>0</v>
      </c>
      <c r="N204" s="408">
        <v>43.137999999999998</v>
      </c>
      <c r="O204" s="408">
        <v>41.412480000000002</v>
      </c>
      <c r="P204" s="408">
        <v>43.137999999999998</v>
      </c>
      <c r="Q204" s="408">
        <v>41.412480000000002</v>
      </c>
      <c r="R204" s="408"/>
      <c r="S204" s="408">
        <v>1684.16</v>
      </c>
      <c r="T204" s="408">
        <v>173.82</v>
      </c>
      <c r="U204" s="408"/>
      <c r="V204" s="408">
        <v>80149.541240000006</v>
      </c>
      <c r="W204" s="408">
        <v>80149.541240000006</v>
      </c>
      <c r="X204" s="408">
        <v>55020.79348</v>
      </c>
      <c r="Y204" s="408">
        <v>0</v>
      </c>
      <c r="Z204" s="408">
        <v>2294.9427435659782</v>
      </c>
      <c r="AA204" s="408">
        <v>0</v>
      </c>
      <c r="AB204" s="408">
        <v>0</v>
      </c>
      <c r="AC204" s="408">
        <v>776.45811114926573</v>
      </c>
      <c r="AD204" s="408">
        <v>11845.087812968175</v>
      </c>
      <c r="AE204" s="408">
        <v>49966.41994517135</v>
      </c>
      <c r="AF204" s="408">
        <v>6941.8590829865952</v>
      </c>
      <c r="AG204" s="408">
        <v>349.23944128297455</v>
      </c>
      <c r="AH204" s="408">
        <v>0</v>
      </c>
      <c r="AI204" s="408">
        <v>0</v>
      </c>
      <c r="AJ204" s="408">
        <v>0</v>
      </c>
      <c r="AK204" s="408">
        <v>0</v>
      </c>
      <c r="AL204" s="408">
        <v>407.71866281637875</v>
      </c>
      <c r="AM204" s="408"/>
      <c r="AN204" s="408">
        <v>53.608915456050347</v>
      </c>
      <c r="AO204" s="408">
        <v>1667.5487238710114</v>
      </c>
      <c r="AP204" s="408">
        <v>5361.996069976406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8.0492757821509731</v>
      </c>
      <c r="BF204" s="408">
        <v>207.30778350140253</v>
      </c>
      <c r="BG204" s="408">
        <v>269.5361324887777</v>
      </c>
      <c r="BH204" s="408">
        <v>0</v>
      </c>
      <c r="BI204" s="408">
        <v>0</v>
      </c>
      <c r="BJ204" s="408">
        <v>0</v>
      </c>
      <c r="BK204" s="408">
        <v>0</v>
      </c>
      <c r="BL204" s="408">
        <v>0</v>
      </c>
      <c r="BM204" s="408"/>
      <c r="BN204" s="408"/>
      <c r="BO204" s="408"/>
      <c r="BP204" s="408"/>
      <c r="BQ204" s="408"/>
      <c r="BR204" s="408">
        <v>2200.8317391999949</v>
      </c>
      <c r="BS204" s="408"/>
      <c r="BT204" s="408"/>
      <c r="BU204" s="408"/>
      <c r="BV204" s="408">
        <v>7426.7522747589273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52816.798599999995</v>
      </c>
      <c r="CJ204" s="408">
        <v>-24126.790990399997</v>
      </c>
      <c r="CK204" s="408"/>
      <c r="CL204" s="408"/>
      <c r="CM204" s="408"/>
      <c r="CN204" s="408"/>
      <c r="CO204" s="408">
        <v>-26042.841980000001</v>
      </c>
      <c r="CP204" s="408">
        <v>914.09421999999984</v>
      </c>
      <c r="CQ204" s="408">
        <v>31</v>
      </c>
      <c r="CR204" s="408">
        <v>1325.5457432771436</v>
      </c>
      <c r="CS204" s="408">
        <v>161.90844598544572</v>
      </c>
      <c r="CT204" s="408">
        <v>520.61594281611633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-227.12017697411284</v>
      </c>
      <c r="DA204" s="408">
        <v>0</v>
      </c>
      <c r="DB204" s="408">
        <v>0</v>
      </c>
      <c r="DC204" s="408">
        <v>891.06433509114959</v>
      </c>
      <c r="DD204" s="408">
        <v>26.610245188874728</v>
      </c>
      <c r="DE204" s="408">
        <v>1.033213507656173</v>
      </c>
      <c r="DF204" s="408">
        <v>0</v>
      </c>
      <c r="DG204" s="408">
        <v>34.597941532373113</v>
      </c>
      <c r="DH204" s="408">
        <v>0</v>
      </c>
      <c r="DI204" s="408">
        <v>-67.070861821845938</v>
      </c>
      <c r="DJ204" s="408"/>
      <c r="DK204" s="408">
        <v>0</v>
      </c>
      <c r="DL204" s="408">
        <v>0</v>
      </c>
      <c r="DM204" s="408">
        <v>-3.8816682127293234</v>
      </c>
      <c r="DN204" s="408">
        <v>0</v>
      </c>
      <c r="DO204" s="408">
        <v>-10.559772538786092</v>
      </c>
      <c r="DP204" s="408">
        <v>-1.6519012969984601</v>
      </c>
      <c r="DQ204" s="408">
        <v>0</v>
      </c>
      <c r="DR204" s="408">
        <v>0</v>
      </c>
      <c r="DS204" s="408"/>
      <c r="DT204" s="408"/>
      <c r="DU204" s="408"/>
      <c r="DV204" s="408">
        <v>49966.41994517135</v>
      </c>
      <c r="DW204" s="408">
        <v>0</v>
      </c>
      <c r="DX204" s="408">
        <v>0</v>
      </c>
      <c r="DY204" s="408">
        <v>-26042.841980000005</v>
      </c>
      <c r="DZ204" s="408">
        <v>914.09422000000086</v>
      </c>
      <c r="EA204" s="408">
        <v>0</v>
      </c>
      <c r="EB204" s="408">
        <v>0</v>
      </c>
      <c r="EC204" s="408">
        <v>-26454.570367536711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239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204</v>
      </c>
      <c r="B205" s="408" t="s">
        <v>2236</v>
      </c>
      <c r="C205" s="408" t="s">
        <v>2241</v>
      </c>
      <c r="D205" s="408" t="s">
        <v>596</v>
      </c>
      <c r="E205" s="408" t="s">
        <v>972</v>
      </c>
      <c r="F205" s="408" t="s">
        <v>1320</v>
      </c>
      <c r="G205" s="408" t="s">
        <v>1320</v>
      </c>
      <c r="H205" s="408" t="s">
        <v>1320</v>
      </c>
      <c r="I205" s="408" t="s">
        <v>971</v>
      </c>
      <c r="J205" s="408" t="s">
        <v>2234</v>
      </c>
      <c r="K205" s="827">
        <v>44470</v>
      </c>
      <c r="L205" s="408">
        <v>0</v>
      </c>
      <c r="M205" s="408">
        <v>0</v>
      </c>
      <c r="N205" s="408">
        <v>4.7439999999999998</v>
      </c>
      <c r="O205" s="408">
        <v>4.5542400000000001</v>
      </c>
      <c r="P205" s="408">
        <v>4.7439999999999998</v>
      </c>
      <c r="Q205" s="408">
        <v>4.5542400000000001</v>
      </c>
      <c r="R205" s="408"/>
      <c r="S205" s="408">
        <v>1684.16</v>
      </c>
      <c r="T205" s="408">
        <v>173.82</v>
      </c>
      <c r="U205" s="408"/>
      <c r="V205" s="408">
        <v>8814.2571200000002</v>
      </c>
      <c r="W205" s="408">
        <v>8814.2571200000002</v>
      </c>
      <c r="X205" s="408">
        <v>6050.7822400000005</v>
      </c>
      <c r="Y205" s="408">
        <v>0</v>
      </c>
      <c r="Z205" s="408">
        <v>252.38092576097642</v>
      </c>
      <c r="AA205" s="408">
        <v>0</v>
      </c>
      <c r="AB205" s="408">
        <v>0</v>
      </c>
      <c r="AC205" s="408">
        <v>85.389152934584743</v>
      </c>
      <c r="AD205" s="408">
        <v>1302.6356480300669</v>
      </c>
      <c r="AE205" s="408">
        <v>5494.9394088713634</v>
      </c>
      <c r="AF205" s="408">
        <v>763.41461100858658</v>
      </c>
      <c r="AG205" s="408">
        <v>38.406785419964564</v>
      </c>
      <c r="AH205" s="408">
        <v>0</v>
      </c>
      <c r="AI205" s="408">
        <v>0</v>
      </c>
      <c r="AJ205" s="408">
        <v>0</v>
      </c>
      <c r="AK205" s="408">
        <v>0</v>
      </c>
      <c r="AL205" s="408">
        <v>44.837900143745671</v>
      </c>
      <c r="AM205" s="408"/>
      <c r="AN205" s="408">
        <v>5.8955142779800376</v>
      </c>
      <c r="AO205" s="408">
        <v>183.38474537632894</v>
      </c>
      <c r="AP205" s="408">
        <v>589.67289526561433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0.88520015555946541</v>
      </c>
      <c r="BF205" s="408">
        <v>22.798185472916071</v>
      </c>
      <c r="BG205" s="408">
        <v>29.641601662728021</v>
      </c>
      <c r="BH205" s="408">
        <v>0</v>
      </c>
      <c r="BI205" s="408">
        <v>0</v>
      </c>
      <c r="BJ205" s="408">
        <v>0</v>
      </c>
      <c r="BK205" s="408">
        <v>0</v>
      </c>
      <c r="BL205" s="408">
        <v>0</v>
      </c>
      <c r="BM205" s="408"/>
      <c r="BN205" s="408"/>
      <c r="BO205" s="408"/>
      <c r="BP205" s="408"/>
      <c r="BQ205" s="408"/>
      <c r="BR205" s="408">
        <v>242.03128959999964</v>
      </c>
      <c r="BS205" s="408"/>
      <c r="BT205" s="408"/>
      <c r="BU205" s="408"/>
      <c r="BV205" s="408">
        <v>816.73959829979015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5803.3429999999998</v>
      </c>
      <c r="CJ205" s="408">
        <v>-2658.3738352000009</v>
      </c>
      <c r="CK205" s="408"/>
      <c r="CL205" s="408"/>
      <c r="CM205" s="408"/>
      <c r="CN205" s="408"/>
      <c r="CO205" s="408">
        <v>-2864.0002399999998</v>
      </c>
      <c r="CP205" s="408">
        <v>100.52535999999998</v>
      </c>
      <c r="CQ205" s="408">
        <v>31</v>
      </c>
      <c r="CR205" s="408">
        <v>145.77377268549162</v>
      </c>
      <c r="CS205" s="408">
        <v>17.80550020295226</v>
      </c>
      <c r="CT205" s="408">
        <v>57.253512743280908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-24.977006805257361</v>
      </c>
      <c r="DA205" s="408">
        <v>0</v>
      </c>
      <c r="DB205" s="408">
        <v>0</v>
      </c>
      <c r="DC205" s="408">
        <v>97.992702621178864</v>
      </c>
      <c r="DD205" s="408">
        <v>2.92639907218744</v>
      </c>
      <c r="DE205" s="408">
        <v>0.11362522324449165</v>
      </c>
      <c r="DF205" s="408">
        <v>0</v>
      </c>
      <c r="DG205" s="408">
        <v>3.8048271739435791</v>
      </c>
      <c r="DH205" s="408">
        <v>0</v>
      </c>
      <c r="DI205" s="408">
        <v>-7.3759601391543015</v>
      </c>
      <c r="DJ205" s="408"/>
      <c r="DK205" s="408">
        <v>0</v>
      </c>
      <c r="DL205" s="408">
        <v>0</v>
      </c>
      <c r="DM205" s="408">
        <v>-0.42687732396466771</v>
      </c>
      <c r="DN205" s="408">
        <v>0</v>
      </c>
      <c r="DO205" s="408">
        <v>-1.1612861264778402</v>
      </c>
      <c r="DP205" s="408">
        <v>-0.1816639564412057</v>
      </c>
      <c r="DQ205" s="408">
        <v>0</v>
      </c>
      <c r="DR205" s="408">
        <v>0</v>
      </c>
      <c r="DS205" s="408"/>
      <c r="DT205" s="408"/>
      <c r="DU205" s="408"/>
      <c r="DV205" s="408">
        <v>5494.9394088713634</v>
      </c>
      <c r="DW205" s="408">
        <v>0</v>
      </c>
      <c r="DX205" s="408">
        <v>0</v>
      </c>
      <c r="DY205" s="408">
        <v>-2864.0002399999994</v>
      </c>
      <c r="DZ205" s="408">
        <v>100.52535999999998</v>
      </c>
      <c r="EA205" s="408">
        <v>0</v>
      </c>
      <c r="EB205" s="408">
        <v>0</v>
      </c>
      <c r="EC205" s="408">
        <v>-2909.2791001806795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239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205</v>
      </c>
      <c r="B206" s="408" t="s">
        <v>1034</v>
      </c>
      <c r="C206" s="408" t="s">
        <v>2241</v>
      </c>
      <c r="D206" s="408" t="s">
        <v>596</v>
      </c>
      <c r="E206" s="408" t="s">
        <v>972</v>
      </c>
      <c r="F206" s="408" t="s">
        <v>1320</v>
      </c>
      <c r="G206" s="408" t="s">
        <v>1320</v>
      </c>
      <c r="H206" s="408" t="s">
        <v>1320</v>
      </c>
      <c r="I206" s="408" t="s">
        <v>2242</v>
      </c>
      <c r="J206" s="408" t="s">
        <v>2234</v>
      </c>
      <c r="K206" s="827">
        <v>44470</v>
      </c>
      <c r="L206" s="408">
        <v>0</v>
      </c>
      <c r="M206" s="408">
        <v>0</v>
      </c>
      <c r="N206" s="408">
        <v>543.15700000000004</v>
      </c>
      <c r="O206" s="408">
        <v>521.43071999999995</v>
      </c>
      <c r="P206" s="408">
        <v>543.15700000000004</v>
      </c>
      <c r="Q206" s="408">
        <v>521.43071999999995</v>
      </c>
      <c r="R206" s="408"/>
      <c r="S206" s="408">
        <v>70.33</v>
      </c>
      <c r="T206" s="408">
        <v>173.82</v>
      </c>
      <c r="U206" s="408"/>
      <c r="V206" s="408">
        <v>132611.78155000001</v>
      </c>
      <c r="W206" s="408">
        <v>132611.78155000001</v>
      </c>
      <c r="X206" s="408">
        <v>143572.68981000001</v>
      </c>
      <c r="Y206" s="408">
        <v>0</v>
      </c>
      <c r="Z206" s="408">
        <v>28895.966798810012</v>
      </c>
      <c r="AA206" s="408">
        <v>0</v>
      </c>
      <c r="AB206" s="408">
        <v>0</v>
      </c>
      <c r="AC206" s="408">
        <v>0</v>
      </c>
      <c r="AD206" s="408">
        <v>0</v>
      </c>
      <c r="AE206" s="408">
        <v>0</v>
      </c>
      <c r="AF206" s="408">
        <v>87405.984374281383</v>
      </c>
      <c r="AG206" s="408">
        <v>4397.3259587587891</v>
      </c>
      <c r="AH206" s="408">
        <v>0</v>
      </c>
      <c r="AI206" s="408">
        <v>0</v>
      </c>
      <c r="AJ206" s="408">
        <v>0</v>
      </c>
      <c r="AK206" s="408">
        <v>0</v>
      </c>
      <c r="AL206" s="408">
        <v>5133.646570062494</v>
      </c>
      <c r="AM206" s="408"/>
      <c r="AN206" s="408">
        <v>674.99786017807833</v>
      </c>
      <c r="AO206" s="408">
        <v>0</v>
      </c>
      <c r="AP206" s="408">
        <v>0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101.3496334091932</v>
      </c>
      <c r="BF206" s="408">
        <v>2610.2432603104294</v>
      </c>
      <c r="BG206" s="408">
        <v>3393.7696952618812</v>
      </c>
      <c r="BH206" s="408">
        <v>0</v>
      </c>
      <c r="BI206" s="408">
        <v>0</v>
      </c>
      <c r="BJ206" s="408">
        <v>0</v>
      </c>
      <c r="BK206" s="408">
        <v>0</v>
      </c>
      <c r="BL206" s="408">
        <v>0</v>
      </c>
      <c r="BM206" s="408"/>
      <c r="BN206" s="408"/>
      <c r="BO206" s="408"/>
      <c r="BP206" s="408"/>
      <c r="BQ206" s="408"/>
      <c r="BR206" s="408">
        <v>5742.9075924000226</v>
      </c>
      <c r="BS206" s="408"/>
      <c r="BT206" s="408"/>
      <c r="BU206" s="408"/>
      <c r="BV206" s="408">
        <v>93511.346963262884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137829.59189999997</v>
      </c>
      <c r="CJ206" s="408">
        <v>10522.251611999978</v>
      </c>
      <c r="CK206" s="408"/>
      <c r="CL206" s="408"/>
      <c r="CM206" s="408"/>
      <c r="CN206" s="408"/>
      <c r="CO206" s="408">
        <v>-548.58857000000285</v>
      </c>
      <c r="CP206" s="408">
        <v>11509.49683</v>
      </c>
      <c r="CQ206" s="408">
        <v>31</v>
      </c>
      <c r="CR206" s="408">
        <v>10956.081964801822</v>
      </c>
      <c r="CS206" s="408">
        <v>0</v>
      </c>
      <c r="CT206" s="408">
        <v>0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0</v>
      </c>
      <c r="DA206" s="408">
        <v>0</v>
      </c>
      <c r="DB206" s="408">
        <v>0</v>
      </c>
      <c r="DC206" s="408">
        <v>11219.524109951875</v>
      </c>
      <c r="DD206" s="408">
        <v>335.05357100592573</v>
      </c>
      <c r="DE206" s="408">
        <v>13.009345569521159</v>
      </c>
      <c r="DF206" s="408">
        <v>0</v>
      </c>
      <c r="DG206" s="408">
        <v>435.62784850709841</v>
      </c>
      <c r="DH206" s="408">
        <v>0</v>
      </c>
      <c r="DI206" s="408">
        <v>-844.49923720544757</v>
      </c>
      <c r="DJ206" s="408"/>
      <c r="DK206" s="408">
        <v>0</v>
      </c>
      <c r="DL206" s="408">
        <v>0</v>
      </c>
      <c r="DM206" s="408">
        <v>-48.874664134206796</v>
      </c>
      <c r="DN206" s="408">
        <v>0</v>
      </c>
      <c r="DO206" s="408">
        <v>-132.95967297624884</v>
      </c>
      <c r="DP206" s="408">
        <v>-20.79933591668123</v>
      </c>
      <c r="DQ206" s="408">
        <v>0</v>
      </c>
      <c r="DR206" s="408">
        <v>0</v>
      </c>
      <c r="DS206" s="408"/>
      <c r="DT206" s="408"/>
      <c r="DU206" s="408"/>
      <c r="DV206" s="408">
        <v>0</v>
      </c>
      <c r="DW206" s="408">
        <v>0</v>
      </c>
      <c r="DX206" s="408">
        <v>0</v>
      </c>
      <c r="DY206" s="408">
        <v>-548.58857000000717</v>
      </c>
      <c r="DZ206" s="408">
        <v>11509.496830000004</v>
      </c>
      <c r="EA206" s="408">
        <v>0</v>
      </c>
      <c r="EB206" s="408">
        <v>0</v>
      </c>
      <c r="EC206" s="408">
        <v>0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239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206</v>
      </c>
      <c r="B207" s="408" t="s">
        <v>2236</v>
      </c>
      <c r="C207" s="408" t="s">
        <v>2241</v>
      </c>
      <c r="D207" s="408" t="s">
        <v>596</v>
      </c>
      <c r="E207" s="408" t="s">
        <v>972</v>
      </c>
      <c r="F207" s="408" t="s">
        <v>1320</v>
      </c>
      <c r="G207" s="408" t="s">
        <v>1320</v>
      </c>
      <c r="H207" s="408" t="s">
        <v>1320</v>
      </c>
      <c r="I207" s="408" t="s">
        <v>2242</v>
      </c>
      <c r="J207" s="408" t="s">
        <v>2234</v>
      </c>
      <c r="K207" s="827">
        <v>44470</v>
      </c>
      <c r="L207" s="408">
        <v>0</v>
      </c>
      <c r="M207" s="408">
        <v>0</v>
      </c>
      <c r="N207" s="408">
        <v>28.78</v>
      </c>
      <c r="O207" s="408">
        <v>27.628799999999998</v>
      </c>
      <c r="P207" s="408">
        <v>28.78</v>
      </c>
      <c r="Q207" s="408">
        <v>27.628799999999998</v>
      </c>
      <c r="R207" s="408"/>
      <c r="S207" s="408">
        <v>70.33</v>
      </c>
      <c r="T207" s="408">
        <v>173.82</v>
      </c>
      <c r="U207" s="408"/>
      <c r="V207" s="408">
        <v>7026.6370000000006</v>
      </c>
      <c r="W207" s="408">
        <v>7026.6370000000006</v>
      </c>
      <c r="X207" s="408">
        <v>7607.4173999999994</v>
      </c>
      <c r="Y207" s="408">
        <v>0</v>
      </c>
      <c r="Z207" s="408">
        <v>1531.0967629428546</v>
      </c>
      <c r="AA207" s="408">
        <v>0</v>
      </c>
      <c r="AB207" s="408">
        <v>0</v>
      </c>
      <c r="AC207" s="408">
        <v>0</v>
      </c>
      <c r="AD207" s="408">
        <v>0</v>
      </c>
      <c r="AE207" s="408">
        <v>0</v>
      </c>
      <c r="AF207" s="408">
        <v>4631.3390608826139</v>
      </c>
      <c r="AG207" s="408">
        <v>232.99900598368046</v>
      </c>
      <c r="AH207" s="408">
        <v>0</v>
      </c>
      <c r="AI207" s="408">
        <v>0</v>
      </c>
      <c r="AJ207" s="408">
        <v>0</v>
      </c>
      <c r="AK207" s="408">
        <v>0</v>
      </c>
      <c r="AL207" s="408">
        <v>272.01407380628171</v>
      </c>
      <c r="AM207" s="408"/>
      <c r="AN207" s="408">
        <v>35.765788558234718</v>
      </c>
      <c r="AO207" s="408">
        <v>0</v>
      </c>
      <c r="AP207" s="408">
        <v>0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5.3701645187608378</v>
      </c>
      <c r="BF207" s="408">
        <v>138.30771035213419</v>
      </c>
      <c r="BG207" s="408">
        <v>179.8240505592986</v>
      </c>
      <c r="BH207" s="408">
        <v>0</v>
      </c>
      <c r="BI207" s="408">
        <v>0</v>
      </c>
      <c r="BJ207" s="408">
        <v>0</v>
      </c>
      <c r="BK207" s="408">
        <v>0</v>
      </c>
      <c r="BL207" s="408">
        <v>0</v>
      </c>
      <c r="BM207" s="408"/>
      <c r="BN207" s="408"/>
      <c r="BO207" s="408"/>
      <c r="BP207" s="408"/>
      <c r="BQ207" s="408"/>
      <c r="BR207" s="408">
        <v>304.29669600000074</v>
      </c>
      <c r="BS207" s="408"/>
      <c r="BT207" s="408"/>
      <c r="BU207" s="408"/>
      <c r="BV207" s="408">
        <v>4954.8409863128081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7303.4378999999999</v>
      </c>
      <c r="CJ207" s="408">
        <v>557.83638000000064</v>
      </c>
      <c r="CK207" s="408"/>
      <c r="CL207" s="408"/>
      <c r="CM207" s="408"/>
      <c r="CN207" s="408"/>
      <c r="CO207" s="408">
        <v>-29.067800000000148</v>
      </c>
      <c r="CP207" s="408">
        <v>609.84819999999991</v>
      </c>
      <c r="CQ207" s="408">
        <v>31</v>
      </c>
      <c r="CR207" s="408">
        <v>580.52467140623685</v>
      </c>
      <c r="CS207" s="408">
        <v>0</v>
      </c>
      <c r="CT207" s="408">
        <v>0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0</v>
      </c>
      <c r="DA207" s="408">
        <v>0</v>
      </c>
      <c r="DB207" s="408">
        <v>0</v>
      </c>
      <c r="DC207" s="408">
        <v>594.48355426592116</v>
      </c>
      <c r="DD207" s="408">
        <v>17.75332320774757</v>
      </c>
      <c r="DE207" s="408">
        <v>0.68931996732219059</v>
      </c>
      <c r="DF207" s="408">
        <v>0</v>
      </c>
      <c r="DG207" s="408">
        <v>23.082404314101211</v>
      </c>
      <c r="DH207" s="408">
        <v>0</v>
      </c>
      <c r="DI207" s="408">
        <v>-44.747076898157957</v>
      </c>
      <c r="DJ207" s="408"/>
      <c r="DK207" s="408">
        <v>0</v>
      </c>
      <c r="DL207" s="408">
        <v>0</v>
      </c>
      <c r="DM207" s="408">
        <v>-2.5896984366996207</v>
      </c>
      <c r="DN207" s="408">
        <v>0</v>
      </c>
      <c r="DO207" s="408">
        <v>-7.0450705564991836</v>
      </c>
      <c r="DP207" s="408">
        <v>-1.1020844574995579</v>
      </c>
      <c r="DQ207" s="408">
        <v>0</v>
      </c>
      <c r="DR207" s="408">
        <v>0</v>
      </c>
      <c r="DS207" s="408"/>
      <c r="DT207" s="408"/>
      <c r="DU207" s="408"/>
      <c r="DV207" s="408">
        <v>0</v>
      </c>
      <c r="DW207" s="408">
        <v>0</v>
      </c>
      <c r="DX207" s="408">
        <v>0</v>
      </c>
      <c r="DY207" s="408">
        <v>-29.067800000000261</v>
      </c>
      <c r="DZ207" s="408">
        <v>609.84819999999945</v>
      </c>
      <c r="EA207" s="408">
        <v>0</v>
      </c>
      <c r="EB207" s="408">
        <v>0</v>
      </c>
      <c r="EC207" s="408">
        <v>0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239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207</v>
      </c>
      <c r="B208" s="408" t="s">
        <v>1034</v>
      </c>
      <c r="C208" s="408" t="s">
        <v>2241</v>
      </c>
      <c r="D208" s="408" t="s">
        <v>596</v>
      </c>
      <c r="E208" s="408" t="s">
        <v>972</v>
      </c>
      <c r="F208" s="408" t="s">
        <v>1320</v>
      </c>
      <c r="G208" s="408" t="s">
        <v>1320</v>
      </c>
      <c r="H208" s="408" t="s">
        <v>1320</v>
      </c>
      <c r="I208" s="408" t="s">
        <v>1320</v>
      </c>
      <c r="J208" s="408" t="s">
        <v>2234</v>
      </c>
      <c r="K208" s="827">
        <v>44470</v>
      </c>
      <c r="L208" s="408">
        <v>2340</v>
      </c>
      <c r="M208" s="408">
        <v>2246.4</v>
      </c>
      <c r="N208" s="408">
        <v>0</v>
      </c>
      <c r="O208" s="408">
        <v>0</v>
      </c>
      <c r="P208" s="408">
        <v>0</v>
      </c>
      <c r="Q208" s="408">
        <v>0</v>
      </c>
      <c r="R208" s="408">
        <v>59.12</v>
      </c>
      <c r="S208" s="408"/>
      <c r="T208" s="408"/>
      <c r="U208" s="408">
        <v>138340.79999999999</v>
      </c>
      <c r="V208" s="408"/>
      <c r="W208" s="408">
        <v>138340.79999999999</v>
      </c>
      <c r="X208" s="408">
        <v>79630.2</v>
      </c>
      <c r="Y208" s="408">
        <v>0</v>
      </c>
      <c r="Z208" s="408">
        <v>0</v>
      </c>
      <c r="AA208" s="408">
        <v>0</v>
      </c>
      <c r="AB208" s="408">
        <v>0</v>
      </c>
      <c r="AC208" s="408">
        <v>1338.6212502008159</v>
      </c>
      <c r="AD208" s="408">
        <v>11973.833002674108</v>
      </c>
      <c r="AE208" s="408">
        <v>112698.60674073464</v>
      </c>
      <c r="AF208" s="408"/>
      <c r="AG208" s="408"/>
      <c r="AH208" s="408"/>
      <c r="AI208" s="408">
        <v>0</v>
      </c>
      <c r="AJ208" s="408">
        <v>0</v>
      </c>
      <c r="AK208" s="408">
        <v>0</v>
      </c>
      <c r="AL208" s="408">
        <v>0</v>
      </c>
      <c r="AM208" s="408"/>
      <c r="AN208" s="408">
        <v>0</v>
      </c>
      <c r="AO208" s="408">
        <v>2826.8887507147406</v>
      </c>
      <c r="AP208" s="408">
        <v>9502.711601806659</v>
      </c>
      <c r="AQ208" s="408">
        <v>0</v>
      </c>
      <c r="AR208" s="408">
        <v>0</v>
      </c>
      <c r="AS208" s="408"/>
      <c r="AT208" s="408"/>
      <c r="AU208" s="408">
        <v>0</v>
      </c>
      <c r="AV208" s="408">
        <v>0</v>
      </c>
      <c r="AW208" s="408">
        <v>0</v>
      </c>
      <c r="AX208" s="408"/>
      <c r="AY208" s="408"/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/>
      <c r="BG208" s="408">
        <v>0</v>
      </c>
      <c r="BH208" s="408">
        <v>0</v>
      </c>
      <c r="BI208" s="408">
        <v>3186.31</v>
      </c>
      <c r="BJ208" s="408">
        <v>14916.71</v>
      </c>
      <c r="BK208" s="408">
        <v>9487.67</v>
      </c>
      <c r="BL208" s="408">
        <v>15</v>
      </c>
      <c r="BM208" s="408"/>
      <c r="BN208" s="408"/>
      <c r="BO208" s="408"/>
      <c r="BP208" s="408"/>
      <c r="BQ208" s="408"/>
      <c r="BR208" s="408">
        <v>3185.2079999999969</v>
      </c>
      <c r="BS208" s="408"/>
      <c r="BT208" s="408"/>
      <c r="BU208" s="408"/>
      <c r="BV208" s="408">
        <v>0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76444.992000000013</v>
      </c>
      <c r="CJ208" s="408">
        <v>-56362.20600000002</v>
      </c>
      <c r="CK208" s="408"/>
      <c r="CL208" s="408"/>
      <c r="CM208" s="408"/>
      <c r="CN208" s="408"/>
      <c r="CO208" s="408">
        <v>-58710.599999999991</v>
      </c>
      <c r="CP208" s="408">
        <v>0</v>
      </c>
      <c r="CQ208" s="408">
        <v>31</v>
      </c>
      <c r="CR208" s="408">
        <v>967.53753527817753</v>
      </c>
      <c r="CS208" s="408">
        <v>274.47303820872776</v>
      </c>
      <c r="CT208" s="408">
        <v>922.65326108420413</v>
      </c>
      <c r="CU208" s="408">
        <v>0</v>
      </c>
      <c r="CV208" s="408">
        <v>0</v>
      </c>
      <c r="CW208" s="408"/>
      <c r="CX208" s="408"/>
      <c r="CY208" s="408"/>
      <c r="CZ208" s="408">
        <v>-229.58876401475209</v>
      </c>
      <c r="DA208" s="408">
        <v>0</v>
      </c>
      <c r="DB208" s="408">
        <v>0</v>
      </c>
      <c r="DC208" s="408"/>
      <c r="DD208" s="408"/>
      <c r="DE208" s="408">
        <v>0</v>
      </c>
      <c r="DF208" s="408">
        <v>0</v>
      </c>
      <c r="DG208" s="408">
        <v>0</v>
      </c>
      <c r="DH208" s="408">
        <v>0</v>
      </c>
      <c r="DI208" s="408">
        <v>0</v>
      </c>
      <c r="DJ208" s="408"/>
      <c r="DK208" s="408">
        <v>0</v>
      </c>
      <c r="DL208" s="408">
        <v>0</v>
      </c>
      <c r="DM208" s="408"/>
      <c r="DN208" s="408">
        <v>0</v>
      </c>
      <c r="DO208" s="408">
        <v>0</v>
      </c>
      <c r="DP208" s="408">
        <v>0</v>
      </c>
      <c r="DQ208" s="408">
        <v>0</v>
      </c>
      <c r="DR208" s="408">
        <v>0</v>
      </c>
      <c r="DS208" s="408"/>
      <c r="DT208" s="408"/>
      <c r="DU208" s="408">
        <v>112698.60674073464</v>
      </c>
      <c r="DV208" s="408"/>
      <c r="DW208" s="408">
        <v>0</v>
      </c>
      <c r="DX208" s="408">
        <v>0</v>
      </c>
      <c r="DY208" s="408">
        <v>-58710.599999999991</v>
      </c>
      <c r="DZ208" s="408"/>
      <c r="EA208" s="408">
        <v>0</v>
      </c>
      <c r="EB208" s="408"/>
      <c r="EC208" s="408">
        <v>-59667.937499177046</v>
      </c>
      <c r="ED208" s="408"/>
      <c r="EE208" s="408">
        <v>0</v>
      </c>
      <c r="EF208" s="408">
        <v>0</v>
      </c>
      <c r="EG208" s="408"/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/>
      <c r="EN208" s="408"/>
      <c r="EO208" s="408">
        <v>0</v>
      </c>
      <c r="EP208" s="408">
        <v>0</v>
      </c>
      <c r="EQ208" s="408"/>
      <c r="ER208" s="408">
        <v>0</v>
      </c>
      <c r="ES208" s="408"/>
      <c r="ET208" s="408">
        <v>0</v>
      </c>
      <c r="EU208" s="408"/>
      <c r="EV208" s="408">
        <v>239</v>
      </c>
      <c r="EW208" s="408"/>
      <c r="EX208" s="408"/>
      <c r="EY208" s="408"/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208</v>
      </c>
      <c r="B209" s="408" t="s">
        <v>2236</v>
      </c>
      <c r="C209" s="408" t="s">
        <v>2241</v>
      </c>
      <c r="D209" s="408" t="s">
        <v>596</v>
      </c>
      <c r="E209" s="408" t="s">
        <v>972</v>
      </c>
      <c r="F209" s="408" t="s">
        <v>1320</v>
      </c>
      <c r="G209" s="408" t="s">
        <v>1320</v>
      </c>
      <c r="H209" s="408" t="s">
        <v>1320</v>
      </c>
      <c r="I209" s="408" t="s">
        <v>1320</v>
      </c>
      <c r="J209" s="408" t="s">
        <v>2234</v>
      </c>
      <c r="K209" s="827">
        <v>44470</v>
      </c>
      <c r="L209" s="408">
        <v>170</v>
      </c>
      <c r="M209" s="408">
        <v>163.19999999999999</v>
      </c>
      <c r="N209" s="408">
        <v>0</v>
      </c>
      <c r="O209" s="408">
        <v>0</v>
      </c>
      <c r="P209" s="408">
        <v>0</v>
      </c>
      <c r="Q209" s="408">
        <v>0</v>
      </c>
      <c r="R209" s="408">
        <v>59.12</v>
      </c>
      <c r="S209" s="408"/>
      <c r="T209" s="408"/>
      <c r="U209" s="408">
        <v>10050.4</v>
      </c>
      <c r="V209" s="408"/>
      <c r="W209" s="408">
        <v>10050.4</v>
      </c>
      <c r="X209" s="408">
        <v>5785.1</v>
      </c>
      <c r="Y209" s="408">
        <v>0</v>
      </c>
      <c r="Z209" s="408">
        <v>0</v>
      </c>
      <c r="AA209" s="408">
        <v>0</v>
      </c>
      <c r="AB209" s="408">
        <v>0</v>
      </c>
      <c r="AC209" s="408">
        <v>97.250261766725941</v>
      </c>
      <c r="AD209" s="408">
        <v>869.89385062162319</v>
      </c>
      <c r="AE209" s="408">
        <v>8187.5056179166195</v>
      </c>
      <c r="AF209" s="408"/>
      <c r="AG209" s="408"/>
      <c r="AH209" s="408"/>
      <c r="AI209" s="408">
        <v>0</v>
      </c>
      <c r="AJ209" s="408">
        <v>0</v>
      </c>
      <c r="AK209" s="408">
        <v>0</v>
      </c>
      <c r="AL209" s="408">
        <v>0</v>
      </c>
      <c r="AM209" s="408"/>
      <c r="AN209" s="408">
        <v>0</v>
      </c>
      <c r="AO209" s="408">
        <v>205.3722596673102</v>
      </c>
      <c r="AP209" s="408">
        <v>690.3679368833898</v>
      </c>
      <c r="AQ209" s="408">
        <v>0</v>
      </c>
      <c r="AR209" s="408">
        <v>0</v>
      </c>
      <c r="AS209" s="408"/>
      <c r="AT209" s="408"/>
      <c r="AU209" s="408">
        <v>0</v>
      </c>
      <c r="AV209" s="408">
        <v>0</v>
      </c>
      <c r="AW209" s="408">
        <v>0</v>
      </c>
      <c r="AX209" s="408"/>
      <c r="AY209" s="408"/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/>
      <c r="BG209" s="408">
        <v>0</v>
      </c>
      <c r="BH209" s="408">
        <v>0</v>
      </c>
      <c r="BI209" s="408">
        <v>226.67</v>
      </c>
      <c r="BJ209" s="408">
        <v>1061.1500000000001</v>
      </c>
      <c r="BK209" s="408">
        <v>7.82</v>
      </c>
      <c r="BL209" s="408">
        <v>1</v>
      </c>
      <c r="BM209" s="408"/>
      <c r="BN209" s="408"/>
      <c r="BO209" s="408"/>
      <c r="BP209" s="408"/>
      <c r="BQ209" s="408"/>
      <c r="BR209" s="408">
        <v>231.40400000000039</v>
      </c>
      <c r="BS209" s="408"/>
      <c r="BT209" s="408"/>
      <c r="BU209" s="408"/>
      <c r="BV209" s="408">
        <v>0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5553.6959999999999</v>
      </c>
      <c r="CJ209" s="408">
        <v>-4094.7179999999989</v>
      </c>
      <c r="CK209" s="408"/>
      <c r="CL209" s="408"/>
      <c r="CM209" s="408"/>
      <c r="CN209" s="408"/>
      <c r="CO209" s="408">
        <v>-4265.2999999999993</v>
      </c>
      <c r="CP209" s="408">
        <v>0</v>
      </c>
      <c r="CQ209" s="408">
        <v>31</v>
      </c>
      <c r="CR209" s="408">
        <v>70.291188460380681</v>
      </c>
      <c r="CS209" s="408">
        <v>19.940348929693897</v>
      </c>
      <c r="CT209" s="408">
        <v>67.030365121501973</v>
      </c>
      <c r="CU209" s="408">
        <v>0</v>
      </c>
      <c r="CV209" s="408">
        <v>0</v>
      </c>
      <c r="CW209" s="408"/>
      <c r="CX209" s="408"/>
      <c r="CY209" s="408"/>
      <c r="CZ209" s="408">
        <v>-16.679525590815274</v>
      </c>
      <c r="DA209" s="408">
        <v>0</v>
      </c>
      <c r="DB209" s="408">
        <v>0</v>
      </c>
      <c r="DC209" s="408"/>
      <c r="DD209" s="408"/>
      <c r="DE209" s="408">
        <v>0</v>
      </c>
      <c r="DF209" s="408">
        <v>0</v>
      </c>
      <c r="DG209" s="408">
        <v>0</v>
      </c>
      <c r="DH209" s="408">
        <v>0</v>
      </c>
      <c r="DI209" s="408">
        <v>0</v>
      </c>
      <c r="DJ209" s="408"/>
      <c r="DK209" s="408">
        <v>0</v>
      </c>
      <c r="DL209" s="408">
        <v>0</v>
      </c>
      <c r="DM209" s="408"/>
      <c r="DN209" s="408">
        <v>0</v>
      </c>
      <c r="DO209" s="408">
        <v>0</v>
      </c>
      <c r="DP209" s="408">
        <v>0</v>
      </c>
      <c r="DQ209" s="408">
        <v>0</v>
      </c>
      <c r="DR209" s="408">
        <v>0</v>
      </c>
      <c r="DS209" s="408"/>
      <c r="DT209" s="408"/>
      <c r="DU209" s="408">
        <v>8187.5056179166195</v>
      </c>
      <c r="DV209" s="408"/>
      <c r="DW209" s="408">
        <v>0</v>
      </c>
      <c r="DX209" s="408">
        <v>0</v>
      </c>
      <c r="DY209" s="408">
        <v>-4265.2999999999993</v>
      </c>
      <c r="DZ209" s="408"/>
      <c r="EA209" s="408">
        <v>0</v>
      </c>
      <c r="EB209" s="408"/>
      <c r="EC209" s="408">
        <v>-4334.8501601966236</v>
      </c>
      <c r="ED209" s="408"/>
      <c r="EE209" s="408">
        <v>0</v>
      </c>
      <c r="EF209" s="408">
        <v>0</v>
      </c>
      <c r="EG209" s="408"/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/>
      <c r="EN209" s="408"/>
      <c r="EO209" s="408">
        <v>0</v>
      </c>
      <c r="EP209" s="408">
        <v>0</v>
      </c>
      <c r="EQ209" s="408"/>
      <c r="ER209" s="408">
        <v>0</v>
      </c>
      <c r="ES209" s="408"/>
      <c r="ET209" s="408">
        <v>0</v>
      </c>
      <c r="EU209" s="408"/>
      <c r="EV209" s="408">
        <v>239</v>
      </c>
      <c r="EW209" s="408"/>
      <c r="EX209" s="408"/>
      <c r="EY209" s="408"/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209</v>
      </c>
      <c r="B210" s="408" t="s">
        <v>1034</v>
      </c>
      <c r="C210" s="408" t="s">
        <v>2233</v>
      </c>
      <c r="D210" s="408" t="s">
        <v>1956</v>
      </c>
      <c r="E210" s="408" t="s">
        <v>2244</v>
      </c>
      <c r="F210" s="408" t="s">
        <v>1320</v>
      </c>
      <c r="G210" s="408" t="s">
        <v>1320</v>
      </c>
      <c r="H210" s="408" t="s">
        <v>1320</v>
      </c>
      <c r="I210" s="408" t="s">
        <v>1320</v>
      </c>
      <c r="J210" s="408" t="s">
        <v>2234</v>
      </c>
      <c r="K210" s="827">
        <v>44470</v>
      </c>
      <c r="L210" s="408">
        <v>0</v>
      </c>
      <c r="M210" s="408">
        <v>0</v>
      </c>
      <c r="N210" s="408">
        <v>167.69800000000001</v>
      </c>
      <c r="O210" s="408">
        <v>167.69800000000001</v>
      </c>
      <c r="P210" s="408">
        <v>167.69800000000001</v>
      </c>
      <c r="Q210" s="408">
        <v>167.69800000000001</v>
      </c>
      <c r="R210" s="408"/>
      <c r="S210" s="408">
        <v>516.83000000000004</v>
      </c>
      <c r="T210" s="408">
        <v>173.82</v>
      </c>
      <c r="U210" s="408"/>
      <c r="V210" s="408">
        <v>115820.62370000003</v>
      </c>
      <c r="W210" s="408">
        <v>115820.62370000003</v>
      </c>
      <c r="X210" s="408">
        <v>87446.122100000008</v>
      </c>
      <c r="Y210" s="408">
        <v>0</v>
      </c>
      <c r="Z210" s="408">
        <v>10254.641431709058</v>
      </c>
      <c r="AA210" s="408">
        <v>0</v>
      </c>
      <c r="AB210" s="408">
        <v>0</v>
      </c>
      <c r="AC210" s="408">
        <v>455.87763421950217</v>
      </c>
      <c r="AD210" s="408">
        <v>5773.2738990274238</v>
      </c>
      <c r="AE210" s="408">
        <v>60977.641617865091</v>
      </c>
      <c r="AF210" s="408">
        <v>26986.320286028236</v>
      </c>
      <c r="AG210" s="408">
        <v>1357.6604345188064</v>
      </c>
      <c r="AH210" s="408">
        <v>0</v>
      </c>
      <c r="AI210" s="408">
        <v>0</v>
      </c>
      <c r="AJ210" s="408">
        <v>0</v>
      </c>
      <c r="AK210" s="408">
        <v>0</v>
      </c>
      <c r="AL210" s="408">
        <v>1584.9970864894312</v>
      </c>
      <c r="AM210" s="408"/>
      <c r="AN210" s="408">
        <v>260.19048609834329</v>
      </c>
      <c r="AO210" s="408">
        <v>972.39748675345504</v>
      </c>
      <c r="AP210" s="408">
        <v>3184.4702896831095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93.040966254404083</v>
      </c>
      <c r="BF210" s="408">
        <v>805.90432281557332</v>
      </c>
      <c r="BG210" s="408">
        <v>3115.5476450242218</v>
      </c>
      <c r="BH210" s="408">
        <v>0</v>
      </c>
      <c r="BI210" s="408">
        <v>927.39</v>
      </c>
      <c r="BJ210" s="408">
        <v>4348.01</v>
      </c>
      <c r="BK210" s="408">
        <v>47866.79</v>
      </c>
      <c r="BL210" s="408">
        <v>259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31000.813220122436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87447.164999999994</v>
      </c>
      <c r="CJ210" s="408">
        <v>-28373.488700000016</v>
      </c>
      <c r="CK210" s="408"/>
      <c r="CL210" s="408"/>
      <c r="CM210" s="408"/>
      <c r="CN210" s="408"/>
      <c r="CO210" s="408">
        <v>-31928.02222000001</v>
      </c>
      <c r="CP210" s="408">
        <v>3553.5206199999998</v>
      </c>
      <c r="CQ210" s="408">
        <v>31</v>
      </c>
      <c r="CR210" s="408">
        <v>3908.3492988911385</v>
      </c>
      <c r="CS210" s="408">
        <v>94.413652630750448</v>
      </c>
      <c r="CT210" s="408">
        <v>309.19194654325202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-110.69795432258525</v>
      </c>
      <c r="DA210" s="408">
        <v>0</v>
      </c>
      <c r="DB210" s="408">
        <v>0</v>
      </c>
      <c r="DC210" s="408">
        <v>3463.9924629355955</v>
      </c>
      <c r="DD210" s="408">
        <v>103.44672673011996</v>
      </c>
      <c r="DE210" s="408">
        <v>11.942836312379669</v>
      </c>
      <c r="DF210" s="408">
        <v>0</v>
      </c>
      <c r="DG210" s="408">
        <v>399.91497343443871</v>
      </c>
      <c r="DH210" s="408">
        <v>0</v>
      </c>
      <c r="DI210" s="408">
        <v>-299.69707977551116</v>
      </c>
      <c r="DJ210" s="408"/>
      <c r="DK210" s="408">
        <v>0</v>
      </c>
      <c r="DL210" s="408">
        <v>0</v>
      </c>
      <c r="DM210" s="408">
        <v>-15.089897443976952</v>
      </c>
      <c r="DN210" s="408">
        <v>0</v>
      </c>
      <c r="DO210" s="408">
        <v>-41.050877073794481</v>
      </c>
      <c r="DP210" s="408">
        <v>-8.0174910795355174</v>
      </c>
      <c r="DQ210" s="408">
        <v>0</v>
      </c>
      <c r="DR210" s="408">
        <v>0</v>
      </c>
      <c r="DS210" s="408"/>
      <c r="DT210" s="408"/>
      <c r="DU210" s="408"/>
      <c r="DV210" s="408">
        <v>60977.641617865091</v>
      </c>
      <c r="DW210" s="408">
        <v>0</v>
      </c>
      <c r="DX210" s="408">
        <v>0</v>
      </c>
      <c r="DY210" s="408">
        <v>-31928.022220000013</v>
      </c>
      <c r="DZ210" s="408">
        <v>3553.5206199999993</v>
      </c>
      <c r="EA210" s="408">
        <v>0</v>
      </c>
      <c r="EB210" s="408">
        <v>0</v>
      </c>
      <c r="EC210" s="408">
        <v>-32284.42847809309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239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210</v>
      </c>
      <c r="B211" s="408" t="s">
        <v>2235</v>
      </c>
      <c r="C211" s="408" t="s">
        <v>2233</v>
      </c>
      <c r="D211" s="408" t="s">
        <v>1956</v>
      </c>
      <c r="E211" s="408" t="s">
        <v>2244</v>
      </c>
      <c r="F211" s="408" t="s">
        <v>1320</v>
      </c>
      <c r="G211" s="408" t="s">
        <v>1320</v>
      </c>
      <c r="H211" s="408" t="s">
        <v>1320</v>
      </c>
      <c r="I211" s="408" t="s">
        <v>1320</v>
      </c>
      <c r="J211" s="408" t="s">
        <v>2234</v>
      </c>
      <c r="K211" s="827">
        <v>44470</v>
      </c>
      <c r="L211" s="408">
        <v>0</v>
      </c>
      <c r="M211" s="408">
        <v>0</v>
      </c>
      <c r="N211" s="408">
        <v>5.9550000000000001</v>
      </c>
      <c r="O211" s="408">
        <v>5.9550000000000001</v>
      </c>
      <c r="P211" s="408">
        <v>5.9550000000000001</v>
      </c>
      <c r="Q211" s="408">
        <v>5.9550000000000001</v>
      </c>
      <c r="R211" s="408"/>
      <c r="S211" s="408">
        <v>516.83000000000004</v>
      </c>
      <c r="T211" s="408">
        <v>173.82</v>
      </c>
      <c r="U211" s="408"/>
      <c r="V211" s="408">
        <v>4112.8207499999999</v>
      </c>
      <c r="W211" s="408">
        <v>4112.8207499999999</v>
      </c>
      <c r="X211" s="408">
        <v>3105.2347499999996</v>
      </c>
      <c r="Y211" s="408">
        <v>0</v>
      </c>
      <c r="Z211" s="408">
        <v>364.14500903903115</v>
      </c>
      <c r="AA211" s="408">
        <v>0</v>
      </c>
      <c r="AB211" s="408">
        <v>0</v>
      </c>
      <c r="AC211" s="408">
        <v>16.188334457042632</v>
      </c>
      <c r="AD211" s="408">
        <v>205.01047161390301</v>
      </c>
      <c r="AE211" s="408">
        <v>2165.3320602176927</v>
      </c>
      <c r="AF211" s="408">
        <v>958.29131714926916</v>
      </c>
      <c r="AG211" s="408">
        <v>48.21087840975737</v>
      </c>
      <c r="AH211" s="408">
        <v>0</v>
      </c>
      <c r="AI211" s="408">
        <v>0</v>
      </c>
      <c r="AJ211" s="408">
        <v>0</v>
      </c>
      <c r="AK211" s="408">
        <v>0</v>
      </c>
      <c r="AL211" s="408">
        <v>56.283662596122575</v>
      </c>
      <c r="AM211" s="408"/>
      <c r="AN211" s="408">
        <v>9.2394324602299029</v>
      </c>
      <c r="AO211" s="408">
        <v>34.530090004751543</v>
      </c>
      <c r="AP211" s="408">
        <v>113.081375896331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3.3039091345452918</v>
      </c>
      <c r="BF211" s="408">
        <v>28.617874049581623</v>
      </c>
      <c r="BG211" s="408">
        <v>110.63391469259764</v>
      </c>
      <c r="BH211" s="408">
        <v>0</v>
      </c>
      <c r="BI211" s="408">
        <v>14.84</v>
      </c>
      <c r="BJ211" s="408">
        <v>70.62</v>
      </c>
      <c r="BK211" s="408">
        <v>1713.1</v>
      </c>
      <c r="BL211" s="408">
        <v>0</v>
      </c>
      <c r="BM211" s="408"/>
      <c r="BN211" s="408"/>
      <c r="BO211" s="408"/>
      <c r="BP211" s="408"/>
      <c r="BQ211" s="408"/>
      <c r="BR211" s="408"/>
      <c r="BS211" s="408"/>
      <c r="BT211" s="408"/>
      <c r="BU211" s="408"/>
      <c r="BV211" s="408">
        <v>1100.8470150259936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3107.8419999999996</v>
      </c>
      <c r="CJ211" s="408">
        <v>-1005.0087500000009</v>
      </c>
      <c r="CK211" s="408"/>
      <c r="CL211" s="408"/>
      <c r="CM211" s="408"/>
      <c r="CN211" s="408"/>
      <c r="CO211" s="408">
        <v>-1133.7724500000002</v>
      </c>
      <c r="CP211" s="408">
        <v>126.18644999999999</v>
      </c>
      <c r="CQ211" s="408">
        <v>31</v>
      </c>
      <c r="CR211" s="408">
        <v>138.78650952841735</v>
      </c>
      <c r="CS211" s="408">
        <v>3.3526535880935953</v>
      </c>
      <c r="CT211" s="408">
        <v>10.979487183300151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-3.9309134157294352</v>
      </c>
      <c r="DA211" s="408">
        <v>0</v>
      </c>
      <c r="DB211" s="408">
        <v>0</v>
      </c>
      <c r="DC211" s="408">
        <v>123.00728164188877</v>
      </c>
      <c r="DD211" s="408">
        <v>3.6734204205051029</v>
      </c>
      <c r="DE211" s="408">
        <v>0.42409325239550189</v>
      </c>
      <c r="DF211" s="408">
        <v>0</v>
      </c>
      <c r="DG211" s="408">
        <v>14.201085682608507</v>
      </c>
      <c r="DH211" s="408">
        <v>0</v>
      </c>
      <c r="DI211" s="408">
        <v>-10.642321972016191</v>
      </c>
      <c r="DJ211" s="408"/>
      <c r="DK211" s="408">
        <v>0</v>
      </c>
      <c r="DL211" s="408">
        <v>0</v>
      </c>
      <c r="DM211" s="408">
        <v>-0.5358462192684641</v>
      </c>
      <c r="DN211" s="408">
        <v>0</v>
      </c>
      <c r="DO211" s="408">
        <v>-1.4577274205682045</v>
      </c>
      <c r="DP211" s="408">
        <v>-0.28470321279105271</v>
      </c>
      <c r="DQ211" s="408">
        <v>0</v>
      </c>
      <c r="DR211" s="408">
        <v>0</v>
      </c>
      <c r="DS211" s="408"/>
      <c r="DT211" s="408"/>
      <c r="DU211" s="408"/>
      <c r="DV211" s="408">
        <v>2165.3320602176927</v>
      </c>
      <c r="DW211" s="408">
        <v>0</v>
      </c>
      <c r="DX211" s="408">
        <v>0</v>
      </c>
      <c r="DY211" s="408">
        <v>-1133.7724500000002</v>
      </c>
      <c r="DZ211" s="408">
        <v>126.18644999999992</v>
      </c>
      <c r="EA211" s="408">
        <v>0</v>
      </c>
      <c r="EB211" s="408">
        <v>0</v>
      </c>
      <c r="EC211" s="408">
        <v>-1146.4285297799879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239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211</v>
      </c>
      <c r="B212" s="408" t="s">
        <v>2236</v>
      </c>
      <c r="C212" s="408" t="s">
        <v>2233</v>
      </c>
      <c r="D212" s="408" t="s">
        <v>1956</v>
      </c>
      <c r="E212" s="408" t="s">
        <v>2244</v>
      </c>
      <c r="F212" s="408" t="s">
        <v>1320</v>
      </c>
      <c r="G212" s="408" t="s">
        <v>1320</v>
      </c>
      <c r="H212" s="408" t="s">
        <v>1320</v>
      </c>
      <c r="I212" s="408" t="s">
        <v>1320</v>
      </c>
      <c r="J212" s="408" t="s">
        <v>2234</v>
      </c>
      <c r="K212" s="827">
        <v>44470</v>
      </c>
      <c r="L212" s="408">
        <v>0</v>
      </c>
      <c r="M212" s="408">
        <v>0</v>
      </c>
      <c r="N212" s="408">
        <v>0.1</v>
      </c>
      <c r="O212" s="408">
        <v>0.1</v>
      </c>
      <c r="P212" s="408">
        <v>0.1</v>
      </c>
      <c r="Q212" s="408">
        <v>0.1</v>
      </c>
      <c r="R212" s="408"/>
      <c r="S212" s="408">
        <v>516.83000000000004</v>
      </c>
      <c r="T212" s="408">
        <v>173.82</v>
      </c>
      <c r="U212" s="408"/>
      <c r="V212" s="408">
        <v>69.065000000000012</v>
      </c>
      <c r="W212" s="408">
        <v>69.065000000000012</v>
      </c>
      <c r="X212" s="408">
        <v>52.144999999999996</v>
      </c>
      <c r="Y212" s="408">
        <v>0</v>
      </c>
      <c r="Z212" s="408">
        <v>6.1149455758023699</v>
      </c>
      <c r="AA212" s="408">
        <v>0</v>
      </c>
      <c r="AB212" s="408">
        <v>0</v>
      </c>
      <c r="AC212" s="408">
        <v>0.27184440733908705</v>
      </c>
      <c r="AD212" s="408">
        <v>3.4426611522066</v>
      </c>
      <c r="AE212" s="408">
        <v>36.361579516669899</v>
      </c>
      <c r="AF212" s="408">
        <v>16.0922135541439</v>
      </c>
      <c r="AG212" s="408">
        <v>0.80958653920667301</v>
      </c>
      <c r="AH212" s="408">
        <v>0</v>
      </c>
      <c r="AI212" s="408">
        <v>0</v>
      </c>
      <c r="AJ212" s="408">
        <v>0</v>
      </c>
      <c r="AK212" s="408">
        <v>0</v>
      </c>
      <c r="AL212" s="408">
        <v>0.94514966576192405</v>
      </c>
      <c r="AM212" s="408"/>
      <c r="AN212" s="408">
        <v>0.155154197484969</v>
      </c>
      <c r="AO212" s="408">
        <v>0.57985037791354399</v>
      </c>
      <c r="AP212" s="408">
        <v>1.8989315851608901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5.5481261705210609E-2</v>
      </c>
      <c r="BF212" s="408">
        <v>0.48056883374612297</v>
      </c>
      <c r="BG212" s="408">
        <v>1.8578323206145702</v>
      </c>
      <c r="BH212" s="408">
        <v>0</v>
      </c>
      <c r="BI212" s="408">
        <v>0.55000000000000004</v>
      </c>
      <c r="BJ212" s="408">
        <v>2.59</v>
      </c>
      <c r="BK212" s="408">
        <v>131.05000000000001</v>
      </c>
      <c r="BL212" s="408">
        <v>1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>
        <v>18.486095970209803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52.144999999999996</v>
      </c>
      <c r="CJ212" s="408">
        <v>-16.950000000000017</v>
      </c>
      <c r="CK212" s="408"/>
      <c r="CL212" s="408"/>
      <c r="CM212" s="408"/>
      <c r="CN212" s="408"/>
      <c r="CO212" s="408">
        <v>-19.039000000000005</v>
      </c>
      <c r="CP212" s="408">
        <v>2.1189999999999998</v>
      </c>
      <c r="CQ212" s="408">
        <v>31</v>
      </c>
      <c r="CR212" s="408">
        <v>2.3305879014008113</v>
      </c>
      <c r="CS212" s="408">
        <v>5.6299808364292048E-2</v>
      </c>
      <c r="CT212" s="408">
        <v>0.1843742600050402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-6.6010300851879755E-2</v>
      </c>
      <c r="DA212" s="408">
        <v>0</v>
      </c>
      <c r="DB212" s="408">
        <v>0</v>
      </c>
      <c r="DC212" s="408">
        <v>2.0656134616606003</v>
      </c>
      <c r="DD212" s="408">
        <v>6.1686321083209095E-2</v>
      </c>
      <c r="DE212" s="408">
        <v>7.1216331216709047E-3</v>
      </c>
      <c r="DF212" s="408">
        <v>0</v>
      </c>
      <c r="DG212" s="408">
        <v>0.23847331121088988</v>
      </c>
      <c r="DH212" s="408">
        <v>0</v>
      </c>
      <c r="DI212" s="408">
        <v>-0.17871237568456966</v>
      </c>
      <c r="DJ212" s="408"/>
      <c r="DK212" s="408">
        <v>0</v>
      </c>
      <c r="DL212" s="408">
        <v>0</v>
      </c>
      <c r="DM212" s="408">
        <v>-8.9982572505200586E-3</v>
      </c>
      <c r="DN212" s="408">
        <v>0</v>
      </c>
      <c r="DO212" s="408">
        <v>-2.4479049883597059E-2</v>
      </c>
      <c r="DP212" s="408">
        <v>-4.780910374324987E-3</v>
      </c>
      <c r="DQ212" s="408">
        <v>0</v>
      </c>
      <c r="DR212" s="408">
        <v>0</v>
      </c>
      <c r="DS212" s="408"/>
      <c r="DT212" s="408"/>
      <c r="DU212" s="408"/>
      <c r="DV212" s="408">
        <v>36.361579516669899</v>
      </c>
      <c r="DW212" s="408">
        <v>0</v>
      </c>
      <c r="DX212" s="408">
        <v>0</v>
      </c>
      <c r="DY212" s="408">
        <v>-19.039000000000009</v>
      </c>
      <c r="DZ212" s="408">
        <v>2.1189999999999998</v>
      </c>
      <c r="EA212" s="408">
        <v>0</v>
      </c>
      <c r="EB212" s="408">
        <v>0</v>
      </c>
      <c r="EC212" s="408">
        <v>-19.251528627707597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239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212</v>
      </c>
      <c r="B213" s="408" t="s">
        <v>1034</v>
      </c>
      <c r="C213" s="408" t="s">
        <v>2245</v>
      </c>
      <c r="D213" s="408" t="s">
        <v>596</v>
      </c>
      <c r="E213" s="408" t="s">
        <v>2244</v>
      </c>
      <c r="F213" s="408" t="s">
        <v>1320</v>
      </c>
      <c r="G213" s="408" t="s">
        <v>1320</v>
      </c>
      <c r="H213" s="408" t="s">
        <v>1320</v>
      </c>
      <c r="I213" s="408" t="s">
        <v>971</v>
      </c>
      <c r="J213" s="408" t="s">
        <v>2234</v>
      </c>
      <c r="K213" s="827">
        <v>44470</v>
      </c>
      <c r="L213" s="408">
        <v>498</v>
      </c>
      <c r="M213" s="408">
        <v>498</v>
      </c>
      <c r="N213" s="408">
        <v>24.786000000000001</v>
      </c>
      <c r="O213" s="408">
        <v>24.786000000000001</v>
      </c>
      <c r="P213" s="408">
        <v>24.786000000000001</v>
      </c>
      <c r="Q213" s="408">
        <v>24.786000000000001</v>
      </c>
      <c r="R213" s="408">
        <v>67.099999999999994</v>
      </c>
      <c r="S213" s="408">
        <v>70.33</v>
      </c>
      <c r="T213" s="408">
        <v>173.82</v>
      </c>
      <c r="U213" s="408">
        <v>33415.799999999996</v>
      </c>
      <c r="V213" s="408">
        <v>6051.5019000000002</v>
      </c>
      <c r="W213" s="408">
        <v>39467.301899999991</v>
      </c>
      <c r="X213" s="408">
        <v>27487.603379999997</v>
      </c>
      <c r="Y213" s="408">
        <v>0</v>
      </c>
      <c r="Z213" s="408">
        <v>1318.6158570639886</v>
      </c>
      <c r="AA213" s="408">
        <v>0</v>
      </c>
      <c r="AB213" s="408">
        <v>0</v>
      </c>
      <c r="AC213" s="408">
        <v>372.7122068947549</v>
      </c>
      <c r="AD213" s="408">
        <v>5685.7821040364288</v>
      </c>
      <c r="AE213" s="408">
        <v>23984.575280720452</v>
      </c>
      <c r="AF213" s="408">
        <v>3988.6160515301071</v>
      </c>
      <c r="AG213" s="408">
        <v>200.66411960776597</v>
      </c>
      <c r="AH213" s="408">
        <v>0</v>
      </c>
      <c r="AI213" s="408">
        <v>0</v>
      </c>
      <c r="AJ213" s="408">
        <v>0</v>
      </c>
      <c r="AK213" s="408">
        <v>0</v>
      </c>
      <c r="AL213" s="408">
        <v>234.26479615575047</v>
      </c>
      <c r="AM213" s="408"/>
      <c r="AN213" s="408">
        <v>30.802322279513746</v>
      </c>
      <c r="AO213" s="408">
        <v>800.43555144584877</v>
      </c>
      <c r="AP213" s="408">
        <v>2573.8119900515835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4.6249095817236316</v>
      </c>
      <c r="BF213" s="408">
        <v>119.11379113231405</v>
      </c>
      <c r="BG213" s="408">
        <v>154.86862116618397</v>
      </c>
      <c r="BH213" s="408">
        <v>0</v>
      </c>
      <c r="BI213" s="408">
        <v>0</v>
      </c>
      <c r="BJ213" s="408">
        <v>0</v>
      </c>
      <c r="BK213" s="408">
        <v>0</v>
      </c>
      <c r="BL213" s="408">
        <v>0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4267.2233734103293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27488.6607</v>
      </c>
      <c r="CJ213" s="408">
        <v>-11978.671199999997</v>
      </c>
      <c r="CK213" s="408"/>
      <c r="CL213" s="408"/>
      <c r="CM213" s="408"/>
      <c r="CN213" s="408"/>
      <c r="CO213" s="408">
        <v>-12504.913859999997</v>
      </c>
      <c r="CP213" s="408">
        <v>525.21533999999997</v>
      </c>
      <c r="CQ213" s="408">
        <v>31</v>
      </c>
      <c r="CR213" s="408">
        <v>718.55899091925858</v>
      </c>
      <c r="CS213" s="408">
        <v>77.717235119377051</v>
      </c>
      <c r="CT213" s="408">
        <v>249.90088361592052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-109.02036845102521</v>
      </c>
      <c r="DA213" s="408">
        <v>0</v>
      </c>
      <c r="DB213" s="408">
        <v>0</v>
      </c>
      <c r="DC213" s="408">
        <v>511.98295260719624</v>
      </c>
      <c r="DD213" s="408">
        <v>15.28957154368419</v>
      </c>
      <c r="DE213" s="408">
        <v>0.59365825955690799</v>
      </c>
      <c r="DF213" s="408">
        <v>0</v>
      </c>
      <c r="DG213" s="408">
        <v>19.879099142783645</v>
      </c>
      <c r="DH213" s="408">
        <v>0</v>
      </c>
      <c r="DI213" s="408">
        <v>-38.537215010345335</v>
      </c>
      <c r="DJ213" s="408"/>
      <c r="DK213" s="408">
        <v>0</v>
      </c>
      <c r="DL213" s="408">
        <v>0</v>
      </c>
      <c r="DM213" s="408">
        <v>-2.2303080421138759</v>
      </c>
      <c r="DN213" s="408">
        <v>0</v>
      </c>
      <c r="DO213" s="408">
        <v>-6.0673773041483514</v>
      </c>
      <c r="DP213" s="408">
        <v>-0.94914056162556903</v>
      </c>
      <c r="DQ213" s="408">
        <v>0</v>
      </c>
      <c r="DR213" s="408">
        <v>0</v>
      </c>
      <c r="DS213" s="408"/>
      <c r="DT213" s="408"/>
      <c r="DU213" s="408">
        <v>23984.575280720452</v>
      </c>
      <c r="DV213" s="408">
        <v>0</v>
      </c>
      <c r="DW213" s="408">
        <v>0</v>
      </c>
      <c r="DX213" s="408">
        <v>0</v>
      </c>
      <c r="DY213" s="408">
        <v>-12504.913859999997</v>
      </c>
      <c r="DZ213" s="408">
        <v>525.21533999999974</v>
      </c>
      <c r="EA213" s="408">
        <v>0</v>
      </c>
      <c r="EB213" s="408">
        <v>0</v>
      </c>
      <c r="EC213" s="408">
        <v>-12698.561057517169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239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213</v>
      </c>
      <c r="B214" s="408" t="s">
        <v>1034</v>
      </c>
      <c r="C214" s="408" t="s">
        <v>2245</v>
      </c>
      <c r="D214" s="408" t="s">
        <v>596</v>
      </c>
      <c r="E214" s="408" t="s">
        <v>2244</v>
      </c>
      <c r="F214" s="408" t="s">
        <v>1320</v>
      </c>
      <c r="G214" s="408" t="s">
        <v>1320</v>
      </c>
      <c r="H214" s="408" t="s">
        <v>1320</v>
      </c>
      <c r="I214" s="408" t="s">
        <v>2242</v>
      </c>
      <c r="J214" s="408" t="s">
        <v>2234</v>
      </c>
      <c r="K214" s="827">
        <v>44470</v>
      </c>
      <c r="L214" s="408">
        <v>496</v>
      </c>
      <c r="M214" s="408">
        <v>496</v>
      </c>
      <c r="N214" s="408">
        <v>158.45400000000001</v>
      </c>
      <c r="O214" s="408">
        <v>158.45400000000001</v>
      </c>
      <c r="P214" s="408">
        <v>158.45400000000001</v>
      </c>
      <c r="Q214" s="408">
        <v>158.45400000000001</v>
      </c>
      <c r="R214" s="408">
        <v>59.12</v>
      </c>
      <c r="S214" s="408">
        <v>70.33</v>
      </c>
      <c r="T214" s="408">
        <v>173.82</v>
      </c>
      <c r="U214" s="408">
        <v>29323.52</v>
      </c>
      <c r="V214" s="408">
        <v>38686.544099999999</v>
      </c>
      <c r="W214" s="408">
        <v>68010.064100000003</v>
      </c>
      <c r="X214" s="408">
        <v>58763.025819999995</v>
      </c>
      <c r="Y214" s="408">
        <v>0</v>
      </c>
      <c r="Z214" s="408">
        <v>8429.7570005332545</v>
      </c>
      <c r="AA214" s="408">
        <v>0</v>
      </c>
      <c r="AB214" s="408">
        <v>0</v>
      </c>
      <c r="AC214" s="408">
        <v>283.74194021350627</v>
      </c>
      <c r="AD214" s="408">
        <v>2538.0432347548535</v>
      </c>
      <c r="AE214" s="408">
        <v>23888.25168521555</v>
      </c>
      <c r="AF214" s="408">
        <v>25498.756065083177</v>
      </c>
      <c r="AG214" s="408">
        <v>1282.8222548345416</v>
      </c>
      <c r="AH214" s="408">
        <v>0</v>
      </c>
      <c r="AI214" s="408">
        <v>0</v>
      </c>
      <c r="AJ214" s="408">
        <v>0</v>
      </c>
      <c r="AK214" s="408">
        <v>0</v>
      </c>
      <c r="AL214" s="408">
        <v>1497.6274513863991</v>
      </c>
      <c r="AM214" s="408"/>
      <c r="AN214" s="408">
        <v>196.91564489946225</v>
      </c>
      <c r="AO214" s="408">
        <v>599.2037693822698</v>
      </c>
      <c r="AP214" s="408">
        <v>2014.2499805538903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29.566506207634809</v>
      </c>
      <c r="BF214" s="408">
        <v>761.48053982408169</v>
      </c>
      <c r="BG214" s="408">
        <v>990.05698774576433</v>
      </c>
      <c r="BH214" s="408">
        <v>0</v>
      </c>
      <c r="BI214" s="408">
        <v>0</v>
      </c>
      <c r="BJ214" s="408">
        <v>0</v>
      </c>
      <c r="BK214" s="408">
        <v>0</v>
      </c>
      <c r="BL214" s="408">
        <v>0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>
        <v>27279.860098860656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58761.968499999995</v>
      </c>
      <c r="CJ214" s="408">
        <v>-9248.1256000000067</v>
      </c>
      <c r="CK214" s="408"/>
      <c r="CL214" s="408"/>
      <c r="CM214" s="408"/>
      <c r="CN214" s="408"/>
      <c r="CO214" s="408">
        <v>-12604.678539999999</v>
      </c>
      <c r="CP214" s="408">
        <v>3357.6402599999997</v>
      </c>
      <c r="CQ214" s="408">
        <v>31</v>
      </c>
      <c r="CR214" s="408">
        <v>3401.2786347626825</v>
      </c>
      <c r="CS214" s="408">
        <v>58.17890040663633</v>
      </c>
      <c r="CT214" s="408">
        <v>195.57094764861745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-48.664968782614324</v>
      </c>
      <c r="DA214" s="408">
        <v>0</v>
      </c>
      <c r="DB214" s="408">
        <v>0</v>
      </c>
      <c r="DC214" s="408">
        <v>3273.0471545396867</v>
      </c>
      <c r="DD214" s="408">
        <v>97.744443209188148</v>
      </c>
      <c r="DE214" s="408">
        <v>3.7951878423235001</v>
      </c>
      <c r="DF214" s="408">
        <v>0</v>
      </c>
      <c r="DG214" s="408">
        <v>127.08475653879771</v>
      </c>
      <c r="DH214" s="408">
        <v>0</v>
      </c>
      <c r="DI214" s="408">
        <v>-246.36390975749418</v>
      </c>
      <c r="DJ214" s="408"/>
      <c r="DK214" s="408">
        <v>0</v>
      </c>
      <c r="DL214" s="408">
        <v>0</v>
      </c>
      <c r="DM214" s="408">
        <v>-14.258098543738924</v>
      </c>
      <c r="DN214" s="408">
        <v>0</v>
      </c>
      <c r="DO214" s="408">
        <v>-38.788033702554912</v>
      </c>
      <c r="DP214" s="408">
        <v>-6.0677446361582383</v>
      </c>
      <c r="DQ214" s="408">
        <v>0</v>
      </c>
      <c r="DR214" s="408">
        <v>0</v>
      </c>
      <c r="DS214" s="408"/>
      <c r="DT214" s="408"/>
      <c r="DU214" s="408">
        <v>23888.25168521555</v>
      </c>
      <c r="DV214" s="408">
        <v>0</v>
      </c>
      <c r="DW214" s="408">
        <v>0</v>
      </c>
      <c r="DX214" s="408">
        <v>0</v>
      </c>
      <c r="DY214" s="408">
        <v>-12604.678540000001</v>
      </c>
      <c r="DZ214" s="408">
        <v>3357.6402600000001</v>
      </c>
      <c r="EA214" s="408">
        <v>0</v>
      </c>
      <c r="EB214" s="408">
        <v>0</v>
      </c>
      <c r="EC214" s="408">
        <v>-12647.562820338384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239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214</v>
      </c>
      <c r="B215" s="408" t="s">
        <v>1034</v>
      </c>
      <c r="C215" s="408" t="s">
        <v>2245</v>
      </c>
      <c r="D215" s="408" t="s">
        <v>596</v>
      </c>
      <c r="E215" s="408" t="s">
        <v>2244</v>
      </c>
      <c r="F215" s="408" t="s">
        <v>1320</v>
      </c>
      <c r="G215" s="408" t="s">
        <v>1320</v>
      </c>
      <c r="H215" s="408" t="s">
        <v>1320</v>
      </c>
      <c r="I215" s="408" t="s">
        <v>1320</v>
      </c>
      <c r="J215" s="408" t="s">
        <v>2234</v>
      </c>
      <c r="K215" s="827">
        <v>44470</v>
      </c>
      <c r="L215" s="408">
        <v>0</v>
      </c>
      <c r="M215" s="408">
        <v>0</v>
      </c>
      <c r="N215" s="408">
        <v>0</v>
      </c>
      <c r="O215" s="408">
        <v>0</v>
      </c>
      <c r="P215" s="408">
        <v>0</v>
      </c>
      <c r="Q215" s="408">
        <v>0</v>
      </c>
      <c r="R215" s="408"/>
      <c r="S215" s="408"/>
      <c r="T215" s="408"/>
      <c r="U215" s="408"/>
      <c r="V215" s="408"/>
      <c r="W215" s="408"/>
      <c r="X215" s="408"/>
      <c r="Y215" s="408"/>
      <c r="Z215" s="408"/>
      <c r="AA215" s="408">
        <v>0</v>
      </c>
      <c r="AB215" s="408"/>
      <c r="AC215" s="408"/>
      <c r="AD215" s="408"/>
      <c r="AE215" s="408"/>
      <c r="AF215" s="408"/>
      <c r="AG215" s="408"/>
      <c r="AH215" s="408"/>
      <c r="AI215" s="408"/>
      <c r="AJ215" s="408"/>
      <c r="AK215" s="408"/>
      <c r="AL215" s="408"/>
      <c r="AM215" s="408"/>
      <c r="AN215" s="408"/>
      <c r="AO215" s="408"/>
      <c r="AP215" s="408"/>
      <c r="AQ215" s="408"/>
      <c r="AR215" s="408"/>
      <c r="AS215" s="408"/>
      <c r="AT215" s="408"/>
      <c r="AU215" s="408"/>
      <c r="AV215" s="408"/>
      <c r="AW215" s="408"/>
      <c r="AX215" s="408"/>
      <c r="AY215" s="408"/>
      <c r="AZ215" s="408">
        <v>0</v>
      </c>
      <c r="BA215" s="408"/>
      <c r="BB215" s="408"/>
      <c r="BC215" s="408"/>
      <c r="BD215" s="408"/>
      <c r="BE215" s="408"/>
      <c r="BF215" s="408"/>
      <c r="BG215" s="408"/>
      <c r="BH215" s="408"/>
      <c r="BI215" s="408">
        <v>1012.6</v>
      </c>
      <c r="BJ215" s="408">
        <v>4740.4399999999996</v>
      </c>
      <c r="BK215" s="408">
        <v>0</v>
      </c>
      <c r="BL215" s="408">
        <v>1</v>
      </c>
      <c r="BM215" s="408"/>
      <c r="BN215" s="408"/>
      <c r="BO215" s="408"/>
      <c r="BP215" s="408"/>
      <c r="BQ215" s="408"/>
      <c r="BR215" s="408"/>
      <c r="BS215" s="408"/>
      <c r="BT215" s="408"/>
      <c r="BU215" s="408"/>
      <c r="BV215" s="408"/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/>
      <c r="CJ215" s="408">
        <v>-0.03</v>
      </c>
      <c r="CK215" s="408"/>
      <c r="CL215" s="408"/>
      <c r="CM215" s="408"/>
      <c r="CN215" s="408"/>
      <c r="CO215" s="408">
        <v>0</v>
      </c>
      <c r="CP215" s="408">
        <v>0</v>
      </c>
      <c r="CQ215" s="408">
        <v>31</v>
      </c>
      <c r="CR215" s="408"/>
      <c r="CS215" s="408"/>
      <c r="CT215" s="408"/>
      <c r="CU215" s="408"/>
      <c r="CV215" s="408"/>
      <c r="CW215" s="408"/>
      <c r="CX215" s="408"/>
      <c r="CY215" s="408"/>
      <c r="CZ215" s="408"/>
      <c r="DA215" s="408"/>
      <c r="DB215" s="408"/>
      <c r="DC215" s="408"/>
      <c r="DD215" s="408"/>
      <c r="DE215" s="408"/>
      <c r="DF215" s="408"/>
      <c r="DG215" s="408"/>
      <c r="DH215" s="408"/>
      <c r="DI215" s="408"/>
      <c r="DJ215" s="408"/>
      <c r="DK215" s="408">
        <v>0</v>
      </c>
      <c r="DL215" s="408"/>
      <c r="DM215" s="408"/>
      <c r="DN215" s="408"/>
      <c r="DO215" s="408"/>
      <c r="DP215" s="408"/>
      <c r="DQ215" s="408"/>
      <c r="DR215" s="408"/>
      <c r="DS215" s="408"/>
      <c r="DT215" s="408"/>
      <c r="DU215" s="408"/>
      <c r="DV215" s="408"/>
      <c r="DW215" s="408"/>
      <c r="DX215" s="408"/>
      <c r="DY215" s="408"/>
      <c r="DZ215" s="408"/>
      <c r="EA215" s="408"/>
      <c r="EB215" s="408"/>
      <c r="EC215" s="408"/>
      <c r="ED215" s="408"/>
      <c r="EE215" s="408"/>
      <c r="EF215" s="408"/>
      <c r="EG215" s="408"/>
      <c r="EH215" s="408"/>
      <c r="EI215" s="408"/>
      <c r="EJ215" s="408"/>
      <c r="EK215" s="408"/>
      <c r="EL215" s="408"/>
      <c r="EM215" s="408"/>
      <c r="EN215" s="408"/>
      <c r="EO215" s="408"/>
      <c r="EP215" s="408"/>
      <c r="EQ215" s="408"/>
      <c r="ER215" s="408"/>
      <c r="ES215" s="408"/>
      <c r="ET215" s="408"/>
      <c r="EU215" s="408"/>
      <c r="EV215" s="408">
        <v>239</v>
      </c>
      <c r="EW215" s="408"/>
      <c r="EX215" s="408"/>
      <c r="EY215" s="408"/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215</v>
      </c>
      <c r="B216" s="408" t="s">
        <v>1034</v>
      </c>
      <c r="C216" s="408" t="s">
        <v>2233</v>
      </c>
      <c r="D216" s="408" t="s">
        <v>2246</v>
      </c>
      <c r="E216" s="408" t="s">
        <v>2247</v>
      </c>
      <c r="F216" s="408" t="s">
        <v>2248</v>
      </c>
      <c r="G216" s="408" t="s">
        <v>1320</v>
      </c>
      <c r="H216" s="408" t="s">
        <v>1320</v>
      </c>
      <c r="I216" s="408" t="s">
        <v>1320</v>
      </c>
      <c r="J216" s="408" t="s">
        <v>2234</v>
      </c>
      <c r="K216" s="827">
        <v>44470</v>
      </c>
      <c r="L216" s="408">
        <v>0</v>
      </c>
      <c r="M216" s="408">
        <v>0</v>
      </c>
      <c r="N216" s="408">
        <v>298.56299999999999</v>
      </c>
      <c r="O216" s="408">
        <v>298.56299999999999</v>
      </c>
      <c r="P216" s="408">
        <v>298.56299999999999</v>
      </c>
      <c r="Q216" s="408">
        <v>298.56299999999999</v>
      </c>
      <c r="R216" s="408"/>
      <c r="S216" s="408">
        <v>284.26</v>
      </c>
      <c r="T216" s="408">
        <v>95.6</v>
      </c>
      <c r="U216" s="408"/>
      <c r="V216" s="408">
        <v>113412.14117999999</v>
      </c>
      <c r="W216" s="408">
        <v>113412.14117999999</v>
      </c>
      <c r="X216" s="408">
        <v>85624.882769999997</v>
      </c>
      <c r="Y216" s="408">
        <v>0</v>
      </c>
      <c r="Z216" s="408">
        <v>10041.330727715576</v>
      </c>
      <c r="AA216" s="408">
        <v>0</v>
      </c>
      <c r="AB216" s="408">
        <v>0</v>
      </c>
      <c r="AC216" s="408">
        <v>446.39474983608949</v>
      </c>
      <c r="AD216" s="408">
        <v>5653.181828724425</v>
      </c>
      <c r="AE216" s="408">
        <v>59709.222458795201</v>
      </c>
      <c r="AF216" s="408">
        <v>26424.967554512303</v>
      </c>
      <c r="AG216" s="408">
        <v>1329.4192224783901</v>
      </c>
      <c r="AH216" s="408">
        <v>0</v>
      </c>
      <c r="AI216" s="408">
        <v>0</v>
      </c>
      <c r="AJ216" s="408">
        <v>0</v>
      </c>
      <c r="AK216" s="408">
        <v>0</v>
      </c>
      <c r="AL216" s="408">
        <v>1552.0269581238247</v>
      </c>
      <c r="AM216" s="408"/>
      <c r="AN216" s="408">
        <v>254.77816465037714</v>
      </c>
      <c r="AO216" s="408">
        <v>952.17027609550723</v>
      </c>
      <c r="AP216" s="408">
        <v>3118.2289097321504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91.105585661710265</v>
      </c>
      <c r="BF216" s="408">
        <v>789.14039990359151</v>
      </c>
      <c r="BG216" s="408">
        <v>3050.7399512680527</v>
      </c>
      <c r="BH216" s="408">
        <v>0</v>
      </c>
      <c r="BI216" s="408">
        <v>1068.6199999999999</v>
      </c>
      <c r="BJ216" s="408">
        <v>5003.1499999999996</v>
      </c>
      <c r="BK216" s="408">
        <v>33523.050000000003</v>
      </c>
      <c r="BL216" s="408">
        <v>15</v>
      </c>
      <c r="BM216" s="408"/>
      <c r="BN216" s="408"/>
      <c r="BO216" s="408"/>
      <c r="BP216" s="408"/>
      <c r="BQ216" s="408"/>
      <c r="BR216" s="408"/>
      <c r="BS216" s="408"/>
      <c r="BT216" s="408"/>
      <c r="BU216" s="408"/>
      <c r="BV216" s="408">
        <v>30355.953491345655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85624.022400000002</v>
      </c>
      <c r="CJ216" s="408">
        <v>-27788.148779999974</v>
      </c>
      <c r="CK216" s="408"/>
      <c r="CL216" s="408"/>
      <c r="CM216" s="408"/>
      <c r="CN216" s="408"/>
      <c r="CO216" s="408">
        <v>-31265.517359999998</v>
      </c>
      <c r="CP216" s="408">
        <v>3478.2589500000017</v>
      </c>
      <c r="CQ216" s="408">
        <v>31</v>
      </c>
      <c r="CR216" s="408">
        <v>3827.0502358324957</v>
      </c>
      <c r="CS216" s="408">
        <v>92.449718265675983</v>
      </c>
      <c r="CT216" s="408">
        <v>302.76032704436057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-108.39528399280789</v>
      </c>
      <c r="DA216" s="408">
        <v>0</v>
      </c>
      <c r="DB216" s="408">
        <v>0</v>
      </c>
      <c r="DC216" s="408">
        <v>3391.9366357456347</v>
      </c>
      <c r="DD216" s="408">
        <v>101.29489194861378</v>
      </c>
      <c r="DE216" s="408">
        <v>11.694408823379874</v>
      </c>
      <c r="DF216" s="408">
        <v>0</v>
      </c>
      <c r="DG216" s="408">
        <v>391.59618968281484</v>
      </c>
      <c r="DH216" s="408">
        <v>0</v>
      </c>
      <c r="DI216" s="408">
        <v>-293.4629666183373</v>
      </c>
      <c r="DJ216" s="408"/>
      <c r="DK216" s="408">
        <v>0</v>
      </c>
      <c r="DL216" s="408">
        <v>0</v>
      </c>
      <c r="DM216" s="408">
        <v>-14.776006737178704</v>
      </c>
      <c r="DN216" s="408">
        <v>0</v>
      </c>
      <c r="DO216" s="408">
        <v>-40.196962137179071</v>
      </c>
      <c r="DP216" s="408">
        <v>-7.8507161924932234</v>
      </c>
      <c r="DQ216" s="408">
        <v>0</v>
      </c>
      <c r="DR216" s="408">
        <v>0</v>
      </c>
      <c r="DS216" s="408"/>
      <c r="DT216" s="408"/>
      <c r="DU216" s="408"/>
      <c r="DV216" s="408">
        <v>59709.222458795201</v>
      </c>
      <c r="DW216" s="408">
        <v>0</v>
      </c>
      <c r="DX216" s="408">
        <v>0</v>
      </c>
      <c r="DY216" s="408">
        <v>-31265.517359999998</v>
      </c>
      <c r="DZ216" s="408">
        <v>3478.2589500000031</v>
      </c>
      <c r="EA216" s="408">
        <v>0</v>
      </c>
      <c r="EB216" s="408">
        <v>0</v>
      </c>
      <c r="EC216" s="408">
        <v>-31612.867779208365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239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216</v>
      </c>
      <c r="B217" s="408" t="s">
        <v>1034</v>
      </c>
      <c r="C217" s="408" t="s">
        <v>2233</v>
      </c>
      <c r="D217" s="408" t="s">
        <v>1956</v>
      </c>
      <c r="E217" s="408" t="s">
        <v>999</v>
      </c>
      <c r="F217" s="408" t="s">
        <v>2249</v>
      </c>
      <c r="G217" s="408" t="s">
        <v>1320</v>
      </c>
      <c r="H217" s="408" t="s">
        <v>1320</v>
      </c>
      <c r="I217" s="408" t="s">
        <v>1320</v>
      </c>
      <c r="J217" s="408" t="s">
        <v>2234</v>
      </c>
      <c r="K217" s="827">
        <v>44470</v>
      </c>
      <c r="L217" s="408">
        <v>0</v>
      </c>
      <c r="M217" s="408">
        <v>0</v>
      </c>
      <c r="N217" s="408">
        <v>7.9980000000000002</v>
      </c>
      <c r="O217" s="408">
        <v>7.5181199999999997</v>
      </c>
      <c r="P217" s="408">
        <v>7.9980000000000002</v>
      </c>
      <c r="Q217" s="408">
        <v>7.5181199999999997</v>
      </c>
      <c r="R217" s="408"/>
      <c r="S217" s="408">
        <v>516.83000000000004</v>
      </c>
      <c r="T217" s="408">
        <v>173.82</v>
      </c>
      <c r="U217" s="408"/>
      <c r="V217" s="408">
        <v>5523.8186999999998</v>
      </c>
      <c r="W217" s="408">
        <v>5523.8186999999998</v>
      </c>
      <c r="X217" s="408">
        <v>4170.5571</v>
      </c>
      <c r="Y217" s="408">
        <v>0</v>
      </c>
      <c r="Z217" s="408">
        <v>489.07334715267353</v>
      </c>
      <c r="AA217" s="408">
        <v>0</v>
      </c>
      <c r="AB217" s="408">
        <v>0</v>
      </c>
      <c r="AC217" s="408">
        <v>21.742115698980179</v>
      </c>
      <c r="AD217" s="408">
        <v>275.34403895348385</v>
      </c>
      <c r="AE217" s="408">
        <v>2908.1991297432587</v>
      </c>
      <c r="AF217" s="408">
        <v>1287.055240060429</v>
      </c>
      <c r="AG217" s="408">
        <v>64.750731405749704</v>
      </c>
      <c r="AH217" s="408">
        <v>0</v>
      </c>
      <c r="AI217" s="408">
        <v>0</v>
      </c>
      <c r="AJ217" s="408">
        <v>0</v>
      </c>
      <c r="AK217" s="408">
        <v>0</v>
      </c>
      <c r="AL217" s="408">
        <v>75.59307026763868</v>
      </c>
      <c r="AM217" s="408"/>
      <c r="AN217" s="408">
        <v>12.409232714847821</v>
      </c>
      <c r="AO217" s="408">
        <v>46.376433225525247</v>
      </c>
      <c r="AP217" s="408">
        <v>151.87654818116798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4.4373913111827443</v>
      </c>
      <c r="BF217" s="408">
        <v>38.435895323014918</v>
      </c>
      <c r="BG217" s="408">
        <v>148.58942900275332</v>
      </c>
      <c r="BH217" s="408">
        <v>0</v>
      </c>
      <c r="BI217" s="408">
        <v>44.13</v>
      </c>
      <c r="BJ217" s="408">
        <v>206.78</v>
      </c>
      <c r="BK217" s="408">
        <v>2374.96</v>
      </c>
      <c r="BL217" s="408">
        <v>7</v>
      </c>
      <c r="BM217" s="408"/>
      <c r="BN217" s="408"/>
      <c r="BO217" s="408"/>
      <c r="BP217" s="408"/>
      <c r="BQ217" s="408">
        <v>250.23342600000026</v>
      </c>
      <c r="BR217" s="408"/>
      <c r="BS217" s="408"/>
      <c r="BT217" s="408"/>
      <c r="BU217" s="408"/>
      <c r="BV217" s="408">
        <v>1478.5179556973799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3921.3039999999996</v>
      </c>
      <c r="CJ217" s="408">
        <v>-1271.1155780000013</v>
      </c>
      <c r="CK217" s="408"/>
      <c r="CL217" s="408"/>
      <c r="CM217" s="408"/>
      <c r="CN217" s="408"/>
      <c r="CO217" s="408">
        <v>-1522.7392200000004</v>
      </c>
      <c r="CP217" s="408">
        <v>169.47761999999997</v>
      </c>
      <c r="CQ217" s="408">
        <v>31</v>
      </c>
      <c r="CR217" s="408">
        <v>186.40042035403758</v>
      </c>
      <c r="CS217" s="408">
        <v>4.5028586729760818</v>
      </c>
      <c r="CT217" s="408">
        <v>14.74625331520312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-5.2795038621333106</v>
      </c>
      <c r="DA217" s="408">
        <v>0</v>
      </c>
      <c r="DB217" s="408">
        <v>0</v>
      </c>
      <c r="DC217" s="408">
        <v>165.20776466361485</v>
      </c>
      <c r="DD217" s="408">
        <v>4.9336719602350598</v>
      </c>
      <c r="DE217" s="408">
        <v>0.56958821707123874</v>
      </c>
      <c r="DF217" s="408">
        <v>0</v>
      </c>
      <c r="DG217" s="408">
        <v>19.073095430646987</v>
      </c>
      <c r="DH217" s="408">
        <v>0</v>
      </c>
      <c r="DI217" s="408">
        <v>-14.293415807251904</v>
      </c>
      <c r="DJ217" s="408"/>
      <c r="DK217" s="408">
        <v>0</v>
      </c>
      <c r="DL217" s="408">
        <v>0</v>
      </c>
      <c r="DM217" s="408">
        <v>-0.71968061489658908</v>
      </c>
      <c r="DN217" s="408">
        <v>0</v>
      </c>
      <c r="DO217" s="408">
        <v>-1.9578344096900935</v>
      </c>
      <c r="DP217" s="408">
        <v>-0.38237721173851469</v>
      </c>
      <c r="DQ217" s="408">
        <v>0</v>
      </c>
      <c r="DR217" s="408">
        <v>0</v>
      </c>
      <c r="DS217" s="408"/>
      <c r="DT217" s="408"/>
      <c r="DU217" s="408"/>
      <c r="DV217" s="408">
        <v>2908.1991297432587</v>
      </c>
      <c r="DW217" s="408">
        <v>0</v>
      </c>
      <c r="DX217" s="408">
        <v>0</v>
      </c>
      <c r="DY217" s="408">
        <v>-1522.7392200000004</v>
      </c>
      <c r="DZ217" s="408">
        <v>169.47761999999989</v>
      </c>
      <c r="EA217" s="408">
        <v>0</v>
      </c>
      <c r="EB217" s="408">
        <v>0</v>
      </c>
      <c r="EC217" s="408">
        <v>-1539.7372596440539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239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217</v>
      </c>
      <c r="B218" s="408" t="s">
        <v>1034</v>
      </c>
      <c r="C218" s="408" t="s">
        <v>2245</v>
      </c>
      <c r="D218" s="408" t="s">
        <v>596</v>
      </c>
      <c r="E218" s="408" t="s">
        <v>999</v>
      </c>
      <c r="F218" s="408" t="s">
        <v>2249</v>
      </c>
      <c r="G218" s="408" t="s">
        <v>1320</v>
      </c>
      <c r="H218" s="408" t="s">
        <v>1320</v>
      </c>
      <c r="I218" s="408" t="s">
        <v>971</v>
      </c>
      <c r="J218" s="408" t="s">
        <v>2234</v>
      </c>
      <c r="K218" s="827">
        <v>44470</v>
      </c>
      <c r="L218" s="408">
        <v>100</v>
      </c>
      <c r="M218" s="408">
        <v>94</v>
      </c>
      <c r="N218" s="408">
        <v>3.3340000000000001</v>
      </c>
      <c r="O218" s="408">
        <v>3.1339600000000001</v>
      </c>
      <c r="P218" s="408">
        <v>3.3340000000000001</v>
      </c>
      <c r="Q218" s="408">
        <v>3.1339600000000001</v>
      </c>
      <c r="R218" s="408">
        <v>67.099999999999994</v>
      </c>
      <c r="S218" s="408">
        <v>70.33</v>
      </c>
      <c r="T218" s="408">
        <v>173.82</v>
      </c>
      <c r="U218" s="408">
        <v>6709.9999999999991</v>
      </c>
      <c r="V218" s="408">
        <v>813.99610000000007</v>
      </c>
      <c r="W218" s="408">
        <v>7523.9960999999994</v>
      </c>
      <c r="X218" s="408">
        <v>5085.2762199999997</v>
      </c>
      <c r="Y218" s="408">
        <v>0</v>
      </c>
      <c r="Z218" s="408">
        <v>177.36888838260867</v>
      </c>
      <c r="AA218" s="408">
        <v>0</v>
      </c>
      <c r="AB218" s="408">
        <v>0</v>
      </c>
      <c r="AC218" s="408">
        <v>74.841808613404609</v>
      </c>
      <c r="AD218" s="408">
        <v>1141.7233140635399</v>
      </c>
      <c r="AE218" s="408">
        <v>4816.1797752450702</v>
      </c>
      <c r="AF218" s="408">
        <v>536.51439989515757</v>
      </c>
      <c r="AG218" s="408">
        <v>26.991615217150475</v>
      </c>
      <c r="AH218" s="408">
        <v>0</v>
      </c>
      <c r="AI218" s="408">
        <v>0</v>
      </c>
      <c r="AJ218" s="408">
        <v>0</v>
      </c>
      <c r="AK218" s="408">
        <v>0</v>
      </c>
      <c r="AL218" s="408">
        <v>31.511289856502547</v>
      </c>
      <c r="AM218" s="408"/>
      <c r="AN218" s="408">
        <v>4.143264039372986</v>
      </c>
      <c r="AO218" s="408">
        <v>160.73003041081299</v>
      </c>
      <c r="AP218" s="408">
        <v>516.82971687782799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0.62210314473761752</v>
      </c>
      <c r="BF218" s="408">
        <v>16.02216491709574</v>
      </c>
      <c r="BG218" s="408">
        <v>20.831597795854812</v>
      </c>
      <c r="BH218" s="408">
        <v>0</v>
      </c>
      <c r="BI218" s="408">
        <v>0</v>
      </c>
      <c r="BJ218" s="408">
        <v>0</v>
      </c>
      <c r="BK218" s="408">
        <v>0</v>
      </c>
      <c r="BL218" s="408">
        <v>0</v>
      </c>
      <c r="BM218" s="408"/>
      <c r="BN218" s="408"/>
      <c r="BO218" s="408"/>
      <c r="BP218" s="408"/>
      <c r="BQ218" s="408">
        <v>305.1165732</v>
      </c>
      <c r="BR218" s="408"/>
      <c r="BS218" s="408"/>
      <c r="BT218" s="408"/>
      <c r="BU218" s="408"/>
      <c r="BV218" s="408">
        <v>573.99026575284574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4779.1129000000001</v>
      </c>
      <c r="CJ218" s="408">
        <v>-2293.4734340000005</v>
      </c>
      <c r="CK218" s="408"/>
      <c r="CL218" s="408"/>
      <c r="CM218" s="408"/>
      <c r="CN218" s="408"/>
      <c r="CO218" s="408">
        <v>-2509.3673399999998</v>
      </c>
      <c r="CP218" s="408">
        <v>70.647459999999995</v>
      </c>
      <c r="CQ218" s="408">
        <v>31</v>
      </c>
      <c r="CR218" s="408">
        <v>111.14562586994225</v>
      </c>
      <c r="CS218" s="408">
        <v>15.60587050589902</v>
      </c>
      <c r="CT218" s="408">
        <v>50.180900324482081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-21.891640251209992</v>
      </c>
      <c r="DA218" s="408">
        <v>0</v>
      </c>
      <c r="DB218" s="408">
        <v>0</v>
      </c>
      <c r="DC218" s="408">
        <v>68.867552811764426</v>
      </c>
      <c r="DD218" s="408">
        <v>2.0566219449141911</v>
      </c>
      <c r="DE218" s="408">
        <v>7.9853814143578283E-2</v>
      </c>
      <c r="DF218" s="408">
        <v>0</v>
      </c>
      <c r="DG218" s="408">
        <v>2.6739658090067238</v>
      </c>
      <c r="DH218" s="408">
        <v>0</v>
      </c>
      <c r="DI218" s="408">
        <v>-5.1836954266316582</v>
      </c>
      <c r="DJ218" s="408"/>
      <c r="DK218" s="408">
        <v>0</v>
      </c>
      <c r="DL218" s="408">
        <v>0</v>
      </c>
      <c r="DM218" s="408">
        <v>-0.30000189673233635</v>
      </c>
      <c r="DN218" s="408">
        <v>0</v>
      </c>
      <c r="DO218" s="408">
        <v>-0.81613152311912529</v>
      </c>
      <c r="DP218" s="408">
        <v>-0.12767024257482706</v>
      </c>
      <c r="DQ218" s="408">
        <v>0</v>
      </c>
      <c r="DR218" s="408">
        <v>0</v>
      </c>
      <c r="DS218" s="408"/>
      <c r="DT218" s="408"/>
      <c r="DU218" s="408">
        <v>4816.1797752450702</v>
      </c>
      <c r="DV218" s="408">
        <v>0</v>
      </c>
      <c r="DW218" s="408">
        <v>0</v>
      </c>
      <c r="DX218" s="408">
        <v>0</v>
      </c>
      <c r="DY218" s="408">
        <v>-2509.3673399999998</v>
      </c>
      <c r="DZ218" s="408">
        <v>70.64745999999991</v>
      </c>
      <c r="EA218" s="408">
        <v>0</v>
      </c>
      <c r="EB218" s="408">
        <v>0</v>
      </c>
      <c r="EC218" s="408">
        <v>-2549.9118589391901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0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239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218</v>
      </c>
      <c r="B219" s="408" t="s">
        <v>1034</v>
      </c>
      <c r="C219" s="408" t="s">
        <v>2245</v>
      </c>
      <c r="D219" s="408" t="s">
        <v>596</v>
      </c>
      <c r="E219" s="408" t="s">
        <v>999</v>
      </c>
      <c r="F219" s="408" t="s">
        <v>2249</v>
      </c>
      <c r="G219" s="408" t="s">
        <v>1320</v>
      </c>
      <c r="H219" s="408" t="s">
        <v>1320</v>
      </c>
      <c r="I219" s="408" t="s">
        <v>2242</v>
      </c>
      <c r="J219" s="408" t="s">
        <v>2234</v>
      </c>
      <c r="K219" s="827">
        <v>44470</v>
      </c>
      <c r="L219" s="408">
        <v>100</v>
      </c>
      <c r="M219" s="408">
        <v>94</v>
      </c>
      <c r="N219" s="408">
        <v>31.262</v>
      </c>
      <c r="O219" s="408">
        <v>29.386279999999999</v>
      </c>
      <c r="P219" s="408">
        <v>31.262</v>
      </c>
      <c r="Q219" s="408">
        <v>29.386279999999999</v>
      </c>
      <c r="R219" s="408">
        <v>59.12</v>
      </c>
      <c r="S219" s="408">
        <v>70.33</v>
      </c>
      <c r="T219" s="408">
        <v>173.82</v>
      </c>
      <c r="U219" s="408">
        <v>5912</v>
      </c>
      <c r="V219" s="408">
        <v>7632.6172999999999</v>
      </c>
      <c r="W219" s="408">
        <v>13544.6173</v>
      </c>
      <c r="X219" s="408">
        <v>11666.48446</v>
      </c>
      <c r="Y219" s="408">
        <v>0</v>
      </c>
      <c r="Z219" s="408">
        <v>1663.1392287393858</v>
      </c>
      <c r="AA219" s="408">
        <v>0</v>
      </c>
      <c r="AB219" s="408">
        <v>0</v>
      </c>
      <c r="AC219" s="408">
        <v>57.206036333368203</v>
      </c>
      <c r="AD219" s="408">
        <v>511.70226507154302</v>
      </c>
      <c r="AE219" s="408">
        <v>4816.1797752450702</v>
      </c>
      <c r="AF219" s="408">
        <v>5030.7478012964657</v>
      </c>
      <c r="AG219" s="408">
        <v>253.0929438867901</v>
      </c>
      <c r="AH219" s="408">
        <v>0</v>
      </c>
      <c r="AI219" s="408">
        <v>0</v>
      </c>
      <c r="AJ219" s="408">
        <v>0</v>
      </c>
      <c r="AK219" s="408">
        <v>0</v>
      </c>
      <c r="AL219" s="408">
        <v>295.47268851049267</v>
      </c>
      <c r="AM219" s="408"/>
      <c r="AN219" s="408">
        <v>38.850246070449394</v>
      </c>
      <c r="AO219" s="408">
        <v>120.807211569006</v>
      </c>
      <c r="AP219" s="408">
        <v>406.098786401994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5.8332898952571686</v>
      </c>
      <c r="BF219" s="408">
        <v>150.23542880571296</v>
      </c>
      <c r="BG219" s="408">
        <v>195.33215665687257</v>
      </c>
      <c r="BH219" s="408">
        <v>0</v>
      </c>
      <c r="BI219" s="408">
        <v>0</v>
      </c>
      <c r="BJ219" s="408">
        <v>0</v>
      </c>
      <c r="BK219" s="408">
        <v>0</v>
      </c>
      <c r="BL219" s="408">
        <v>0</v>
      </c>
      <c r="BM219" s="408"/>
      <c r="BN219" s="408"/>
      <c r="BO219" s="408"/>
      <c r="BP219" s="408"/>
      <c r="BQ219" s="408">
        <v>699.98906760000034</v>
      </c>
      <c r="BR219" s="408"/>
      <c r="BS219" s="408"/>
      <c r="BT219" s="408"/>
      <c r="BU219" s="408"/>
      <c r="BV219" s="408">
        <v>5382.1486766543094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10967.4787</v>
      </c>
      <c r="CJ219" s="408">
        <v>-1764.4915620000011</v>
      </c>
      <c r="CK219" s="408"/>
      <c r="CL219" s="408"/>
      <c r="CM219" s="408"/>
      <c r="CN219" s="408"/>
      <c r="CO219" s="408">
        <v>-2540.5746199999999</v>
      </c>
      <c r="CP219" s="408">
        <v>662.44177999999999</v>
      </c>
      <c r="CQ219" s="408">
        <v>31</v>
      </c>
      <c r="CR219" s="408">
        <v>671.9371351764421</v>
      </c>
      <c r="CS219" s="408">
        <v>11.729617017467007</v>
      </c>
      <c r="CT219" s="408">
        <v>39.429626542059964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-9.8114856416560201</v>
      </c>
      <c r="DA219" s="408">
        <v>0</v>
      </c>
      <c r="DB219" s="408">
        <v>0</v>
      </c>
      <c r="DC219" s="408">
        <v>645.75208038433721</v>
      </c>
      <c r="DD219" s="408">
        <v>19.284377697032824</v>
      </c>
      <c r="DE219" s="408">
        <v>0.74876722788138661</v>
      </c>
      <c r="DF219" s="408">
        <v>0</v>
      </c>
      <c r="DG219" s="408">
        <v>25.073041128124828</v>
      </c>
      <c r="DH219" s="408">
        <v>0</v>
      </c>
      <c r="DI219" s="408">
        <v>-48.606084711265339</v>
      </c>
      <c r="DJ219" s="408"/>
      <c r="DK219" s="408">
        <v>0</v>
      </c>
      <c r="DL219" s="408">
        <v>0</v>
      </c>
      <c r="DM219" s="408">
        <v>-2.8130351816575683</v>
      </c>
      <c r="DN219" s="408">
        <v>0</v>
      </c>
      <c r="DO219" s="408">
        <v>-7.652640574610075</v>
      </c>
      <c r="DP219" s="408">
        <v>-1.1971287112700111</v>
      </c>
      <c r="DQ219" s="408">
        <v>0</v>
      </c>
      <c r="DR219" s="408">
        <v>0</v>
      </c>
      <c r="DS219" s="408"/>
      <c r="DT219" s="408"/>
      <c r="DU219" s="408">
        <v>4816.1797752450702</v>
      </c>
      <c r="DV219" s="408">
        <v>0</v>
      </c>
      <c r="DW219" s="408">
        <v>0</v>
      </c>
      <c r="DX219" s="408">
        <v>0</v>
      </c>
      <c r="DY219" s="408">
        <v>-2540.5746200000003</v>
      </c>
      <c r="DZ219" s="408">
        <v>662.44178000000011</v>
      </c>
      <c r="EA219" s="408">
        <v>0</v>
      </c>
      <c r="EB219" s="408">
        <v>0</v>
      </c>
      <c r="EC219" s="408">
        <v>-2549.9118589391901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239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219</v>
      </c>
      <c r="B220" s="408" t="s">
        <v>1034</v>
      </c>
      <c r="C220" s="408" t="s">
        <v>2245</v>
      </c>
      <c r="D220" s="408" t="s">
        <v>596</v>
      </c>
      <c r="E220" s="408" t="s">
        <v>999</v>
      </c>
      <c r="F220" s="408" t="s">
        <v>2249</v>
      </c>
      <c r="G220" s="408" t="s">
        <v>1320</v>
      </c>
      <c r="H220" s="408" t="s">
        <v>1320</v>
      </c>
      <c r="I220" s="408" t="s">
        <v>1320</v>
      </c>
      <c r="J220" s="408" t="s">
        <v>2234</v>
      </c>
      <c r="K220" s="827">
        <v>44470</v>
      </c>
      <c r="L220" s="408">
        <v>0</v>
      </c>
      <c r="M220" s="408">
        <v>0</v>
      </c>
      <c r="N220" s="408">
        <v>0</v>
      </c>
      <c r="O220" s="408">
        <v>0</v>
      </c>
      <c r="P220" s="408">
        <v>0</v>
      </c>
      <c r="Q220" s="408">
        <v>0</v>
      </c>
      <c r="R220" s="408"/>
      <c r="S220" s="408"/>
      <c r="T220" s="408"/>
      <c r="U220" s="408"/>
      <c r="V220" s="408"/>
      <c r="W220" s="408"/>
      <c r="X220" s="408"/>
      <c r="Y220" s="408"/>
      <c r="Z220" s="408"/>
      <c r="AA220" s="408">
        <v>0</v>
      </c>
      <c r="AB220" s="408"/>
      <c r="AC220" s="408"/>
      <c r="AD220" s="408"/>
      <c r="AE220" s="408"/>
      <c r="AF220" s="408"/>
      <c r="AG220" s="408"/>
      <c r="AH220" s="408"/>
      <c r="AI220" s="408"/>
      <c r="AJ220" s="408"/>
      <c r="AK220" s="408"/>
      <c r="AL220" s="408"/>
      <c r="AM220" s="408"/>
      <c r="AN220" s="408"/>
      <c r="AO220" s="408"/>
      <c r="AP220" s="408"/>
      <c r="AQ220" s="408"/>
      <c r="AR220" s="408"/>
      <c r="AS220" s="408"/>
      <c r="AT220" s="408"/>
      <c r="AU220" s="408"/>
      <c r="AV220" s="408"/>
      <c r="AW220" s="408"/>
      <c r="AX220" s="408"/>
      <c r="AY220" s="408"/>
      <c r="AZ220" s="408">
        <v>0</v>
      </c>
      <c r="BA220" s="408"/>
      <c r="BB220" s="408"/>
      <c r="BC220" s="408"/>
      <c r="BD220" s="408"/>
      <c r="BE220" s="408"/>
      <c r="BF220" s="408"/>
      <c r="BG220" s="408"/>
      <c r="BH220" s="408"/>
      <c r="BI220" s="408">
        <v>180.85</v>
      </c>
      <c r="BJ220" s="408">
        <v>846.65</v>
      </c>
      <c r="BK220" s="408">
        <v>9398.8700000000008</v>
      </c>
      <c r="BL220" s="408">
        <v>1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/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/>
      <c r="CJ220" s="408">
        <v>-0.03</v>
      </c>
      <c r="CK220" s="408"/>
      <c r="CL220" s="408"/>
      <c r="CM220" s="408"/>
      <c r="CN220" s="408"/>
      <c r="CO220" s="408">
        <v>0</v>
      </c>
      <c r="CP220" s="408">
        <v>0</v>
      </c>
      <c r="CQ220" s="408">
        <v>31</v>
      </c>
      <c r="CR220" s="408"/>
      <c r="CS220" s="408"/>
      <c r="CT220" s="408"/>
      <c r="CU220" s="408"/>
      <c r="CV220" s="408"/>
      <c r="CW220" s="408"/>
      <c r="CX220" s="408"/>
      <c r="CY220" s="408"/>
      <c r="CZ220" s="408"/>
      <c r="DA220" s="408"/>
      <c r="DB220" s="408"/>
      <c r="DC220" s="408"/>
      <c r="DD220" s="408"/>
      <c r="DE220" s="408"/>
      <c r="DF220" s="408"/>
      <c r="DG220" s="408"/>
      <c r="DH220" s="408"/>
      <c r="DI220" s="408"/>
      <c r="DJ220" s="408"/>
      <c r="DK220" s="408">
        <v>0</v>
      </c>
      <c r="DL220" s="408"/>
      <c r="DM220" s="408"/>
      <c r="DN220" s="408"/>
      <c r="DO220" s="408"/>
      <c r="DP220" s="408"/>
      <c r="DQ220" s="408"/>
      <c r="DR220" s="408"/>
      <c r="DS220" s="408"/>
      <c r="DT220" s="408"/>
      <c r="DU220" s="408"/>
      <c r="DV220" s="408"/>
      <c r="DW220" s="408"/>
      <c r="DX220" s="408"/>
      <c r="DY220" s="408"/>
      <c r="DZ220" s="408"/>
      <c r="EA220" s="408"/>
      <c r="EB220" s="408"/>
      <c r="EC220" s="408"/>
      <c r="ED220" s="408"/>
      <c r="EE220" s="408"/>
      <c r="EF220" s="408"/>
      <c r="EG220" s="408"/>
      <c r="EH220" s="408"/>
      <c r="EI220" s="408"/>
      <c r="EJ220" s="408"/>
      <c r="EK220" s="408"/>
      <c r="EL220" s="408"/>
      <c r="EM220" s="408"/>
      <c r="EN220" s="408"/>
      <c r="EO220" s="408"/>
      <c r="EP220" s="408"/>
      <c r="EQ220" s="408"/>
      <c r="ER220" s="408"/>
      <c r="ES220" s="408"/>
      <c r="ET220" s="408"/>
      <c r="EU220" s="408"/>
      <c r="EV220" s="408">
        <v>239</v>
      </c>
      <c r="EW220" s="408"/>
      <c r="EX220" s="408"/>
      <c r="EY220" s="408"/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220</v>
      </c>
      <c r="B221" s="408" t="s">
        <v>1034</v>
      </c>
      <c r="C221" s="408" t="s">
        <v>2233</v>
      </c>
      <c r="D221" s="408" t="s">
        <v>1956</v>
      </c>
      <c r="E221" s="408" t="s">
        <v>2250</v>
      </c>
      <c r="F221" s="408" t="s">
        <v>1320</v>
      </c>
      <c r="G221" s="408" t="s">
        <v>1320</v>
      </c>
      <c r="H221" s="408" t="s">
        <v>1320</v>
      </c>
      <c r="I221" s="408" t="s">
        <v>1320</v>
      </c>
      <c r="J221" s="408" t="s">
        <v>2234</v>
      </c>
      <c r="K221" s="827">
        <v>44470</v>
      </c>
      <c r="L221" s="408">
        <v>0</v>
      </c>
      <c r="M221" s="408">
        <v>0</v>
      </c>
      <c r="N221" s="408">
        <v>0.81399999999999995</v>
      </c>
      <c r="O221" s="408">
        <v>0.81399999999999995</v>
      </c>
      <c r="P221" s="408">
        <v>0.81399999999999995</v>
      </c>
      <c r="Q221" s="408">
        <v>0.81399999999999995</v>
      </c>
      <c r="R221" s="408"/>
      <c r="S221" s="408">
        <v>516.83000000000004</v>
      </c>
      <c r="T221" s="408">
        <v>173.82</v>
      </c>
      <c r="U221" s="408"/>
      <c r="V221" s="408">
        <v>562.18909999999994</v>
      </c>
      <c r="W221" s="408">
        <v>562.18909999999994</v>
      </c>
      <c r="X221" s="408">
        <v>424.46029999999996</v>
      </c>
      <c r="Y221" s="408">
        <v>0</v>
      </c>
      <c r="Z221" s="408">
        <v>49.77565698703129</v>
      </c>
      <c r="AA221" s="408">
        <v>0</v>
      </c>
      <c r="AB221" s="408">
        <v>0</v>
      </c>
      <c r="AC221" s="408">
        <v>2.2128134757401683</v>
      </c>
      <c r="AD221" s="408">
        <v>28.023261778961718</v>
      </c>
      <c r="AE221" s="408">
        <v>295.98325726569294</v>
      </c>
      <c r="AF221" s="408">
        <v>130.99061833073134</v>
      </c>
      <c r="AG221" s="408">
        <v>6.5900344291423174</v>
      </c>
      <c r="AH221" s="408">
        <v>0</v>
      </c>
      <c r="AI221" s="408">
        <v>0</v>
      </c>
      <c r="AJ221" s="408">
        <v>0</v>
      </c>
      <c r="AK221" s="408">
        <v>0</v>
      </c>
      <c r="AL221" s="408">
        <v>7.6935182793020607</v>
      </c>
      <c r="AM221" s="408"/>
      <c r="AN221" s="408">
        <v>1.2629551675276476</v>
      </c>
      <c r="AO221" s="408">
        <v>4.7199820762162474</v>
      </c>
      <c r="AP221" s="408">
        <v>15.457303103209643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0.45161747028041427</v>
      </c>
      <c r="BF221" s="408">
        <v>3.9118303066934406</v>
      </c>
      <c r="BG221" s="408">
        <v>15.122755089802599</v>
      </c>
      <c r="BH221" s="408">
        <v>0</v>
      </c>
      <c r="BI221" s="408">
        <v>4.4800000000000004</v>
      </c>
      <c r="BJ221" s="408">
        <v>21.09</v>
      </c>
      <c r="BK221" s="408">
        <v>242.34</v>
      </c>
      <c r="BL221" s="408">
        <v>6</v>
      </c>
      <c r="BM221" s="408"/>
      <c r="BN221" s="408"/>
      <c r="BO221" s="408"/>
      <c r="BP221" s="408"/>
      <c r="BQ221" s="408"/>
      <c r="BR221" s="408"/>
      <c r="BS221" s="408"/>
      <c r="BT221" s="408"/>
      <c r="BU221" s="408"/>
      <c r="BV221" s="408">
        <v>150.4768211975078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422.37450000000001</v>
      </c>
      <c r="CJ221" s="408">
        <v>-139.8445999999999</v>
      </c>
      <c r="CK221" s="408"/>
      <c r="CL221" s="408"/>
      <c r="CM221" s="408"/>
      <c r="CN221" s="408"/>
      <c r="CO221" s="408">
        <v>-154.97746000000004</v>
      </c>
      <c r="CP221" s="408">
        <v>17.248659999999997</v>
      </c>
      <c r="CQ221" s="408">
        <v>31</v>
      </c>
      <c r="CR221" s="408">
        <v>18.970985517402596</v>
      </c>
      <c r="CS221" s="408">
        <v>0.4582804400853373</v>
      </c>
      <c r="CT221" s="408">
        <v>1.5008064764410278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-0.53732384893429952</v>
      </c>
      <c r="DA221" s="408">
        <v>0</v>
      </c>
      <c r="DB221" s="408">
        <v>0</v>
      </c>
      <c r="DC221" s="408">
        <v>16.814093577917276</v>
      </c>
      <c r="DD221" s="408">
        <v>0.50212665361732167</v>
      </c>
      <c r="DE221" s="408">
        <v>5.7970093610401119E-2</v>
      </c>
      <c r="DF221" s="408">
        <v>0</v>
      </c>
      <c r="DG221" s="408">
        <v>1.9411727532566445</v>
      </c>
      <c r="DH221" s="408">
        <v>0</v>
      </c>
      <c r="DI221" s="408">
        <v>-1.4547187380724012</v>
      </c>
      <c r="DJ221" s="408"/>
      <c r="DK221" s="408">
        <v>0</v>
      </c>
      <c r="DL221" s="408">
        <v>0</v>
      </c>
      <c r="DM221" s="408">
        <v>-7.3245814019232469E-2</v>
      </c>
      <c r="DN221" s="408">
        <v>0</v>
      </c>
      <c r="DO221" s="408">
        <v>-0.19925946605247979</v>
      </c>
      <c r="DP221" s="408">
        <v>-3.8916610447005562E-2</v>
      </c>
      <c r="DQ221" s="408">
        <v>0</v>
      </c>
      <c r="DR221" s="408">
        <v>0</v>
      </c>
      <c r="DS221" s="408"/>
      <c r="DT221" s="408"/>
      <c r="DU221" s="408"/>
      <c r="DV221" s="408">
        <v>295.98325726569294</v>
      </c>
      <c r="DW221" s="408">
        <v>0</v>
      </c>
      <c r="DX221" s="408">
        <v>0</v>
      </c>
      <c r="DY221" s="408">
        <v>-154.97746000000001</v>
      </c>
      <c r="DZ221" s="408">
        <v>17.248660000000001</v>
      </c>
      <c r="EA221" s="408">
        <v>0</v>
      </c>
      <c r="EB221" s="408">
        <v>0</v>
      </c>
      <c r="EC221" s="408">
        <v>-156.70744302953983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239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221</v>
      </c>
      <c r="B222" s="408" t="s">
        <v>1034</v>
      </c>
      <c r="C222" s="408" t="s">
        <v>2233</v>
      </c>
      <c r="D222" s="408" t="s">
        <v>2243</v>
      </c>
      <c r="E222" s="408" t="s">
        <v>972</v>
      </c>
      <c r="F222" s="408" t="s">
        <v>2251</v>
      </c>
      <c r="G222" s="408" t="s">
        <v>2252</v>
      </c>
      <c r="H222" s="408" t="s">
        <v>1320</v>
      </c>
      <c r="I222" s="408" t="s">
        <v>1320</v>
      </c>
      <c r="J222" s="408" t="s">
        <v>2234</v>
      </c>
      <c r="K222" s="827">
        <v>44470</v>
      </c>
      <c r="L222" s="408">
        <v>0</v>
      </c>
      <c r="M222" s="408">
        <v>0</v>
      </c>
      <c r="N222" s="408">
        <v>0</v>
      </c>
      <c r="O222" s="408">
        <v>0</v>
      </c>
      <c r="P222" s="408">
        <v>0</v>
      </c>
      <c r="Q222" s="408">
        <v>0</v>
      </c>
      <c r="R222" s="408"/>
      <c r="S222" s="408"/>
      <c r="T222" s="408"/>
      <c r="U222" s="408"/>
      <c r="V222" s="408"/>
      <c r="W222" s="408"/>
      <c r="X222" s="408"/>
      <c r="Y222" s="408"/>
      <c r="Z222" s="408"/>
      <c r="AA222" s="408">
        <v>0</v>
      </c>
      <c r="AB222" s="408"/>
      <c r="AC222" s="408"/>
      <c r="AD222" s="408"/>
      <c r="AE222" s="408"/>
      <c r="AF222" s="408"/>
      <c r="AG222" s="408"/>
      <c r="AH222" s="408"/>
      <c r="AI222" s="408"/>
      <c r="AJ222" s="408"/>
      <c r="AK222" s="408"/>
      <c r="AL222" s="408"/>
      <c r="AM222" s="408"/>
      <c r="AN222" s="408"/>
      <c r="AO222" s="408"/>
      <c r="AP222" s="408"/>
      <c r="AQ222" s="408"/>
      <c r="AR222" s="408"/>
      <c r="AS222" s="408"/>
      <c r="AT222" s="408"/>
      <c r="AU222" s="408"/>
      <c r="AV222" s="408"/>
      <c r="AW222" s="408"/>
      <c r="AX222" s="408"/>
      <c r="AY222" s="408"/>
      <c r="AZ222" s="408">
        <v>0</v>
      </c>
      <c r="BA222" s="408"/>
      <c r="BB222" s="408"/>
      <c r="BC222" s="408"/>
      <c r="BD222" s="408"/>
      <c r="BE222" s="408"/>
      <c r="BF222" s="408"/>
      <c r="BG222" s="408"/>
      <c r="BH222" s="408"/>
      <c r="BI222" s="408">
        <v>1459.39</v>
      </c>
      <c r="BJ222" s="408">
        <v>6833.71</v>
      </c>
      <c r="BK222" s="408">
        <v>587.29</v>
      </c>
      <c r="BL222" s="408">
        <v>66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/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/>
      <c r="CJ222" s="408">
        <v>-0.03</v>
      </c>
      <c r="CK222" s="408"/>
      <c r="CL222" s="408"/>
      <c r="CM222" s="408"/>
      <c r="CN222" s="408"/>
      <c r="CO222" s="408">
        <v>0</v>
      </c>
      <c r="CP222" s="408">
        <v>0</v>
      </c>
      <c r="CQ222" s="408">
        <v>31</v>
      </c>
      <c r="CR222" s="408"/>
      <c r="CS222" s="408"/>
      <c r="CT222" s="408"/>
      <c r="CU222" s="408"/>
      <c r="CV222" s="408"/>
      <c r="CW222" s="408"/>
      <c r="CX222" s="408"/>
      <c r="CY222" s="408"/>
      <c r="CZ222" s="408"/>
      <c r="DA222" s="408"/>
      <c r="DB222" s="408"/>
      <c r="DC222" s="408"/>
      <c r="DD222" s="408"/>
      <c r="DE222" s="408"/>
      <c r="DF222" s="408"/>
      <c r="DG222" s="408"/>
      <c r="DH222" s="408"/>
      <c r="DI222" s="408"/>
      <c r="DJ222" s="408"/>
      <c r="DK222" s="408">
        <v>0</v>
      </c>
      <c r="DL222" s="408"/>
      <c r="DM222" s="408"/>
      <c r="DN222" s="408"/>
      <c r="DO222" s="408"/>
      <c r="DP222" s="408"/>
      <c r="DQ222" s="408"/>
      <c r="DR222" s="408"/>
      <c r="DS222" s="408"/>
      <c r="DT222" s="408"/>
      <c r="DU222" s="408"/>
      <c r="DV222" s="408"/>
      <c r="DW222" s="408"/>
      <c r="DX222" s="408"/>
      <c r="DY222" s="408"/>
      <c r="DZ222" s="408"/>
      <c r="EA222" s="408"/>
      <c r="EB222" s="408"/>
      <c r="EC222" s="408"/>
      <c r="ED222" s="408"/>
      <c r="EE222" s="408"/>
      <c r="EF222" s="408"/>
      <c r="EG222" s="408"/>
      <c r="EH222" s="408"/>
      <c r="EI222" s="408"/>
      <c r="EJ222" s="408"/>
      <c r="EK222" s="408"/>
      <c r="EL222" s="408"/>
      <c r="EM222" s="408"/>
      <c r="EN222" s="408"/>
      <c r="EO222" s="408"/>
      <c r="EP222" s="408"/>
      <c r="EQ222" s="408"/>
      <c r="ER222" s="408"/>
      <c r="ES222" s="408"/>
      <c r="ET222" s="408"/>
      <c r="EU222" s="408"/>
      <c r="EV222" s="408">
        <v>239</v>
      </c>
      <c r="EW222" s="408"/>
      <c r="EX222" s="408"/>
      <c r="EY222" s="408"/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222</v>
      </c>
      <c r="B223" s="408" t="s">
        <v>2236</v>
      </c>
      <c r="C223" s="408" t="s">
        <v>2233</v>
      </c>
      <c r="D223" s="408" t="s">
        <v>2243</v>
      </c>
      <c r="E223" s="408" t="s">
        <v>972</v>
      </c>
      <c r="F223" s="408" t="s">
        <v>2251</v>
      </c>
      <c r="G223" s="408" t="s">
        <v>2252</v>
      </c>
      <c r="H223" s="408" t="s">
        <v>1320</v>
      </c>
      <c r="I223" s="408" t="s">
        <v>1320</v>
      </c>
      <c r="J223" s="408" t="s">
        <v>2234</v>
      </c>
      <c r="K223" s="827">
        <v>44470</v>
      </c>
      <c r="L223" s="408">
        <v>0</v>
      </c>
      <c r="M223" s="408">
        <v>0</v>
      </c>
      <c r="N223" s="408">
        <v>0</v>
      </c>
      <c r="O223" s="408">
        <v>0</v>
      </c>
      <c r="P223" s="408">
        <v>0</v>
      </c>
      <c r="Q223" s="408">
        <v>0</v>
      </c>
      <c r="R223" s="408"/>
      <c r="S223" s="408"/>
      <c r="T223" s="408"/>
      <c r="U223" s="408"/>
      <c r="V223" s="408"/>
      <c r="W223" s="408"/>
      <c r="X223" s="408"/>
      <c r="Y223" s="408"/>
      <c r="Z223" s="408"/>
      <c r="AA223" s="408">
        <v>0</v>
      </c>
      <c r="AB223" s="408"/>
      <c r="AC223" s="408"/>
      <c r="AD223" s="408"/>
      <c r="AE223" s="408"/>
      <c r="AF223" s="408"/>
      <c r="AG223" s="408"/>
      <c r="AH223" s="408"/>
      <c r="AI223" s="408"/>
      <c r="AJ223" s="408"/>
      <c r="AK223" s="408"/>
      <c r="AL223" s="408"/>
      <c r="AM223" s="408"/>
      <c r="AN223" s="408"/>
      <c r="AO223" s="408"/>
      <c r="AP223" s="408"/>
      <c r="AQ223" s="408"/>
      <c r="AR223" s="408"/>
      <c r="AS223" s="408"/>
      <c r="AT223" s="408"/>
      <c r="AU223" s="408"/>
      <c r="AV223" s="408"/>
      <c r="AW223" s="408"/>
      <c r="AX223" s="408"/>
      <c r="AY223" s="408"/>
      <c r="AZ223" s="408">
        <v>0</v>
      </c>
      <c r="BA223" s="408"/>
      <c r="BB223" s="408"/>
      <c r="BC223" s="408"/>
      <c r="BD223" s="408"/>
      <c r="BE223" s="408"/>
      <c r="BF223" s="408"/>
      <c r="BG223" s="408"/>
      <c r="BH223" s="408"/>
      <c r="BI223" s="408">
        <v>1.92</v>
      </c>
      <c r="BJ223" s="408">
        <v>9.07</v>
      </c>
      <c r="BK223" s="408">
        <v>33.83</v>
      </c>
      <c r="BL223" s="408">
        <v>4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/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/>
      <c r="CJ223" s="408">
        <v>-0.03</v>
      </c>
      <c r="CK223" s="408"/>
      <c r="CL223" s="408"/>
      <c r="CM223" s="408"/>
      <c r="CN223" s="408"/>
      <c r="CO223" s="408">
        <v>0</v>
      </c>
      <c r="CP223" s="408">
        <v>0</v>
      </c>
      <c r="CQ223" s="408">
        <v>31</v>
      </c>
      <c r="CR223" s="408"/>
      <c r="CS223" s="408"/>
      <c r="CT223" s="408"/>
      <c r="CU223" s="408"/>
      <c r="CV223" s="408"/>
      <c r="CW223" s="408"/>
      <c r="CX223" s="408"/>
      <c r="CY223" s="408"/>
      <c r="CZ223" s="408"/>
      <c r="DA223" s="408"/>
      <c r="DB223" s="408"/>
      <c r="DC223" s="408"/>
      <c r="DD223" s="408"/>
      <c r="DE223" s="408"/>
      <c r="DF223" s="408"/>
      <c r="DG223" s="408"/>
      <c r="DH223" s="408"/>
      <c r="DI223" s="408"/>
      <c r="DJ223" s="408"/>
      <c r="DK223" s="408">
        <v>0</v>
      </c>
      <c r="DL223" s="408"/>
      <c r="DM223" s="408"/>
      <c r="DN223" s="408"/>
      <c r="DO223" s="408"/>
      <c r="DP223" s="408"/>
      <c r="DQ223" s="408"/>
      <c r="DR223" s="408"/>
      <c r="DS223" s="408"/>
      <c r="DT223" s="408"/>
      <c r="DU223" s="408"/>
      <c r="DV223" s="408"/>
      <c r="DW223" s="408"/>
      <c r="DX223" s="408"/>
      <c r="DY223" s="408"/>
      <c r="DZ223" s="408"/>
      <c r="EA223" s="408"/>
      <c r="EB223" s="408"/>
      <c r="EC223" s="408"/>
      <c r="ED223" s="408"/>
      <c r="EE223" s="408"/>
      <c r="EF223" s="408"/>
      <c r="EG223" s="408"/>
      <c r="EH223" s="408"/>
      <c r="EI223" s="408"/>
      <c r="EJ223" s="408"/>
      <c r="EK223" s="408"/>
      <c r="EL223" s="408"/>
      <c r="EM223" s="408"/>
      <c r="EN223" s="408"/>
      <c r="EO223" s="408"/>
      <c r="EP223" s="408"/>
      <c r="EQ223" s="408"/>
      <c r="ER223" s="408"/>
      <c r="ES223" s="408"/>
      <c r="ET223" s="408"/>
      <c r="EU223" s="408"/>
      <c r="EV223" s="408">
        <v>239</v>
      </c>
      <c r="EW223" s="408"/>
      <c r="EX223" s="408"/>
      <c r="EY223" s="408"/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223</v>
      </c>
      <c r="B224" s="408" t="s">
        <v>1034</v>
      </c>
      <c r="C224" s="408" t="s">
        <v>2233</v>
      </c>
      <c r="D224" s="408" t="s">
        <v>2243</v>
      </c>
      <c r="E224" s="408" t="s">
        <v>972</v>
      </c>
      <c r="F224" s="408" t="s">
        <v>2251</v>
      </c>
      <c r="G224" s="408" t="s">
        <v>2252</v>
      </c>
      <c r="H224" s="408" t="s">
        <v>1320</v>
      </c>
      <c r="I224" s="408" t="s">
        <v>1320</v>
      </c>
      <c r="J224" s="408" t="s">
        <v>2234</v>
      </c>
      <c r="K224" s="827">
        <v>44470</v>
      </c>
      <c r="L224" s="408">
        <v>0</v>
      </c>
      <c r="M224" s="408">
        <v>0</v>
      </c>
      <c r="N224" s="408">
        <v>187.875</v>
      </c>
      <c r="O224" s="408">
        <v>187.875</v>
      </c>
      <c r="P224" s="408">
        <v>187.875</v>
      </c>
      <c r="Q224" s="408">
        <v>187.875</v>
      </c>
      <c r="R224" s="408"/>
      <c r="S224" s="408">
        <v>516.83000000000004</v>
      </c>
      <c r="T224" s="408">
        <v>173.82</v>
      </c>
      <c r="U224" s="408"/>
      <c r="V224" s="408">
        <v>129755.86875000001</v>
      </c>
      <c r="W224" s="408">
        <v>129755.86875000001</v>
      </c>
      <c r="X224" s="408">
        <v>97967.418749999997</v>
      </c>
      <c r="Y224" s="408">
        <v>0</v>
      </c>
      <c r="Z224" s="408">
        <v>11488.454000538703</v>
      </c>
      <c r="AA224" s="408">
        <v>0</v>
      </c>
      <c r="AB224" s="408">
        <v>0</v>
      </c>
      <c r="AC224" s="408">
        <v>510.72768028830973</v>
      </c>
      <c r="AD224" s="408">
        <v>6467.8996397081492</v>
      </c>
      <c r="AE224" s="408">
        <v>68314.317516943571</v>
      </c>
      <c r="AF224" s="408">
        <v>30233.246214847852</v>
      </c>
      <c r="AG224" s="408">
        <v>1521.0107105345367</v>
      </c>
      <c r="AH224" s="408">
        <v>0</v>
      </c>
      <c r="AI224" s="408">
        <v>0</v>
      </c>
      <c r="AJ224" s="408">
        <v>0</v>
      </c>
      <c r="AK224" s="408">
        <v>0</v>
      </c>
      <c r="AL224" s="408">
        <v>1775.6999345502147</v>
      </c>
      <c r="AM224" s="408"/>
      <c r="AN224" s="408">
        <v>291.49594852488548</v>
      </c>
      <c r="AO224" s="408">
        <v>1089.3938975050708</v>
      </c>
      <c r="AP224" s="408">
        <v>3567.6177156210219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104.23542042866443</v>
      </c>
      <c r="BF224" s="408">
        <v>902.86869640052851</v>
      </c>
      <c r="BG224" s="408">
        <v>3490.4024723546236</v>
      </c>
      <c r="BH224" s="408">
        <v>0</v>
      </c>
      <c r="BI224" s="408">
        <v>0</v>
      </c>
      <c r="BJ224" s="408">
        <v>0</v>
      </c>
      <c r="BK224" s="408">
        <v>0</v>
      </c>
      <c r="BL224" s="408">
        <v>0</v>
      </c>
      <c r="BM224" s="408"/>
      <c r="BN224" s="408"/>
      <c r="BO224" s="408"/>
      <c r="BP224" s="408"/>
      <c r="BQ224" s="408"/>
      <c r="BR224" s="408">
        <v>11755.338749999999</v>
      </c>
      <c r="BS224" s="408"/>
      <c r="BT224" s="408"/>
      <c r="BU224" s="408"/>
      <c r="BV224" s="408">
        <v>34730.752804031668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86214.374400000001</v>
      </c>
      <c r="CJ224" s="408">
        <v>-27970.444349999991</v>
      </c>
      <c r="CK224" s="408"/>
      <c r="CL224" s="408"/>
      <c r="CM224" s="408"/>
      <c r="CN224" s="408"/>
      <c r="CO224" s="408">
        <v>-35769.521250000005</v>
      </c>
      <c r="CP224" s="408">
        <v>3981.0712499999995</v>
      </c>
      <c r="CQ224" s="408">
        <v>31</v>
      </c>
      <c r="CR224" s="408">
        <v>4378.5920197567757</v>
      </c>
      <c r="CS224" s="408">
        <v>105.77326496441378</v>
      </c>
      <c r="CT224" s="408">
        <v>346.39314098446948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-124.01685272546911</v>
      </c>
      <c r="DA224" s="408">
        <v>0</v>
      </c>
      <c r="DB224" s="408">
        <v>0</v>
      </c>
      <c r="DC224" s="408">
        <v>3880.771291094854</v>
      </c>
      <c r="DD224" s="408">
        <v>115.89317573507901</v>
      </c>
      <c r="DE224" s="408">
        <v>13.379768227339198</v>
      </c>
      <c r="DF224" s="408">
        <v>0</v>
      </c>
      <c r="DG224" s="408">
        <v>448.03173343745948</v>
      </c>
      <c r="DH224" s="408">
        <v>0</v>
      </c>
      <c r="DI224" s="408">
        <v>-335.75587581738728</v>
      </c>
      <c r="DJ224" s="408"/>
      <c r="DK224" s="408">
        <v>0</v>
      </c>
      <c r="DL224" s="408">
        <v>0</v>
      </c>
      <c r="DM224" s="408">
        <v>-16.905475809414384</v>
      </c>
      <c r="DN224" s="408">
        <v>0</v>
      </c>
      <c r="DO224" s="408">
        <v>-45.990014968807827</v>
      </c>
      <c r="DP224" s="408">
        <v>-8.9821353657630993</v>
      </c>
      <c r="DQ224" s="408">
        <v>0</v>
      </c>
      <c r="DR224" s="408">
        <v>0</v>
      </c>
      <c r="DS224" s="408"/>
      <c r="DT224" s="408"/>
      <c r="DU224" s="408"/>
      <c r="DV224" s="408">
        <v>68314.317516943571</v>
      </c>
      <c r="DW224" s="408">
        <v>0</v>
      </c>
      <c r="DX224" s="408">
        <v>0</v>
      </c>
      <c r="DY224" s="408">
        <v>-35769.521250000013</v>
      </c>
      <c r="DZ224" s="408">
        <v>3981.0712499999972</v>
      </c>
      <c r="EA224" s="408">
        <v>0</v>
      </c>
      <c r="EB224" s="408">
        <v>0</v>
      </c>
      <c r="EC224" s="408">
        <v>-36168.80940930565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0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239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224</v>
      </c>
      <c r="B225" s="408" t="s">
        <v>2236</v>
      </c>
      <c r="C225" s="408" t="s">
        <v>2233</v>
      </c>
      <c r="D225" s="408" t="s">
        <v>2243</v>
      </c>
      <c r="E225" s="408" t="s">
        <v>972</v>
      </c>
      <c r="F225" s="408" t="s">
        <v>2251</v>
      </c>
      <c r="G225" s="408" t="s">
        <v>2252</v>
      </c>
      <c r="H225" s="408" t="s">
        <v>1320</v>
      </c>
      <c r="I225" s="408" t="s">
        <v>1320</v>
      </c>
      <c r="J225" s="408" t="s">
        <v>2234</v>
      </c>
      <c r="K225" s="827">
        <v>44470</v>
      </c>
      <c r="L225" s="408">
        <v>0</v>
      </c>
      <c r="M225" s="408">
        <v>0</v>
      </c>
      <c r="N225" s="408">
        <v>0.25</v>
      </c>
      <c r="O225" s="408">
        <v>0.25</v>
      </c>
      <c r="P225" s="408">
        <v>0.25</v>
      </c>
      <c r="Q225" s="408">
        <v>0.25</v>
      </c>
      <c r="R225" s="408"/>
      <c r="S225" s="408">
        <v>516.83000000000004</v>
      </c>
      <c r="T225" s="408">
        <v>173.82</v>
      </c>
      <c r="U225" s="408"/>
      <c r="V225" s="408">
        <v>172.66250000000002</v>
      </c>
      <c r="W225" s="408">
        <v>172.66250000000002</v>
      </c>
      <c r="X225" s="408">
        <v>130.36250000000001</v>
      </c>
      <c r="Y225" s="408">
        <v>0</v>
      </c>
      <c r="Z225" s="408">
        <v>15.287363939505925</v>
      </c>
      <c r="AA225" s="408">
        <v>0</v>
      </c>
      <c r="AB225" s="408">
        <v>0</v>
      </c>
      <c r="AC225" s="408">
        <v>0.67961101834771753</v>
      </c>
      <c r="AD225" s="408">
        <v>8.6066528805164992</v>
      </c>
      <c r="AE225" s="408">
        <v>90.90394879167475</v>
      </c>
      <c r="AF225" s="408">
        <v>40.230533885359748</v>
      </c>
      <c r="AG225" s="408">
        <v>2.0239663480166823</v>
      </c>
      <c r="AH225" s="408">
        <v>0</v>
      </c>
      <c r="AI225" s="408">
        <v>0</v>
      </c>
      <c r="AJ225" s="408">
        <v>0</v>
      </c>
      <c r="AK225" s="408">
        <v>0</v>
      </c>
      <c r="AL225" s="408">
        <v>2.3628741644048099</v>
      </c>
      <c r="AM225" s="408"/>
      <c r="AN225" s="408">
        <v>0.38788549371242248</v>
      </c>
      <c r="AO225" s="408">
        <v>1.44962594478386</v>
      </c>
      <c r="AP225" s="408">
        <v>4.7473289629022251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0.13870315426302651</v>
      </c>
      <c r="BF225" s="408">
        <v>1.2014220843653074</v>
      </c>
      <c r="BG225" s="408">
        <v>4.6445808015364252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>
        <v>15.642499999999998</v>
      </c>
      <c r="BS225" s="408"/>
      <c r="BT225" s="408"/>
      <c r="BU225" s="408"/>
      <c r="BV225" s="408">
        <v>46.215239925524507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114.72</v>
      </c>
      <c r="CJ225" s="408">
        <v>-37.252499999999998</v>
      </c>
      <c r="CK225" s="408"/>
      <c r="CL225" s="408"/>
      <c r="CM225" s="408"/>
      <c r="CN225" s="408"/>
      <c r="CO225" s="408">
        <v>-47.597500000000011</v>
      </c>
      <c r="CP225" s="408">
        <v>5.2974999999999994</v>
      </c>
      <c r="CQ225" s="408">
        <v>31</v>
      </c>
      <c r="CR225" s="408">
        <v>5.8264697535020247</v>
      </c>
      <c r="CS225" s="408">
        <v>0.14074952091073012</v>
      </c>
      <c r="CT225" s="408">
        <v>0.46093565001260028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-0.16502575212969894</v>
      </c>
      <c r="DA225" s="408">
        <v>0</v>
      </c>
      <c r="DB225" s="408">
        <v>0</v>
      </c>
      <c r="DC225" s="408">
        <v>5.1640336541515026</v>
      </c>
      <c r="DD225" s="408">
        <v>0.15421580270802271</v>
      </c>
      <c r="DE225" s="408">
        <v>1.7804082804177251E-2</v>
      </c>
      <c r="DF225" s="408">
        <v>0</v>
      </c>
      <c r="DG225" s="408">
        <v>0.59618327802722515</v>
      </c>
      <c r="DH225" s="408">
        <v>0</v>
      </c>
      <c r="DI225" s="408">
        <v>-0.44678093921142548</v>
      </c>
      <c r="DJ225" s="408"/>
      <c r="DK225" s="408">
        <v>0</v>
      </c>
      <c r="DL225" s="408">
        <v>0</v>
      </c>
      <c r="DM225" s="408">
        <v>-2.2495643126299925E-2</v>
      </c>
      <c r="DN225" s="408">
        <v>0</v>
      </c>
      <c r="DO225" s="408">
        <v>-6.1197624708992482E-2</v>
      </c>
      <c r="DP225" s="408">
        <v>-1.1952275935812495E-2</v>
      </c>
      <c r="DQ225" s="408">
        <v>0</v>
      </c>
      <c r="DR225" s="408">
        <v>0</v>
      </c>
      <c r="DS225" s="408"/>
      <c r="DT225" s="408"/>
      <c r="DU225" s="408"/>
      <c r="DV225" s="408">
        <v>90.90394879167475</v>
      </c>
      <c r="DW225" s="408">
        <v>0</v>
      </c>
      <c r="DX225" s="408">
        <v>0</v>
      </c>
      <c r="DY225" s="408">
        <v>-47.597500000000011</v>
      </c>
      <c r="DZ225" s="408">
        <v>5.2974999999999994</v>
      </c>
      <c r="EA225" s="408">
        <v>0</v>
      </c>
      <c r="EB225" s="408">
        <v>0</v>
      </c>
      <c r="EC225" s="408">
        <v>-48.128821569269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239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225</v>
      </c>
      <c r="B226" s="408" t="s">
        <v>1034</v>
      </c>
      <c r="C226" s="408" t="s">
        <v>2233</v>
      </c>
      <c r="D226" s="408" t="s">
        <v>2243</v>
      </c>
      <c r="E226" s="408" t="s">
        <v>972</v>
      </c>
      <c r="F226" s="408" t="s">
        <v>2251</v>
      </c>
      <c r="G226" s="408" t="s">
        <v>2253</v>
      </c>
      <c r="H226" s="408" t="s">
        <v>1320</v>
      </c>
      <c r="I226" s="408" t="s">
        <v>1320</v>
      </c>
      <c r="J226" s="408" t="s">
        <v>2234</v>
      </c>
      <c r="K226" s="827">
        <v>44470</v>
      </c>
      <c r="L226" s="408">
        <v>0</v>
      </c>
      <c r="M226" s="408">
        <v>0</v>
      </c>
      <c r="N226" s="408">
        <v>75.691000000000003</v>
      </c>
      <c r="O226" s="408">
        <v>30.276399999999999</v>
      </c>
      <c r="P226" s="408">
        <v>75.691000000000003</v>
      </c>
      <c r="Q226" s="408">
        <v>30.276399999999999</v>
      </c>
      <c r="R226" s="408"/>
      <c r="S226" s="408">
        <v>516.83000000000004</v>
      </c>
      <c r="T226" s="408">
        <v>173.82</v>
      </c>
      <c r="U226" s="408"/>
      <c r="V226" s="408">
        <v>52275.989150000009</v>
      </c>
      <c r="W226" s="408">
        <v>52275.989150000009</v>
      </c>
      <c r="X226" s="408">
        <v>39469.071949999998</v>
      </c>
      <c r="Y226" s="408">
        <v>0</v>
      </c>
      <c r="Z226" s="408">
        <v>4628.4634557805721</v>
      </c>
      <c r="AA226" s="408">
        <v>0</v>
      </c>
      <c r="AB226" s="408">
        <v>0</v>
      </c>
      <c r="AC226" s="408">
        <v>205.76175035902835</v>
      </c>
      <c r="AD226" s="408">
        <v>2605.7846527166976</v>
      </c>
      <c r="AE226" s="408">
        <v>27522.443151962616</v>
      </c>
      <c r="AF226" s="408">
        <v>12180.357361267059</v>
      </c>
      <c r="AG226" s="408">
        <v>612.78414739092284</v>
      </c>
      <c r="AH226" s="408">
        <v>0</v>
      </c>
      <c r="AI226" s="408">
        <v>0</v>
      </c>
      <c r="AJ226" s="408">
        <v>0</v>
      </c>
      <c r="AK226" s="408">
        <v>0</v>
      </c>
      <c r="AL226" s="408">
        <v>715.39323351185794</v>
      </c>
      <c r="AM226" s="408"/>
      <c r="AN226" s="408">
        <v>117.43776361834789</v>
      </c>
      <c r="AO226" s="408">
        <v>438.89454954654059</v>
      </c>
      <c r="AP226" s="408">
        <v>1437.3203061241293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41.994321797290958</v>
      </c>
      <c r="BF226" s="408">
        <v>363.74735595077794</v>
      </c>
      <c r="BG226" s="408">
        <v>1406.2118617963743</v>
      </c>
      <c r="BH226" s="408">
        <v>0</v>
      </c>
      <c r="BI226" s="408">
        <v>0</v>
      </c>
      <c r="BJ226" s="408">
        <v>0</v>
      </c>
      <c r="BK226" s="408">
        <v>0</v>
      </c>
      <c r="BL226" s="408">
        <v>0</v>
      </c>
      <c r="BM226" s="408"/>
      <c r="BN226" s="408"/>
      <c r="BO226" s="408"/>
      <c r="BP226" s="408"/>
      <c r="BQ226" s="408"/>
      <c r="BR226" s="408"/>
      <c r="BS226" s="408">
        <v>25575.837518000004</v>
      </c>
      <c r="BT226" s="408"/>
      <c r="BU226" s="408"/>
      <c r="BV226" s="408">
        <v>13992.310900811503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13894.886399999999</v>
      </c>
      <c r="CJ226" s="408">
        <v>-4506.2312280000006</v>
      </c>
      <c r="CK226" s="408"/>
      <c r="CL226" s="408"/>
      <c r="CM226" s="408"/>
      <c r="CN226" s="408"/>
      <c r="CO226" s="408">
        <v>-14410.809490000003</v>
      </c>
      <c r="CP226" s="408">
        <v>1603.8922899999998</v>
      </c>
      <c r="CQ226" s="408">
        <v>31</v>
      </c>
      <c r="CR226" s="408">
        <v>1764.0452884492879</v>
      </c>
      <c r="CS226" s="408">
        <v>42.613887949016316</v>
      </c>
      <c r="CT226" s="408">
        <v>139.55472114041504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-49.963856817796113</v>
      </c>
      <c r="DA226" s="408">
        <v>0</v>
      </c>
      <c r="DB226" s="408">
        <v>0</v>
      </c>
      <c r="DC226" s="408">
        <v>1563.4834852655258</v>
      </c>
      <c r="DD226" s="408">
        <v>46.690993291091786</v>
      </c>
      <c r="DE226" s="408">
        <v>5.3904353261239208</v>
      </c>
      <c r="DF226" s="408">
        <v>0</v>
      </c>
      <c r="DG226" s="408">
        <v>180.50283398863485</v>
      </c>
      <c r="DH226" s="408">
        <v>0</v>
      </c>
      <c r="DI226" s="408">
        <v>-135.26918427940836</v>
      </c>
      <c r="DJ226" s="408"/>
      <c r="DK226" s="408">
        <v>0</v>
      </c>
      <c r="DL226" s="408">
        <v>0</v>
      </c>
      <c r="DM226" s="408">
        <v>-6.8108708954911208</v>
      </c>
      <c r="DN226" s="408">
        <v>0</v>
      </c>
      <c r="DO226" s="408">
        <v>-18.528437647393503</v>
      </c>
      <c r="DP226" s="408">
        <v>-3.6187188714303318</v>
      </c>
      <c r="DQ226" s="408">
        <v>0</v>
      </c>
      <c r="DR226" s="408">
        <v>0</v>
      </c>
      <c r="DS226" s="408"/>
      <c r="DT226" s="408"/>
      <c r="DU226" s="408"/>
      <c r="DV226" s="408">
        <v>27522.443151962616</v>
      </c>
      <c r="DW226" s="408">
        <v>0</v>
      </c>
      <c r="DX226" s="408">
        <v>0</v>
      </c>
      <c r="DY226" s="408">
        <v>-14410.809490000003</v>
      </c>
      <c r="DZ226" s="408">
        <v>1603.8922899999998</v>
      </c>
      <c r="EA226" s="408">
        <v>0</v>
      </c>
      <c r="EB226" s="408">
        <v>0</v>
      </c>
      <c r="EC226" s="408">
        <v>-14571.674533598161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239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226</v>
      </c>
      <c r="B227" s="408" t="s">
        <v>2236</v>
      </c>
      <c r="C227" s="408" t="s">
        <v>2233</v>
      </c>
      <c r="D227" s="408" t="s">
        <v>2243</v>
      </c>
      <c r="E227" s="408" t="s">
        <v>972</v>
      </c>
      <c r="F227" s="408" t="s">
        <v>2251</v>
      </c>
      <c r="G227" s="408" t="s">
        <v>2253</v>
      </c>
      <c r="H227" s="408" t="s">
        <v>1320</v>
      </c>
      <c r="I227" s="408" t="s">
        <v>1320</v>
      </c>
      <c r="J227" s="408" t="s">
        <v>2234</v>
      </c>
      <c r="K227" s="827">
        <v>44470</v>
      </c>
      <c r="L227" s="408">
        <v>0</v>
      </c>
      <c r="M227" s="408">
        <v>0</v>
      </c>
      <c r="N227" s="408">
        <v>0.1</v>
      </c>
      <c r="O227" s="408">
        <v>0.04</v>
      </c>
      <c r="P227" s="408">
        <v>0.1</v>
      </c>
      <c r="Q227" s="408">
        <v>0.04</v>
      </c>
      <c r="R227" s="408"/>
      <c r="S227" s="408">
        <v>516.83000000000004</v>
      </c>
      <c r="T227" s="408">
        <v>173.82</v>
      </c>
      <c r="U227" s="408"/>
      <c r="V227" s="408">
        <v>69.065000000000012</v>
      </c>
      <c r="W227" s="408">
        <v>69.065000000000012</v>
      </c>
      <c r="X227" s="408">
        <v>52.144999999999996</v>
      </c>
      <c r="Y227" s="408">
        <v>0</v>
      </c>
      <c r="Z227" s="408">
        <v>6.1149455758023699</v>
      </c>
      <c r="AA227" s="408">
        <v>0</v>
      </c>
      <c r="AB227" s="408">
        <v>0</v>
      </c>
      <c r="AC227" s="408">
        <v>0.27184440733908705</v>
      </c>
      <c r="AD227" s="408">
        <v>3.4426611522066</v>
      </c>
      <c r="AE227" s="408">
        <v>36.361579516669899</v>
      </c>
      <c r="AF227" s="408">
        <v>16.0922135541439</v>
      </c>
      <c r="AG227" s="408">
        <v>0.80958653920667301</v>
      </c>
      <c r="AH227" s="408">
        <v>0</v>
      </c>
      <c r="AI227" s="408">
        <v>0</v>
      </c>
      <c r="AJ227" s="408">
        <v>0</v>
      </c>
      <c r="AK227" s="408">
        <v>0</v>
      </c>
      <c r="AL227" s="408">
        <v>0.94514966576192405</v>
      </c>
      <c r="AM227" s="408"/>
      <c r="AN227" s="408">
        <v>0.155154197484969</v>
      </c>
      <c r="AO227" s="408">
        <v>0.57985037791354399</v>
      </c>
      <c r="AP227" s="408">
        <v>1.8989315851608901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5.5481261705210609E-2</v>
      </c>
      <c r="BF227" s="408">
        <v>0.48056883374612297</v>
      </c>
      <c r="BG227" s="408">
        <v>1.8578323206145702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/>
      <c r="BS227" s="408">
        <v>33.7898</v>
      </c>
      <c r="BT227" s="408"/>
      <c r="BU227" s="408"/>
      <c r="BV227" s="408">
        <v>18.486095970209803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18.3552</v>
      </c>
      <c r="CJ227" s="408">
        <v>-5.9856000000000051</v>
      </c>
      <c r="CK227" s="408"/>
      <c r="CL227" s="408"/>
      <c r="CM227" s="408"/>
      <c r="CN227" s="408"/>
      <c r="CO227" s="408">
        <v>-19.039000000000005</v>
      </c>
      <c r="CP227" s="408">
        <v>2.1189999999999998</v>
      </c>
      <c r="CQ227" s="408">
        <v>31</v>
      </c>
      <c r="CR227" s="408">
        <v>2.3305879014008113</v>
      </c>
      <c r="CS227" s="408">
        <v>5.6299808364292048E-2</v>
      </c>
      <c r="CT227" s="408">
        <v>0.1843742600050402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-6.6010300851879755E-2</v>
      </c>
      <c r="DA227" s="408">
        <v>0</v>
      </c>
      <c r="DB227" s="408">
        <v>0</v>
      </c>
      <c r="DC227" s="408">
        <v>2.0656134616606003</v>
      </c>
      <c r="DD227" s="408">
        <v>6.1686321083209095E-2</v>
      </c>
      <c r="DE227" s="408">
        <v>7.1216331216709047E-3</v>
      </c>
      <c r="DF227" s="408">
        <v>0</v>
      </c>
      <c r="DG227" s="408">
        <v>0.23847331121088988</v>
      </c>
      <c r="DH227" s="408">
        <v>0</v>
      </c>
      <c r="DI227" s="408">
        <v>-0.17871237568456966</v>
      </c>
      <c r="DJ227" s="408"/>
      <c r="DK227" s="408">
        <v>0</v>
      </c>
      <c r="DL227" s="408">
        <v>0</v>
      </c>
      <c r="DM227" s="408">
        <v>-8.9982572505200586E-3</v>
      </c>
      <c r="DN227" s="408">
        <v>0</v>
      </c>
      <c r="DO227" s="408">
        <v>-2.4479049883597059E-2</v>
      </c>
      <c r="DP227" s="408">
        <v>-4.780910374324987E-3</v>
      </c>
      <c r="DQ227" s="408">
        <v>0</v>
      </c>
      <c r="DR227" s="408">
        <v>0</v>
      </c>
      <c r="DS227" s="408"/>
      <c r="DT227" s="408"/>
      <c r="DU227" s="408"/>
      <c r="DV227" s="408">
        <v>36.361579516669899</v>
      </c>
      <c r="DW227" s="408">
        <v>0</v>
      </c>
      <c r="DX227" s="408">
        <v>0</v>
      </c>
      <c r="DY227" s="408">
        <v>-19.039000000000009</v>
      </c>
      <c r="DZ227" s="408">
        <v>2.1189999999999998</v>
      </c>
      <c r="EA227" s="408">
        <v>0</v>
      </c>
      <c r="EB227" s="408">
        <v>0</v>
      </c>
      <c r="EC227" s="408">
        <v>-19.251528627707597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239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227</v>
      </c>
      <c r="B228" s="408" t="s">
        <v>1034</v>
      </c>
      <c r="C228" s="408" t="s">
        <v>2241</v>
      </c>
      <c r="D228" s="408" t="s">
        <v>596</v>
      </c>
      <c r="E228" s="408" t="s">
        <v>972</v>
      </c>
      <c r="F228" s="408" t="s">
        <v>2251</v>
      </c>
      <c r="G228" s="408" t="s">
        <v>1320</v>
      </c>
      <c r="H228" s="408" t="s">
        <v>1320</v>
      </c>
      <c r="I228" s="408" t="s">
        <v>971</v>
      </c>
      <c r="J228" s="408" t="s">
        <v>2234</v>
      </c>
      <c r="K228" s="827">
        <v>44470</v>
      </c>
      <c r="L228" s="408">
        <v>0</v>
      </c>
      <c r="M228" s="408">
        <v>0</v>
      </c>
      <c r="N228" s="408">
        <v>0.90800000000000003</v>
      </c>
      <c r="O228" s="408">
        <v>0.87168000000000001</v>
      </c>
      <c r="P228" s="408">
        <v>0.90800000000000003</v>
      </c>
      <c r="Q228" s="408">
        <v>0.87168000000000001</v>
      </c>
      <c r="R228" s="408"/>
      <c r="S228" s="408">
        <v>1684.16</v>
      </c>
      <c r="T228" s="408">
        <v>173.82</v>
      </c>
      <c r="U228" s="408"/>
      <c r="V228" s="408">
        <v>1687.04584</v>
      </c>
      <c r="W228" s="408">
        <v>1687.04584</v>
      </c>
      <c r="X228" s="408">
        <v>1158.1176800000001</v>
      </c>
      <c r="Y228" s="408">
        <v>0</v>
      </c>
      <c r="Z228" s="408">
        <v>48.305624070608481</v>
      </c>
      <c r="AA228" s="408">
        <v>0</v>
      </c>
      <c r="AB228" s="408">
        <v>0</v>
      </c>
      <c r="AC228" s="408">
        <v>16.343455072639745</v>
      </c>
      <c r="AD228" s="408">
        <v>249.32402369546813</v>
      </c>
      <c r="AE228" s="408">
        <v>1051.7295495900503</v>
      </c>
      <c r="AF228" s="408">
        <v>146.1172990716266</v>
      </c>
      <c r="AG228" s="408">
        <v>7.3510457759965906</v>
      </c>
      <c r="AH228" s="408">
        <v>0</v>
      </c>
      <c r="AI228" s="408">
        <v>0</v>
      </c>
      <c r="AJ228" s="408">
        <v>0</v>
      </c>
      <c r="AK228" s="408">
        <v>0</v>
      </c>
      <c r="AL228" s="408">
        <v>8.5819589651182699</v>
      </c>
      <c r="AM228" s="408"/>
      <c r="AN228" s="408">
        <v>1.1283994444363141</v>
      </c>
      <c r="AO228" s="408">
        <v>35.099778415199559</v>
      </c>
      <c r="AP228" s="408">
        <v>112.86319327596499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0.16942701122428216</v>
      </c>
      <c r="BF228" s="408">
        <v>4.3635650104147965</v>
      </c>
      <c r="BG228" s="408">
        <v>5.6733925610786349</v>
      </c>
      <c r="BH228" s="408">
        <v>0</v>
      </c>
      <c r="BI228" s="408">
        <v>0</v>
      </c>
      <c r="BJ228" s="408">
        <v>0</v>
      </c>
      <c r="BK228" s="408">
        <v>0</v>
      </c>
      <c r="BL228" s="408">
        <v>0</v>
      </c>
      <c r="BM228" s="408"/>
      <c r="BN228" s="408"/>
      <c r="BO228" s="408"/>
      <c r="BP228" s="408"/>
      <c r="BQ228" s="408"/>
      <c r="BR228" s="408">
        <v>46.324707200000027</v>
      </c>
      <c r="BS228" s="408"/>
      <c r="BT228" s="408"/>
      <c r="BU228" s="408"/>
      <c r="BV228" s="408">
        <v>156.32368365434431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1109.6502</v>
      </c>
      <c r="CJ228" s="408">
        <v>-509.94380640000008</v>
      </c>
      <c r="CK228" s="408"/>
      <c r="CL228" s="408"/>
      <c r="CM228" s="408"/>
      <c r="CN228" s="408"/>
      <c r="CO228" s="408">
        <v>-548.16867999999999</v>
      </c>
      <c r="CP228" s="408">
        <v>19.24052</v>
      </c>
      <c r="CQ228" s="408">
        <v>31</v>
      </c>
      <c r="CR228" s="408">
        <v>27.901050927155666</v>
      </c>
      <c r="CS228" s="408">
        <v>3.4079667336173358</v>
      </c>
      <c r="CT228" s="408">
        <v>10.958303029278895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-4.7805906785779371</v>
      </c>
      <c r="DA228" s="408">
        <v>0</v>
      </c>
      <c r="DB228" s="408">
        <v>0</v>
      </c>
      <c r="DC228" s="408">
        <v>18.755770231878273</v>
      </c>
      <c r="DD228" s="408">
        <v>0.5601117954355388</v>
      </c>
      <c r="DE228" s="408">
        <v>2.1747829406829344E-2</v>
      </c>
      <c r="DF228" s="408">
        <v>0</v>
      </c>
      <c r="DG228" s="408">
        <v>0.72824263784586218</v>
      </c>
      <c r="DH228" s="408">
        <v>0</v>
      </c>
      <c r="DI228" s="408">
        <v>-1.4117562829578674</v>
      </c>
      <c r="DJ228" s="408"/>
      <c r="DK228" s="408">
        <v>0</v>
      </c>
      <c r="DL228" s="408">
        <v>0</v>
      </c>
      <c r="DM228" s="408">
        <v>-8.1704175834721227E-2</v>
      </c>
      <c r="DN228" s="408">
        <v>0</v>
      </c>
      <c r="DO228" s="408">
        <v>-0.22226977294306138</v>
      </c>
      <c r="DP228" s="408">
        <v>-3.4770419993384039E-2</v>
      </c>
      <c r="DQ228" s="408">
        <v>0</v>
      </c>
      <c r="DR228" s="408">
        <v>0</v>
      </c>
      <c r="DS228" s="408"/>
      <c r="DT228" s="408"/>
      <c r="DU228" s="408"/>
      <c r="DV228" s="408">
        <v>1051.7295495900503</v>
      </c>
      <c r="DW228" s="408">
        <v>0</v>
      </c>
      <c r="DX228" s="408">
        <v>0</v>
      </c>
      <c r="DY228" s="408">
        <v>-548.16867999999999</v>
      </c>
      <c r="DZ228" s="408">
        <v>19.240519999999975</v>
      </c>
      <c r="EA228" s="408">
        <v>0</v>
      </c>
      <c r="EB228" s="408">
        <v>0</v>
      </c>
      <c r="EC228" s="408">
        <v>-556.83503856746574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239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228</v>
      </c>
      <c r="B229" s="408" t="s">
        <v>1034</v>
      </c>
      <c r="C229" s="408" t="s">
        <v>2241</v>
      </c>
      <c r="D229" s="408" t="s">
        <v>596</v>
      </c>
      <c r="E229" s="408" t="s">
        <v>972</v>
      </c>
      <c r="F229" s="408" t="s">
        <v>2251</v>
      </c>
      <c r="G229" s="408" t="s">
        <v>1320</v>
      </c>
      <c r="H229" s="408" t="s">
        <v>1320</v>
      </c>
      <c r="I229" s="408" t="s">
        <v>2242</v>
      </c>
      <c r="J229" s="408" t="s">
        <v>2234</v>
      </c>
      <c r="K229" s="827">
        <v>44470</v>
      </c>
      <c r="L229" s="408">
        <v>0</v>
      </c>
      <c r="M229" s="408">
        <v>0</v>
      </c>
      <c r="N229" s="408">
        <v>243.54400000000001</v>
      </c>
      <c r="O229" s="408">
        <v>233.80224000000001</v>
      </c>
      <c r="P229" s="408">
        <v>243.54400000000001</v>
      </c>
      <c r="Q229" s="408">
        <v>233.80224000000001</v>
      </c>
      <c r="R229" s="408"/>
      <c r="S229" s="408">
        <v>70.33</v>
      </c>
      <c r="T229" s="408">
        <v>173.82</v>
      </c>
      <c r="U229" s="408"/>
      <c r="V229" s="408">
        <v>59461.267599999999</v>
      </c>
      <c r="W229" s="408">
        <v>59461.267599999999</v>
      </c>
      <c r="X229" s="408">
        <v>64375.985520000002</v>
      </c>
      <c r="Y229" s="408">
        <v>0</v>
      </c>
      <c r="Z229" s="408">
        <v>12956.547256224969</v>
      </c>
      <c r="AA229" s="408">
        <v>0</v>
      </c>
      <c r="AB229" s="408">
        <v>0</v>
      </c>
      <c r="AC229" s="408">
        <v>0</v>
      </c>
      <c r="AD229" s="408">
        <v>0</v>
      </c>
      <c r="AE229" s="408">
        <v>0</v>
      </c>
      <c r="AF229" s="408">
        <v>39191.620578304217</v>
      </c>
      <c r="AG229" s="408">
        <v>1971.6994410454995</v>
      </c>
      <c r="AH229" s="408">
        <v>0</v>
      </c>
      <c r="AI229" s="408">
        <v>0</v>
      </c>
      <c r="AJ229" s="408">
        <v>0</v>
      </c>
      <c r="AK229" s="408">
        <v>0</v>
      </c>
      <c r="AL229" s="408">
        <v>2301.8553019832202</v>
      </c>
      <c r="AM229" s="408"/>
      <c r="AN229" s="408">
        <v>302.65959724206795</v>
      </c>
      <c r="AO229" s="408">
        <v>0</v>
      </c>
      <c r="AP229" s="408">
        <v>0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45.443757733046894</v>
      </c>
      <c r="BF229" s="408">
        <v>1170.3965604586579</v>
      </c>
      <c r="BG229" s="408">
        <v>1521.7188523076377</v>
      </c>
      <c r="BH229" s="408">
        <v>0</v>
      </c>
      <c r="BI229" s="408">
        <v>0</v>
      </c>
      <c r="BJ229" s="408">
        <v>0</v>
      </c>
      <c r="BK229" s="408">
        <v>0</v>
      </c>
      <c r="BL229" s="408">
        <v>0</v>
      </c>
      <c r="BM229" s="408"/>
      <c r="BN229" s="408"/>
      <c r="BO229" s="408"/>
      <c r="BP229" s="408"/>
      <c r="BQ229" s="408"/>
      <c r="BR229" s="408">
        <v>2575.0394207999998</v>
      </c>
      <c r="BS229" s="408"/>
      <c r="BT229" s="408"/>
      <c r="BU229" s="408"/>
      <c r="BV229" s="408">
        <v>41929.179748803559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61800.354000000007</v>
      </c>
      <c r="CJ229" s="408">
        <v>4717.5071040000112</v>
      </c>
      <c r="CK229" s="408"/>
      <c r="CL229" s="408"/>
      <c r="CM229" s="408"/>
      <c r="CN229" s="408"/>
      <c r="CO229" s="408">
        <v>-245.97944000000126</v>
      </c>
      <c r="CP229" s="408">
        <v>5160.6973600000001</v>
      </c>
      <c r="CQ229" s="408">
        <v>31</v>
      </c>
      <c r="CR229" s="408">
        <v>4912.5538767532998</v>
      </c>
      <c r="CS229" s="408">
        <v>0</v>
      </c>
      <c r="CT229" s="408">
        <v>0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0</v>
      </c>
      <c r="DA229" s="408">
        <v>0</v>
      </c>
      <c r="DB229" s="408">
        <v>0</v>
      </c>
      <c r="DC229" s="408">
        <v>5030.6776490666962</v>
      </c>
      <c r="DD229" s="408">
        <v>150.23333381889074</v>
      </c>
      <c r="DE229" s="408">
        <v>5.8332085518247183</v>
      </c>
      <c r="DF229" s="408">
        <v>0</v>
      </c>
      <c r="DG229" s="408">
        <v>195.32943281005805</v>
      </c>
      <c r="DH229" s="408">
        <v>0</v>
      </c>
      <c r="DI229" s="408">
        <v>-378.66164336639849</v>
      </c>
      <c r="DJ229" s="408"/>
      <c r="DK229" s="408">
        <v>0</v>
      </c>
      <c r="DL229" s="408">
        <v>0</v>
      </c>
      <c r="DM229" s="408">
        <v>-21.914715638206189</v>
      </c>
      <c r="DN229" s="408">
        <v>0</v>
      </c>
      <c r="DO229" s="408">
        <v>-59.617257248507485</v>
      </c>
      <c r="DP229" s="408">
        <v>-9.3261312410448909</v>
      </c>
      <c r="DQ229" s="408">
        <v>0</v>
      </c>
      <c r="DR229" s="408">
        <v>0</v>
      </c>
      <c r="DS229" s="408"/>
      <c r="DT229" s="408"/>
      <c r="DU229" s="408"/>
      <c r="DV229" s="408">
        <v>0</v>
      </c>
      <c r="DW229" s="408">
        <v>0</v>
      </c>
      <c r="DX229" s="408">
        <v>0</v>
      </c>
      <c r="DY229" s="408">
        <v>-245.9794400000028</v>
      </c>
      <c r="DZ229" s="408">
        <v>5160.6973600000056</v>
      </c>
      <c r="EA229" s="408">
        <v>0</v>
      </c>
      <c r="EB229" s="408">
        <v>0</v>
      </c>
      <c r="EC229" s="408">
        <v>0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239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229</v>
      </c>
      <c r="B230" s="408" t="s">
        <v>1034</v>
      </c>
      <c r="C230" s="408" t="s">
        <v>2241</v>
      </c>
      <c r="D230" s="408" t="s">
        <v>596</v>
      </c>
      <c r="E230" s="408" t="s">
        <v>972</v>
      </c>
      <c r="F230" s="408" t="s">
        <v>2251</v>
      </c>
      <c r="G230" s="408" t="s">
        <v>1320</v>
      </c>
      <c r="H230" s="408" t="s">
        <v>1320</v>
      </c>
      <c r="I230" s="408" t="s">
        <v>1320</v>
      </c>
      <c r="J230" s="408" t="s">
        <v>2234</v>
      </c>
      <c r="K230" s="827">
        <v>44470</v>
      </c>
      <c r="L230" s="408">
        <v>1482</v>
      </c>
      <c r="M230" s="408">
        <v>1422.72</v>
      </c>
      <c r="N230" s="408">
        <v>0</v>
      </c>
      <c r="O230" s="408">
        <v>0</v>
      </c>
      <c r="P230" s="408">
        <v>0</v>
      </c>
      <c r="Q230" s="408">
        <v>0</v>
      </c>
      <c r="R230" s="408">
        <v>59.12</v>
      </c>
      <c r="S230" s="408"/>
      <c r="T230" s="408"/>
      <c r="U230" s="408">
        <v>87615.84</v>
      </c>
      <c r="V230" s="408"/>
      <c r="W230" s="408">
        <v>87615.84</v>
      </c>
      <c r="X230" s="408">
        <v>50432.46</v>
      </c>
      <c r="Y230" s="408">
        <v>0</v>
      </c>
      <c r="Z230" s="408">
        <v>0</v>
      </c>
      <c r="AA230" s="408">
        <v>0</v>
      </c>
      <c r="AB230" s="408">
        <v>0</v>
      </c>
      <c r="AC230" s="408">
        <v>847.79345846051683</v>
      </c>
      <c r="AD230" s="408">
        <v>7583.4275683602682</v>
      </c>
      <c r="AE230" s="408">
        <v>71375.784269131938</v>
      </c>
      <c r="AF230" s="408"/>
      <c r="AG230" s="408"/>
      <c r="AH230" s="408"/>
      <c r="AI230" s="408">
        <v>0</v>
      </c>
      <c r="AJ230" s="408">
        <v>0</v>
      </c>
      <c r="AK230" s="408">
        <v>0</v>
      </c>
      <c r="AL230" s="408">
        <v>0</v>
      </c>
      <c r="AM230" s="408"/>
      <c r="AN230" s="408">
        <v>0</v>
      </c>
      <c r="AO230" s="408">
        <v>1790.362875452669</v>
      </c>
      <c r="AP230" s="408">
        <v>6018.3840144775513</v>
      </c>
      <c r="AQ230" s="408">
        <v>0</v>
      </c>
      <c r="AR230" s="408">
        <v>0</v>
      </c>
      <c r="AS230" s="408"/>
      <c r="AT230" s="408"/>
      <c r="AU230" s="408">
        <v>0</v>
      </c>
      <c r="AV230" s="408">
        <v>0</v>
      </c>
      <c r="AW230" s="408">
        <v>0</v>
      </c>
      <c r="AX230" s="408"/>
      <c r="AY230" s="408"/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/>
      <c r="BG230" s="408">
        <v>0</v>
      </c>
      <c r="BH230" s="408">
        <v>0</v>
      </c>
      <c r="BI230" s="408">
        <v>1956.93</v>
      </c>
      <c r="BJ230" s="408">
        <v>9161.56</v>
      </c>
      <c r="BK230" s="408">
        <v>46.9</v>
      </c>
      <c r="BL230" s="408">
        <v>9</v>
      </c>
      <c r="BM230" s="408"/>
      <c r="BN230" s="408"/>
      <c r="BO230" s="408"/>
      <c r="BP230" s="408"/>
      <c r="BQ230" s="408"/>
      <c r="BR230" s="408">
        <v>2017.2983999999992</v>
      </c>
      <c r="BS230" s="408"/>
      <c r="BT230" s="408"/>
      <c r="BU230" s="408"/>
      <c r="BV230" s="408">
        <v>0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48415.161599999999</v>
      </c>
      <c r="CJ230" s="408">
        <v>-35696.07479999998</v>
      </c>
      <c r="CK230" s="408"/>
      <c r="CL230" s="408"/>
      <c r="CM230" s="408"/>
      <c r="CN230" s="408"/>
      <c r="CO230" s="408">
        <v>-37183.379999999997</v>
      </c>
      <c r="CP230" s="408">
        <v>0</v>
      </c>
      <c r="CQ230" s="408">
        <v>31</v>
      </c>
      <c r="CR230" s="408">
        <v>612.7737723428454</v>
      </c>
      <c r="CS230" s="408">
        <v>173.83292419886084</v>
      </c>
      <c r="CT230" s="408">
        <v>584.34706535332862</v>
      </c>
      <c r="CU230" s="408">
        <v>0</v>
      </c>
      <c r="CV230" s="408">
        <v>0</v>
      </c>
      <c r="CW230" s="408"/>
      <c r="CX230" s="408"/>
      <c r="CY230" s="408"/>
      <c r="CZ230" s="408">
        <v>-145.40621720934359</v>
      </c>
      <c r="DA230" s="408">
        <v>0</v>
      </c>
      <c r="DB230" s="408">
        <v>0</v>
      </c>
      <c r="DC230" s="408"/>
      <c r="DD230" s="408"/>
      <c r="DE230" s="408">
        <v>0</v>
      </c>
      <c r="DF230" s="408">
        <v>0</v>
      </c>
      <c r="DG230" s="408">
        <v>0</v>
      </c>
      <c r="DH230" s="408">
        <v>0</v>
      </c>
      <c r="DI230" s="408">
        <v>0</v>
      </c>
      <c r="DJ230" s="408"/>
      <c r="DK230" s="408">
        <v>0</v>
      </c>
      <c r="DL230" s="408">
        <v>0</v>
      </c>
      <c r="DM230" s="408"/>
      <c r="DN230" s="408">
        <v>0</v>
      </c>
      <c r="DO230" s="408">
        <v>0</v>
      </c>
      <c r="DP230" s="408">
        <v>0</v>
      </c>
      <c r="DQ230" s="408">
        <v>0</v>
      </c>
      <c r="DR230" s="408">
        <v>0</v>
      </c>
      <c r="DS230" s="408"/>
      <c r="DT230" s="408"/>
      <c r="DU230" s="408">
        <v>71375.784269131938</v>
      </c>
      <c r="DV230" s="408"/>
      <c r="DW230" s="408">
        <v>0</v>
      </c>
      <c r="DX230" s="408">
        <v>0</v>
      </c>
      <c r="DY230" s="408">
        <v>-37183.379999999997</v>
      </c>
      <c r="DZ230" s="408"/>
      <c r="EA230" s="408">
        <v>0</v>
      </c>
      <c r="EB230" s="408"/>
      <c r="EC230" s="408">
        <v>-37789.693749478793</v>
      </c>
      <c r="ED230" s="408"/>
      <c r="EE230" s="408">
        <v>0</v>
      </c>
      <c r="EF230" s="408">
        <v>0</v>
      </c>
      <c r="EG230" s="408"/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/>
      <c r="EN230" s="408"/>
      <c r="EO230" s="408">
        <v>0</v>
      </c>
      <c r="EP230" s="408">
        <v>0</v>
      </c>
      <c r="EQ230" s="408"/>
      <c r="ER230" s="408">
        <v>0</v>
      </c>
      <c r="ES230" s="408"/>
      <c r="ET230" s="408">
        <v>0</v>
      </c>
      <c r="EU230" s="408"/>
      <c r="EV230" s="408">
        <v>239</v>
      </c>
      <c r="EW230" s="408"/>
      <c r="EX230" s="408"/>
      <c r="EY230" s="408"/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230</v>
      </c>
      <c r="B231" s="408" t="s">
        <v>1034</v>
      </c>
      <c r="C231" s="408" t="s">
        <v>2241</v>
      </c>
      <c r="D231" s="408" t="s">
        <v>596</v>
      </c>
      <c r="E231" s="408" t="s">
        <v>972</v>
      </c>
      <c r="F231" s="408" t="s">
        <v>2251</v>
      </c>
      <c r="G231" s="408" t="s">
        <v>2253</v>
      </c>
      <c r="H231" s="408" t="s">
        <v>1320</v>
      </c>
      <c r="I231" s="408" t="s">
        <v>2242</v>
      </c>
      <c r="J231" s="408" t="s">
        <v>2234</v>
      </c>
      <c r="K231" s="827">
        <v>44470</v>
      </c>
      <c r="L231" s="408">
        <v>0</v>
      </c>
      <c r="M231" s="408">
        <v>0</v>
      </c>
      <c r="N231" s="408">
        <v>161.88999999999999</v>
      </c>
      <c r="O231" s="408">
        <v>48.567</v>
      </c>
      <c r="P231" s="408">
        <v>161.88999999999999</v>
      </c>
      <c r="Q231" s="408">
        <v>48.567</v>
      </c>
      <c r="R231" s="408"/>
      <c r="S231" s="408">
        <v>70.33</v>
      </c>
      <c r="T231" s="408">
        <v>173.82</v>
      </c>
      <c r="U231" s="408"/>
      <c r="V231" s="408">
        <v>39525.443499999994</v>
      </c>
      <c r="W231" s="408">
        <v>39525.443499999994</v>
      </c>
      <c r="X231" s="408">
        <v>42792.383699999991</v>
      </c>
      <c r="Y231" s="408">
        <v>0</v>
      </c>
      <c r="Z231" s="408">
        <v>8612.5522916198297</v>
      </c>
      <c r="AA231" s="408">
        <v>0</v>
      </c>
      <c r="AB231" s="408">
        <v>0</v>
      </c>
      <c r="AC231" s="408">
        <v>0</v>
      </c>
      <c r="AD231" s="408">
        <v>0</v>
      </c>
      <c r="AE231" s="408">
        <v>0</v>
      </c>
      <c r="AF231" s="408">
        <v>26051.684522803556</v>
      </c>
      <c r="AG231" s="408">
        <v>1310.6396483216827</v>
      </c>
      <c r="AH231" s="408">
        <v>0</v>
      </c>
      <c r="AI231" s="408">
        <v>0</v>
      </c>
      <c r="AJ231" s="408">
        <v>0</v>
      </c>
      <c r="AK231" s="408">
        <v>0</v>
      </c>
      <c r="AL231" s="408">
        <v>1530.1027939019787</v>
      </c>
      <c r="AM231" s="408"/>
      <c r="AN231" s="408">
        <v>201.18566746673443</v>
      </c>
      <c r="AO231" s="408">
        <v>0</v>
      </c>
      <c r="AP231" s="408">
        <v>0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30.207641902091449</v>
      </c>
      <c r="BF231" s="408">
        <v>777.9928849515984</v>
      </c>
      <c r="BG231" s="408">
        <v>1011.5259049702864</v>
      </c>
      <c r="BH231" s="408">
        <v>0</v>
      </c>
      <c r="BI231" s="408">
        <v>0</v>
      </c>
      <c r="BJ231" s="408">
        <v>0</v>
      </c>
      <c r="BK231" s="408">
        <v>0</v>
      </c>
      <c r="BL231" s="408">
        <v>0</v>
      </c>
      <c r="BM231" s="408"/>
      <c r="BN231" s="408"/>
      <c r="BO231" s="408"/>
      <c r="BP231" s="408"/>
      <c r="BQ231" s="408"/>
      <c r="BR231" s="408"/>
      <c r="BS231" s="408">
        <v>29954.668589999994</v>
      </c>
      <c r="BT231" s="408"/>
      <c r="BU231" s="408"/>
      <c r="BV231" s="408">
        <v>27871.410954627536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12838.508099999999</v>
      </c>
      <c r="CJ231" s="408">
        <v>980.8450499999999</v>
      </c>
      <c r="CK231" s="408"/>
      <c r="CL231" s="408"/>
      <c r="CM231" s="408"/>
      <c r="CN231" s="408"/>
      <c r="CO231" s="408">
        <v>-163.50890000000081</v>
      </c>
      <c r="CP231" s="408">
        <v>3430.4490999999994</v>
      </c>
      <c r="CQ231" s="408">
        <v>31</v>
      </c>
      <c r="CR231" s="408">
        <v>3265.5017044459892</v>
      </c>
      <c r="CS231" s="408">
        <v>0</v>
      </c>
      <c r="CT231" s="408">
        <v>0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0</v>
      </c>
      <c r="DA231" s="408">
        <v>0</v>
      </c>
      <c r="DB231" s="408">
        <v>0</v>
      </c>
      <c r="DC231" s="408">
        <v>3344.0216330823459</v>
      </c>
      <c r="DD231" s="408">
        <v>99.863985201607193</v>
      </c>
      <c r="DE231" s="408">
        <v>3.8774846945722494</v>
      </c>
      <c r="DF231" s="408">
        <v>0</v>
      </c>
      <c r="DG231" s="408">
        <v>129.84052934016142</v>
      </c>
      <c r="DH231" s="408">
        <v>0</v>
      </c>
      <c r="DI231" s="408">
        <v>-251.70619454630832</v>
      </c>
      <c r="DJ231" s="408"/>
      <c r="DK231" s="408">
        <v>0</v>
      </c>
      <c r="DL231" s="408">
        <v>0</v>
      </c>
      <c r="DM231" s="408">
        <v>-14.567278662866784</v>
      </c>
      <c r="DN231" s="408">
        <v>0</v>
      </c>
      <c r="DO231" s="408">
        <v>-39.6291338565552</v>
      </c>
      <c r="DP231" s="408">
        <v>-6.1993208069702064</v>
      </c>
      <c r="DQ231" s="408">
        <v>0</v>
      </c>
      <c r="DR231" s="408">
        <v>0</v>
      </c>
      <c r="DS231" s="408"/>
      <c r="DT231" s="408"/>
      <c r="DU231" s="408"/>
      <c r="DV231" s="408">
        <v>0</v>
      </c>
      <c r="DW231" s="408">
        <v>0</v>
      </c>
      <c r="DX231" s="408">
        <v>0</v>
      </c>
      <c r="DY231" s="408">
        <v>-163.50890000000072</v>
      </c>
      <c r="DZ231" s="408">
        <v>3430.4491000000016</v>
      </c>
      <c r="EA231" s="408">
        <v>0</v>
      </c>
      <c r="EB231" s="408">
        <v>0</v>
      </c>
      <c r="EC231" s="408">
        <v>0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239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231</v>
      </c>
      <c r="B232" s="408" t="s">
        <v>1034</v>
      </c>
      <c r="C232" s="408" t="s">
        <v>2233</v>
      </c>
      <c r="D232" s="408" t="s">
        <v>2243</v>
      </c>
      <c r="E232" s="408" t="s">
        <v>972</v>
      </c>
      <c r="F232" s="408" t="s">
        <v>2254</v>
      </c>
      <c r="G232" s="408" t="s">
        <v>2252</v>
      </c>
      <c r="H232" s="408" t="s">
        <v>1320</v>
      </c>
      <c r="I232" s="408" t="s">
        <v>1320</v>
      </c>
      <c r="J232" s="408" t="s">
        <v>2234</v>
      </c>
      <c r="K232" s="827">
        <v>44470</v>
      </c>
      <c r="L232" s="408">
        <v>0</v>
      </c>
      <c r="M232" s="408">
        <v>0</v>
      </c>
      <c r="N232" s="408">
        <v>0</v>
      </c>
      <c r="O232" s="408">
        <v>0</v>
      </c>
      <c r="P232" s="408">
        <v>0</v>
      </c>
      <c r="Q232" s="408">
        <v>0</v>
      </c>
      <c r="R232" s="408"/>
      <c r="S232" s="408"/>
      <c r="T232" s="408"/>
      <c r="U232" s="408"/>
      <c r="V232" s="408"/>
      <c r="W232" s="408"/>
      <c r="X232" s="408"/>
      <c r="Y232" s="408"/>
      <c r="Z232" s="408"/>
      <c r="AA232" s="408">
        <v>0</v>
      </c>
      <c r="AB232" s="408"/>
      <c r="AC232" s="408"/>
      <c r="AD232" s="408"/>
      <c r="AE232" s="408"/>
      <c r="AF232" s="408"/>
      <c r="AG232" s="408"/>
      <c r="AH232" s="408"/>
      <c r="AI232" s="408"/>
      <c r="AJ232" s="408"/>
      <c r="AK232" s="408"/>
      <c r="AL232" s="408"/>
      <c r="AM232" s="408"/>
      <c r="AN232" s="408"/>
      <c r="AO232" s="408"/>
      <c r="AP232" s="408"/>
      <c r="AQ232" s="408"/>
      <c r="AR232" s="408"/>
      <c r="AS232" s="408"/>
      <c r="AT232" s="408"/>
      <c r="AU232" s="408"/>
      <c r="AV232" s="408"/>
      <c r="AW232" s="408"/>
      <c r="AX232" s="408"/>
      <c r="AY232" s="408"/>
      <c r="AZ232" s="408">
        <v>0</v>
      </c>
      <c r="BA232" s="408"/>
      <c r="BB232" s="408"/>
      <c r="BC232" s="408"/>
      <c r="BD232" s="408"/>
      <c r="BE232" s="408"/>
      <c r="BF232" s="408"/>
      <c r="BG232" s="408"/>
      <c r="BH232" s="408"/>
      <c r="BI232" s="408">
        <v>0.27</v>
      </c>
      <c r="BJ232" s="408">
        <v>1.3</v>
      </c>
      <c r="BK232" s="408">
        <v>4.7300000000000004</v>
      </c>
      <c r="BL232" s="408">
        <v>1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/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/>
      <c r="CJ232" s="408">
        <v>-0.03</v>
      </c>
      <c r="CK232" s="408"/>
      <c r="CL232" s="408"/>
      <c r="CM232" s="408"/>
      <c r="CN232" s="408"/>
      <c r="CO232" s="408">
        <v>0</v>
      </c>
      <c r="CP232" s="408">
        <v>0</v>
      </c>
      <c r="CQ232" s="408">
        <v>31</v>
      </c>
      <c r="CR232" s="408"/>
      <c r="CS232" s="408"/>
      <c r="CT232" s="408"/>
      <c r="CU232" s="408"/>
      <c r="CV232" s="408"/>
      <c r="CW232" s="408"/>
      <c r="CX232" s="408"/>
      <c r="CY232" s="408"/>
      <c r="CZ232" s="408"/>
      <c r="DA232" s="408"/>
      <c r="DB232" s="408"/>
      <c r="DC232" s="408"/>
      <c r="DD232" s="408"/>
      <c r="DE232" s="408"/>
      <c r="DF232" s="408"/>
      <c r="DG232" s="408"/>
      <c r="DH232" s="408"/>
      <c r="DI232" s="408"/>
      <c r="DJ232" s="408"/>
      <c r="DK232" s="408">
        <v>0</v>
      </c>
      <c r="DL232" s="408"/>
      <c r="DM232" s="408"/>
      <c r="DN232" s="408"/>
      <c r="DO232" s="408"/>
      <c r="DP232" s="408"/>
      <c r="DQ232" s="408"/>
      <c r="DR232" s="408"/>
      <c r="DS232" s="408"/>
      <c r="DT232" s="408"/>
      <c r="DU232" s="408"/>
      <c r="DV232" s="408"/>
      <c r="DW232" s="408"/>
      <c r="DX232" s="408"/>
      <c r="DY232" s="408"/>
      <c r="DZ232" s="408"/>
      <c r="EA232" s="408"/>
      <c r="EB232" s="408"/>
      <c r="EC232" s="408"/>
      <c r="ED232" s="408"/>
      <c r="EE232" s="408"/>
      <c r="EF232" s="408"/>
      <c r="EG232" s="408"/>
      <c r="EH232" s="408"/>
      <c r="EI232" s="408"/>
      <c r="EJ232" s="408"/>
      <c r="EK232" s="408"/>
      <c r="EL232" s="408"/>
      <c r="EM232" s="408"/>
      <c r="EN232" s="408"/>
      <c r="EO232" s="408"/>
      <c r="EP232" s="408"/>
      <c r="EQ232" s="408"/>
      <c r="ER232" s="408"/>
      <c r="ES232" s="408"/>
      <c r="ET232" s="408"/>
      <c r="EU232" s="408"/>
      <c r="EV232" s="408">
        <v>239</v>
      </c>
      <c r="EW232" s="408"/>
      <c r="EX232" s="408"/>
      <c r="EY232" s="408"/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232</v>
      </c>
      <c r="B233" s="408" t="s">
        <v>1034</v>
      </c>
      <c r="C233" s="408" t="s">
        <v>2233</v>
      </c>
      <c r="D233" s="408" t="s">
        <v>2243</v>
      </c>
      <c r="E233" s="408" t="s">
        <v>972</v>
      </c>
      <c r="F233" s="408" t="s">
        <v>2254</v>
      </c>
      <c r="G233" s="408" t="s">
        <v>2252</v>
      </c>
      <c r="H233" s="408" t="s">
        <v>1320</v>
      </c>
      <c r="I233" s="408" t="s">
        <v>1320</v>
      </c>
      <c r="J233" s="408" t="s">
        <v>2234</v>
      </c>
      <c r="K233" s="827">
        <v>44470</v>
      </c>
      <c r="L233" s="408">
        <v>0</v>
      </c>
      <c r="M233" s="408">
        <v>0</v>
      </c>
      <c r="N233" s="408">
        <v>0.05</v>
      </c>
      <c r="O233" s="408">
        <v>0.05</v>
      </c>
      <c r="P233" s="408">
        <v>0.05</v>
      </c>
      <c r="Q233" s="408">
        <v>0.05</v>
      </c>
      <c r="R233" s="408"/>
      <c r="S233" s="408">
        <v>516.83000000000004</v>
      </c>
      <c r="T233" s="408">
        <v>173.82</v>
      </c>
      <c r="U233" s="408"/>
      <c r="V233" s="408">
        <v>34.532500000000006</v>
      </c>
      <c r="W233" s="408">
        <v>34.532500000000006</v>
      </c>
      <c r="X233" s="408">
        <v>26.072499999999998</v>
      </c>
      <c r="Y233" s="408">
        <v>0</v>
      </c>
      <c r="Z233" s="408">
        <v>3.0574727879011849</v>
      </c>
      <c r="AA233" s="408">
        <v>0</v>
      </c>
      <c r="AB233" s="408">
        <v>0</v>
      </c>
      <c r="AC233" s="408">
        <v>0.13592220366954352</v>
      </c>
      <c r="AD233" s="408">
        <v>1.7213305761033</v>
      </c>
      <c r="AE233" s="408">
        <v>18.180789758334949</v>
      </c>
      <c r="AF233" s="408">
        <v>8.0461067770719499</v>
      </c>
      <c r="AG233" s="408">
        <v>0.4047932696033365</v>
      </c>
      <c r="AH233" s="408">
        <v>0</v>
      </c>
      <c r="AI233" s="408">
        <v>0</v>
      </c>
      <c r="AJ233" s="408">
        <v>0</v>
      </c>
      <c r="AK233" s="408">
        <v>0</v>
      </c>
      <c r="AL233" s="408">
        <v>0.47257483288096203</v>
      </c>
      <c r="AM233" s="408"/>
      <c r="AN233" s="408">
        <v>7.7577098742484502E-2</v>
      </c>
      <c r="AO233" s="408">
        <v>0.289925188956772</v>
      </c>
      <c r="AP233" s="408">
        <v>0.94946579258044506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2.7740630852605305E-2</v>
      </c>
      <c r="BF233" s="408">
        <v>0.24028441687306148</v>
      </c>
      <c r="BG233" s="408">
        <v>0.92891616030728508</v>
      </c>
      <c r="BH233" s="408">
        <v>0</v>
      </c>
      <c r="BI233" s="408">
        <v>0</v>
      </c>
      <c r="BJ233" s="408">
        <v>0</v>
      </c>
      <c r="BK233" s="408">
        <v>0</v>
      </c>
      <c r="BL233" s="408">
        <v>0</v>
      </c>
      <c r="BM233" s="408"/>
      <c r="BN233" s="408"/>
      <c r="BO233" s="408"/>
      <c r="BP233" s="408"/>
      <c r="BQ233" s="408"/>
      <c r="BR233" s="408">
        <v>3.1284999999999998</v>
      </c>
      <c r="BS233" s="408"/>
      <c r="BT233" s="408"/>
      <c r="BU233" s="408"/>
      <c r="BV233" s="408">
        <v>9.2430479851049014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22.944000000000003</v>
      </c>
      <c r="CJ233" s="408">
        <v>-7.4745000000000026</v>
      </c>
      <c r="CK233" s="408"/>
      <c r="CL233" s="408"/>
      <c r="CM233" s="408"/>
      <c r="CN233" s="408"/>
      <c r="CO233" s="408">
        <v>-9.5195000000000025</v>
      </c>
      <c r="CP233" s="408">
        <v>1.0594999999999999</v>
      </c>
      <c r="CQ233" s="408">
        <v>31</v>
      </c>
      <c r="CR233" s="408">
        <v>1.1652939507004056</v>
      </c>
      <c r="CS233" s="408">
        <v>2.8149904182146024E-2</v>
      </c>
      <c r="CT233" s="408">
        <v>9.2187130002520101E-2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-3.3005150425939878E-2</v>
      </c>
      <c r="DA233" s="408">
        <v>0</v>
      </c>
      <c r="DB233" s="408">
        <v>0</v>
      </c>
      <c r="DC233" s="408">
        <v>1.0328067308303002</v>
      </c>
      <c r="DD233" s="408">
        <v>3.0843160541604547E-2</v>
      </c>
      <c r="DE233" s="408">
        <v>3.5608165608354524E-3</v>
      </c>
      <c r="DF233" s="408">
        <v>0</v>
      </c>
      <c r="DG233" s="408">
        <v>0.11923665560544494</v>
      </c>
      <c r="DH233" s="408">
        <v>0</v>
      </c>
      <c r="DI233" s="408">
        <v>-8.9356187842284829E-2</v>
      </c>
      <c r="DJ233" s="408"/>
      <c r="DK233" s="408">
        <v>0</v>
      </c>
      <c r="DL233" s="408">
        <v>0</v>
      </c>
      <c r="DM233" s="408">
        <v>-4.4991286252600293E-3</v>
      </c>
      <c r="DN233" s="408">
        <v>0</v>
      </c>
      <c r="DO233" s="408">
        <v>-1.223952494179853E-2</v>
      </c>
      <c r="DP233" s="408">
        <v>-2.3904551871624935E-3</v>
      </c>
      <c r="DQ233" s="408">
        <v>0</v>
      </c>
      <c r="DR233" s="408">
        <v>0</v>
      </c>
      <c r="DS233" s="408"/>
      <c r="DT233" s="408"/>
      <c r="DU233" s="408"/>
      <c r="DV233" s="408">
        <v>18.180789758334949</v>
      </c>
      <c r="DW233" s="408">
        <v>0</v>
      </c>
      <c r="DX233" s="408">
        <v>0</v>
      </c>
      <c r="DY233" s="408">
        <v>-9.5195000000000043</v>
      </c>
      <c r="DZ233" s="408">
        <v>1.0594999999999999</v>
      </c>
      <c r="EA233" s="408">
        <v>0</v>
      </c>
      <c r="EB233" s="408">
        <v>0</v>
      </c>
      <c r="EC233" s="408">
        <v>-9.6257643138537983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239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234</v>
      </c>
      <c r="B234" s="408" t="s">
        <v>1034</v>
      </c>
      <c r="C234" s="408" t="s">
        <v>2233</v>
      </c>
      <c r="D234" s="408" t="s">
        <v>1953</v>
      </c>
      <c r="E234" s="408" t="s">
        <v>967</v>
      </c>
      <c r="F234" s="408" t="s">
        <v>967</v>
      </c>
      <c r="G234" s="408" t="s">
        <v>1320</v>
      </c>
      <c r="H234" s="408" t="s">
        <v>1320</v>
      </c>
      <c r="I234" s="408" t="s">
        <v>1320</v>
      </c>
      <c r="J234" s="408" t="s">
        <v>2234</v>
      </c>
      <c r="K234" s="827">
        <v>44501</v>
      </c>
      <c r="L234" s="408">
        <v>0</v>
      </c>
      <c r="M234" s="408">
        <v>0</v>
      </c>
      <c r="N234" s="408">
        <v>2094.5970000000002</v>
      </c>
      <c r="O234" s="408">
        <v>2094.5970000000002</v>
      </c>
      <c r="P234" s="408">
        <v>2094.5970000000002</v>
      </c>
      <c r="Q234" s="408">
        <v>2094.5970000000002</v>
      </c>
      <c r="R234" s="408"/>
      <c r="S234" s="408">
        <v>516.83000000000004</v>
      </c>
      <c r="T234" s="408">
        <v>173.82</v>
      </c>
      <c r="U234" s="408"/>
      <c r="V234" s="408">
        <v>1446633.4180500002</v>
      </c>
      <c r="W234" s="408">
        <v>1446633.4180500002</v>
      </c>
      <c r="X234" s="408">
        <v>1092227.6056500003</v>
      </c>
      <c r="Y234" s="408">
        <v>0</v>
      </c>
      <c r="Z234" s="408">
        <v>128083.46658238918</v>
      </c>
      <c r="AA234" s="408">
        <v>0</v>
      </c>
      <c r="AB234" s="408">
        <v>0</v>
      </c>
      <c r="AC234" s="408">
        <v>5694.0448007922969</v>
      </c>
      <c r="AD234" s="408">
        <v>72109.877214284876</v>
      </c>
      <c r="AE234" s="408">
        <v>761628.5537087823</v>
      </c>
      <c r="AF234" s="408">
        <v>337067.02233869152</v>
      </c>
      <c r="AG234" s="408">
        <v>16957.575362626798</v>
      </c>
      <c r="AH234" s="408">
        <v>0</v>
      </c>
      <c r="AI234" s="408">
        <v>0</v>
      </c>
      <c r="AJ234" s="408">
        <v>0</v>
      </c>
      <c r="AK234" s="408">
        <v>0</v>
      </c>
      <c r="AL234" s="408">
        <v>19797.076544559288</v>
      </c>
      <c r="AM234" s="408"/>
      <c r="AN234" s="408">
        <v>3249.8551658942361</v>
      </c>
      <c r="AO234" s="408">
        <v>12145.528620265757</v>
      </c>
      <c r="AP234" s="408">
        <v>39774.964014832454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1162.1088432394904</v>
      </c>
      <c r="BF234" s="408">
        <v>10065.980374581281</v>
      </c>
      <c r="BG234" s="408">
        <v>38914.100052623173</v>
      </c>
      <c r="BH234" s="408">
        <v>0</v>
      </c>
      <c r="BI234" s="408">
        <v>8904.0499999999993</v>
      </c>
      <c r="BJ234" s="408">
        <v>41729.480000000003</v>
      </c>
      <c r="BK234" s="408">
        <v>595711.91</v>
      </c>
      <c r="BL234" s="408">
        <v>12989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387209.2116091355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1092229.17</v>
      </c>
      <c r="CJ234" s="408">
        <v>-354404.27805000031</v>
      </c>
      <c r="CK234" s="408"/>
      <c r="CL234" s="408"/>
      <c r="CM234" s="408"/>
      <c r="CN234" s="408"/>
      <c r="CO234" s="408">
        <v>-398790.32283000014</v>
      </c>
      <c r="CP234" s="408">
        <v>44384.510430000002</v>
      </c>
      <c r="CQ234" s="408">
        <v>30</v>
      </c>
      <c r="CR234" s="408">
        <v>48816.42426510423</v>
      </c>
      <c r="CS234" s="408">
        <v>1179.2540970042101</v>
      </c>
      <c r="CT234" s="408">
        <v>3861.8977188377685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-1382.6497813344467</v>
      </c>
      <c r="DA234" s="408">
        <v>0</v>
      </c>
      <c r="DB234" s="408">
        <v>0</v>
      </c>
      <c r="DC234" s="408">
        <v>43266.277599539084</v>
      </c>
      <c r="DD234" s="408">
        <v>1292.0798308192643</v>
      </c>
      <c r="DE234" s="408">
        <v>149.16951371752498</v>
      </c>
      <c r="DF234" s="408">
        <v>0</v>
      </c>
      <c r="DG234" s="408">
        <v>4995.054822423961</v>
      </c>
      <c r="DH234" s="408">
        <v>0</v>
      </c>
      <c r="DI234" s="408">
        <v>-3743.304059717746</v>
      </c>
      <c r="DJ234" s="408"/>
      <c r="DK234" s="408">
        <v>0</v>
      </c>
      <c r="DL234" s="408">
        <v>0</v>
      </c>
      <c r="DM234" s="408">
        <v>-188.47722642167355</v>
      </c>
      <c r="DN234" s="408">
        <v>0</v>
      </c>
      <c r="DO234" s="408">
        <v>-512.73744449032529</v>
      </c>
      <c r="DP234" s="408">
        <v>-100.14080527329997</v>
      </c>
      <c r="DQ234" s="408">
        <v>0</v>
      </c>
      <c r="DR234" s="408">
        <v>0</v>
      </c>
      <c r="DS234" s="408"/>
      <c r="DT234" s="408"/>
      <c r="DU234" s="408"/>
      <c r="DV234" s="408">
        <v>761628.5537087823</v>
      </c>
      <c r="DW234" s="408">
        <v>0</v>
      </c>
      <c r="DX234" s="408">
        <v>0</v>
      </c>
      <c r="DY234" s="408">
        <v>-398790.32283000008</v>
      </c>
      <c r="DZ234" s="408">
        <v>44384.510430000024</v>
      </c>
      <c r="EA234" s="408">
        <v>0</v>
      </c>
      <c r="EB234" s="408">
        <v>0</v>
      </c>
      <c r="EC234" s="408">
        <v>-403241.94109010458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239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235</v>
      </c>
      <c r="B235" s="408" t="s">
        <v>2235</v>
      </c>
      <c r="C235" s="408" t="s">
        <v>2233</v>
      </c>
      <c r="D235" s="408" t="s">
        <v>1953</v>
      </c>
      <c r="E235" s="408" t="s">
        <v>967</v>
      </c>
      <c r="F235" s="408" t="s">
        <v>967</v>
      </c>
      <c r="G235" s="408" t="s">
        <v>1320</v>
      </c>
      <c r="H235" s="408" t="s">
        <v>1320</v>
      </c>
      <c r="I235" s="408" t="s">
        <v>1320</v>
      </c>
      <c r="J235" s="408" t="s">
        <v>2234</v>
      </c>
      <c r="K235" s="827">
        <v>44501</v>
      </c>
      <c r="L235" s="408">
        <v>0</v>
      </c>
      <c r="M235" s="408">
        <v>0</v>
      </c>
      <c r="N235" s="408">
        <v>-1.6020000000000001</v>
      </c>
      <c r="O235" s="408">
        <v>-1.6020000000000001</v>
      </c>
      <c r="P235" s="408">
        <v>-1.6020000000000001</v>
      </c>
      <c r="Q235" s="408">
        <v>-1.6020000000000001</v>
      </c>
      <c r="R235" s="408"/>
      <c r="S235" s="408">
        <v>516.83000000000004</v>
      </c>
      <c r="T235" s="408">
        <v>173.82</v>
      </c>
      <c r="U235" s="408"/>
      <c r="V235" s="408">
        <v>-1106.4213000000002</v>
      </c>
      <c r="W235" s="408">
        <v>-1106.4213000000002</v>
      </c>
      <c r="X235" s="408">
        <v>-835.36290000000008</v>
      </c>
      <c r="Y235" s="408">
        <v>0</v>
      </c>
      <c r="Z235" s="408">
        <v>-97.961428124353972</v>
      </c>
      <c r="AA235" s="408">
        <v>0</v>
      </c>
      <c r="AB235" s="408">
        <v>0</v>
      </c>
      <c r="AC235" s="408">
        <v>-4.3549474055721742</v>
      </c>
      <c r="AD235" s="408">
        <v>-55.151431658349729</v>
      </c>
      <c r="AE235" s="408">
        <v>-582.5125038570518</v>
      </c>
      <c r="AF235" s="408">
        <v>-257.79726113738531</v>
      </c>
      <c r="AG235" s="408">
        <v>-12.969576358090901</v>
      </c>
      <c r="AH235" s="408">
        <v>0</v>
      </c>
      <c r="AI235" s="408">
        <v>0</v>
      </c>
      <c r="AJ235" s="408">
        <v>0</v>
      </c>
      <c r="AK235" s="408">
        <v>0</v>
      </c>
      <c r="AL235" s="408">
        <v>-15.141297645506024</v>
      </c>
      <c r="AM235" s="408"/>
      <c r="AN235" s="408">
        <v>-2.4855702437092035</v>
      </c>
      <c r="AO235" s="408">
        <v>-9.2892030541749744</v>
      </c>
      <c r="AP235" s="408">
        <v>-30.42088399427746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-0.88880981251747393</v>
      </c>
      <c r="BF235" s="408">
        <v>-7.6987127166128904</v>
      </c>
      <c r="BG235" s="408">
        <v>-29.762473776245415</v>
      </c>
      <c r="BH235" s="408">
        <v>0</v>
      </c>
      <c r="BI235" s="408">
        <v>-7.08</v>
      </c>
      <c r="BJ235" s="408">
        <v>-33.22</v>
      </c>
      <c r="BK235" s="408">
        <v>-491.99</v>
      </c>
      <c r="BL235" s="408">
        <v>0</v>
      </c>
      <c r="BM235" s="408"/>
      <c r="BN235" s="408"/>
      <c r="BO235" s="408"/>
      <c r="BP235" s="408"/>
      <c r="BQ235" s="408"/>
      <c r="BR235" s="408"/>
      <c r="BS235" s="408"/>
      <c r="BT235" s="408"/>
      <c r="BU235" s="408"/>
      <c r="BV235" s="408">
        <v>-296.14725744276109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-834.31999999999994</v>
      </c>
      <c r="CJ235" s="408">
        <v>272.07130000000029</v>
      </c>
      <c r="CK235" s="408"/>
      <c r="CL235" s="408"/>
      <c r="CM235" s="408"/>
      <c r="CN235" s="408"/>
      <c r="CO235" s="408">
        <v>305.0047800000001</v>
      </c>
      <c r="CP235" s="408">
        <v>-33.946379999999998</v>
      </c>
      <c r="CQ235" s="408">
        <v>30</v>
      </c>
      <c r="CR235" s="408">
        <v>-37.336018180440988</v>
      </c>
      <c r="CS235" s="408">
        <v>-0.90192292999596013</v>
      </c>
      <c r="CT235" s="408">
        <v>-2.9536756452807396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1.0574850196471104</v>
      </c>
      <c r="DA235" s="408">
        <v>0</v>
      </c>
      <c r="DB235" s="408">
        <v>0</v>
      </c>
      <c r="DC235" s="408">
        <v>-33.091127655802779</v>
      </c>
      <c r="DD235" s="408">
        <v>-0.98821486375300971</v>
      </c>
      <c r="DE235" s="408">
        <v>-0.11408856260916789</v>
      </c>
      <c r="DF235" s="408">
        <v>0</v>
      </c>
      <c r="DG235" s="408">
        <v>-3.820342445598456</v>
      </c>
      <c r="DH235" s="408">
        <v>0</v>
      </c>
      <c r="DI235" s="408">
        <v>2.8629722584668116</v>
      </c>
      <c r="DJ235" s="408"/>
      <c r="DK235" s="408">
        <v>0</v>
      </c>
      <c r="DL235" s="408">
        <v>0</v>
      </c>
      <c r="DM235" s="408">
        <v>0.14415208115332945</v>
      </c>
      <c r="DN235" s="408">
        <v>0</v>
      </c>
      <c r="DO235" s="408">
        <v>0.39215437913522422</v>
      </c>
      <c r="DP235" s="408">
        <v>7.6590184196686728E-2</v>
      </c>
      <c r="DQ235" s="408">
        <v>0</v>
      </c>
      <c r="DR235" s="408">
        <v>0</v>
      </c>
      <c r="DS235" s="408"/>
      <c r="DT235" s="408"/>
      <c r="DU235" s="408"/>
      <c r="DV235" s="408">
        <v>-582.5125038570518</v>
      </c>
      <c r="DW235" s="408">
        <v>0</v>
      </c>
      <c r="DX235" s="408">
        <v>0</v>
      </c>
      <c r="DY235" s="408">
        <v>305.0047800000001</v>
      </c>
      <c r="DZ235" s="408">
        <v>-33.946380000000033</v>
      </c>
      <c r="EA235" s="408">
        <v>0</v>
      </c>
      <c r="EB235" s="408">
        <v>0</v>
      </c>
      <c r="EC235" s="408">
        <v>308.40948861587572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239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236</v>
      </c>
      <c r="B236" s="408" t="s">
        <v>2236</v>
      </c>
      <c r="C236" s="408" t="s">
        <v>2233</v>
      </c>
      <c r="D236" s="408" t="s">
        <v>1953</v>
      </c>
      <c r="E236" s="408" t="s">
        <v>967</v>
      </c>
      <c r="F236" s="408" t="s">
        <v>967</v>
      </c>
      <c r="G236" s="408" t="s">
        <v>1320</v>
      </c>
      <c r="H236" s="408" t="s">
        <v>1320</v>
      </c>
      <c r="I236" s="408" t="s">
        <v>1320</v>
      </c>
      <c r="J236" s="408" t="s">
        <v>2234</v>
      </c>
      <c r="K236" s="827">
        <v>44501</v>
      </c>
      <c r="L236" s="408">
        <v>0</v>
      </c>
      <c r="M236" s="408">
        <v>0</v>
      </c>
      <c r="N236" s="408">
        <v>16.259</v>
      </c>
      <c r="O236" s="408">
        <v>16.259</v>
      </c>
      <c r="P236" s="408">
        <v>16.259</v>
      </c>
      <c r="Q236" s="408">
        <v>16.259</v>
      </c>
      <c r="R236" s="408"/>
      <c r="S236" s="408">
        <v>516.83000000000004</v>
      </c>
      <c r="T236" s="408">
        <v>173.82</v>
      </c>
      <c r="U236" s="408"/>
      <c r="V236" s="408">
        <v>11229.278350000001</v>
      </c>
      <c r="W236" s="408">
        <v>11229.278350000001</v>
      </c>
      <c r="X236" s="408">
        <v>8478.2555499999999</v>
      </c>
      <c r="Y236" s="408">
        <v>0</v>
      </c>
      <c r="Z236" s="408">
        <v>994.22900116970732</v>
      </c>
      <c r="AA236" s="408">
        <v>0</v>
      </c>
      <c r="AB236" s="408">
        <v>0</v>
      </c>
      <c r="AC236" s="408">
        <v>44.19918218926216</v>
      </c>
      <c r="AD236" s="408">
        <v>559.74227673727103</v>
      </c>
      <c r="AE236" s="408">
        <v>5912.0292136153594</v>
      </c>
      <c r="AF236" s="408">
        <v>2616.4330017682564</v>
      </c>
      <c r="AG236" s="408">
        <v>131.63067540961296</v>
      </c>
      <c r="AH236" s="408">
        <v>0</v>
      </c>
      <c r="AI236" s="408">
        <v>0</v>
      </c>
      <c r="AJ236" s="408">
        <v>0</v>
      </c>
      <c r="AK236" s="408">
        <v>0</v>
      </c>
      <c r="AL236" s="408">
        <v>153.67188415623122</v>
      </c>
      <c r="AM236" s="408"/>
      <c r="AN236" s="408">
        <v>25.226520969081108</v>
      </c>
      <c r="AO236" s="408">
        <v>94.277872944963121</v>
      </c>
      <c r="AP236" s="408">
        <v>308.74728643130913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9.0206983406501919</v>
      </c>
      <c r="BF236" s="408">
        <v>78.135686678782136</v>
      </c>
      <c r="BG236" s="408">
        <v>302.06495700872296</v>
      </c>
      <c r="BH236" s="408">
        <v>0</v>
      </c>
      <c r="BI236" s="408">
        <v>67.510000000000005</v>
      </c>
      <c r="BJ236" s="408">
        <v>325.01</v>
      </c>
      <c r="BK236" s="408">
        <v>16013.57</v>
      </c>
      <c r="BL236" s="408">
        <v>276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>
        <v>3005.6543437964119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8478.7770000000019</v>
      </c>
      <c r="CJ236" s="408">
        <v>-2750.5313499999993</v>
      </c>
      <c r="CK236" s="408"/>
      <c r="CL236" s="408"/>
      <c r="CM236" s="408"/>
      <c r="CN236" s="408"/>
      <c r="CO236" s="408">
        <v>-3095.5510100000006</v>
      </c>
      <c r="CP236" s="408">
        <v>344.52820999999994</v>
      </c>
      <c r="CQ236" s="408">
        <v>30</v>
      </c>
      <c r="CR236" s="408">
        <v>378.93028688875711</v>
      </c>
      <c r="CS236" s="408">
        <v>9.1537858419502385</v>
      </c>
      <c r="CT236" s="408">
        <v>29.977410934219449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-10.732614815507077</v>
      </c>
      <c r="DA236" s="408">
        <v>0</v>
      </c>
      <c r="DB236" s="408">
        <v>0</v>
      </c>
      <c r="DC236" s="408">
        <v>335.84809273139717</v>
      </c>
      <c r="DD236" s="408">
        <v>10.029578944918967</v>
      </c>
      <c r="DE236" s="408">
        <v>1.1579063292524729</v>
      </c>
      <c r="DF236" s="408">
        <v>0</v>
      </c>
      <c r="DG236" s="408">
        <v>38.773375669778602</v>
      </c>
      <c r="DH236" s="408">
        <v>0</v>
      </c>
      <c r="DI236" s="408">
        <v>-29.056845162554282</v>
      </c>
      <c r="DJ236" s="408"/>
      <c r="DK236" s="408">
        <v>0</v>
      </c>
      <c r="DL236" s="408">
        <v>0</v>
      </c>
      <c r="DM236" s="408">
        <v>-1.4630266463620387</v>
      </c>
      <c r="DN236" s="408">
        <v>0</v>
      </c>
      <c r="DO236" s="408">
        <v>-3.9800487205740183</v>
      </c>
      <c r="DP236" s="408">
        <v>-0.77732821776150018</v>
      </c>
      <c r="DQ236" s="408">
        <v>0</v>
      </c>
      <c r="DR236" s="408">
        <v>0</v>
      </c>
      <c r="DS236" s="408"/>
      <c r="DT236" s="408"/>
      <c r="DU236" s="408"/>
      <c r="DV236" s="408">
        <v>5912.0292136153594</v>
      </c>
      <c r="DW236" s="408">
        <v>0</v>
      </c>
      <c r="DX236" s="408">
        <v>0</v>
      </c>
      <c r="DY236" s="408">
        <v>-3095.5510100000001</v>
      </c>
      <c r="DZ236" s="408">
        <v>344.52820999999994</v>
      </c>
      <c r="EA236" s="408">
        <v>0</v>
      </c>
      <c r="EB236" s="408">
        <v>0</v>
      </c>
      <c r="EC236" s="408">
        <v>-3130.1060395789791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0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239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237</v>
      </c>
      <c r="B237" s="408" t="s">
        <v>2236</v>
      </c>
      <c r="C237" s="408" t="s">
        <v>2233</v>
      </c>
      <c r="D237" s="408" t="s">
        <v>1953</v>
      </c>
      <c r="E237" s="408" t="s">
        <v>967</v>
      </c>
      <c r="F237" s="408" t="s">
        <v>967</v>
      </c>
      <c r="G237" s="408" t="s">
        <v>1320</v>
      </c>
      <c r="H237" s="408" t="s">
        <v>1320</v>
      </c>
      <c r="I237" s="408" t="s">
        <v>1320</v>
      </c>
      <c r="J237" s="408" t="s">
        <v>2234</v>
      </c>
      <c r="K237" s="827">
        <v>44501</v>
      </c>
      <c r="L237" s="408">
        <v>0</v>
      </c>
      <c r="M237" s="408">
        <v>0</v>
      </c>
      <c r="N237" s="408">
        <v>0.17100000000000001</v>
      </c>
      <c r="O237" s="408">
        <v>0.17100000000000001</v>
      </c>
      <c r="P237" s="408">
        <v>0.17100000000000001</v>
      </c>
      <c r="Q237" s="408">
        <v>0.17100000000000001</v>
      </c>
      <c r="R237" s="408"/>
      <c r="S237" s="408">
        <v>516.83000000000004</v>
      </c>
      <c r="T237" s="408">
        <v>173.82</v>
      </c>
      <c r="U237" s="408"/>
      <c r="V237" s="408">
        <v>118.10115000000002</v>
      </c>
      <c r="W237" s="408">
        <v>118.10115000000002</v>
      </c>
      <c r="X237" s="408">
        <v>89.167950000000005</v>
      </c>
      <c r="Y237" s="408">
        <v>0</v>
      </c>
      <c r="Z237" s="408">
        <v>10.456556934622053</v>
      </c>
      <c r="AA237" s="408">
        <v>0</v>
      </c>
      <c r="AB237" s="408">
        <v>0</v>
      </c>
      <c r="AC237" s="408">
        <v>0.46485393654983881</v>
      </c>
      <c r="AD237" s="408">
        <v>5.8869505702732861</v>
      </c>
      <c r="AE237" s="408">
        <v>62.178300973505536</v>
      </c>
      <c r="AF237" s="408">
        <v>27.51768517758607</v>
      </c>
      <c r="AG237" s="408">
        <v>1.3843929820434109</v>
      </c>
      <c r="AH237" s="408">
        <v>0</v>
      </c>
      <c r="AI237" s="408">
        <v>0</v>
      </c>
      <c r="AJ237" s="408">
        <v>0</v>
      </c>
      <c r="AK237" s="408">
        <v>0</v>
      </c>
      <c r="AL237" s="408">
        <v>1.61620592845289</v>
      </c>
      <c r="AM237" s="408"/>
      <c r="AN237" s="408">
        <v>0.26531367769929698</v>
      </c>
      <c r="AO237" s="408">
        <v>0.99154414623216025</v>
      </c>
      <c r="AP237" s="408">
        <v>3.2471730106251222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9.4872957515910142E-2</v>
      </c>
      <c r="BF237" s="408">
        <v>0.82177270570587035</v>
      </c>
      <c r="BG237" s="408">
        <v>3.176893268250915</v>
      </c>
      <c r="BH237" s="408">
        <v>0</v>
      </c>
      <c r="BI237" s="408">
        <v>0.13</v>
      </c>
      <c r="BJ237" s="408">
        <v>0.65</v>
      </c>
      <c r="BK237" s="408">
        <v>217.41</v>
      </c>
      <c r="BL237" s="408">
        <v>1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31.611224109058767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88.646500000000003</v>
      </c>
      <c r="CJ237" s="408">
        <v>-29.48465000000003</v>
      </c>
      <c r="CK237" s="408"/>
      <c r="CL237" s="408"/>
      <c r="CM237" s="408"/>
      <c r="CN237" s="408"/>
      <c r="CO237" s="408">
        <v>-32.55669000000001</v>
      </c>
      <c r="CP237" s="408">
        <v>3.6234899999999999</v>
      </c>
      <c r="CQ237" s="408">
        <v>30</v>
      </c>
      <c r="CR237" s="408">
        <v>3.9853053113954076</v>
      </c>
      <c r="CS237" s="408">
        <v>9.6272672302939566E-2</v>
      </c>
      <c r="CT237" s="408">
        <v>0.3152799846086185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-0.11287761445671407</v>
      </c>
      <c r="DA237" s="408">
        <v>0</v>
      </c>
      <c r="DB237" s="408">
        <v>0</v>
      </c>
      <c r="DC237" s="408">
        <v>3.5321990194396271</v>
      </c>
      <c r="DD237" s="408">
        <v>0.10548360905228749</v>
      </c>
      <c r="DE237" s="408">
        <v>1.2177992638057245E-2</v>
      </c>
      <c r="DF237" s="408">
        <v>0</v>
      </c>
      <c r="DG237" s="408">
        <v>0.40778936217062212</v>
      </c>
      <c r="DH237" s="408">
        <v>0</v>
      </c>
      <c r="DI237" s="408">
        <v>-0.30559816242061544</v>
      </c>
      <c r="DJ237" s="408"/>
      <c r="DK237" s="408">
        <v>0</v>
      </c>
      <c r="DL237" s="408">
        <v>0</v>
      </c>
      <c r="DM237" s="408">
        <v>-1.5387019898389198E-2</v>
      </c>
      <c r="DN237" s="408">
        <v>0</v>
      </c>
      <c r="DO237" s="408">
        <v>-4.1859175300950735E-2</v>
      </c>
      <c r="DP237" s="408">
        <v>-8.1753567400957294E-3</v>
      </c>
      <c r="DQ237" s="408">
        <v>0</v>
      </c>
      <c r="DR237" s="408">
        <v>0</v>
      </c>
      <c r="DS237" s="408"/>
      <c r="DT237" s="408"/>
      <c r="DU237" s="408"/>
      <c r="DV237" s="408">
        <v>62.178300973505536</v>
      </c>
      <c r="DW237" s="408">
        <v>0</v>
      </c>
      <c r="DX237" s="408">
        <v>0</v>
      </c>
      <c r="DY237" s="408">
        <v>-32.556690000000017</v>
      </c>
      <c r="DZ237" s="408">
        <v>3.6234900000000003</v>
      </c>
      <c r="EA237" s="408">
        <v>0</v>
      </c>
      <c r="EB237" s="408">
        <v>0</v>
      </c>
      <c r="EC237" s="408">
        <v>-32.920113953379996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0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239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238</v>
      </c>
      <c r="B238" s="408" t="s">
        <v>1034</v>
      </c>
      <c r="C238" s="408" t="s">
        <v>2233</v>
      </c>
      <c r="D238" s="408" t="s">
        <v>1953</v>
      </c>
      <c r="E238" s="408" t="s">
        <v>967</v>
      </c>
      <c r="F238" s="408" t="s">
        <v>2237</v>
      </c>
      <c r="G238" s="408" t="s">
        <v>1320</v>
      </c>
      <c r="H238" s="408" t="s">
        <v>1320</v>
      </c>
      <c r="I238" s="408" t="s">
        <v>1320</v>
      </c>
      <c r="J238" s="408" t="s">
        <v>2234</v>
      </c>
      <c r="K238" s="827">
        <v>44501</v>
      </c>
      <c r="L238" s="408">
        <v>0</v>
      </c>
      <c r="M238" s="408">
        <v>0</v>
      </c>
      <c r="N238" s="408">
        <v>24.3</v>
      </c>
      <c r="O238" s="408">
        <v>24.3</v>
      </c>
      <c r="P238" s="408">
        <v>24.3</v>
      </c>
      <c r="Q238" s="408">
        <v>24.3</v>
      </c>
      <c r="R238" s="408"/>
      <c r="S238" s="408">
        <v>446.23</v>
      </c>
      <c r="T238" s="408">
        <v>173.82</v>
      </c>
      <c r="U238" s="408"/>
      <c r="V238" s="408">
        <v>15067.215</v>
      </c>
      <c r="W238" s="408">
        <v>15067.215</v>
      </c>
      <c r="X238" s="408">
        <v>11004.984</v>
      </c>
      <c r="Y238" s="408">
        <v>0</v>
      </c>
      <c r="Z238" s="408">
        <v>0</v>
      </c>
      <c r="AA238" s="408">
        <v>0</v>
      </c>
      <c r="AB238" s="408">
        <v>0</v>
      </c>
      <c r="AC238" s="408">
        <v>66.058190983398148</v>
      </c>
      <c r="AD238" s="408">
        <v>836.56665998620372</v>
      </c>
      <c r="AE238" s="408">
        <v>8835.8638225507857</v>
      </c>
      <c r="AF238" s="408">
        <v>3910.4078936569676</v>
      </c>
      <c r="AG238" s="408">
        <v>196.72952902722153</v>
      </c>
      <c r="AH238" s="408">
        <v>0</v>
      </c>
      <c r="AI238" s="408">
        <v>0</v>
      </c>
      <c r="AJ238" s="408">
        <v>0</v>
      </c>
      <c r="AK238" s="408">
        <v>0</v>
      </c>
      <c r="AL238" s="408">
        <v>0</v>
      </c>
      <c r="AM238" s="408"/>
      <c r="AN238" s="408">
        <v>37.702469988847469</v>
      </c>
      <c r="AO238" s="408">
        <v>140.90364183299118</v>
      </c>
      <c r="AP238" s="408">
        <v>461.4403751940963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13.481946594366178</v>
      </c>
      <c r="BF238" s="408">
        <v>116.77822660030789</v>
      </c>
      <c r="BG238" s="408">
        <v>451.45325390934056</v>
      </c>
      <c r="BH238" s="408">
        <v>0</v>
      </c>
      <c r="BI238" s="408">
        <v>80.989999999999995</v>
      </c>
      <c r="BJ238" s="408">
        <v>381.53</v>
      </c>
      <c r="BK238" s="408">
        <v>1752.21</v>
      </c>
      <c r="BL238" s="408">
        <v>36</v>
      </c>
      <c r="BM238" s="408"/>
      <c r="BN238" s="408"/>
      <c r="BO238" s="408"/>
      <c r="BP238" s="408"/>
      <c r="BQ238" s="408"/>
      <c r="BR238" s="408"/>
      <c r="BS238" s="408"/>
      <c r="BT238" s="408">
        <v>7153.1910000000007</v>
      </c>
      <c r="BU238" s="408"/>
      <c r="BV238" s="408">
        <v>4492.1213207609817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3851.7930000000006</v>
      </c>
      <c r="CJ238" s="408">
        <v>-1421.8230000000003</v>
      </c>
      <c r="CK238" s="408"/>
      <c r="CL238" s="408"/>
      <c r="CM238" s="408"/>
      <c r="CN238" s="408"/>
      <c r="CO238" s="408">
        <v>-4577.1480000000001</v>
      </c>
      <c r="CP238" s="408">
        <v>514.91699999999992</v>
      </c>
      <c r="CQ238" s="408">
        <v>30</v>
      </c>
      <c r="CR238" s="408">
        <v>615.70837645346182</v>
      </c>
      <c r="CS238" s="408">
        <v>13.68085343252298</v>
      </c>
      <c r="CT238" s="408">
        <v>44.802945181224743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-16.040503107006657</v>
      </c>
      <c r="DA238" s="408">
        <v>0</v>
      </c>
      <c r="DB238" s="408">
        <v>0</v>
      </c>
      <c r="DC238" s="408">
        <v>501.94407118352592</v>
      </c>
      <c r="DD238" s="408">
        <v>14.98977602321979</v>
      </c>
      <c r="DE238" s="408">
        <v>1.7305568485660281</v>
      </c>
      <c r="DF238" s="408">
        <v>0</v>
      </c>
      <c r="DG238" s="408">
        <v>57.949014624246274</v>
      </c>
      <c r="DH238" s="408">
        <v>0</v>
      </c>
      <c r="DI238" s="408">
        <v>0</v>
      </c>
      <c r="DJ238" s="408"/>
      <c r="DK238" s="408">
        <v>0</v>
      </c>
      <c r="DL238" s="408">
        <v>0</v>
      </c>
      <c r="DM238" s="408">
        <v>-2.1865765118763534</v>
      </c>
      <c r="DN238" s="408">
        <v>0</v>
      </c>
      <c r="DO238" s="408">
        <v>0</v>
      </c>
      <c r="DP238" s="408">
        <v>-1.161761220960976</v>
      </c>
      <c r="DQ238" s="408">
        <v>0</v>
      </c>
      <c r="DR238" s="408">
        <v>0</v>
      </c>
      <c r="DS238" s="408"/>
      <c r="DT238" s="408"/>
      <c r="DU238" s="408"/>
      <c r="DV238" s="408">
        <v>8835.8638225507857</v>
      </c>
      <c r="DW238" s="408">
        <v>0</v>
      </c>
      <c r="DX238" s="408">
        <v>0</v>
      </c>
      <c r="DY238" s="408">
        <v>-4577.148000000001</v>
      </c>
      <c r="DZ238" s="408">
        <v>514.91699999999946</v>
      </c>
      <c r="EA238" s="408">
        <v>0</v>
      </c>
      <c r="EB238" s="408">
        <v>0</v>
      </c>
      <c r="EC238" s="408">
        <v>-4678.1214565329465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239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239</v>
      </c>
      <c r="B239" s="408" t="s">
        <v>2235</v>
      </c>
      <c r="C239" s="408" t="s">
        <v>2233</v>
      </c>
      <c r="D239" s="408" t="s">
        <v>1953</v>
      </c>
      <c r="E239" s="408" t="s">
        <v>967</v>
      </c>
      <c r="F239" s="408" t="s">
        <v>2237</v>
      </c>
      <c r="G239" s="408" t="s">
        <v>1320</v>
      </c>
      <c r="H239" s="408" t="s">
        <v>1320</v>
      </c>
      <c r="I239" s="408" t="s">
        <v>1320</v>
      </c>
      <c r="J239" s="408" t="s">
        <v>2234</v>
      </c>
      <c r="K239" s="827">
        <v>44501</v>
      </c>
      <c r="L239" s="408">
        <v>0</v>
      </c>
      <c r="M239" s="408">
        <v>0</v>
      </c>
      <c r="N239" s="408">
        <v>0</v>
      </c>
      <c r="O239" s="408">
        <v>0</v>
      </c>
      <c r="P239" s="408">
        <v>0</v>
      </c>
      <c r="Q239" s="408">
        <v>0</v>
      </c>
      <c r="R239" s="408"/>
      <c r="S239" s="408"/>
      <c r="T239" s="408"/>
      <c r="U239" s="408"/>
      <c r="V239" s="408"/>
      <c r="W239" s="408"/>
      <c r="X239" s="408"/>
      <c r="Y239" s="408"/>
      <c r="Z239" s="408"/>
      <c r="AA239" s="408">
        <v>0</v>
      </c>
      <c r="AB239" s="408"/>
      <c r="AC239" s="408"/>
      <c r="AD239" s="408"/>
      <c r="AE239" s="408"/>
      <c r="AF239" s="408"/>
      <c r="AG239" s="408"/>
      <c r="AH239" s="408"/>
      <c r="AI239" s="408"/>
      <c r="AJ239" s="408"/>
      <c r="AK239" s="408"/>
      <c r="AL239" s="408"/>
      <c r="AM239" s="408"/>
      <c r="AN239" s="408"/>
      <c r="AO239" s="408"/>
      <c r="AP239" s="408"/>
      <c r="AQ239" s="408"/>
      <c r="AR239" s="408"/>
      <c r="AS239" s="408"/>
      <c r="AT239" s="408"/>
      <c r="AU239" s="408"/>
      <c r="AV239" s="408"/>
      <c r="AW239" s="408"/>
      <c r="AX239" s="408"/>
      <c r="AY239" s="408"/>
      <c r="AZ239" s="408">
        <v>0</v>
      </c>
      <c r="BA239" s="408"/>
      <c r="BB239" s="408"/>
      <c r="BC239" s="408"/>
      <c r="BD239" s="408"/>
      <c r="BE239" s="408"/>
      <c r="BF239" s="408"/>
      <c r="BG239" s="408"/>
      <c r="BH239" s="408"/>
      <c r="BI239" s="408">
        <v>0</v>
      </c>
      <c r="BJ239" s="408">
        <v>0</v>
      </c>
      <c r="BK239" s="408">
        <v>-3.18</v>
      </c>
      <c r="BL239" s="408">
        <v>0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/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/>
      <c r="CJ239" s="408">
        <v>-0.03</v>
      </c>
      <c r="CK239" s="408"/>
      <c r="CL239" s="408"/>
      <c r="CM239" s="408"/>
      <c r="CN239" s="408"/>
      <c r="CO239" s="408">
        <v>0</v>
      </c>
      <c r="CP239" s="408">
        <v>0</v>
      </c>
      <c r="CQ239" s="408">
        <v>30</v>
      </c>
      <c r="CR239" s="408"/>
      <c r="CS239" s="408"/>
      <c r="CT239" s="408"/>
      <c r="CU239" s="408"/>
      <c r="CV239" s="408"/>
      <c r="CW239" s="408"/>
      <c r="CX239" s="408"/>
      <c r="CY239" s="408"/>
      <c r="CZ239" s="408"/>
      <c r="DA239" s="408"/>
      <c r="DB239" s="408"/>
      <c r="DC239" s="408"/>
      <c r="DD239" s="408"/>
      <c r="DE239" s="408"/>
      <c r="DF239" s="408"/>
      <c r="DG239" s="408"/>
      <c r="DH239" s="408"/>
      <c r="DI239" s="408"/>
      <c r="DJ239" s="408"/>
      <c r="DK239" s="408">
        <v>0</v>
      </c>
      <c r="DL239" s="408"/>
      <c r="DM239" s="408"/>
      <c r="DN239" s="408"/>
      <c r="DO239" s="408"/>
      <c r="DP239" s="408"/>
      <c r="DQ239" s="408"/>
      <c r="DR239" s="408"/>
      <c r="DS239" s="408"/>
      <c r="DT239" s="408"/>
      <c r="DU239" s="408"/>
      <c r="DV239" s="408"/>
      <c r="DW239" s="408"/>
      <c r="DX239" s="408"/>
      <c r="DY239" s="408"/>
      <c r="DZ239" s="408"/>
      <c r="EA239" s="408"/>
      <c r="EB239" s="408"/>
      <c r="EC239" s="408"/>
      <c r="ED239" s="408"/>
      <c r="EE239" s="408"/>
      <c r="EF239" s="408"/>
      <c r="EG239" s="408"/>
      <c r="EH239" s="408"/>
      <c r="EI239" s="408"/>
      <c r="EJ239" s="408"/>
      <c r="EK239" s="408"/>
      <c r="EL239" s="408"/>
      <c r="EM239" s="408"/>
      <c r="EN239" s="408"/>
      <c r="EO239" s="408"/>
      <c r="EP239" s="408"/>
      <c r="EQ239" s="408"/>
      <c r="ER239" s="408"/>
      <c r="ES239" s="408"/>
      <c r="ET239" s="408"/>
      <c r="EU239" s="408"/>
      <c r="EV239" s="408">
        <v>239</v>
      </c>
      <c r="EW239" s="408"/>
      <c r="EX239" s="408"/>
      <c r="EY239" s="408"/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240</v>
      </c>
      <c r="B240" s="408" t="s">
        <v>2236</v>
      </c>
      <c r="C240" s="408" t="s">
        <v>2233</v>
      </c>
      <c r="D240" s="408" t="s">
        <v>1953</v>
      </c>
      <c r="E240" s="408" t="s">
        <v>967</v>
      </c>
      <c r="F240" s="408" t="s">
        <v>2237</v>
      </c>
      <c r="G240" s="408" t="s">
        <v>1320</v>
      </c>
      <c r="H240" s="408" t="s">
        <v>1320</v>
      </c>
      <c r="I240" s="408" t="s">
        <v>1320</v>
      </c>
      <c r="J240" s="408" t="s">
        <v>2234</v>
      </c>
      <c r="K240" s="827">
        <v>44501</v>
      </c>
      <c r="L240" s="408">
        <v>0</v>
      </c>
      <c r="M240" s="408">
        <v>0</v>
      </c>
      <c r="N240" s="408">
        <v>0.03</v>
      </c>
      <c r="O240" s="408">
        <v>1.0500000000000001E-2</v>
      </c>
      <c r="P240" s="408">
        <v>0.03</v>
      </c>
      <c r="Q240" s="408">
        <v>1.0500000000000001E-2</v>
      </c>
      <c r="R240" s="408"/>
      <c r="S240" s="408">
        <v>446.23</v>
      </c>
      <c r="T240" s="408">
        <v>173.82</v>
      </c>
      <c r="U240" s="408"/>
      <c r="V240" s="408">
        <v>18.601500000000001</v>
      </c>
      <c r="W240" s="408">
        <v>18.601500000000001</v>
      </c>
      <c r="X240" s="408">
        <v>13.586399999999999</v>
      </c>
      <c r="Y240" s="408">
        <v>0</v>
      </c>
      <c r="Z240" s="408">
        <v>0</v>
      </c>
      <c r="AA240" s="408">
        <v>0</v>
      </c>
      <c r="AB240" s="408">
        <v>0</v>
      </c>
      <c r="AC240" s="408">
        <v>8.1553322201726106E-2</v>
      </c>
      <c r="AD240" s="408">
        <v>1.0327983456619798</v>
      </c>
      <c r="AE240" s="408">
        <v>10.90847385500097</v>
      </c>
      <c r="AF240" s="408">
        <v>4.8276640662431696</v>
      </c>
      <c r="AG240" s="408">
        <v>0.24287596176200188</v>
      </c>
      <c r="AH240" s="408">
        <v>0</v>
      </c>
      <c r="AI240" s="408">
        <v>0</v>
      </c>
      <c r="AJ240" s="408">
        <v>0</v>
      </c>
      <c r="AK240" s="408">
        <v>0</v>
      </c>
      <c r="AL240" s="408">
        <v>0</v>
      </c>
      <c r="AM240" s="408"/>
      <c r="AN240" s="408">
        <v>4.6546259245490697E-2</v>
      </c>
      <c r="AO240" s="408">
        <v>0.17395511337406319</v>
      </c>
      <c r="AP240" s="408">
        <v>0.56967947554826703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1.6644378511563182E-2</v>
      </c>
      <c r="BF240" s="408">
        <v>0.14417065012383687</v>
      </c>
      <c r="BG240" s="408">
        <v>0.55734969618437102</v>
      </c>
      <c r="BH240" s="408">
        <v>0</v>
      </c>
      <c r="BI240" s="408">
        <v>0.1</v>
      </c>
      <c r="BJ240" s="408">
        <v>0.47</v>
      </c>
      <c r="BK240" s="408">
        <v>2.2799999999999998</v>
      </c>
      <c r="BL240" s="408">
        <v>0</v>
      </c>
      <c r="BM240" s="408"/>
      <c r="BN240" s="408"/>
      <c r="BO240" s="408"/>
      <c r="BP240" s="408"/>
      <c r="BQ240" s="408"/>
      <c r="BR240" s="408"/>
      <c r="BS240" s="408"/>
      <c r="BT240" s="408">
        <v>11.922044999999999</v>
      </c>
      <c r="BU240" s="408"/>
      <c r="BV240" s="408">
        <v>5.5458287910629398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1.5851000000000002</v>
      </c>
      <c r="CJ240" s="408">
        <v>-0.72360999999999986</v>
      </c>
      <c r="CK240" s="408"/>
      <c r="CL240" s="408"/>
      <c r="CM240" s="408"/>
      <c r="CN240" s="408"/>
      <c r="CO240" s="408">
        <v>-5.6508000000000003</v>
      </c>
      <c r="CP240" s="408">
        <v>0.63569999999999993</v>
      </c>
      <c r="CQ240" s="408">
        <v>30</v>
      </c>
      <c r="CR240" s="408">
        <v>0.7601337980906937</v>
      </c>
      <c r="CS240" s="408">
        <v>1.6889942509287603E-2</v>
      </c>
      <c r="CT240" s="408">
        <v>5.531227800151195E-2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-1.9803090255563705E-2</v>
      </c>
      <c r="DA240" s="408">
        <v>0</v>
      </c>
      <c r="DB240" s="408">
        <v>0</v>
      </c>
      <c r="DC240" s="408">
        <v>0.6196840384981801</v>
      </c>
      <c r="DD240" s="408">
        <v>1.8505896324962745E-2</v>
      </c>
      <c r="DE240" s="408">
        <v>2.1364899365012673E-3</v>
      </c>
      <c r="DF240" s="408">
        <v>0</v>
      </c>
      <c r="DG240" s="408">
        <v>7.1541993363266942E-2</v>
      </c>
      <c r="DH240" s="408">
        <v>0</v>
      </c>
      <c r="DI240" s="408">
        <v>0</v>
      </c>
      <c r="DJ240" s="408"/>
      <c r="DK240" s="408">
        <v>0</v>
      </c>
      <c r="DL240" s="408">
        <v>0</v>
      </c>
      <c r="DM240" s="408">
        <v>-2.6994771751560065E-3</v>
      </c>
      <c r="DN240" s="408">
        <v>0</v>
      </c>
      <c r="DO240" s="408">
        <v>0</v>
      </c>
      <c r="DP240" s="408">
        <v>-1.4342731122974975E-3</v>
      </c>
      <c r="DQ240" s="408">
        <v>0</v>
      </c>
      <c r="DR240" s="408">
        <v>0</v>
      </c>
      <c r="DS240" s="408"/>
      <c r="DT240" s="408"/>
      <c r="DU240" s="408"/>
      <c r="DV240" s="408">
        <v>10.90847385500097</v>
      </c>
      <c r="DW240" s="408">
        <v>0</v>
      </c>
      <c r="DX240" s="408">
        <v>0</v>
      </c>
      <c r="DY240" s="408">
        <v>-5.6508000000000012</v>
      </c>
      <c r="DZ240" s="408">
        <v>0.63569999999999993</v>
      </c>
      <c r="EA240" s="408">
        <v>0</v>
      </c>
      <c r="EB240" s="408">
        <v>0</v>
      </c>
      <c r="EC240" s="408">
        <v>-5.7754585883122802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239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241</v>
      </c>
      <c r="B241" s="408" t="s">
        <v>1034</v>
      </c>
      <c r="C241" s="408" t="s">
        <v>2233</v>
      </c>
      <c r="D241" s="408" t="s">
        <v>1953</v>
      </c>
      <c r="E241" s="408" t="s">
        <v>967</v>
      </c>
      <c r="F241" s="408" t="s">
        <v>2238</v>
      </c>
      <c r="G241" s="408" t="s">
        <v>1320</v>
      </c>
      <c r="H241" s="408" t="s">
        <v>1320</v>
      </c>
      <c r="I241" s="408" t="s">
        <v>1320</v>
      </c>
      <c r="J241" s="408" t="s">
        <v>2234</v>
      </c>
      <c r="K241" s="827">
        <v>44501</v>
      </c>
      <c r="L241" s="408">
        <v>0</v>
      </c>
      <c r="M241" s="408">
        <v>0</v>
      </c>
      <c r="N241" s="408">
        <v>50.792000000000002</v>
      </c>
      <c r="O241" s="408">
        <v>50.792000000000002</v>
      </c>
      <c r="P241" s="408">
        <v>50.792000000000002</v>
      </c>
      <c r="Q241" s="408">
        <v>50.792000000000002</v>
      </c>
      <c r="R241" s="408"/>
      <c r="S241" s="408">
        <v>446.23</v>
      </c>
      <c r="T241" s="408">
        <v>173.82</v>
      </c>
      <c r="U241" s="408"/>
      <c r="V241" s="408">
        <v>31493.579600000001</v>
      </c>
      <c r="W241" s="408">
        <v>31493.579600000001</v>
      </c>
      <c r="X241" s="408">
        <v>23002.680960000002</v>
      </c>
      <c r="Y241" s="408">
        <v>0</v>
      </c>
      <c r="Z241" s="408">
        <v>0</v>
      </c>
      <c r="AA241" s="408">
        <v>0</v>
      </c>
      <c r="AB241" s="408">
        <v>0</v>
      </c>
      <c r="AC241" s="408">
        <v>138.07521137566908</v>
      </c>
      <c r="AD241" s="408">
        <v>1748.5964524287763</v>
      </c>
      <c r="AE241" s="408">
        <v>18468.773468106978</v>
      </c>
      <c r="AF241" s="408">
        <v>8173.5571084207695</v>
      </c>
      <c r="AG241" s="408">
        <v>411.2051949938533</v>
      </c>
      <c r="AH241" s="408">
        <v>0</v>
      </c>
      <c r="AI241" s="408">
        <v>0</v>
      </c>
      <c r="AJ241" s="408">
        <v>0</v>
      </c>
      <c r="AK241" s="408">
        <v>0</v>
      </c>
      <c r="AL241" s="408">
        <v>0</v>
      </c>
      <c r="AM241" s="408"/>
      <c r="AN241" s="408">
        <v>78.805919986565456</v>
      </c>
      <c r="AO241" s="408">
        <v>294.51760394984728</v>
      </c>
      <c r="AP241" s="408">
        <v>964.50533073491931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28.180042445310573</v>
      </c>
      <c r="BF241" s="408">
        <v>244.09052203633078</v>
      </c>
      <c r="BG241" s="408">
        <v>943.63019228655241</v>
      </c>
      <c r="BH241" s="408">
        <v>0</v>
      </c>
      <c r="BI241" s="408">
        <v>170.1</v>
      </c>
      <c r="BJ241" s="408">
        <v>803.69</v>
      </c>
      <c r="BK241" s="408">
        <v>6392.8</v>
      </c>
      <c r="BL241" s="408">
        <v>121</v>
      </c>
      <c r="BM241" s="408"/>
      <c r="BN241" s="408"/>
      <c r="BO241" s="408"/>
      <c r="BP241" s="408"/>
      <c r="BQ241" s="408"/>
      <c r="BR241" s="408"/>
      <c r="BS241" s="408"/>
      <c r="BT241" s="408">
        <v>9201.4787199999992</v>
      </c>
      <c r="BU241" s="408"/>
      <c r="BV241" s="408">
        <v>9389.4578651889642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13800.658800000001</v>
      </c>
      <c r="CJ241" s="408">
        <v>-5095.5189600000012</v>
      </c>
      <c r="CK241" s="408"/>
      <c r="CL241" s="408"/>
      <c r="CM241" s="408"/>
      <c r="CN241" s="408"/>
      <c r="CO241" s="408">
        <v>-9567.1811200000011</v>
      </c>
      <c r="CP241" s="408">
        <v>1076.2824799999999</v>
      </c>
      <c r="CQ241" s="408">
        <v>30</v>
      </c>
      <c r="CR241" s="408">
        <v>1286.9571957540811</v>
      </c>
      <c r="CS241" s="408">
        <v>28.595798664391225</v>
      </c>
      <c r="CT241" s="408">
        <v>93.647374141759997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-33.527952008686725</v>
      </c>
      <c r="DA241" s="408">
        <v>0</v>
      </c>
      <c r="DB241" s="408">
        <v>0</v>
      </c>
      <c r="DC241" s="408">
        <v>1049.1663894466528</v>
      </c>
      <c r="DD241" s="408">
        <v>31.331716204583557</v>
      </c>
      <c r="DE241" s="408">
        <v>3.6172198951590815</v>
      </c>
      <c r="DF241" s="408">
        <v>0</v>
      </c>
      <c r="DG241" s="408">
        <v>121.12536423023528</v>
      </c>
      <c r="DH241" s="408">
        <v>0</v>
      </c>
      <c r="DI241" s="408">
        <v>0</v>
      </c>
      <c r="DJ241" s="408"/>
      <c r="DK241" s="408">
        <v>0</v>
      </c>
      <c r="DL241" s="408">
        <v>0</v>
      </c>
      <c r="DM241" s="408">
        <v>-4.5703948226840794</v>
      </c>
      <c r="DN241" s="408">
        <v>0</v>
      </c>
      <c r="DO241" s="408">
        <v>0</v>
      </c>
      <c r="DP241" s="408">
        <v>-2.4283199973271508</v>
      </c>
      <c r="DQ241" s="408">
        <v>0</v>
      </c>
      <c r="DR241" s="408">
        <v>0</v>
      </c>
      <c r="DS241" s="408"/>
      <c r="DT241" s="408"/>
      <c r="DU241" s="408"/>
      <c r="DV241" s="408">
        <v>18468.773468106978</v>
      </c>
      <c r="DW241" s="408">
        <v>0</v>
      </c>
      <c r="DX241" s="408">
        <v>0</v>
      </c>
      <c r="DY241" s="408">
        <v>-9567.1811199999993</v>
      </c>
      <c r="DZ241" s="408">
        <v>1076.2824799999999</v>
      </c>
      <c r="EA241" s="408">
        <v>0</v>
      </c>
      <c r="EB241" s="408">
        <v>0</v>
      </c>
      <c r="EC241" s="408">
        <v>-9778.2364205852464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239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242</v>
      </c>
      <c r="B242" s="408" t="s">
        <v>2235</v>
      </c>
      <c r="C242" s="408" t="s">
        <v>2233</v>
      </c>
      <c r="D242" s="408" t="s">
        <v>1953</v>
      </c>
      <c r="E242" s="408" t="s">
        <v>967</v>
      </c>
      <c r="F242" s="408" t="s">
        <v>2238</v>
      </c>
      <c r="G242" s="408" t="s">
        <v>1320</v>
      </c>
      <c r="H242" s="408" t="s">
        <v>1320</v>
      </c>
      <c r="I242" s="408" t="s">
        <v>1320</v>
      </c>
      <c r="J242" s="408" t="s">
        <v>2234</v>
      </c>
      <c r="K242" s="827">
        <v>44501</v>
      </c>
      <c r="L242" s="408">
        <v>0</v>
      </c>
      <c r="M242" s="408">
        <v>0</v>
      </c>
      <c r="N242" s="408">
        <v>-0.112</v>
      </c>
      <c r="O242" s="408">
        <v>-0.112</v>
      </c>
      <c r="P242" s="408">
        <v>-0.112</v>
      </c>
      <c r="Q242" s="408">
        <v>-0.112</v>
      </c>
      <c r="R242" s="408"/>
      <c r="S242" s="408">
        <v>446.23</v>
      </c>
      <c r="T242" s="408">
        <v>173.82</v>
      </c>
      <c r="U242" s="408"/>
      <c r="V242" s="408">
        <v>-69.445599999999999</v>
      </c>
      <c r="W242" s="408">
        <v>-69.445599999999999</v>
      </c>
      <c r="X242" s="408">
        <v>-50.722560000000001</v>
      </c>
      <c r="Y242" s="408">
        <v>0</v>
      </c>
      <c r="Z242" s="408">
        <v>0</v>
      </c>
      <c r="AA242" s="408">
        <v>0</v>
      </c>
      <c r="AB242" s="408">
        <v>0</v>
      </c>
      <c r="AC242" s="408">
        <v>-0.30446573621977746</v>
      </c>
      <c r="AD242" s="408">
        <v>-3.8557804904713917</v>
      </c>
      <c r="AE242" s="408">
        <v>-40.72496905867029</v>
      </c>
      <c r="AF242" s="408">
        <v>-18.023279180641168</v>
      </c>
      <c r="AG242" s="408">
        <v>-0.90673692391147365</v>
      </c>
      <c r="AH242" s="408">
        <v>0</v>
      </c>
      <c r="AI242" s="408">
        <v>0</v>
      </c>
      <c r="AJ242" s="408">
        <v>0</v>
      </c>
      <c r="AK242" s="408">
        <v>0</v>
      </c>
      <c r="AL242" s="408">
        <v>0</v>
      </c>
      <c r="AM242" s="408"/>
      <c r="AN242" s="408">
        <v>-0.17377270118316526</v>
      </c>
      <c r="AO242" s="408">
        <v>-0.6494324232631693</v>
      </c>
      <c r="AP242" s="408">
        <v>-2.1268033753801969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-6.2139013109835876E-2</v>
      </c>
      <c r="BF242" s="408">
        <v>-0.53823709379565776</v>
      </c>
      <c r="BG242" s="408">
        <v>-2.0807721990883183</v>
      </c>
      <c r="BH242" s="408">
        <v>0</v>
      </c>
      <c r="BI242" s="408">
        <v>-0.28999999999999998</v>
      </c>
      <c r="BJ242" s="408">
        <v>-1.33</v>
      </c>
      <c r="BK242" s="408">
        <v>-17.41</v>
      </c>
      <c r="BL242" s="408">
        <v>0</v>
      </c>
      <c r="BM242" s="408"/>
      <c r="BN242" s="408"/>
      <c r="BO242" s="408"/>
      <c r="BP242" s="408"/>
      <c r="BQ242" s="408"/>
      <c r="BR242" s="408"/>
      <c r="BS242" s="408"/>
      <c r="BT242" s="408">
        <v>-20.289920000000002</v>
      </c>
      <c r="BU242" s="408"/>
      <c r="BV242" s="408">
        <v>-20.70442748663498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-29.889200000000002</v>
      </c>
      <c r="CJ242" s="408">
        <v>11.748159999999999</v>
      </c>
      <c r="CK242" s="408"/>
      <c r="CL242" s="408"/>
      <c r="CM242" s="408"/>
      <c r="CN242" s="408"/>
      <c r="CO242" s="408">
        <v>21.096320000000002</v>
      </c>
      <c r="CP242" s="408">
        <v>-2.3732799999999998</v>
      </c>
      <c r="CQ242" s="408">
        <v>30</v>
      </c>
      <c r="CR242" s="408">
        <v>-2.8378328462052558</v>
      </c>
      <c r="CS242" s="408">
        <v>-6.3055785368007045E-2</v>
      </c>
      <c r="CT242" s="408">
        <v>-0.20649917120564476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7.3931536954105148E-2</v>
      </c>
      <c r="DA242" s="408">
        <v>0</v>
      </c>
      <c r="DB242" s="408">
        <v>0</v>
      </c>
      <c r="DC242" s="408">
        <v>-2.3134870770598717</v>
      </c>
      <c r="DD242" s="408">
        <v>-6.9088679613194093E-2</v>
      </c>
      <c r="DE242" s="408">
        <v>-7.9762290962714158E-3</v>
      </c>
      <c r="DF242" s="408">
        <v>0</v>
      </c>
      <c r="DG242" s="408">
        <v>-0.26709010855619697</v>
      </c>
      <c r="DH242" s="408">
        <v>0</v>
      </c>
      <c r="DI242" s="408">
        <v>0</v>
      </c>
      <c r="DJ242" s="408"/>
      <c r="DK242" s="408">
        <v>0</v>
      </c>
      <c r="DL242" s="408">
        <v>0</v>
      </c>
      <c r="DM242" s="408">
        <v>1.0078048120582328E-2</v>
      </c>
      <c r="DN242" s="408">
        <v>0</v>
      </c>
      <c r="DO242" s="408">
        <v>0</v>
      </c>
      <c r="DP242" s="408">
        <v>5.3546196192439943E-3</v>
      </c>
      <c r="DQ242" s="408">
        <v>0</v>
      </c>
      <c r="DR242" s="408">
        <v>0</v>
      </c>
      <c r="DS242" s="408"/>
      <c r="DT242" s="408"/>
      <c r="DU242" s="408"/>
      <c r="DV242" s="408">
        <v>-40.72496905867029</v>
      </c>
      <c r="DW242" s="408">
        <v>0</v>
      </c>
      <c r="DX242" s="408">
        <v>0</v>
      </c>
      <c r="DY242" s="408">
        <v>21.096320000000002</v>
      </c>
      <c r="DZ242" s="408">
        <v>-2.3732800000000012</v>
      </c>
      <c r="EA242" s="408">
        <v>0</v>
      </c>
      <c r="EB242" s="408">
        <v>0</v>
      </c>
      <c r="EC242" s="408">
        <v>21.561712063032513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239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243</v>
      </c>
      <c r="B243" s="408" t="s">
        <v>2236</v>
      </c>
      <c r="C243" s="408" t="s">
        <v>2233</v>
      </c>
      <c r="D243" s="408" t="s">
        <v>1953</v>
      </c>
      <c r="E243" s="408" t="s">
        <v>967</v>
      </c>
      <c r="F243" s="408" t="s">
        <v>2238</v>
      </c>
      <c r="G243" s="408" t="s">
        <v>1320</v>
      </c>
      <c r="H243" s="408" t="s">
        <v>1320</v>
      </c>
      <c r="I243" s="408" t="s">
        <v>1320</v>
      </c>
      <c r="J243" s="408" t="s">
        <v>2234</v>
      </c>
      <c r="K243" s="827">
        <v>44501</v>
      </c>
      <c r="L243" s="408">
        <v>0</v>
      </c>
      <c r="M243" s="408">
        <v>0</v>
      </c>
      <c r="N243" s="408">
        <v>0</v>
      </c>
      <c r="O243" s="408">
        <v>0</v>
      </c>
      <c r="P243" s="408">
        <v>0</v>
      </c>
      <c r="Q243" s="408">
        <v>0</v>
      </c>
      <c r="R243" s="408"/>
      <c r="S243" s="408"/>
      <c r="T243" s="408"/>
      <c r="U243" s="408"/>
      <c r="V243" s="408"/>
      <c r="W243" s="408"/>
      <c r="X243" s="408"/>
      <c r="Y243" s="408"/>
      <c r="Z243" s="408"/>
      <c r="AA243" s="408">
        <v>0</v>
      </c>
      <c r="AB243" s="408"/>
      <c r="AC243" s="408"/>
      <c r="AD243" s="408"/>
      <c r="AE243" s="408"/>
      <c r="AF243" s="408"/>
      <c r="AG243" s="408"/>
      <c r="AH243" s="408"/>
      <c r="AI243" s="408"/>
      <c r="AJ243" s="408"/>
      <c r="AK243" s="408"/>
      <c r="AL243" s="408"/>
      <c r="AM243" s="408"/>
      <c r="AN243" s="408"/>
      <c r="AO243" s="408"/>
      <c r="AP243" s="408"/>
      <c r="AQ243" s="408"/>
      <c r="AR243" s="408"/>
      <c r="AS243" s="408"/>
      <c r="AT243" s="408"/>
      <c r="AU243" s="408"/>
      <c r="AV243" s="408"/>
      <c r="AW243" s="408"/>
      <c r="AX243" s="408"/>
      <c r="AY243" s="408"/>
      <c r="AZ243" s="408">
        <v>0</v>
      </c>
      <c r="BA243" s="408"/>
      <c r="BB243" s="408"/>
      <c r="BC243" s="408"/>
      <c r="BD243" s="408"/>
      <c r="BE243" s="408"/>
      <c r="BF243" s="408"/>
      <c r="BG243" s="408"/>
      <c r="BH243" s="408"/>
      <c r="BI243" s="408">
        <v>0</v>
      </c>
      <c r="BJ243" s="408">
        <v>0</v>
      </c>
      <c r="BK243" s="408">
        <v>3.8</v>
      </c>
      <c r="BL243" s="408">
        <v>0</v>
      </c>
      <c r="BM243" s="408"/>
      <c r="BN243" s="408"/>
      <c r="BO243" s="408"/>
      <c r="BP243" s="408"/>
      <c r="BQ243" s="408"/>
      <c r="BR243" s="408"/>
      <c r="BS243" s="408"/>
      <c r="BT243" s="408"/>
      <c r="BU243" s="408"/>
      <c r="BV243" s="408"/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/>
      <c r="CJ243" s="408">
        <v>-0.03</v>
      </c>
      <c r="CK243" s="408"/>
      <c r="CL243" s="408"/>
      <c r="CM243" s="408"/>
      <c r="CN243" s="408"/>
      <c r="CO243" s="408">
        <v>0</v>
      </c>
      <c r="CP243" s="408">
        <v>0</v>
      </c>
      <c r="CQ243" s="408">
        <v>30</v>
      </c>
      <c r="CR243" s="408"/>
      <c r="CS243" s="408"/>
      <c r="CT243" s="408"/>
      <c r="CU243" s="408"/>
      <c r="CV243" s="408"/>
      <c r="CW243" s="408"/>
      <c r="CX243" s="408"/>
      <c r="CY243" s="408"/>
      <c r="CZ243" s="408"/>
      <c r="DA243" s="408"/>
      <c r="DB243" s="408"/>
      <c r="DC243" s="408"/>
      <c r="DD243" s="408"/>
      <c r="DE243" s="408"/>
      <c r="DF243" s="408"/>
      <c r="DG243" s="408"/>
      <c r="DH243" s="408"/>
      <c r="DI243" s="408"/>
      <c r="DJ243" s="408"/>
      <c r="DK243" s="408">
        <v>0</v>
      </c>
      <c r="DL243" s="408"/>
      <c r="DM243" s="408"/>
      <c r="DN243" s="408"/>
      <c r="DO243" s="408"/>
      <c r="DP243" s="408"/>
      <c r="DQ243" s="408"/>
      <c r="DR243" s="408"/>
      <c r="DS243" s="408"/>
      <c r="DT243" s="408"/>
      <c r="DU243" s="408"/>
      <c r="DV243" s="408"/>
      <c r="DW243" s="408"/>
      <c r="DX243" s="408"/>
      <c r="DY243" s="408"/>
      <c r="DZ243" s="408"/>
      <c r="EA243" s="408"/>
      <c r="EB243" s="408"/>
      <c r="EC243" s="408"/>
      <c r="ED243" s="408"/>
      <c r="EE243" s="408"/>
      <c r="EF243" s="408"/>
      <c r="EG243" s="408"/>
      <c r="EH243" s="408"/>
      <c r="EI243" s="408"/>
      <c r="EJ243" s="408"/>
      <c r="EK243" s="408"/>
      <c r="EL243" s="408"/>
      <c r="EM243" s="408"/>
      <c r="EN243" s="408"/>
      <c r="EO243" s="408"/>
      <c r="EP243" s="408"/>
      <c r="EQ243" s="408"/>
      <c r="ER243" s="408"/>
      <c r="ES243" s="408"/>
      <c r="ET243" s="408"/>
      <c r="EU243" s="408"/>
      <c r="EV243" s="408">
        <v>239</v>
      </c>
      <c r="EW243" s="408"/>
      <c r="EX243" s="408"/>
      <c r="EY243" s="408"/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244</v>
      </c>
      <c r="B244" s="408" t="s">
        <v>1034</v>
      </c>
      <c r="C244" s="408" t="s">
        <v>2233</v>
      </c>
      <c r="D244" s="408" t="s">
        <v>1953</v>
      </c>
      <c r="E244" s="408" t="s">
        <v>967</v>
      </c>
      <c r="F244" s="408" t="s">
        <v>2239</v>
      </c>
      <c r="G244" s="408" t="s">
        <v>1320</v>
      </c>
      <c r="H244" s="408" t="s">
        <v>1320</v>
      </c>
      <c r="I244" s="408" t="s">
        <v>1320</v>
      </c>
      <c r="J244" s="408" t="s">
        <v>2234</v>
      </c>
      <c r="K244" s="827">
        <v>44501</v>
      </c>
      <c r="L244" s="408">
        <v>0</v>
      </c>
      <c r="M244" s="408">
        <v>0</v>
      </c>
      <c r="N244" s="408">
        <v>52.27</v>
      </c>
      <c r="O244" s="408">
        <v>52.27</v>
      </c>
      <c r="P244" s="408">
        <v>52.27</v>
      </c>
      <c r="Q244" s="408">
        <v>52.27</v>
      </c>
      <c r="R244" s="408"/>
      <c r="S244" s="408">
        <v>446.23</v>
      </c>
      <c r="T244" s="408">
        <v>173.82</v>
      </c>
      <c r="U244" s="408"/>
      <c r="V244" s="408">
        <v>32410.013500000005</v>
      </c>
      <c r="W244" s="408">
        <v>32410.013500000005</v>
      </c>
      <c r="X244" s="408">
        <v>23672.037600000003</v>
      </c>
      <c r="Y244" s="408">
        <v>0</v>
      </c>
      <c r="Z244" s="408">
        <v>0</v>
      </c>
      <c r="AA244" s="408">
        <v>0</v>
      </c>
      <c r="AB244" s="408">
        <v>0</v>
      </c>
      <c r="AC244" s="408">
        <v>142.0930717161408</v>
      </c>
      <c r="AD244" s="408">
        <v>1799.4789842583898</v>
      </c>
      <c r="AE244" s="408">
        <v>19006.197613363358</v>
      </c>
      <c r="AF244" s="408">
        <v>8411.4000247510157</v>
      </c>
      <c r="AG244" s="408">
        <v>423.17088404332799</v>
      </c>
      <c r="AH244" s="408">
        <v>0</v>
      </c>
      <c r="AI244" s="408">
        <v>0</v>
      </c>
      <c r="AJ244" s="408">
        <v>0</v>
      </c>
      <c r="AK244" s="408">
        <v>0</v>
      </c>
      <c r="AL244" s="408">
        <v>0</v>
      </c>
      <c r="AM244" s="408"/>
      <c r="AN244" s="408">
        <v>81.099099025393301</v>
      </c>
      <c r="AO244" s="408">
        <v>303.08779253540945</v>
      </c>
      <c r="AP244" s="408">
        <v>992.5715395635973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29.000055493313585</v>
      </c>
      <c r="BF244" s="408">
        <v>251.19332939909847</v>
      </c>
      <c r="BG244" s="408">
        <v>971.08895398523578</v>
      </c>
      <c r="BH244" s="408">
        <v>0</v>
      </c>
      <c r="BI244" s="408">
        <v>193.36</v>
      </c>
      <c r="BJ244" s="408">
        <v>903.18</v>
      </c>
      <c r="BK244" s="408">
        <v>10752.53</v>
      </c>
      <c r="BL244" s="408">
        <v>440</v>
      </c>
      <c r="BM244" s="408"/>
      <c r="BN244" s="408"/>
      <c r="BO244" s="408"/>
      <c r="BP244" s="408"/>
      <c r="BQ244" s="408"/>
      <c r="BR244" s="408"/>
      <c r="BS244" s="408"/>
      <c r="BT244" s="408">
        <v>2366.7856000000002</v>
      </c>
      <c r="BU244" s="408"/>
      <c r="BV244" s="408">
        <v>9662.6823636286645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21305.252</v>
      </c>
      <c r="CJ244" s="408">
        <v>-7864.0514999999978</v>
      </c>
      <c r="CK244" s="408"/>
      <c r="CL244" s="408"/>
      <c r="CM244" s="408"/>
      <c r="CN244" s="408"/>
      <c r="CO244" s="408">
        <v>-9845.5772000000015</v>
      </c>
      <c r="CP244" s="408">
        <v>1107.6013</v>
      </c>
      <c r="CQ244" s="408">
        <v>30</v>
      </c>
      <c r="CR244" s="408">
        <v>1324.4064542066826</v>
      </c>
      <c r="CS244" s="408">
        <v>29.427909832015473</v>
      </c>
      <c r="CT244" s="408">
        <v>96.372425704634452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-34.503584255277474</v>
      </c>
      <c r="DA244" s="408">
        <v>0</v>
      </c>
      <c r="DB244" s="408">
        <v>0</v>
      </c>
      <c r="DC244" s="408">
        <v>1079.6961564099965</v>
      </c>
      <c r="DD244" s="408">
        <v>32.243440030193398</v>
      </c>
      <c r="DE244" s="408">
        <v>3.7224776326973803</v>
      </c>
      <c r="DF244" s="408">
        <v>0</v>
      </c>
      <c r="DG244" s="408">
        <v>124.64999976993226</v>
      </c>
      <c r="DH244" s="408">
        <v>0</v>
      </c>
      <c r="DI244" s="408">
        <v>0</v>
      </c>
      <c r="DJ244" s="408"/>
      <c r="DK244" s="408">
        <v>0</v>
      </c>
      <c r="DL244" s="408">
        <v>0</v>
      </c>
      <c r="DM244" s="408">
        <v>-4.7033890648468173</v>
      </c>
      <c r="DN244" s="408">
        <v>0</v>
      </c>
      <c r="DO244" s="408">
        <v>0</v>
      </c>
      <c r="DP244" s="408">
        <v>-2.4989818526596821</v>
      </c>
      <c r="DQ244" s="408">
        <v>0</v>
      </c>
      <c r="DR244" s="408">
        <v>0</v>
      </c>
      <c r="DS244" s="408"/>
      <c r="DT244" s="408"/>
      <c r="DU244" s="408"/>
      <c r="DV244" s="408">
        <v>19006.197613363358</v>
      </c>
      <c r="DW244" s="408">
        <v>0</v>
      </c>
      <c r="DX244" s="408">
        <v>0</v>
      </c>
      <c r="DY244" s="408">
        <v>-9845.5772000000034</v>
      </c>
      <c r="DZ244" s="408">
        <v>1107.6013000000003</v>
      </c>
      <c r="EA244" s="408">
        <v>0</v>
      </c>
      <c r="EB244" s="408">
        <v>0</v>
      </c>
      <c r="EC244" s="408">
        <v>-10062.774013702763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239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245</v>
      </c>
      <c r="B245" s="408" t="s">
        <v>2236</v>
      </c>
      <c r="C245" s="408" t="s">
        <v>2233</v>
      </c>
      <c r="D245" s="408" t="s">
        <v>1953</v>
      </c>
      <c r="E245" s="408" t="s">
        <v>967</v>
      </c>
      <c r="F245" s="408" t="s">
        <v>2239</v>
      </c>
      <c r="G245" s="408" t="s">
        <v>1320</v>
      </c>
      <c r="H245" s="408" t="s">
        <v>1320</v>
      </c>
      <c r="I245" s="408" t="s">
        <v>1320</v>
      </c>
      <c r="J245" s="408" t="s">
        <v>2234</v>
      </c>
      <c r="K245" s="827">
        <v>44501</v>
      </c>
      <c r="L245" s="408">
        <v>0</v>
      </c>
      <c r="M245" s="408">
        <v>0</v>
      </c>
      <c r="N245" s="408">
        <v>0</v>
      </c>
      <c r="O245" s="408">
        <v>0</v>
      </c>
      <c r="P245" s="408">
        <v>0</v>
      </c>
      <c r="Q245" s="408">
        <v>0</v>
      </c>
      <c r="R245" s="408"/>
      <c r="S245" s="408"/>
      <c r="T245" s="408"/>
      <c r="U245" s="408"/>
      <c r="V245" s="408"/>
      <c r="W245" s="408"/>
      <c r="X245" s="408"/>
      <c r="Y245" s="408"/>
      <c r="Z245" s="408"/>
      <c r="AA245" s="408">
        <v>0</v>
      </c>
      <c r="AB245" s="408"/>
      <c r="AC245" s="408"/>
      <c r="AD245" s="408"/>
      <c r="AE245" s="408"/>
      <c r="AF245" s="408"/>
      <c r="AG245" s="408"/>
      <c r="AH245" s="408"/>
      <c r="AI245" s="408"/>
      <c r="AJ245" s="408"/>
      <c r="AK245" s="408"/>
      <c r="AL245" s="408"/>
      <c r="AM245" s="408"/>
      <c r="AN245" s="408"/>
      <c r="AO245" s="408"/>
      <c r="AP245" s="408"/>
      <c r="AQ245" s="408"/>
      <c r="AR245" s="408"/>
      <c r="AS245" s="408"/>
      <c r="AT245" s="408"/>
      <c r="AU245" s="408"/>
      <c r="AV245" s="408"/>
      <c r="AW245" s="408"/>
      <c r="AX245" s="408"/>
      <c r="AY245" s="408"/>
      <c r="AZ245" s="408">
        <v>0</v>
      </c>
      <c r="BA245" s="408"/>
      <c r="BB245" s="408"/>
      <c r="BC245" s="408"/>
      <c r="BD245" s="408"/>
      <c r="BE245" s="408"/>
      <c r="BF245" s="408"/>
      <c r="BG245" s="408"/>
      <c r="BH245" s="408"/>
      <c r="BI245" s="408">
        <v>0</v>
      </c>
      <c r="BJ245" s="408">
        <v>0</v>
      </c>
      <c r="BK245" s="408">
        <v>11.93</v>
      </c>
      <c r="BL245" s="408">
        <v>0</v>
      </c>
      <c r="BM245" s="408"/>
      <c r="BN245" s="408"/>
      <c r="BO245" s="408"/>
      <c r="BP245" s="408"/>
      <c r="BQ245" s="408"/>
      <c r="BR245" s="408"/>
      <c r="BS245" s="408"/>
      <c r="BT245" s="408"/>
      <c r="BU245" s="408"/>
      <c r="BV245" s="408"/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/>
      <c r="CJ245" s="408">
        <v>-0.03</v>
      </c>
      <c r="CK245" s="408"/>
      <c r="CL245" s="408"/>
      <c r="CM245" s="408"/>
      <c r="CN245" s="408"/>
      <c r="CO245" s="408">
        <v>0</v>
      </c>
      <c r="CP245" s="408">
        <v>0</v>
      </c>
      <c r="CQ245" s="408">
        <v>30</v>
      </c>
      <c r="CR245" s="408"/>
      <c r="CS245" s="408"/>
      <c r="CT245" s="408"/>
      <c r="CU245" s="408"/>
      <c r="CV245" s="408"/>
      <c r="CW245" s="408"/>
      <c r="CX245" s="408"/>
      <c r="CY245" s="408"/>
      <c r="CZ245" s="408"/>
      <c r="DA245" s="408"/>
      <c r="DB245" s="408"/>
      <c r="DC245" s="408"/>
      <c r="DD245" s="408"/>
      <c r="DE245" s="408"/>
      <c r="DF245" s="408"/>
      <c r="DG245" s="408"/>
      <c r="DH245" s="408"/>
      <c r="DI245" s="408"/>
      <c r="DJ245" s="408"/>
      <c r="DK245" s="408">
        <v>0</v>
      </c>
      <c r="DL245" s="408"/>
      <c r="DM245" s="408"/>
      <c r="DN245" s="408"/>
      <c r="DO245" s="408"/>
      <c r="DP245" s="408"/>
      <c r="DQ245" s="408"/>
      <c r="DR245" s="408"/>
      <c r="DS245" s="408"/>
      <c r="DT245" s="408"/>
      <c r="DU245" s="408"/>
      <c r="DV245" s="408"/>
      <c r="DW245" s="408"/>
      <c r="DX245" s="408"/>
      <c r="DY245" s="408"/>
      <c r="DZ245" s="408"/>
      <c r="EA245" s="408"/>
      <c r="EB245" s="408"/>
      <c r="EC245" s="408"/>
      <c r="ED245" s="408"/>
      <c r="EE245" s="408"/>
      <c r="EF245" s="408"/>
      <c r="EG245" s="408"/>
      <c r="EH245" s="408"/>
      <c r="EI245" s="408"/>
      <c r="EJ245" s="408"/>
      <c r="EK245" s="408"/>
      <c r="EL245" s="408"/>
      <c r="EM245" s="408"/>
      <c r="EN245" s="408"/>
      <c r="EO245" s="408"/>
      <c r="EP245" s="408"/>
      <c r="EQ245" s="408"/>
      <c r="ER245" s="408"/>
      <c r="ES245" s="408"/>
      <c r="ET245" s="408"/>
      <c r="EU245" s="408"/>
      <c r="EV245" s="408">
        <v>239</v>
      </c>
      <c r="EW245" s="408"/>
      <c r="EX245" s="408"/>
      <c r="EY245" s="408"/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246</v>
      </c>
      <c r="B246" s="408" t="s">
        <v>1034</v>
      </c>
      <c r="C246" s="408" t="s">
        <v>2233</v>
      </c>
      <c r="D246" s="408" t="s">
        <v>1953</v>
      </c>
      <c r="E246" s="408" t="s">
        <v>967</v>
      </c>
      <c r="F246" s="408" t="s">
        <v>2240</v>
      </c>
      <c r="G246" s="408" t="s">
        <v>1320</v>
      </c>
      <c r="H246" s="408" t="s">
        <v>1320</v>
      </c>
      <c r="I246" s="408" t="s">
        <v>1320</v>
      </c>
      <c r="J246" s="408" t="s">
        <v>2234</v>
      </c>
      <c r="K246" s="827">
        <v>44501</v>
      </c>
      <c r="L246" s="408">
        <v>0</v>
      </c>
      <c r="M246" s="408">
        <v>0</v>
      </c>
      <c r="N246" s="408">
        <v>14.381</v>
      </c>
      <c r="O246" s="408">
        <v>14.381</v>
      </c>
      <c r="P246" s="408">
        <v>14.381</v>
      </c>
      <c r="Q246" s="408">
        <v>14.381</v>
      </c>
      <c r="R246" s="408"/>
      <c r="S246" s="408">
        <v>446.23</v>
      </c>
      <c r="T246" s="408">
        <v>173.82</v>
      </c>
      <c r="U246" s="408"/>
      <c r="V246" s="408">
        <v>8916.9390500000009</v>
      </c>
      <c r="W246" s="408">
        <v>8916.9390500000009</v>
      </c>
      <c r="X246" s="408">
        <v>6512.8672800000004</v>
      </c>
      <c r="Y246" s="408">
        <v>0</v>
      </c>
      <c r="Z246" s="408">
        <v>0</v>
      </c>
      <c r="AA246" s="408">
        <v>0</v>
      </c>
      <c r="AB246" s="408">
        <v>0</v>
      </c>
      <c r="AC246" s="408">
        <v>39.093944219434107</v>
      </c>
      <c r="AD246" s="408">
        <v>495.08910029883111</v>
      </c>
      <c r="AE246" s="408">
        <v>5229.1587502922985</v>
      </c>
      <c r="AF246" s="408">
        <v>2314.2212312214342</v>
      </c>
      <c r="AG246" s="408">
        <v>116.42664020331163</v>
      </c>
      <c r="AH246" s="408">
        <v>0</v>
      </c>
      <c r="AI246" s="408">
        <v>0</v>
      </c>
      <c r="AJ246" s="408">
        <v>0</v>
      </c>
      <c r="AK246" s="408">
        <v>0</v>
      </c>
      <c r="AL246" s="408">
        <v>0</v>
      </c>
      <c r="AM246" s="408"/>
      <c r="AN246" s="408">
        <v>22.31272514031339</v>
      </c>
      <c r="AO246" s="408">
        <v>83.388282847746765</v>
      </c>
      <c r="AP246" s="408">
        <v>273.08535126198763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7.9787602458263374</v>
      </c>
      <c r="BF246" s="408">
        <v>69.110603981029939</v>
      </c>
      <c r="BG246" s="408">
        <v>267.17486602758134</v>
      </c>
      <c r="BH246" s="408">
        <v>0</v>
      </c>
      <c r="BI246" s="408">
        <v>66.66</v>
      </c>
      <c r="BJ246" s="408">
        <v>305.95999999999998</v>
      </c>
      <c r="BK246" s="408">
        <v>4102.43</v>
      </c>
      <c r="BL246" s="408">
        <v>213</v>
      </c>
      <c r="BM246" s="408"/>
      <c r="BN246" s="408"/>
      <c r="BO246" s="408"/>
      <c r="BP246" s="408"/>
      <c r="BQ246" s="408"/>
      <c r="BR246" s="408"/>
      <c r="BS246" s="408"/>
      <c r="BT246" s="408"/>
      <c r="BU246" s="408"/>
      <c r="BV246" s="408">
        <v>2658.4854614758715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6512.4144000000006</v>
      </c>
      <c r="CJ246" s="408">
        <v>-2404.5546500000009</v>
      </c>
      <c r="CK246" s="408"/>
      <c r="CL246" s="408"/>
      <c r="CM246" s="408"/>
      <c r="CN246" s="408"/>
      <c r="CO246" s="408">
        <v>-2708.8051600000003</v>
      </c>
      <c r="CP246" s="408">
        <v>304.73338999999999</v>
      </c>
      <c r="CQ246" s="408">
        <v>30</v>
      </c>
      <c r="CR246" s="408">
        <v>364.38280501140844</v>
      </c>
      <c r="CS246" s="408">
        <v>8.0964754408688435</v>
      </c>
      <c r="CT246" s="408">
        <v>26.514862331324764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-9.4929413655087842</v>
      </c>
      <c r="DA246" s="408">
        <v>0</v>
      </c>
      <c r="DB246" s="408">
        <v>0</v>
      </c>
      <c r="DC246" s="408">
        <v>297.05587192141093</v>
      </c>
      <c r="DD246" s="408">
        <v>8.8711098349763091</v>
      </c>
      <c r="DE246" s="408">
        <v>1.0241620592274918</v>
      </c>
      <c r="DF246" s="408">
        <v>0</v>
      </c>
      <c r="DG246" s="408">
        <v>34.294846885238087</v>
      </c>
      <c r="DH246" s="408">
        <v>0</v>
      </c>
      <c r="DI246" s="408">
        <v>0</v>
      </c>
      <c r="DJ246" s="408"/>
      <c r="DK246" s="408">
        <v>0</v>
      </c>
      <c r="DL246" s="408">
        <v>0</v>
      </c>
      <c r="DM246" s="408">
        <v>-1.2940393751972721</v>
      </c>
      <c r="DN246" s="408">
        <v>0</v>
      </c>
      <c r="DO246" s="408">
        <v>0</v>
      </c>
      <c r="DP246" s="408">
        <v>-0.68754272093167756</v>
      </c>
      <c r="DQ246" s="408">
        <v>0</v>
      </c>
      <c r="DR246" s="408">
        <v>0</v>
      </c>
      <c r="DS246" s="408"/>
      <c r="DT246" s="408"/>
      <c r="DU246" s="408"/>
      <c r="DV246" s="408">
        <v>5229.1587502922985</v>
      </c>
      <c r="DW246" s="408">
        <v>0</v>
      </c>
      <c r="DX246" s="408">
        <v>0</v>
      </c>
      <c r="DY246" s="408">
        <v>-2708.8051600000003</v>
      </c>
      <c r="DZ246" s="408">
        <v>304.73339000000033</v>
      </c>
      <c r="EA246" s="408">
        <v>0</v>
      </c>
      <c r="EB246" s="408">
        <v>0</v>
      </c>
      <c r="EC246" s="408">
        <v>-2768.5623319506299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239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247</v>
      </c>
      <c r="B247" s="408" t="s">
        <v>2236</v>
      </c>
      <c r="C247" s="408" t="s">
        <v>2233</v>
      </c>
      <c r="D247" s="408" t="s">
        <v>1953</v>
      </c>
      <c r="E247" s="408" t="s">
        <v>967</v>
      </c>
      <c r="F247" s="408" t="s">
        <v>2240</v>
      </c>
      <c r="G247" s="408" t="s">
        <v>1320</v>
      </c>
      <c r="H247" s="408" t="s">
        <v>1320</v>
      </c>
      <c r="I247" s="408" t="s">
        <v>1320</v>
      </c>
      <c r="J247" s="408" t="s">
        <v>2234</v>
      </c>
      <c r="K247" s="827">
        <v>44501</v>
      </c>
      <c r="L247" s="408">
        <v>0</v>
      </c>
      <c r="M247" s="408">
        <v>0</v>
      </c>
      <c r="N247" s="408">
        <v>0</v>
      </c>
      <c r="O247" s="408">
        <v>0</v>
      </c>
      <c r="P247" s="408">
        <v>0</v>
      </c>
      <c r="Q247" s="408">
        <v>0</v>
      </c>
      <c r="R247" s="408"/>
      <c r="S247" s="408"/>
      <c r="T247" s="408"/>
      <c r="U247" s="408"/>
      <c r="V247" s="408"/>
      <c r="W247" s="408"/>
      <c r="X247" s="408"/>
      <c r="Y247" s="408"/>
      <c r="Z247" s="408"/>
      <c r="AA247" s="408">
        <v>0</v>
      </c>
      <c r="AB247" s="408"/>
      <c r="AC247" s="408"/>
      <c r="AD247" s="408"/>
      <c r="AE247" s="408"/>
      <c r="AF247" s="408"/>
      <c r="AG247" s="408"/>
      <c r="AH247" s="408"/>
      <c r="AI247" s="408"/>
      <c r="AJ247" s="408"/>
      <c r="AK247" s="408"/>
      <c r="AL247" s="408"/>
      <c r="AM247" s="408"/>
      <c r="AN247" s="408"/>
      <c r="AO247" s="408"/>
      <c r="AP247" s="408"/>
      <c r="AQ247" s="408"/>
      <c r="AR247" s="408"/>
      <c r="AS247" s="408"/>
      <c r="AT247" s="408"/>
      <c r="AU247" s="408"/>
      <c r="AV247" s="408"/>
      <c r="AW247" s="408"/>
      <c r="AX247" s="408"/>
      <c r="AY247" s="408"/>
      <c r="AZ247" s="408">
        <v>0</v>
      </c>
      <c r="BA247" s="408"/>
      <c r="BB247" s="408"/>
      <c r="BC247" s="408"/>
      <c r="BD247" s="408"/>
      <c r="BE247" s="408"/>
      <c r="BF247" s="408"/>
      <c r="BG247" s="408"/>
      <c r="BH247" s="408"/>
      <c r="BI247" s="408">
        <v>0</v>
      </c>
      <c r="BJ247" s="408">
        <v>0</v>
      </c>
      <c r="BK247" s="408">
        <v>5.03</v>
      </c>
      <c r="BL247" s="408">
        <v>1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/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/>
      <c r="CJ247" s="408">
        <v>-0.03</v>
      </c>
      <c r="CK247" s="408"/>
      <c r="CL247" s="408"/>
      <c r="CM247" s="408"/>
      <c r="CN247" s="408"/>
      <c r="CO247" s="408">
        <v>0</v>
      </c>
      <c r="CP247" s="408">
        <v>0</v>
      </c>
      <c r="CQ247" s="408">
        <v>30</v>
      </c>
      <c r="CR247" s="408"/>
      <c r="CS247" s="408"/>
      <c r="CT247" s="408"/>
      <c r="CU247" s="408"/>
      <c r="CV247" s="408"/>
      <c r="CW247" s="408"/>
      <c r="CX247" s="408"/>
      <c r="CY247" s="408"/>
      <c r="CZ247" s="408"/>
      <c r="DA247" s="408"/>
      <c r="DB247" s="408"/>
      <c r="DC247" s="408"/>
      <c r="DD247" s="408"/>
      <c r="DE247" s="408"/>
      <c r="DF247" s="408"/>
      <c r="DG247" s="408"/>
      <c r="DH247" s="408"/>
      <c r="DI247" s="408"/>
      <c r="DJ247" s="408"/>
      <c r="DK247" s="408">
        <v>0</v>
      </c>
      <c r="DL247" s="408"/>
      <c r="DM247" s="408"/>
      <c r="DN247" s="408"/>
      <c r="DO247" s="408"/>
      <c r="DP247" s="408"/>
      <c r="DQ247" s="408"/>
      <c r="DR247" s="408"/>
      <c r="DS247" s="408"/>
      <c r="DT247" s="408"/>
      <c r="DU247" s="408"/>
      <c r="DV247" s="408"/>
      <c r="DW247" s="408"/>
      <c r="DX247" s="408"/>
      <c r="DY247" s="408"/>
      <c r="DZ247" s="408"/>
      <c r="EA247" s="408"/>
      <c r="EB247" s="408"/>
      <c r="EC247" s="408"/>
      <c r="ED247" s="408"/>
      <c r="EE247" s="408"/>
      <c r="EF247" s="408"/>
      <c r="EG247" s="408"/>
      <c r="EH247" s="408"/>
      <c r="EI247" s="408"/>
      <c r="EJ247" s="408"/>
      <c r="EK247" s="408"/>
      <c r="EL247" s="408"/>
      <c r="EM247" s="408"/>
      <c r="EN247" s="408"/>
      <c r="EO247" s="408"/>
      <c r="EP247" s="408"/>
      <c r="EQ247" s="408"/>
      <c r="ER247" s="408"/>
      <c r="ES247" s="408"/>
      <c r="ET247" s="408"/>
      <c r="EU247" s="408"/>
      <c r="EV247" s="408">
        <v>239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248</v>
      </c>
      <c r="B248" s="408" t="s">
        <v>1034</v>
      </c>
      <c r="C248" s="408" t="s">
        <v>2233</v>
      </c>
      <c r="D248" s="408" t="s">
        <v>1956</v>
      </c>
      <c r="E248" s="408" t="s">
        <v>968</v>
      </c>
      <c r="F248" s="408" t="s">
        <v>1320</v>
      </c>
      <c r="G248" s="408" t="s">
        <v>1320</v>
      </c>
      <c r="H248" s="408" t="s">
        <v>1320</v>
      </c>
      <c r="I248" s="408" t="s">
        <v>1320</v>
      </c>
      <c r="J248" s="408" t="s">
        <v>2234</v>
      </c>
      <c r="K248" s="827">
        <v>44501</v>
      </c>
      <c r="L248" s="408">
        <v>0</v>
      </c>
      <c r="M248" s="408">
        <v>0</v>
      </c>
      <c r="N248" s="408">
        <v>84.539000000000001</v>
      </c>
      <c r="O248" s="408">
        <v>84.539000000000001</v>
      </c>
      <c r="P248" s="408">
        <v>84.539000000000001</v>
      </c>
      <c r="Q248" s="408">
        <v>84.539000000000001</v>
      </c>
      <c r="R248" s="408"/>
      <c r="S248" s="408">
        <v>516.83000000000004</v>
      </c>
      <c r="T248" s="408">
        <v>173.82</v>
      </c>
      <c r="U248" s="408"/>
      <c r="V248" s="408">
        <v>58386.860350000003</v>
      </c>
      <c r="W248" s="408">
        <v>58386.860350000003</v>
      </c>
      <c r="X248" s="408">
        <v>44082.861550000001</v>
      </c>
      <c r="Y248" s="408">
        <v>0</v>
      </c>
      <c r="Z248" s="408">
        <v>5169.513840327566</v>
      </c>
      <c r="AA248" s="408">
        <v>0</v>
      </c>
      <c r="AB248" s="408">
        <v>0</v>
      </c>
      <c r="AC248" s="408">
        <v>229.81454352039077</v>
      </c>
      <c r="AD248" s="408">
        <v>2910.3913114639372</v>
      </c>
      <c r="AE248" s="408">
        <v>30739.715707597567</v>
      </c>
      <c r="AF248" s="408">
        <v>13604.19641653771</v>
      </c>
      <c r="AG248" s="408">
        <v>684.41636437992918</v>
      </c>
      <c r="AH248" s="408">
        <v>0</v>
      </c>
      <c r="AI248" s="408">
        <v>0</v>
      </c>
      <c r="AJ248" s="408">
        <v>0</v>
      </c>
      <c r="AK248" s="408">
        <v>0</v>
      </c>
      <c r="AL248" s="408">
        <v>799.02007593847293</v>
      </c>
      <c r="AM248" s="408"/>
      <c r="AN248" s="408">
        <v>131.16580701181795</v>
      </c>
      <c r="AO248" s="408">
        <v>490.19971098433098</v>
      </c>
      <c r="AP248" s="408">
        <v>1605.3377727791649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46.903303832967993</v>
      </c>
      <c r="BF248" s="408">
        <v>406.26808636063487</v>
      </c>
      <c r="BG248" s="408">
        <v>1570.5928655243515</v>
      </c>
      <c r="BH248" s="408">
        <v>0</v>
      </c>
      <c r="BI248" s="408">
        <v>363.01</v>
      </c>
      <c r="BJ248" s="408">
        <v>1688.04</v>
      </c>
      <c r="BK248" s="408">
        <v>12332.03</v>
      </c>
      <c r="BL248" s="408">
        <v>37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15627.960672255664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44083.383000000002</v>
      </c>
      <c r="CJ248" s="408">
        <v>-14303.507350000007</v>
      </c>
      <c r="CK248" s="408"/>
      <c r="CL248" s="408"/>
      <c r="CM248" s="408"/>
      <c r="CN248" s="408"/>
      <c r="CO248" s="408">
        <v>-16095.380210000005</v>
      </c>
      <c r="CP248" s="408">
        <v>1791.3814099999997</v>
      </c>
      <c r="CQ248" s="408">
        <v>30</v>
      </c>
      <c r="CR248" s="408">
        <v>1970.2557059652354</v>
      </c>
      <c r="CS248" s="408">
        <v>47.595294993088828</v>
      </c>
      <c r="CT248" s="408">
        <v>155.86815566566088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-55.804448237170163</v>
      </c>
      <c r="DA248" s="408">
        <v>0</v>
      </c>
      <c r="DB248" s="408">
        <v>0</v>
      </c>
      <c r="DC248" s="408">
        <v>1746.2489643532572</v>
      </c>
      <c r="DD248" s="408">
        <v>52.148998980534145</v>
      </c>
      <c r="DE248" s="408">
        <v>6.0205574247293612</v>
      </c>
      <c r="DF248" s="408">
        <v>0</v>
      </c>
      <c r="DG248" s="408">
        <v>201.60295256457425</v>
      </c>
      <c r="DH248" s="408">
        <v>0</v>
      </c>
      <c r="DI248" s="408">
        <v>-151.0816552799788</v>
      </c>
      <c r="DJ248" s="408"/>
      <c r="DK248" s="408">
        <v>0</v>
      </c>
      <c r="DL248" s="408">
        <v>0</v>
      </c>
      <c r="DM248" s="408">
        <v>-7.6070366970170653</v>
      </c>
      <c r="DN248" s="408">
        <v>0</v>
      </c>
      <c r="DO248" s="408">
        <v>-20.694343981094107</v>
      </c>
      <c r="DP248" s="408">
        <v>-4.0417338213506184</v>
      </c>
      <c r="DQ248" s="408">
        <v>0</v>
      </c>
      <c r="DR248" s="408">
        <v>0</v>
      </c>
      <c r="DS248" s="408"/>
      <c r="DT248" s="408"/>
      <c r="DU248" s="408"/>
      <c r="DV248" s="408">
        <v>30739.715707597567</v>
      </c>
      <c r="DW248" s="408">
        <v>0</v>
      </c>
      <c r="DX248" s="408">
        <v>0</v>
      </c>
      <c r="DY248" s="408">
        <v>-16095.380210000007</v>
      </c>
      <c r="DZ248" s="408">
        <v>1791.3814099999981</v>
      </c>
      <c r="EA248" s="408">
        <v>0</v>
      </c>
      <c r="EB248" s="408">
        <v>0</v>
      </c>
      <c r="EC248" s="408">
        <v>-16275.049786577727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239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249</v>
      </c>
      <c r="B249" s="408" t="s">
        <v>2236</v>
      </c>
      <c r="C249" s="408" t="s">
        <v>2233</v>
      </c>
      <c r="D249" s="408" t="s">
        <v>1956</v>
      </c>
      <c r="E249" s="408" t="s">
        <v>968</v>
      </c>
      <c r="F249" s="408" t="s">
        <v>1320</v>
      </c>
      <c r="G249" s="408" t="s">
        <v>1320</v>
      </c>
      <c r="H249" s="408" t="s">
        <v>1320</v>
      </c>
      <c r="I249" s="408" t="s">
        <v>1320</v>
      </c>
      <c r="J249" s="408" t="s">
        <v>2234</v>
      </c>
      <c r="K249" s="827">
        <v>44501</v>
      </c>
      <c r="L249" s="408">
        <v>0</v>
      </c>
      <c r="M249" s="408">
        <v>0</v>
      </c>
      <c r="N249" s="408">
        <v>1.915</v>
      </c>
      <c r="O249" s="408">
        <v>1.915</v>
      </c>
      <c r="P249" s="408">
        <v>1.915</v>
      </c>
      <c r="Q249" s="408">
        <v>1.915</v>
      </c>
      <c r="R249" s="408"/>
      <c r="S249" s="408">
        <v>516.83000000000004</v>
      </c>
      <c r="T249" s="408">
        <v>173.82</v>
      </c>
      <c r="U249" s="408"/>
      <c r="V249" s="408">
        <v>1322.59475</v>
      </c>
      <c r="W249" s="408">
        <v>1322.59475</v>
      </c>
      <c r="X249" s="408">
        <v>998.57674999999995</v>
      </c>
      <c r="Y249" s="408">
        <v>0</v>
      </c>
      <c r="Z249" s="408">
        <v>117.10120777661538</v>
      </c>
      <c r="AA249" s="408">
        <v>0</v>
      </c>
      <c r="AB249" s="408">
        <v>0</v>
      </c>
      <c r="AC249" s="408">
        <v>5.2058204005435167</v>
      </c>
      <c r="AD249" s="408">
        <v>65.926961064756384</v>
      </c>
      <c r="AE249" s="408">
        <v>696.32424774422861</v>
      </c>
      <c r="AF249" s="408">
        <v>308.16588956185569</v>
      </c>
      <c r="AG249" s="408">
        <v>15.503582225807786</v>
      </c>
      <c r="AH249" s="408">
        <v>0</v>
      </c>
      <c r="AI249" s="408">
        <v>0</v>
      </c>
      <c r="AJ249" s="408">
        <v>0</v>
      </c>
      <c r="AK249" s="408">
        <v>0</v>
      </c>
      <c r="AL249" s="408">
        <v>18.099616099340846</v>
      </c>
      <c r="AM249" s="408"/>
      <c r="AN249" s="408">
        <v>2.9712028818371561</v>
      </c>
      <c r="AO249" s="408">
        <v>11.104134737044367</v>
      </c>
      <c r="AP249" s="408">
        <v>36.364539855831048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1.062466161654783</v>
      </c>
      <c r="BF249" s="408">
        <v>9.2028931662382547</v>
      </c>
      <c r="BG249" s="408">
        <v>35.577488939769019</v>
      </c>
      <c r="BH249" s="408">
        <v>0</v>
      </c>
      <c r="BI249" s="408">
        <v>8.19</v>
      </c>
      <c r="BJ249" s="408">
        <v>38.25</v>
      </c>
      <c r="BK249" s="408">
        <v>470.91</v>
      </c>
      <c r="BL249" s="408">
        <v>4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354.00873782951777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1001.184</v>
      </c>
      <c r="CJ249" s="408">
        <v>-321.44074999999998</v>
      </c>
      <c r="CK249" s="408"/>
      <c r="CL249" s="408"/>
      <c r="CM249" s="408"/>
      <c r="CN249" s="408"/>
      <c r="CO249" s="408">
        <v>-364.59685000000007</v>
      </c>
      <c r="CP249" s="408">
        <v>40.578849999999996</v>
      </c>
      <c r="CQ249" s="408">
        <v>30</v>
      </c>
      <c r="CR249" s="408">
        <v>44.630758311825389</v>
      </c>
      <c r="CS249" s="408">
        <v>1.0781413301761926</v>
      </c>
      <c r="CT249" s="408">
        <v>3.5307670790965133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-1.2640972613134949</v>
      </c>
      <c r="DA249" s="408">
        <v>0</v>
      </c>
      <c r="DB249" s="408">
        <v>0</v>
      </c>
      <c r="DC249" s="408">
        <v>39.556497790800506</v>
      </c>
      <c r="DD249" s="408">
        <v>1.1812930487434539</v>
      </c>
      <c r="DE249" s="408">
        <v>0.13637927427999785</v>
      </c>
      <c r="DF249" s="408">
        <v>0</v>
      </c>
      <c r="DG249" s="408">
        <v>4.5667639096885466</v>
      </c>
      <c r="DH249" s="408">
        <v>0</v>
      </c>
      <c r="DI249" s="408">
        <v>-3.4223419943595133</v>
      </c>
      <c r="DJ249" s="408"/>
      <c r="DK249" s="408">
        <v>0</v>
      </c>
      <c r="DL249" s="408">
        <v>0</v>
      </c>
      <c r="DM249" s="408">
        <v>-0.17231662634745781</v>
      </c>
      <c r="DN249" s="408">
        <v>0</v>
      </c>
      <c r="DO249" s="408">
        <v>-0.46877380527088519</v>
      </c>
      <c r="DP249" s="408">
        <v>-9.1554433668323387E-2</v>
      </c>
      <c r="DQ249" s="408">
        <v>0</v>
      </c>
      <c r="DR249" s="408">
        <v>0</v>
      </c>
      <c r="DS249" s="408"/>
      <c r="DT249" s="408"/>
      <c r="DU249" s="408"/>
      <c r="DV249" s="408">
        <v>696.32424774422861</v>
      </c>
      <c r="DW249" s="408">
        <v>0</v>
      </c>
      <c r="DX249" s="408">
        <v>0</v>
      </c>
      <c r="DY249" s="408">
        <v>-364.59685000000002</v>
      </c>
      <c r="DZ249" s="408">
        <v>40.578849999999989</v>
      </c>
      <c r="EA249" s="408">
        <v>0</v>
      </c>
      <c r="EB249" s="408">
        <v>0</v>
      </c>
      <c r="EC249" s="408">
        <v>-368.66677322060059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239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250</v>
      </c>
      <c r="B250" s="408" t="s">
        <v>1034</v>
      </c>
      <c r="C250" s="408" t="s">
        <v>2245</v>
      </c>
      <c r="D250" s="408" t="s">
        <v>596</v>
      </c>
      <c r="E250" s="408" t="s">
        <v>968</v>
      </c>
      <c r="F250" s="408" t="s">
        <v>1320</v>
      </c>
      <c r="G250" s="408" t="s">
        <v>1320</v>
      </c>
      <c r="H250" s="408" t="s">
        <v>1320</v>
      </c>
      <c r="I250" s="408" t="s">
        <v>971</v>
      </c>
      <c r="J250" s="408" t="s">
        <v>2234</v>
      </c>
      <c r="K250" s="827">
        <v>44501</v>
      </c>
      <c r="L250" s="408">
        <v>1200</v>
      </c>
      <c r="M250" s="408">
        <v>1200</v>
      </c>
      <c r="N250" s="408">
        <v>50.521000000000001</v>
      </c>
      <c r="O250" s="408">
        <v>50.521000000000001</v>
      </c>
      <c r="P250" s="408">
        <v>50.521000000000001</v>
      </c>
      <c r="Q250" s="408">
        <v>50.521000000000001</v>
      </c>
      <c r="R250" s="408">
        <v>67.099999999999994</v>
      </c>
      <c r="S250" s="408">
        <v>70.33</v>
      </c>
      <c r="T250" s="408">
        <v>173.82</v>
      </c>
      <c r="U250" s="408">
        <v>80520</v>
      </c>
      <c r="V250" s="408">
        <v>12334.702149999999</v>
      </c>
      <c r="W250" s="408">
        <v>92854.702149999997</v>
      </c>
      <c r="X250" s="408">
        <v>63802.215930000006</v>
      </c>
      <c r="Y250" s="408">
        <v>0</v>
      </c>
      <c r="Z250" s="408">
        <v>2687.7185392854744</v>
      </c>
      <c r="AA250" s="408">
        <v>0</v>
      </c>
      <c r="AB250" s="408">
        <v>0</v>
      </c>
      <c r="AC250" s="408">
        <v>898.10170336085525</v>
      </c>
      <c r="AD250" s="408">
        <v>13700.67976876248</v>
      </c>
      <c r="AE250" s="408">
        <v>57794.157302940846</v>
      </c>
      <c r="AF250" s="408">
        <v>8129.9472096890395</v>
      </c>
      <c r="AG250" s="408">
        <v>409.01121547260323</v>
      </c>
      <c r="AH250" s="408">
        <v>0</v>
      </c>
      <c r="AI250" s="408">
        <v>0</v>
      </c>
      <c r="AJ250" s="408">
        <v>0</v>
      </c>
      <c r="AK250" s="408">
        <v>0</v>
      </c>
      <c r="AL250" s="408">
        <v>477.49906263958161</v>
      </c>
      <c r="AM250" s="408"/>
      <c r="AN250" s="408">
        <v>62.783995960756634</v>
      </c>
      <c r="AO250" s="408">
        <v>1928.760364929756</v>
      </c>
      <c r="AP250" s="408">
        <v>6201.9566025339363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9.4268965132840954</v>
      </c>
      <c r="BF250" s="408">
        <v>242.78818049687879</v>
      </c>
      <c r="BG250" s="408">
        <v>315.66681231085209</v>
      </c>
      <c r="BH250" s="408">
        <v>0</v>
      </c>
      <c r="BI250" s="408">
        <v>0</v>
      </c>
      <c r="BJ250" s="408">
        <v>0</v>
      </c>
      <c r="BK250" s="408">
        <v>0</v>
      </c>
      <c r="BL250" s="408">
        <v>0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8697.8290990100541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63801.9516</v>
      </c>
      <c r="CJ250" s="408">
        <v>-29052.780549999981</v>
      </c>
      <c r="CK250" s="408"/>
      <c r="CL250" s="408"/>
      <c r="CM250" s="408"/>
      <c r="CN250" s="408"/>
      <c r="CO250" s="408">
        <v>-30123.026209999993</v>
      </c>
      <c r="CP250" s="408">
        <v>1070.53999</v>
      </c>
      <c r="CQ250" s="408">
        <v>30</v>
      </c>
      <c r="CR250" s="408">
        <v>1545.8064357518015</v>
      </c>
      <c r="CS250" s="408">
        <v>187.27044607078801</v>
      </c>
      <c r="CT250" s="408">
        <v>602.17080389378407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-262.69968301452172</v>
      </c>
      <c r="DA250" s="408">
        <v>0</v>
      </c>
      <c r="DB250" s="408">
        <v>0</v>
      </c>
      <c r="DC250" s="408">
        <v>1043.5685769655529</v>
      </c>
      <c r="DD250" s="408">
        <v>31.164546274448071</v>
      </c>
      <c r="DE250" s="408">
        <v>1.2100463540335085</v>
      </c>
      <c r="DF250" s="408">
        <v>0</v>
      </c>
      <c r="DG250" s="408">
        <v>40.519324126223353</v>
      </c>
      <c r="DH250" s="408">
        <v>0</v>
      </c>
      <c r="DI250" s="408">
        <v>-78.549933008055177</v>
      </c>
      <c r="DJ250" s="408"/>
      <c r="DK250" s="408">
        <v>0</v>
      </c>
      <c r="DL250" s="408">
        <v>0</v>
      </c>
      <c r="DM250" s="408">
        <v>-4.5460095455351848</v>
      </c>
      <c r="DN250" s="408">
        <v>0</v>
      </c>
      <c r="DO250" s="408">
        <v>-12.36706079169204</v>
      </c>
      <c r="DP250" s="408">
        <v>-1.9346215732222021</v>
      </c>
      <c r="DQ250" s="408">
        <v>0</v>
      </c>
      <c r="DR250" s="408">
        <v>0</v>
      </c>
      <c r="DS250" s="408"/>
      <c r="DT250" s="408"/>
      <c r="DU250" s="408">
        <v>57794.157302940846</v>
      </c>
      <c r="DV250" s="408">
        <v>0</v>
      </c>
      <c r="DW250" s="408">
        <v>0</v>
      </c>
      <c r="DX250" s="408">
        <v>0</v>
      </c>
      <c r="DY250" s="408">
        <v>-30123.026209999996</v>
      </c>
      <c r="DZ250" s="408">
        <v>1070.5399900000011</v>
      </c>
      <c r="EA250" s="408">
        <v>0</v>
      </c>
      <c r="EB250" s="408">
        <v>0</v>
      </c>
      <c r="EC250" s="408">
        <v>-30598.942307270285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239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251</v>
      </c>
      <c r="B251" s="408" t="s">
        <v>1034</v>
      </c>
      <c r="C251" s="408" t="s">
        <v>2245</v>
      </c>
      <c r="D251" s="408" t="s">
        <v>596</v>
      </c>
      <c r="E251" s="408" t="s">
        <v>968</v>
      </c>
      <c r="F251" s="408" t="s">
        <v>1320</v>
      </c>
      <c r="G251" s="408" t="s">
        <v>1320</v>
      </c>
      <c r="H251" s="408" t="s">
        <v>1320</v>
      </c>
      <c r="I251" s="408" t="s">
        <v>2242</v>
      </c>
      <c r="J251" s="408" t="s">
        <v>2234</v>
      </c>
      <c r="K251" s="827">
        <v>44501</v>
      </c>
      <c r="L251" s="408">
        <v>1200</v>
      </c>
      <c r="M251" s="408">
        <v>1200</v>
      </c>
      <c r="N251" s="408">
        <v>562.577</v>
      </c>
      <c r="O251" s="408">
        <v>562.577</v>
      </c>
      <c r="P251" s="408">
        <v>562.577</v>
      </c>
      <c r="Q251" s="408">
        <v>562.577</v>
      </c>
      <c r="R251" s="408">
        <v>59.12</v>
      </c>
      <c r="S251" s="408">
        <v>70.33</v>
      </c>
      <c r="T251" s="408">
        <v>173.82</v>
      </c>
      <c r="U251" s="408">
        <v>70944</v>
      </c>
      <c r="V251" s="408">
        <v>137353.17455</v>
      </c>
      <c r="W251" s="408">
        <v>208297.17455</v>
      </c>
      <c r="X251" s="408">
        <v>189541.97840999998</v>
      </c>
      <c r="Y251" s="408">
        <v>0</v>
      </c>
      <c r="Z251" s="408">
        <v>29929.111313624126</v>
      </c>
      <c r="AA251" s="408">
        <v>0</v>
      </c>
      <c r="AB251" s="408">
        <v>0</v>
      </c>
      <c r="AC251" s="408">
        <v>686.4724360004185</v>
      </c>
      <c r="AD251" s="408">
        <v>6140.4271808585163</v>
      </c>
      <c r="AE251" s="408">
        <v>57794.157302940846</v>
      </c>
      <c r="AF251" s="408">
        <v>90531.092246496119</v>
      </c>
      <c r="AG251" s="408">
        <v>4554.5476646727238</v>
      </c>
      <c r="AH251" s="408">
        <v>0</v>
      </c>
      <c r="AI251" s="408">
        <v>0</v>
      </c>
      <c r="AJ251" s="408">
        <v>0</v>
      </c>
      <c r="AK251" s="408">
        <v>0</v>
      </c>
      <c r="AL251" s="408">
        <v>5317.1946351534589</v>
      </c>
      <c r="AM251" s="408"/>
      <c r="AN251" s="408">
        <v>699.13168970555978</v>
      </c>
      <c r="AO251" s="408">
        <v>1449.6865388280721</v>
      </c>
      <c r="AP251" s="408">
        <v>4873.1854368239283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104.97328160079624</v>
      </c>
      <c r="BF251" s="408">
        <v>2703.5697278239263</v>
      </c>
      <c r="BG251" s="408">
        <v>3515.1103158964042</v>
      </c>
      <c r="BH251" s="408">
        <v>0</v>
      </c>
      <c r="BI251" s="408">
        <v>0</v>
      </c>
      <c r="BJ251" s="408">
        <v>0</v>
      </c>
      <c r="BK251" s="408">
        <v>0</v>
      </c>
      <c r="BL251" s="408">
        <v>0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>
        <v>96854.745571817242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189542.7714</v>
      </c>
      <c r="CJ251" s="408">
        <v>-18754.433149999997</v>
      </c>
      <c r="CK251" s="408"/>
      <c r="CL251" s="408"/>
      <c r="CM251" s="408"/>
      <c r="CN251" s="408"/>
      <c r="CO251" s="408">
        <v>-30676.20277</v>
      </c>
      <c r="CP251" s="408">
        <v>11921.006629999998</v>
      </c>
      <c r="CQ251" s="408">
        <v>30</v>
      </c>
      <c r="CR251" s="408">
        <v>11843.978100772132</v>
      </c>
      <c r="CS251" s="408">
        <v>140.75540420960397</v>
      </c>
      <c r="CT251" s="408">
        <v>473.15551850471911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-117.73782769987247</v>
      </c>
      <c r="DA251" s="408">
        <v>0</v>
      </c>
      <c r="DB251" s="408">
        <v>0</v>
      </c>
      <c r="DC251" s="408">
        <v>11620.666244206368</v>
      </c>
      <c r="DD251" s="408">
        <v>347.03305456028511</v>
      </c>
      <c r="DE251" s="408">
        <v>13.474480863662805</v>
      </c>
      <c r="DF251" s="408">
        <v>0</v>
      </c>
      <c r="DG251" s="408">
        <v>451.20325822842688</v>
      </c>
      <c r="DH251" s="408">
        <v>0</v>
      </c>
      <c r="DI251" s="408">
        <v>-874.69340792685762</v>
      </c>
      <c r="DJ251" s="408"/>
      <c r="DK251" s="408">
        <v>0</v>
      </c>
      <c r="DL251" s="408">
        <v>0</v>
      </c>
      <c r="DM251" s="408">
        <v>-50.622125692257214</v>
      </c>
      <c r="DN251" s="408">
        <v>0</v>
      </c>
      <c r="DO251" s="408">
        <v>-137.7135044636434</v>
      </c>
      <c r="DP251" s="408">
        <v>-21.542994018301783</v>
      </c>
      <c r="DQ251" s="408">
        <v>0</v>
      </c>
      <c r="DR251" s="408">
        <v>0</v>
      </c>
      <c r="DS251" s="408"/>
      <c r="DT251" s="408"/>
      <c r="DU251" s="408">
        <v>57794.157302940846</v>
      </c>
      <c r="DV251" s="408">
        <v>0</v>
      </c>
      <c r="DW251" s="408">
        <v>0</v>
      </c>
      <c r="DX251" s="408">
        <v>0</v>
      </c>
      <c r="DY251" s="408">
        <v>-30676.202770000004</v>
      </c>
      <c r="DZ251" s="408">
        <v>11921.006630000003</v>
      </c>
      <c r="EA251" s="408">
        <v>0</v>
      </c>
      <c r="EB251" s="408">
        <v>0</v>
      </c>
      <c r="EC251" s="408">
        <v>-30598.942307270285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239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252</v>
      </c>
      <c r="B252" s="408" t="s">
        <v>1034</v>
      </c>
      <c r="C252" s="408" t="s">
        <v>2245</v>
      </c>
      <c r="D252" s="408" t="s">
        <v>596</v>
      </c>
      <c r="E252" s="408" t="s">
        <v>968</v>
      </c>
      <c r="F252" s="408" t="s">
        <v>1320</v>
      </c>
      <c r="G252" s="408" t="s">
        <v>1320</v>
      </c>
      <c r="H252" s="408" t="s">
        <v>1320</v>
      </c>
      <c r="I252" s="408" t="s">
        <v>1320</v>
      </c>
      <c r="J252" s="408" t="s">
        <v>2234</v>
      </c>
      <c r="K252" s="827">
        <v>44501</v>
      </c>
      <c r="L252" s="408">
        <v>0</v>
      </c>
      <c r="M252" s="408">
        <v>0</v>
      </c>
      <c r="N252" s="408">
        <v>0</v>
      </c>
      <c r="O252" s="408">
        <v>0</v>
      </c>
      <c r="P252" s="408">
        <v>0</v>
      </c>
      <c r="Q252" s="408">
        <v>0</v>
      </c>
      <c r="R252" s="408"/>
      <c r="S252" s="408"/>
      <c r="T252" s="408"/>
      <c r="U252" s="408"/>
      <c r="V252" s="408"/>
      <c r="W252" s="408"/>
      <c r="X252" s="408"/>
      <c r="Y252" s="408"/>
      <c r="Z252" s="408"/>
      <c r="AA252" s="408">
        <v>0</v>
      </c>
      <c r="AB252" s="408"/>
      <c r="AC252" s="408"/>
      <c r="AD252" s="408"/>
      <c r="AE252" s="408"/>
      <c r="AF252" s="408"/>
      <c r="AG252" s="408"/>
      <c r="AH252" s="408"/>
      <c r="AI252" s="408"/>
      <c r="AJ252" s="408"/>
      <c r="AK252" s="408"/>
      <c r="AL252" s="408"/>
      <c r="AM252" s="408"/>
      <c r="AN252" s="408"/>
      <c r="AO252" s="408"/>
      <c r="AP252" s="408"/>
      <c r="AQ252" s="408"/>
      <c r="AR252" s="408"/>
      <c r="AS252" s="408"/>
      <c r="AT252" s="408"/>
      <c r="AU252" s="408"/>
      <c r="AV252" s="408"/>
      <c r="AW252" s="408"/>
      <c r="AX252" s="408"/>
      <c r="AY252" s="408"/>
      <c r="AZ252" s="408">
        <v>0</v>
      </c>
      <c r="BA252" s="408"/>
      <c r="BB252" s="408"/>
      <c r="BC252" s="408"/>
      <c r="BD252" s="408"/>
      <c r="BE252" s="408"/>
      <c r="BF252" s="408"/>
      <c r="BG252" s="408"/>
      <c r="BH252" s="408"/>
      <c r="BI252" s="408">
        <v>2204.27</v>
      </c>
      <c r="BJ252" s="408">
        <v>10245.11</v>
      </c>
      <c r="BK252" s="408">
        <v>73884.160000000003</v>
      </c>
      <c r="BL252" s="408">
        <v>1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/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/>
      <c r="CJ252" s="408">
        <v>-0.03</v>
      </c>
      <c r="CK252" s="408"/>
      <c r="CL252" s="408"/>
      <c r="CM252" s="408"/>
      <c r="CN252" s="408"/>
      <c r="CO252" s="408">
        <v>0</v>
      </c>
      <c r="CP252" s="408">
        <v>0</v>
      </c>
      <c r="CQ252" s="408">
        <v>30</v>
      </c>
      <c r="CR252" s="408"/>
      <c r="CS252" s="408"/>
      <c r="CT252" s="408"/>
      <c r="CU252" s="408"/>
      <c r="CV252" s="408"/>
      <c r="CW252" s="408"/>
      <c r="CX252" s="408"/>
      <c r="CY252" s="408"/>
      <c r="CZ252" s="408"/>
      <c r="DA252" s="408"/>
      <c r="DB252" s="408"/>
      <c r="DC252" s="408"/>
      <c r="DD252" s="408"/>
      <c r="DE252" s="408"/>
      <c r="DF252" s="408"/>
      <c r="DG252" s="408"/>
      <c r="DH252" s="408"/>
      <c r="DI252" s="408"/>
      <c r="DJ252" s="408"/>
      <c r="DK252" s="408">
        <v>0</v>
      </c>
      <c r="DL252" s="408"/>
      <c r="DM252" s="408"/>
      <c r="DN252" s="408"/>
      <c r="DO252" s="408"/>
      <c r="DP252" s="408"/>
      <c r="DQ252" s="408"/>
      <c r="DR252" s="408"/>
      <c r="DS252" s="408"/>
      <c r="DT252" s="408"/>
      <c r="DU252" s="408"/>
      <c r="DV252" s="408"/>
      <c r="DW252" s="408"/>
      <c r="DX252" s="408"/>
      <c r="DY252" s="408"/>
      <c r="DZ252" s="408"/>
      <c r="EA252" s="408"/>
      <c r="EB252" s="408"/>
      <c r="EC252" s="408"/>
      <c r="ED252" s="408"/>
      <c r="EE252" s="408"/>
      <c r="EF252" s="408"/>
      <c r="EG252" s="408"/>
      <c r="EH252" s="408"/>
      <c r="EI252" s="408"/>
      <c r="EJ252" s="408"/>
      <c r="EK252" s="408"/>
      <c r="EL252" s="408"/>
      <c r="EM252" s="408"/>
      <c r="EN252" s="408"/>
      <c r="EO252" s="408"/>
      <c r="EP252" s="408"/>
      <c r="EQ252" s="408"/>
      <c r="ER252" s="408"/>
      <c r="ES252" s="408"/>
      <c r="ET252" s="408"/>
      <c r="EU252" s="408"/>
      <c r="EV252" s="408">
        <v>239</v>
      </c>
      <c r="EW252" s="408"/>
      <c r="EX252" s="408"/>
      <c r="EY252" s="408"/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253</v>
      </c>
      <c r="B253" s="408" t="s">
        <v>1034</v>
      </c>
      <c r="C253" s="408" t="s">
        <v>2241</v>
      </c>
      <c r="D253" s="408" t="s">
        <v>596</v>
      </c>
      <c r="E253" s="408" t="s">
        <v>968</v>
      </c>
      <c r="F253" s="408" t="s">
        <v>1320</v>
      </c>
      <c r="G253" s="408" t="s">
        <v>1320</v>
      </c>
      <c r="H253" s="408" t="s">
        <v>1320</v>
      </c>
      <c r="I253" s="408" t="s">
        <v>971</v>
      </c>
      <c r="J253" s="408" t="s">
        <v>2234</v>
      </c>
      <c r="K253" s="827">
        <v>44501</v>
      </c>
      <c r="L253" s="408">
        <v>0</v>
      </c>
      <c r="M253" s="408">
        <v>0</v>
      </c>
      <c r="N253" s="408">
        <v>39.500999999999998</v>
      </c>
      <c r="O253" s="408">
        <v>39.500999999999998</v>
      </c>
      <c r="P253" s="408">
        <v>39.500999999999998</v>
      </c>
      <c r="Q253" s="408">
        <v>39.500999999999998</v>
      </c>
      <c r="R253" s="408"/>
      <c r="S253" s="408">
        <v>1684.16</v>
      </c>
      <c r="T253" s="408">
        <v>173.82</v>
      </c>
      <c r="U253" s="408"/>
      <c r="V253" s="408">
        <v>73392.067979999993</v>
      </c>
      <c r="W253" s="408">
        <v>73392.067979999993</v>
      </c>
      <c r="X253" s="408">
        <v>50381.945460000003</v>
      </c>
      <c r="Y253" s="408">
        <v>0</v>
      </c>
      <c r="Z253" s="408">
        <v>2101.4542471509972</v>
      </c>
      <c r="AA253" s="408">
        <v>0</v>
      </c>
      <c r="AB253" s="408">
        <v>0</v>
      </c>
      <c r="AC253" s="408">
        <v>710.994293859408</v>
      </c>
      <c r="AD253" s="408">
        <v>10846.418788540403</v>
      </c>
      <c r="AE253" s="408">
        <v>45753.71028453367</v>
      </c>
      <c r="AF253" s="408">
        <v>6356.5852760223815</v>
      </c>
      <c r="AG253" s="408">
        <v>319.79477885202783</v>
      </c>
      <c r="AH253" s="408">
        <v>0</v>
      </c>
      <c r="AI253" s="408">
        <v>0</v>
      </c>
      <c r="AJ253" s="408">
        <v>0</v>
      </c>
      <c r="AK253" s="408">
        <v>0</v>
      </c>
      <c r="AL253" s="408">
        <v>373.34356947261756</v>
      </c>
      <c r="AM253" s="408"/>
      <c r="AN253" s="408">
        <v>49.089104024976699</v>
      </c>
      <c r="AO253" s="408">
        <v>1526.9563294920679</v>
      </c>
      <c r="AP253" s="408">
        <v>4909.9218035175027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7.3706347691303629</v>
      </c>
      <c r="BF253" s="408">
        <v>189.82949501805601</v>
      </c>
      <c r="BG253" s="408">
        <v>246.81132109599906</v>
      </c>
      <c r="BH253" s="408">
        <v>0</v>
      </c>
      <c r="BI253" s="408">
        <v>0</v>
      </c>
      <c r="BJ253" s="408">
        <v>0</v>
      </c>
      <c r="BK253" s="408">
        <v>0</v>
      </c>
      <c r="BL253" s="408">
        <v>0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6800.5967269055673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50380.67</v>
      </c>
      <c r="CJ253" s="408">
        <v>-23011.427979999979</v>
      </c>
      <c r="CK253" s="408"/>
      <c r="CL253" s="408"/>
      <c r="CM253" s="408"/>
      <c r="CN253" s="408"/>
      <c r="CO253" s="408">
        <v>-23847.148710000001</v>
      </c>
      <c r="CP253" s="408">
        <v>837.02618999999981</v>
      </c>
      <c r="CQ253" s="408">
        <v>30</v>
      </c>
      <c r="CR253" s="408">
        <v>1213.7878994202474</v>
      </c>
      <c r="CS253" s="408">
        <v>148.25781271433743</v>
      </c>
      <c r="CT253" s="408">
        <v>476.72238762064444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-207.97148942126296</v>
      </c>
      <c r="DA253" s="408">
        <v>0</v>
      </c>
      <c r="DB253" s="408">
        <v>0</v>
      </c>
      <c r="DC253" s="408">
        <v>815.9379734905533</v>
      </c>
      <c r="DD253" s="408">
        <v>24.366713691078417</v>
      </c>
      <c r="DE253" s="408">
        <v>0.94610243325899379</v>
      </c>
      <c r="DF253" s="408">
        <v>0</v>
      </c>
      <c r="DG253" s="408">
        <v>31.680960834305495</v>
      </c>
      <c r="DH253" s="408">
        <v>0</v>
      </c>
      <c r="DI253" s="408">
        <v>-61.416062701672672</v>
      </c>
      <c r="DJ253" s="408"/>
      <c r="DK253" s="408">
        <v>0</v>
      </c>
      <c r="DL253" s="408">
        <v>0</v>
      </c>
      <c r="DM253" s="408">
        <v>-3.5544015965278959</v>
      </c>
      <c r="DN253" s="408">
        <v>0</v>
      </c>
      <c r="DO253" s="408">
        <v>-9.6694694945196602</v>
      </c>
      <c r="DP253" s="408">
        <v>-1.5126281499544803</v>
      </c>
      <c r="DQ253" s="408">
        <v>0</v>
      </c>
      <c r="DR253" s="408">
        <v>0</v>
      </c>
      <c r="DS253" s="408"/>
      <c r="DT253" s="408"/>
      <c r="DU253" s="408"/>
      <c r="DV253" s="408">
        <v>45753.71028453367</v>
      </c>
      <c r="DW253" s="408">
        <v>0</v>
      </c>
      <c r="DX253" s="408">
        <v>0</v>
      </c>
      <c r="DY253" s="408">
        <v>-23847.148709999994</v>
      </c>
      <c r="DZ253" s="408">
        <v>837.02618999999959</v>
      </c>
      <c r="EA253" s="408">
        <v>0</v>
      </c>
      <c r="EB253" s="408">
        <v>0</v>
      </c>
      <c r="EC253" s="408">
        <v>-24224.16394102804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239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254</v>
      </c>
      <c r="B254" s="408" t="s">
        <v>1034</v>
      </c>
      <c r="C254" s="408" t="s">
        <v>2241</v>
      </c>
      <c r="D254" s="408" t="s">
        <v>596</v>
      </c>
      <c r="E254" s="408" t="s">
        <v>968</v>
      </c>
      <c r="F254" s="408" t="s">
        <v>1320</v>
      </c>
      <c r="G254" s="408" t="s">
        <v>1320</v>
      </c>
      <c r="H254" s="408" t="s">
        <v>1320</v>
      </c>
      <c r="I254" s="408" t="s">
        <v>2242</v>
      </c>
      <c r="J254" s="408" t="s">
        <v>2234</v>
      </c>
      <c r="K254" s="827">
        <v>44501</v>
      </c>
      <c r="L254" s="408">
        <v>0</v>
      </c>
      <c r="M254" s="408">
        <v>0</v>
      </c>
      <c r="N254" s="408">
        <v>719.63900000000001</v>
      </c>
      <c r="O254" s="408">
        <v>719.63900000000001</v>
      </c>
      <c r="P254" s="408">
        <v>719.63900000000001</v>
      </c>
      <c r="Q254" s="408">
        <v>719.63900000000001</v>
      </c>
      <c r="R254" s="408"/>
      <c r="S254" s="408">
        <v>70.33</v>
      </c>
      <c r="T254" s="408">
        <v>173.82</v>
      </c>
      <c r="U254" s="408"/>
      <c r="V254" s="408">
        <v>175699.86184999999</v>
      </c>
      <c r="W254" s="408">
        <v>175699.86184999999</v>
      </c>
      <c r="X254" s="408">
        <v>190222.17687</v>
      </c>
      <c r="Y254" s="408">
        <v>0</v>
      </c>
      <c r="Z254" s="408">
        <v>38284.81387725618</v>
      </c>
      <c r="AA254" s="408">
        <v>0</v>
      </c>
      <c r="AB254" s="408">
        <v>0</v>
      </c>
      <c r="AC254" s="408">
        <v>0</v>
      </c>
      <c r="AD254" s="408">
        <v>0</v>
      </c>
      <c r="AE254" s="408">
        <v>0</v>
      </c>
      <c r="AF254" s="408">
        <v>115805.84469890561</v>
      </c>
      <c r="AG254" s="408">
        <v>5826.1004748815094</v>
      </c>
      <c r="AH254" s="408">
        <v>0</v>
      </c>
      <c r="AI254" s="408">
        <v>0</v>
      </c>
      <c r="AJ254" s="408">
        <v>0</v>
      </c>
      <c r="AK254" s="408">
        <v>0</v>
      </c>
      <c r="AL254" s="408">
        <v>6801.6656031924522</v>
      </c>
      <c r="AM254" s="408"/>
      <c r="AN254" s="408">
        <v>894.3174535183972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134.28004948285374</v>
      </c>
      <c r="BF254" s="408">
        <v>3458.3607494822618</v>
      </c>
      <c r="BG254" s="408">
        <v>4496.4697679097662</v>
      </c>
      <c r="BH254" s="408">
        <v>0</v>
      </c>
      <c r="BI254" s="408">
        <v>0</v>
      </c>
      <c r="BJ254" s="408">
        <v>0</v>
      </c>
      <c r="BK254" s="408">
        <v>0</v>
      </c>
      <c r="BL254" s="408">
        <v>0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123894.9552657805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190222.4412</v>
      </c>
      <c r="CJ254" s="408">
        <v>14522.549349999987</v>
      </c>
      <c r="CK254" s="408"/>
      <c r="CL254" s="408"/>
      <c r="CM254" s="408"/>
      <c r="CN254" s="408"/>
      <c r="CO254" s="408">
        <v>-726.83539000000371</v>
      </c>
      <c r="CP254" s="408">
        <v>15249.150409999998</v>
      </c>
      <c r="CQ254" s="408">
        <v>30</v>
      </c>
      <c r="CR254" s="408">
        <v>14515.920570052578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0</v>
      </c>
      <c r="DA254" s="408">
        <v>0</v>
      </c>
      <c r="DB254" s="408">
        <v>0</v>
      </c>
      <c r="DC254" s="408">
        <v>14864.960059359742</v>
      </c>
      <c r="DD254" s="408">
        <v>443.91882417999523</v>
      </c>
      <c r="DE254" s="408">
        <v>17.2363284212569</v>
      </c>
      <c r="DF254" s="408">
        <v>0</v>
      </c>
      <c r="DG254" s="408">
        <v>577.17158993035082</v>
      </c>
      <c r="DH254" s="408">
        <v>0</v>
      </c>
      <c r="DI254" s="408">
        <v>-1118.8930393298579</v>
      </c>
      <c r="DJ254" s="408"/>
      <c r="DK254" s="408">
        <v>0</v>
      </c>
      <c r="DL254" s="408">
        <v>0</v>
      </c>
      <c r="DM254" s="408">
        <v>-64.754968495069988</v>
      </c>
      <c r="DN254" s="408">
        <v>0</v>
      </c>
      <c r="DO254" s="408">
        <v>-176.16078979181839</v>
      </c>
      <c r="DP254" s="408">
        <v>-27.557434222047277</v>
      </c>
      <c r="DQ254" s="408">
        <v>0</v>
      </c>
      <c r="DR254" s="408">
        <v>0</v>
      </c>
      <c r="DS254" s="408"/>
      <c r="DT254" s="408"/>
      <c r="DU254" s="408"/>
      <c r="DV254" s="408">
        <v>0</v>
      </c>
      <c r="DW254" s="408">
        <v>0</v>
      </c>
      <c r="DX254" s="408">
        <v>0</v>
      </c>
      <c r="DY254" s="408">
        <v>-726.83539000000746</v>
      </c>
      <c r="DZ254" s="408">
        <v>15249.150410000017</v>
      </c>
      <c r="EA254" s="408">
        <v>0</v>
      </c>
      <c r="EB254" s="408">
        <v>0</v>
      </c>
      <c r="EC254" s="408">
        <v>0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239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255</v>
      </c>
      <c r="B255" s="408" t="s">
        <v>1034</v>
      </c>
      <c r="C255" s="408" t="s">
        <v>2241</v>
      </c>
      <c r="D255" s="408" t="s">
        <v>596</v>
      </c>
      <c r="E255" s="408" t="s">
        <v>968</v>
      </c>
      <c r="F255" s="408" t="s">
        <v>1320</v>
      </c>
      <c r="G255" s="408" t="s">
        <v>1320</v>
      </c>
      <c r="H255" s="408" t="s">
        <v>1320</v>
      </c>
      <c r="I255" s="408" t="s">
        <v>1320</v>
      </c>
      <c r="J255" s="408" t="s">
        <v>2234</v>
      </c>
      <c r="K255" s="827">
        <v>44501</v>
      </c>
      <c r="L255" s="408">
        <v>4443</v>
      </c>
      <c r="M255" s="408">
        <v>4443</v>
      </c>
      <c r="N255" s="408">
        <v>0</v>
      </c>
      <c r="O255" s="408">
        <v>0</v>
      </c>
      <c r="P255" s="408">
        <v>0</v>
      </c>
      <c r="Q255" s="408">
        <v>0</v>
      </c>
      <c r="R255" s="408">
        <v>59.12</v>
      </c>
      <c r="S255" s="408"/>
      <c r="T255" s="408"/>
      <c r="U255" s="408">
        <v>262670.15999999997</v>
      </c>
      <c r="V255" s="408"/>
      <c r="W255" s="408">
        <v>262670.15999999997</v>
      </c>
      <c r="X255" s="408">
        <v>151195.29</v>
      </c>
      <c r="Y255" s="408">
        <v>0</v>
      </c>
      <c r="Z255" s="408">
        <v>0</v>
      </c>
      <c r="AA255" s="408">
        <v>0</v>
      </c>
      <c r="AB255" s="408">
        <v>0</v>
      </c>
      <c r="AC255" s="408">
        <v>2541.6641942915494</v>
      </c>
      <c r="AD255" s="408">
        <v>22734.931637128659</v>
      </c>
      <c r="AE255" s="408">
        <v>213982.86741413848</v>
      </c>
      <c r="AF255" s="408"/>
      <c r="AG255" s="408"/>
      <c r="AH255" s="408"/>
      <c r="AI255" s="408">
        <v>0</v>
      </c>
      <c r="AJ255" s="408">
        <v>0</v>
      </c>
      <c r="AK255" s="408">
        <v>0</v>
      </c>
      <c r="AL255" s="408">
        <v>0</v>
      </c>
      <c r="AM255" s="408"/>
      <c r="AN255" s="408">
        <v>0</v>
      </c>
      <c r="AO255" s="408">
        <v>5367.4644100109363</v>
      </c>
      <c r="AP255" s="408">
        <v>18042.969079840594</v>
      </c>
      <c r="AQ255" s="408">
        <v>0</v>
      </c>
      <c r="AR255" s="408">
        <v>0</v>
      </c>
      <c r="AS255" s="408"/>
      <c r="AT255" s="408"/>
      <c r="AU255" s="408">
        <v>0</v>
      </c>
      <c r="AV255" s="408">
        <v>0</v>
      </c>
      <c r="AW255" s="408">
        <v>0</v>
      </c>
      <c r="AX255" s="408"/>
      <c r="AY255" s="408"/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/>
      <c r="BG255" s="408">
        <v>0</v>
      </c>
      <c r="BH255" s="408">
        <v>0</v>
      </c>
      <c r="BI255" s="408">
        <v>3280.37</v>
      </c>
      <c r="BJ255" s="408">
        <v>15247.35</v>
      </c>
      <c r="BK255" s="408">
        <v>108578.64</v>
      </c>
      <c r="BL255" s="408">
        <v>26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0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151195.29</v>
      </c>
      <c r="CJ255" s="408">
        <v>-111474.9</v>
      </c>
      <c r="CK255" s="408"/>
      <c r="CL255" s="408"/>
      <c r="CM255" s="408"/>
      <c r="CN255" s="408"/>
      <c r="CO255" s="408">
        <v>-111474.86999999998</v>
      </c>
      <c r="CP255" s="408">
        <v>0</v>
      </c>
      <c r="CQ255" s="408">
        <v>30</v>
      </c>
      <c r="CR255" s="408">
        <v>1837.0808842910046</v>
      </c>
      <c r="CS255" s="408">
        <v>521.14688408605889</v>
      </c>
      <c r="CT255" s="408">
        <v>1751.8583072637266</v>
      </c>
      <c r="CU255" s="408">
        <v>0</v>
      </c>
      <c r="CV255" s="408">
        <v>0</v>
      </c>
      <c r="CW255" s="408"/>
      <c r="CX255" s="408"/>
      <c r="CY255" s="408"/>
      <c r="CZ255" s="408">
        <v>-435.92430705877996</v>
      </c>
      <c r="DA255" s="408">
        <v>0</v>
      </c>
      <c r="DB255" s="408">
        <v>0</v>
      </c>
      <c r="DC255" s="408"/>
      <c r="DD255" s="408"/>
      <c r="DE255" s="408">
        <v>0</v>
      </c>
      <c r="DF255" s="408">
        <v>0</v>
      </c>
      <c r="DG255" s="408">
        <v>0</v>
      </c>
      <c r="DH255" s="408">
        <v>0</v>
      </c>
      <c r="DI255" s="408">
        <v>0</v>
      </c>
      <c r="DJ255" s="408"/>
      <c r="DK255" s="408">
        <v>0</v>
      </c>
      <c r="DL255" s="408">
        <v>0</v>
      </c>
      <c r="DM255" s="408"/>
      <c r="DN255" s="408">
        <v>0</v>
      </c>
      <c r="DO255" s="408">
        <v>0</v>
      </c>
      <c r="DP255" s="408">
        <v>0</v>
      </c>
      <c r="DQ255" s="408">
        <v>0</v>
      </c>
      <c r="DR255" s="408">
        <v>0</v>
      </c>
      <c r="DS255" s="408"/>
      <c r="DT255" s="408"/>
      <c r="DU255" s="408">
        <v>213982.86741413848</v>
      </c>
      <c r="DV255" s="408"/>
      <c r="DW255" s="408">
        <v>0</v>
      </c>
      <c r="DX255" s="408">
        <v>0</v>
      </c>
      <c r="DY255" s="408">
        <v>-111474.86999999997</v>
      </c>
      <c r="DZ255" s="408"/>
      <c r="EA255" s="408">
        <v>0</v>
      </c>
      <c r="EB255" s="408"/>
      <c r="EC255" s="408">
        <v>-113292.58389266823</v>
      </c>
      <c r="ED255" s="408"/>
      <c r="EE255" s="408">
        <v>0</v>
      </c>
      <c r="EF255" s="408">
        <v>0</v>
      </c>
      <c r="EG255" s="408"/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/>
      <c r="EN255" s="408"/>
      <c r="EO255" s="408">
        <v>0</v>
      </c>
      <c r="EP255" s="408">
        <v>0</v>
      </c>
      <c r="EQ255" s="408"/>
      <c r="ER255" s="408">
        <v>0</v>
      </c>
      <c r="ES255" s="408"/>
      <c r="ET255" s="408">
        <v>0</v>
      </c>
      <c r="EU255" s="408"/>
      <c r="EV255" s="408">
        <v>239</v>
      </c>
      <c r="EW255" s="408"/>
      <c r="EX255" s="408"/>
      <c r="EY255" s="408"/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256</v>
      </c>
      <c r="B256" s="408" t="s">
        <v>1034</v>
      </c>
      <c r="C256" s="408" t="s">
        <v>2233</v>
      </c>
      <c r="D256" s="408" t="s">
        <v>1956</v>
      </c>
      <c r="E256" s="408" t="s">
        <v>996</v>
      </c>
      <c r="F256" s="408" t="s">
        <v>1320</v>
      </c>
      <c r="G256" s="408" t="s">
        <v>1320</v>
      </c>
      <c r="H256" s="408" t="s">
        <v>1320</v>
      </c>
      <c r="I256" s="408" t="s">
        <v>1320</v>
      </c>
      <c r="J256" s="408" t="s">
        <v>2234</v>
      </c>
      <c r="K256" s="827">
        <v>44501</v>
      </c>
      <c r="L256" s="408">
        <v>0</v>
      </c>
      <c r="M256" s="408">
        <v>0</v>
      </c>
      <c r="N256" s="408">
        <v>374.70499999999998</v>
      </c>
      <c r="O256" s="408">
        <v>374.70499999999998</v>
      </c>
      <c r="P256" s="408">
        <v>374.70499999999998</v>
      </c>
      <c r="Q256" s="408">
        <v>374.70499999999998</v>
      </c>
      <c r="R256" s="408"/>
      <c r="S256" s="408">
        <v>516.83000000000004</v>
      </c>
      <c r="T256" s="408">
        <v>173.82</v>
      </c>
      <c r="U256" s="408"/>
      <c r="V256" s="408">
        <v>258790.00825000001</v>
      </c>
      <c r="W256" s="408">
        <v>258790.00825000001</v>
      </c>
      <c r="X256" s="408">
        <v>195389.92225</v>
      </c>
      <c r="Y256" s="408">
        <v>0</v>
      </c>
      <c r="Z256" s="408">
        <v>22913.006819810271</v>
      </c>
      <c r="AA256" s="408">
        <v>0</v>
      </c>
      <c r="AB256" s="408">
        <v>0</v>
      </c>
      <c r="AC256" s="408">
        <v>1018.614586519926</v>
      </c>
      <c r="AD256" s="408">
        <v>12899.823470375739</v>
      </c>
      <c r="AE256" s="408">
        <v>136248.65652793794</v>
      </c>
      <c r="AF256" s="408">
        <v>60298.328798054892</v>
      </c>
      <c r="AG256" s="408">
        <v>3033.5612417343636</v>
      </c>
      <c r="AH256" s="408">
        <v>0</v>
      </c>
      <c r="AI256" s="408">
        <v>0</v>
      </c>
      <c r="AJ256" s="408">
        <v>0</v>
      </c>
      <c r="AK256" s="408">
        <v>0</v>
      </c>
      <c r="AL256" s="408">
        <v>3541.523055093217</v>
      </c>
      <c r="AM256" s="408"/>
      <c r="AN256" s="408">
        <v>581.37053568605302</v>
      </c>
      <c r="AO256" s="408">
        <v>2172.7283585609448</v>
      </c>
      <c r="AP256" s="408">
        <v>7115.3915961771127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207.89106167250938</v>
      </c>
      <c r="BF256" s="408">
        <v>1800.7154484884099</v>
      </c>
      <c r="BG256" s="408">
        <v>6961.3905969588241</v>
      </c>
      <c r="BH256" s="408">
        <v>0</v>
      </c>
      <c r="BI256" s="408">
        <v>1606.59</v>
      </c>
      <c r="BJ256" s="408">
        <v>7482.01</v>
      </c>
      <c r="BK256" s="408">
        <v>110430.35</v>
      </c>
      <c r="BL256" s="408">
        <v>511</v>
      </c>
      <c r="BM256" s="408"/>
      <c r="BN256" s="408"/>
      <c r="BO256" s="408"/>
      <c r="BP256" s="408"/>
      <c r="BQ256" s="408"/>
      <c r="BR256" s="408"/>
      <c r="BS256" s="408"/>
      <c r="BT256" s="408"/>
      <c r="BU256" s="408"/>
      <c r="BV256" s="408">
        <v>69268.325905174643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195392.5295</v>
      </c>
      <c r="CJ256" s="408">
        <v>-63397.508750000037</v>
      </c>
      <c r="CK256" s="408"/>
      <c r="CL256" s="408"/>
      <c r="CM256" s="408"/>
      <c r="CN256" s="408"/>
      <c r="CO256" s="408">
        <v>-71340.084950000019</v>
      </c>
      <c r="CP256" s="408">
        <v>7939.9989499999992</v>
      </c>
      <c r="CQ256" s="408">
        <v>30</v>
      </c>
      <c r="CR256" s="408">
        <v>8732.8293959439325</v>
      </c>
      <c r="CS256" s="408">
        <v>210.95819693142084</v>
      </c>
      <c r="CT256" s="408">
        <v>690.85957095188587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-247.34389780703532</v>
      </c>
      <c r="DA256" s="408">
        <v>0</v>
      </c>
      <c r="DB256" s="408">
        <v>0</v>
      </c>
      <c r="DC256" s="408">
        <v>7739.9569215153606</v>
      </c>
      <c r="DD256" s="408">
        <v>231.14172941483866</v>
      </c>
      <c r="DE256" s="408">
        <v>26.685115388556966</v>
      </c>
      <c r="DF256" s="408">
        <v>0</v>
      </c>
      <c r="DG256" s="408">
        <v>893.57142077276603</v>
      </c>
      <c r="DH256" s="408">
        <v>0</v>
      </c>
      <c r="DI256" s="408">
        <v>-669.64420730886923</v>
      </c>
      <c r="DJ256" s="408"/>
      <c r="DK256" s="408">
        <v>0</v>
      </c>
      <c r="DL256" s="408">
        <v>0</v>
      </c>
      <c r="DM256" s="408">
        <v>-33.716919830560983</v>
      </c>
      <c r="DN256" s="408">
        <v>0</v>
      </c>
      <c r="DO256" s="408">
        <v>-91.724223866332068</v>
      </c>
      <c r="DP256" s="408">
        <v>-17.914310218114451</v>
      </c>
      <c r="DQ256" s="408">
        <v>0</v>
      </c>
      <c r="DR256" s="408">
        <v>0</v>
      </c>
      <c r="DS256" s="408"/>
      <c r="DT256" s="408"/>
      <c r="DU256" s="408"/>
      <c r="DV256" s="408">
        <v>136248.65652793794</v>
      </c>
      <c r="DW256" s="408">
        <v>0</v>
      </c>
      <c r="DX256" s="408">
        <v>0</v>
      </c>
      <c r="DY256" s="408">
        <v>-71340.084950000019</v>
      </c>
      <c r="DZ256" s="408">
        <v>7939.9989500000011</v>
      </c>
      <c r="EA256" s="408">
        <v>0</v>
      </c>
      <c r="EB256" s="408">
        <v>0</v>
      </c>
      <c r="EC256" s="408">
        <v>-72136.440344451752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239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257</v>
      </c>
      <c r="B257" s="408" t="s">
        <v>2235</v>
      </c>
      <c r="C257" s="408" t="s">
        <v>2233</v>
      </c>
      <c r="D257" s="408" t="s">
        <v>1956</v>
      </c>
      <c r="E257" s="408" t="s">
        <v>996</v>
      </c>
      <c r="F257" s="408" t="s">
        <v>1320</v>
      </c>
      <c r="G257" s="408" t="s">
        <v>1320</v>
      </c>
      <c r="H257" s="408" t="s">
        <v>1320</v>
      </c>
      <c r="I257" s="408" t="s">
        <v>1320</v>
      </c>
      <c r="J257" s="408" t="s">
        <v>2234</v>
      </c>
      <c r="K257" s="827">
        <v>44501</v>
      </c>
      <c r="L257" s="408">
        <v>0</v>
      </c>
      <c r="M257" s="408">
        <v>0</v>
      </c>
      <c r="N257" s="408">
        <v>-8.5000000000000006E-2</v>
      </c>
      <c r="O257" s="408">
        <v>-8.5000000000000006E-2</v>
      </c>
      <c r="P257" s="408">
        <v>-8.5000000000000006E-2</v>
      </c>
      <c r="Q257" s="408">
        <v>-8.5000000000000006E-2</v>
      </c>
      <c r="R257" s="408"/>
      <c r="S257" s="408">
        <v>516.83000000000004</v>
      </c>
      <c r="T257" s="408">
        <v>173.82</v>
      </c>
      <c r="U257" s="408"/>
      <c r="V257" s="408">
        <v>-58.705250000000007</v>
      </c>
      <c r="W257" s="408">
        <v>-58.705250000000007</v>
      </c>
      <c r="X257" s="408">
        <v>-44.323250000000002</v>
      </c>
      <c r="Y257" s="408">
        <v>0</v>
      </c>
      <c r="Z257" s="408">
        <v>-5.1977037394320149</v>
      </c>
      <c r="AA257" s="408">
        <v>0</v>
      </c>
      <c r="AB257" s="408">
        <v>0</v>
      </c>
      <c r="AC257" s="408">
        <v>-0.23106774623822399</v>
      </c>
      <c r="AD257" s="408">
        <v>-2.9262619793756102</v>
      </c>
      <c r="AE257" s="408">
        <v>-30.907342589169417</v>
      </c>
      <c r="AF257" s="408">
        <v>-13.678381521022315</v>
      </c>
      <c r="AG257" s="408">
        <v>-0.68814855832567201</v>
      </c>
      <c r="AH257" s="408">
        <v>0</v>
      </c>
      <c r="AI257" s="408">
        <v>0</v>
      </c>
      <c r="AJ257" s="408">
        <v>0</v>
      </c>
      <c r="AK257" s="408">
        <v>0</v>
      </c>
      <c r="AL257" s="408">
        <v>-0.80337721589763544</v>
      </c>
      <c r="AM257" s="408"/>
      <c r="AN257" s="408">
        <v>-0.13188106786222364</v>
      </c>
      <c r="AO257" s="408">
        <v>-0.49287282122651244</v>
      </c>
      <c r="AP257" s="408">
        <v>-1.6140918473867567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-4.7159072449429018E-2</v>
      </c>
      <c r="BF257" s="408">
        <v>-0.40848350868420452</v>
      </c>
      <c r="BG257" s="408">
        <v>-1.5791574725223847</v>
      </c>
      <c r="BH257" s="408">
        <v>0</v>
      </c>
      <c r="BI257" s="408">
        <v>-0.47</v>
      </c>
      <c r="BJ257" s="408">
        <v>-2.2000000000000002</v>
      </c>
      <c r="BK257" s="408">
        <v>-25.3</v>
      </c>
      <c r="BL257" s="408">
        <v>0</v>
      </c>
      <c r="BM257" s="408"/>
      <c r="BN257" s="408"/>
      <c r="BO257" s="408"/>
      <c r="BP257" s="408"/>
      <c r="BQ257" s="408"/>
      <c r="BR257" s="408"/>
      <c r="BS257" s="408"/>
      <c r="BT257" s="408"/>
      <c r="BU257" s="408"/>
      <c r="BV257" s="408">
        <v>-15.713181574678332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-46.930499999999995</v>
      </c>
      <c r="CJ257" s="408">
        <v>11.744750000000018</v>
      </c>
      <c r="CK257" s="408"/>
      <c r="CL257" s="408"/>
      <c r="CM257" s="408"/>
      <c r="CN257" s="408"/>
      <c r="CO257" s="408">
        <v>16.183150000000005</v>
      </c>
      <c r="CP257" s="408">
        <v>-1.80115</v>
      </c>
      <c r="CQ257" s="408">
        <v>30</v>
      </c>
      <c r="CR257" s="408">
        <v>-1.9809997161906807</v>
      </c>
      <c r="CS257" s="408">
        <v>-4.7854837109648218E-2</v>
      </c>
      <c r="CT257" s="408">
        <v>-0.15671812100428406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5.6108755724098014E-2</v>
      </c>
      <c r="DA257" s="408">
        <v>0</v>
      </c>
      <c r="DB257" s="408">
        <v>0</v>
      </c>
      <c r="DC257" s="408">
        <v>-1.7557714424115112</v>
      </c>
      <c r="DD257" s="408">
        <v>-5.243337292072775E-2</v>
      </c>
      <c r="DE257" s="408">
        <v>-6.0533881534202624E-3</v>
      </c>
      <c r="DF257" s="408">
        <v>0</v>
      </c>
      <c r="DG257" s="408">
        <v>-0.20270231452925658</v>
      </c>
      <c r="DH257" s="408">
        <v>0</v>
      </c>
      <c r="DI257" s="408">
        <v>0.15190551933188523</v>
      </c>
      <c r="DJ257" s="408"/>
      <c r="DK257" s="408">
        <v>0</v>
      </c>
      <c r="DL257" s="408">
        <v>0</v>
      </c>
      <c r="DM257" s="408">
        <v>7.6485186629419166E-3</v>
      </c>
      <c r="DN257" s="408">
        <v>0</v>
      </c>
      <c r="DO257" s="408">
        <v>2.0807192401057439E-2</v>
      </c>
      <c r="DP257" s="408">
        <v>4.0637738181762417E-3</v>
      </c>
      <c r="DQ257" s="408">
        <v>0</v>
      </c>
      <c r="DR257" s="408">
        <v>0</v>
      </c>
      <c r="DS257" s="408"/>
      <c r="DT257" s="408"/>
      <c r="DU257" s="408"/>
      <c r="DV257" s="408">
        <v>-30.907342589169417</v>
      </c>
      <c r="DW257" s="408">
        <v>0</v>
      </c>
      <c r="DX257" s="408">
        <v>0</v>
      </c>
      <c r="DY257" s="408">
        <v>16.183150000000001</v>
      </c>
      <c r="DZ257" s="408">
        <v>-1.801149999999998</v>
      </c>
      <c r="EA257" s="408">
        <v>0</v>
      </c>
      <c r="EB257" s="408">
        <v>0</v>
      </c>
      <c r="EC257" s="408">
        <v>16.363799333551462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239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258</v>
      </c>
      <c r="B258" s="408" t="s">
        <v>2236</v>
      </c>
      <c r="C258" s="408" t="s">
        <v>2233</v>
      </c>
      <c r="D258" s="408" t="s">
        <v>1956</v>
      </c>
      <c r="E258" s="408" t="s">
        <v>996</v>
      </c>
      <c r="F258" s="408" t="s">
        <v>1320</v>
      </c>
      <c r="G258" s="408" t="s">
        <v>1320</v>
      </c>
      <c r="H258" s="408" t="s">
        <v>1320</v>
      </c>
      <c r="I258" s="408" t="s">
        <v>1320</v>
      </c>
      <c r="J258" s="408" t="s">
        <v>2234</v>
      </c>
      <c r="K258" s="827">
        <v>44501</v>
      </c>
      <c r="L258" s="408">
        <v>0</v>
      </c>
      <c r="M258" s="408">
        <v>0</v>
      </c>
      <c r="N258" s="408">
        <v>14.167999999999999</v>
      </c>
      <c r="O258" s="408">
        <v>14.167999999999999</v>
      </c>
      <c r="P258" s="408">
        <v>14.167999999999999</v>
      </c>
      <c r="Q258" s="408">
        <v>14.167999999999999</v>
      </c>
      <c r="R258" s="408"/>
      <c r="S258" s="408">
        <v>516.83000000000004</v>
      </c>
      <c r="T258" s="408">
        <v>173.82</v>
      </c>
      <c r="U258" s="408"/>
      <c r="V258" s="408">
        <v>9785.1291999999994</v>
      </c>
      <c r="W258" s="408">
        <v>9785.1291999999994</v>
      </c>
      <c r="X258" s="408">
        <v>7387.9035999999996</v>
      </c>
      <c r="Y258" s="408">
        <v>0</v>
      </c>
      <c r="Z258" s="408">
        <v>866.36548917967968</v>
      </c>
      <c r="AA258" s="408">
        <v>0</v>
      </c>
      <c r="AB258" s="408">
        <v>0</v>
      </c>
      <c r="AC258" s="408">
        <v>38.514915631801848</v>
      </c>
      <c r="AD258" s="408">
        <v>487.75623204463102</v>
      </c>
      <c r="AE258" s="408">
        <v>5151.7085859217914</v>
      </c>
      <c r="AF258" s="408">
        <v>2279.9448163511074</v>
      </c>
      <c r="AG258" s="408">
        <v>114.70222087480141</v>
      </c>
      <c r="AH258" s="408">
        <v>0</v>
      </c>
      <c r="AI258" s="408">
        <v>0</v>
      </c>
      <c r="AJ258" s="408">
        <v>0</v>
      </c>
      <c r="AK258" s="408">
        <v>0</v>
      </c>
      <c r="AL258" s="408">
        <v>133.90880464514939</v>
      </c>
      <c r="AM258" s="408"/>
      <c r="AN258" s="408">
        <v>21.982246699670405</v>
      </c>
      <c r="AO258" s="408">
        <v>82.15320154279091</v>
      </c>
      <c r="AP258" s="408">
        <v>269.04062698559488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7.8605851583942377</v>
      </c>
      <c r="BF258" s="408">
        <v>68.086992365150692</v>
      </c>
      <c r="BG258" s="408">
        <v>263.2176831846723</v>
      </c>
      <c r="BH258" s="408">
        <v>0</v>
      </c>
      <c r="BI258" s="408">
        <v>61.27</v>
      </c>
      <c r="BJ258" s="408">
        <v>286.37</v>
      </c>
      <c r="BK258" s="408">
        <v>12326.21</v>
      </c>
      <c r="BL258" s="408">
        <v>43</v>
      </c>
      <c r="BM258" s="408"/>
      <c r="BN258" s="408"/>
      <c r="BO258" s="408"/>
      <c r="BP258" s="408"/>
      <c r="BQ258" s="408"/>
      <c r="BR258" s="408"/>
      <c r="BS258" s="408"/>
      <c r="BT258" s="408"/>
      <c r="BU258" s="408"/>
      <c r="BV258" s="408">
        <v>2619.1100770593248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7388.9465</v>
      </c>
      <c r="CJ258" s="408">
        <v>-2396.2127</v>
      </c>
      <c r="CK258" s="408"/>
      <c r="CL258" s="408"/>
      <c r="CM258" s="408"/>
      <c r="CN258" s="408"/>
      <c r="CO258" s="408">
        <v>-2697.4455200000007</v>
      </c>
      <c r="CP258" s="408">
        <v>300.21991999999995</v>
      </c>
      <c r="CQ258" s="408">
        <v>30</v>
      </c>
      <c r="CR258" s="408">
        <v>330.19769387046563</v>
      </c>
      <c r="CS258" s="408">
        <v>7.9765568490528977</v>
      </c>
      <c r="CT258" s="408">
        <v>26.122145157514069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-9.3523394246943212</v>
      </c>
      <c r="DA258" s="408">
        <v>0</v>
      </c>
      <c r="DB258" s="408">
        <v>0</v>
      </c>
      <c r="DC258" s="408">
        <v>292.656115248074</v>
      </c>
      <c r="DD258" s="408">
        <v>8.7397179710690693</v>
      </c>
      <c r="DE258" s="408">
        <v>1.0089929806783333</v>
      </c>
      <c r="DF258" s="408">
        <v>0</v>
      </c>
      <c r="DG258" s="408">
        <v>33.786898732358907</v>
      </c>
      <c r="DH258" s="408">
        <v>0</v>
      </c>
      <c r="DI258" s="408">
        <v>-25.319969386989897</v>
      </c>
      <c r="DJ258" s="408"/>
      <c r="DK258" s="408">
        <v>0</v>
      </c>
      <c r="DL258" s="408">
        <v>0</v>
      </c>
      <c r="DM258" s="408">
        <v>-1.2748730872536669</v>
      </c>
      <c r="DN258" s="408">
        <v>0</v>
      </c>
      <c r="DO258" s="408">
        <v>-3.468191787508033</v>
      </c>
      <c r="DP258" s="408">
        <v>-0.67735938183436417</v>
      </c>
      <c r="DQ258" s="408">
        <v>0</v>
      </c>
      <c r="DR258" s="408">
        <v>0</v>
      </c>
      <c r="DS258" s="408"/>
      <c r="DT258" s="408"/>
      <c r="DU258" s="408"/>
      <c r="DV258" s="408">
        <v>5151.7085859217914</v>
      </c>
      <c r="DW258" s="408">
        <v>0</v>
      </c>
      <c r="DX258" s="408">
        <v>0</v>
      </c>
      <c r="DY258" s="408">
        <v>-2697.4455200000002</v>
      </c>
      <c r="DZ258" s="408">
        <v>300.21992</v>
      </c>
      <c r="EA258" s="408">
        <v>0</v>
      </c>
      <c r="EB258" s="408">
        <v>0</v>
      </c>
      <c r="EC258" s="408">
        <v>-2727.5565759736128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239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259</v>
      </c>
      <c r="B259" s="408" t="s">
        <v>1034</v>
      </c>
      <c r="C259" s="408" t="s">
        <v>2241</v>
      </c>
      <c r="D259" s="408" t="s">
        <v>596</v>
      </c>
      <c r="E259" s="408" t="s">
        <v>996</v>
      </c>
      <c r="F259" s="408" t="s">
        <v>1320</v>
      </c>
      <c r="G259" s="408" t="s">
        <v>1320</v>
      </c>
      <c r="H259" s="408" t="s">
        <v>1320</v>
      </c>
      <c r="I259" s="408" t="s">
        <v>971</v>
      </c>
      <c r="J259" s="408" t="s">
        <v>2234</v>
      </c>
      <c r="K259" s="827">
        <v>44501</v>
      </c>
      <c r="L259" s="408">
        <v>0</v>
      </c>
      <c r="M259" s="408">
        <v>0</v>
      </c>
      <c r="N259" s="408">
        <v>17.451000000000001</v>
      </c>
      <c r="O259" s="408">
        <v>17.451000000000001</v>
      </c>
      <c r="P259" s="408">
        <v>17.451000000000001</v>
      </c>
      <c r="Q259" s="408">
        <v>17.451000000000001</v>
      </c>
      <c r="R259" s="408"/>
      <c r="S259" s="408">
        <v>1684.16</v>
      </c>
      <c r="T259" s="408">
        <v>173.82</v>
      </c>
      <c r="U259" s="408"/>
      <c r="V259" s="408">
        <v>32423.608980000001</v>
      </c>
      <c r="W259" s="408">
        <v>32423.608980000001</v>
      </c>
      <c r="X259" s="408">
        <v>22258.052460000003</v>
      </c>
      <c r="Y259" s="408">
        <v>0</v>
      </c>
      <c r="Z259" s="408">
        <v>928.39366261694772</v>
      </c>
      <c r="AA259" s="408">
        <v>0</v>
      </c>
      <c r="AB259" s="408">
        <v>0</v>
      </c>
      <c r="AC259" s="408">
        <v>314.10752695224249</v>
      </c>
      <c r="AD259" s="408">
        <v>4791.7990501207205</v>
      </c>
      <c r="AE259" s="408">
        <v>20213.361640854589</v>
      </c>
      <c r="AF259" s="408">
        <v>2808.2521873336518</v>
      </c>
      <c r="AG259" s="408">
        <v>141.28094695695648</v>
      </c>
      <c r="AH259" s="408">
        <v>0</v>
      </c>
      <c r="AI259" s="408">
        <v>0</v>
      </c>
      <c r="AJ259" s="408">
        <v>0</v>
      </c>
      <c r="AK259" s="408">
        <v>0</v>
      </c>
      <c r="AL259" s="408">
        <v>164.93806817211336</v>
      </c>
      <c r="AM259" s="408"/>
      <c r="AN259" s="408">
        <v>21.686892846760042</v>
      </c>
      <c r="AO259" s="408">
        <v>674.58836247097736</v>
      </c>
      <c r="AP259" s="408">
        <v>2169.1361077740803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3.2562453445759338</v>
      </c>
      <c r="BF259" s="408">
        <v>83.864067177035921</v>
      </c>
      <c r="BG259" s="408">
        <v>109.03785636936482</v>
      </c>
      <c r="BH259" s="408">
        <v>0</v>
      </c>
      <c r="BI259" s="408">
        <v>0</v>
      </c>
      <c r="BJ259" s="408">
        <v>0</v>
      </c>
      <c r="BK259" s="408">
        <v>0</v>
      </c>
      <c r="BL259" s="408">
        <v>0</v>
      </c>
      <c r="BM259" s="408"/>
      <c r="BN259" s="408"/>
      <c r="BO259" s="408"/>
      <c r="BP259" s="408"/>
      <c r="BQ259" s="408"/>
      <c r="BR259" s="408"/>
      <c r="BS259" s="408"/>
      <c r="BT259" s="408"/>
      <c r="BU259" s="408"/>
      <c r="BV259" s="408">
        <v>3004.4103562246282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22256.777000000002</v>
      </c>
      <c r="CJ259" s="408">
        <v>-10166.861979999994</v>
      </c>
      <c r="CK259" s="408"/>
      <c r="CL259" s="408"/>
      <c r="CM259" s="408"/>
      <c r="CN259" s="408"/>
      <c r="CO259" s="408">
        <v>-10535.343210000001</v>
      </c>
      <c r="CP259" s="408">
        <v>369.78668999999996</v>
      </c>
      <c r="CQ259" s="408">
        <v>30</v>
      </c>
      <c r="CR259" s="408">
        <v>536.23484551739239</v>
      </c>
      <c r="CS259" s="408">
        <v>65.498268136956199</v>
      </c>
      <c r="CT259" s="408">
        <v>210.60941207483029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-91.878951466809667</v>
      </c>
      <c r="DA259" s="408">
        <v>0</v>
      </c>
      <c r="DB259" s="408">
        <v>0</v>
      </c>
      <c r="DC259" s="408">
        <v>360.47020519439138</v>
      </c>
      <c r="DD259" s="408">
        <v>10.764879892230823</v>
      </c>
      <c r="DE259" s="408">
        <v>0.41797507817024115</v>
      </c>
      <c r="DF259" s="408">
        <v>0</v>
      </c>
      <c r="DG259" s="408">
        <v>13.996213957101489</v>
      </c>
      <c r="DH259" s="408">
        <v>0</v>
      </c>
      <c r="DI259" s="408">
        <v>-27.132774112222137</v>
      </c>
      <c r="DJ259" s="408"/>
      <c r="DK259" s="408">
        <v>0</v>
      </c>
      <c r="DL259" s="408">
        <v>0</v>
      </c>
      <c r="DM259" s="408">
        <v>-1.5702858727882187</v>
      </c>
      <c r="DN259" s="408">
        <v>0</v>
      </c>
      <c r="DO259" s="408">
        <v>-4.2718389951865277</v>
      </c>
      <c r="DP259" s="408">
        <v>-0.66825836927813498</v>
      </c>
      <c r="DQ259" s="408">
        <v>0</v>
      </c>
      <c r="DR259" s="408">
        <v>0</v>
      </c>
      <c r="DS259" s="408"/>
      <c r="DT259" s="408"/>
      <c r="DU259" s="408"/>
      <c r="DV259" s="408">
        <v>20213.361640854589</v>
      </c>
      <c r="DW259" s="408">
        <v>0</v>
      </c>
      <c r="DX259" s="408">
        <v>0</v>
      </c>
      <c r="DY259" s="408">
        <v>-10535.343209999999</v>
      </c>
      <c r="DZ259" s="408">
        <v>369.78668999999991</v>
      </c>
      <c r="EA259" s="408">
        <v>0</v>
      </c>
      <c r="EB259" s="408">
        <v>0</v>
      </c>
      <c r="EC259" s="408">
        <v>-10701.903367886391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239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260</v>
      </c>
      <c r="B260" s="408" t="s">
        <v>2236</v>
      </c>
      <c r="C260" s="408" t="s">
        <v>2241</v>
      </c>
      <c r="D260" s="408" t="s">
        <v>596</v>
      </c>
      <c r="E260" s="408" t="s">
        <v>996</v>
      </c>
      <c r="F260" s="408" t="s">
        <v>1320</v>
      </c>
      <c r="G260" s="408" t="s">
        <v>1320</v>
      </c>
      <c r="H260" s="408" t="s">
        <v>1320</v>
      </c>
      <c r="I260" s="408" t="s">
        <v>971</v>
      </c>
      <c r="J260" s="408" t="s">
        <v>2234</v>
      </c>
      <c r="K260" s="827">
        <v>44501</v>
      </c>
      <c r="L260" s="408">
        <v>0</v>
      </c>
      <c r="M260" s="408">
        <v>0</v>
      </c>
      <c r="N260" s="408">
        <v>3.8969999999999998</v>
      </c>
      <c r="O260" s="408">
        <v>3.8969999999999998</v>
      </c>
      <c r="P260" s="408">
        <v>3.8969999999999998</v>
      </c>
      <c r="Q260" s="408">
        <v>3.8969999999999998</v>
      </c>
      <c r="R260" s="408"/>
      <c r="S260" s="408">
        <v>1684.16</v>
      </c>
      <c r="T260" s="408">
        <v>173.82</v>
      </c>
      <c r="U260" s="408"/>
      <c r="V260" s="408">
        <v>7240.5480600000001</v>
      </c>
      <c r="W260" s="408">
        <v>7240.5480600000001</v>
      </c>
      <c r="X260" s="408">
        <v>4970.4676199999994</v>
      </c>
      <c r="Y260" s="408">
        <v>0</v>
      </c>
      <c r="Z260" s="408">
        <v>207.32050330744627</v>
      </c>
      <c r="AA260" s="408">
        <v>0</v>
      </c>
      <c r="AB260" s="408">
        <v>0</v>
      </c>
      <c r="AC260" s="408">
        <v>70.143661253388856</v>
      </c>
      <c r="AD260" s="408">
        <v>1070.0613660145807</v>
      </c>
      <c r="AE260" s="408">
        <v>4513.8656990665477</v>
      </c>
      <c r="AF260" s="408">
        <v>627.11356220498772</v>
      </c>
      <c r="AG260" s="408">
        <v>31.549587432884042</v>
      </c>
      <c r="AH260" s="408">
        <v>0</v>
      </c>
      <c r="AI260" s="408">
        <v>0</v>
      </c>
      <c r="AJ260" s="408">
        <v>0</v>
      </c>
      <c r="AK260" s="408">
        <v>0</v>
      </c>
      <c r="AL260" s="408">
        <v>36.832482474742172</v>
      </c>
      <c r="AM260" s="408"/>
      <c r="AN260" s="408">
        <v>4.8429214041501272</v>
      </c>
      <c r="AO260" s="408">
        <v>150.64299172250293</v>
      </c>
      <c r="AP260" s="408">
        <v>484.39192092118446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0.72715535544166032</v>
      </c>
      <c r="BF260" s="408">
        <v>18.727767451086411</v>
      </c>
      <c r="BG260" s="408">
        <v>24.349351112911275</v>
      </c>
      <c r="BH260" s="408">
        <v>0</v>
      </c>
      <c r="BI260" s="408">
        <v>0</v>
      </c>
      <c r="BJ260" s="408">
        <v>0</v>
      </c>
      <c r="BK260" s="408">
        <v>0</v>
      </c>
      <c r="BL260" s="408">
        <v>0</v>
      </c>
      <c r="BM260" s="408"/>
      <c r="BN260" s="408"/>
      <c r="BO260" s="408"/>
      <c r="BP260" s="408"/>
      <c r="BQ260" s="408"/>
      <c r="BR260" s="408"/>
      <c r="BS260" s="408"/>
      <c r="BT260" s="408"/>
      <c r="BU260" s="408"/>
      <c r="BV260" s="408">
        <v>670.91783612442703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4974.2939999999999</v>
      </c>
      <c r="CJ260" s="408">
        <v>-2266.2840600000009</v>
      </c>
      <c r="CK260" s="408"/>
      <c r="CL260" s="408"/>
      <c r="CM260" s="408"/>
      <c r="CN260" s="408"/>
      <c r="CO260" s="408">
        <v>-2352.65787</v>
      </c>
      <c r="CP260" s="408">
        <v>82.577429999999993</v>
      </c>
      <c r="CQ260" s="408">
        <v>30</v>
      </c>
      <c r="CR260" s="408">
        <v>119.74713156731923</v>
      </c>
      <c r="CS260" s="408">
        <v>14.626482776329027</v>
      </c>
      <c r="CT260" s="408">
        <v>47.031395269933796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-20.517579156848342</v>
      </c>
      <c r="DA260" s="408">
        <v>0</v>
      </c>
      <c r="DB260" s="408">
        <v>0</v>
      </c>
      <c r="DC260" s="408">
        <v>80.496956600913563</v>
      </c>
      <c r="DD260" s="408">
        <v>2.4039159326126587</v>
      </c>
      <c r="DE260" s="408">
        <v>9.3338426429971255E-2</v>
      </c>
      <c r="DF260" s="408">
        <v>0</v>
      </c>
      <c r="DG260" s="408">
        <v>3.1255083256446312</v>
      </c>
      <c r="DH260" s="408">
        <v>0</v>
      </c>
      <c r="DI260" s="408">
        <v>-6.0590465139722482</v>
      </c>
      <c r="DJ260" s="408"/>
      <c r="DK260" s="408">
        <v>0</v>
      </c>
      <c r="DL260" s="408">
        <v>0</v>
      </c>
      <c r="DM260" s="408">
        <v>-0.35066208505276464</v>
      </c>
      <c r="DN260" s="408">
        <v>0</v>
      </c>
      <c r="DO260" s="408">
        <v>-0.9539485739637712</v>
      </c>
      <c r="DP260" s="408">
        <v>-0.149229434707288</v>
      </c>
      <c r="DQ260" s="408">
        <v>0</v>
      </c>
      <c r="DR260" s="408">
        <v>0</v>
      </c>
      <c r="DS260" s="408"/>
      <c r="DT260" s="408"/>
      <c r="DU260" s="408"/>
      <c r="DV260" s="408">
        <v>4513.8656990665477</v>
      </c>
      <c r="DW260" s="408">
        <v>0</v>
      </c>
      <c r="DX260" s="408">
        <v>0</v>
      </c>
      <c r="DY260" s="408">
        <v>-2352.65787</v>
      </c>
      <c r="DZ260" s="408">
        <v>82.577429999999936</v>
      </c>
      <c r="EA260" s="408">
        <v>0</v>
      </c>
      <c r="EB260" s="408">
        <v>0</v>
      </c>
      <c r="EC260" s="408">
        <v>-2389.8525829266664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239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261</v>
      </c>
      <c r="B261" s="408" t="s">
        <v>1034</v>
      </c>
      <c r="C261" s="408" t="s">
        <v>2241</v>
      </c>
      <c r="D261" s="408" t="s">
        <v>596</v>
      </c>
      <c r="E261" s="408" t="s">
        <v>996</v>
      </c>
      <c r="F261" s="408" t="s">
        <v>1320</v>
      </c>
      <c r="G261" s="408" t="s">
        <v>1320</v>
      </c>
      <c r="H261" s="408" t="s">
        <v>1320</v>
      </c>
      <c r="I261" s="408" t="s">
        <v>2242</v>
      </c>
      <c r="J261" s="408" t="s">
        <v>2234</v>
      </c>
      <c r="K261" s="827">
        <v>44501</v>
      </c>
      <c r="L261" s="408">
        <v>0</v>
      </c>
      <c r="M261" s="408">
        <v>0</v>
      </c>
      <c r="N261" s="408">
        <v>308.57600000000002</v>
      </c>
      <c r="O261" s="408">
        <v>308.57600000000002</v>
      </c>
      <c r="P261" s="408">
        <v>308.57600000000002</v>
      </c>
      <c r="Q261" s="408">
        <v>308.57600000000002</v>
      </c>
      <c r="R261" s="408"/>
      <c r="S261" s="408">
        <v>70.33</v>
      </c>
      <c r="T261" s="408">
        <v>173.82</v>
      </c>
      <c r="U261" s="408"/>
      <c r="V261" s="408">
        <v>75338.830400000006</v>
      </c>
      <c r="W261" s="408">
        <v>75338.830400000006</v>
      </c>
      <c r="X261" s="408">
        <v>81565.894079999998</v>
      </c>
      <c r="Y261" s="408">
        <v>0</v>
      </c>
      <c r="Z261" s="408">
        <v>16416.251380189518</v>
      </c>
      <c r="AA261" s="408">
        <v>0</v>
      </c>
      <c r="AB261" s="408">
        <v>0</v>
      </c>
      <c r="AC261" s="408">
        <v>0</v>
      </c>
      <c r="AD261" s="408">
        <v>0</v>
      </c>
      <c r="AE261" s="408">
        <v>0</v>
      </c>
      <c r="AF261" s="408">
        <v>49656.70889683508</v>
      </c>
      <c r="AG261" s="408">
        <v>2498.1897592223831</v>
      </c>
      <c r="AH261" s="408">
        <v>0</v>
      </c>
      <c r="AI261" s="408">
        <v>0</v>
      </c>
      <c r="AJ261" s="408">
        <v>0</v>
      </c>
      <c r="AK261" s="408">
        <v>0</v>
      </c>
      <c r="AL261" s="408">
        <v>2916.5050326215146</v>
      </c>
      <c r="AM261" s="408"/>
      <c r="AN261" s="408">
        <v>383.47685789248908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57.578314334299662</v>
      </c>
      <c r="BF261" s="408">
        <v>1482.9200844204365</v>
      </c>
      <c r="BG261" s="408">
        <v>1928.0537256909702</v>
      </c>
      <c r="BH261" s="408">
        <v>0</v>
      </c>
      <c r="BI261" s="408">
        <v>0</v>
      </c>
      <c r="BJ261" s="408">
        <v>0</v>
      </c>
      <c r="BK261" s="408">
        <v>0</v>
      </c>
      <c r="BL261" s="408">
        <v>0</v>
      </c>
      <c r="BM261" s="408"/>
      <c r="BN261" s="408"/>
      <c r="BO261" s="408"/>
      <c r="BP261" s="408"/>
      <c r="BQ261" s="408"/>
      <c r="BR261" s="408"/>
      <c r="BS261" s="408"/>
      <c r="BT261" s="408"/>
      <c r="BU261" s="408"/>
      <c r="BV261" s="408">
        <v>53125.261021280792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81566.951399999991</v>
      </c>
      <c r="CJ261" s="408">
        <v>6228.0910000000003</v>
      </c>
      <c r="CK261" s="408"/>
      <c r="CL261" s="408"/>
      <c r="CM261" s="408"/>
      <c r="CN261" s="408"/>
      <c r="CO261" s="408">
        <v>-311.66176000000161</v>
      </c>
      <c r="CP261" s="408">
        <v>6538.7254400000002</v>
      </c>
      <c r="CQ261" s="408">
        <v>30</v>
      </c>
      <c r="CR261" s="408">
        <v>6224.3217860962759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0</v>
      </c>
      <c r="DA261" s="408">
        <v>0</v>
      </c>
      <c r="DB261" s="408">
        <v>0</v>
      </c>
      <c r="DC261" s="408">
        <v>6373.9873954538198</v>
      </c>
      <c r="DD261" s="408">
        <v>190.34918214572326</v>
      </c>
      <c r="DE261" s="408">
        <v>7.3908130033499759</v>
      </c>
      <c r="DF261" s="408">
        <v>0</v>
      </c>
      <c r="DG261" s="408">
        <v>247.48700464308922</v>
      </c>
      <c r="DH261" s="408">
        <v>0</v>
      </c>
      <c r="DI261" s="408">
        <v>-479.77324534141735</v>
      </c>
      <c r="DJ261" s="408"/>
      <c r="DK261" s="408">
        <v>0</v>
      </c>
      <c r="DL261" s="408">
        <v>0</v>
      </c>
      <c r="DM261" s="408">
        <v>-27.766462293364384</v>
      </c>
      <c r="DN261" s="408">
        <v>0</v>
      </c>
      <c r="DO261" s="408">
        <v>-75.536472968808084</v>
      </c>
      <c r="DP261" s="408">
        <v>-11.816428546121699</v>
      </c>
      <c r="DQ261" s="408">
        <v>0</v>
      </c>
      <c r="DR261" s="408">
        <v>0</v>
      </c>
      <c r="DS261" s="408"/>
      <c r="DT261" s="408"/>
      <c r="DU261" s="408"/>
      <c r="DV261" s="408">
        <v>0</v>
      </c>
      <c r="DW261" s="408">
        <v>0</v>
      </c>
      <c r="DX261" s="408">
        <v>0</v>
      </c>
      <c r="DY261" s="408">
        <v>-311.66175999999905</v>
      </c>
      <c r="DZ261" s="408">
        <v>6538.725440000002</v>
      </c>
      <c r="EA261" s="408">
        <v>0</v>
      </c>
      <c r="EB261" s="408">
        <v>0</v>
      </c>
      <c r="EC261" s="408">
        <v>0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239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262</v>
      </c>
      <c r="B262" s="408" t="s">
        <v>2236</v>
      </c>
      <c r="C262" s="408" t="s">
        <v>2241</v>
      </c>
      <c r="D262" s="408" t="s">
        <v>596</v>
      </c>
      <c r="E262" s="408" t="s">
        <v>996</v>
      </c>
      <c r="F262" s="408" t="s">
        <v>1320</v>
      </c>
      <c r="G262" s="408" t="s">
        <v>1320</v>
      </c>
      <c r="H262" s="408" t="s">
        <v>1320</v>
      </c>
      <c r="I262" s="408" t="s">
        <v>2242</v>
      </c>
      <c r="J262" s="408" t="s">
        <v>2234</v>
      </c>
      <c r="K262" s="827">
        <v>44501</v>
      </c>
      <c r="L262" s="408">
        <v>0</v>
      </c>
      <c r="M262" s="408">
        <v>0</v>
      </c>
      <c r="N262" s="408">
        <v>29.672000000000001</v>
      </c>
      <c r="O262" s="408">
        <v>29.672000000000001</v>
      </c>
      <c r="P262" s="408">
        <v>29.672000000000001</v>
      </c>
      <c r="Q262" s="408">
        <v>29.672000000000001</v>
      </c>
      <c r="R262" s="408"/>
      <c r="S262" s="408">
        <v>70.33</v>
      </c>
      <c r="T262" s="408">
        <v>173.82</v>
      </c>
      <c r="U262" s="408"/>
      <c r="V262" s="408">
        <v>7244.4188000000004</v>
      </c>
      <c r="W262" s="408">
        <v>7244.4188000000004</v>
      </c>
      <c r="X262" s="408">
        <v>7843.1997599999995</v>
      </c>
      <c r="Y262" s="408">
        <v>0</v>
      </c>
      <c r="Z262" s="408">
        <v>1578.5511865893113</v>
      </c>
      <c r="AA262" s="408">
        <v>0</v>
      </c>
      <c r="AB262" s="408">
        <v>0</v>
      </c>
      <c r="AC262" s="408">
        <v>0</v>
      </c>
      <c r="AD262" s="408">
        <v>0</v>
      </c>
      <c r="AE262" s="408">
        <v>0</v>
      </c>
      <c r="AF262" s="408">
        <v>4774.8816057855774</v>
      </c>
      <c r="AG262" s="408">
        <v>240.220517913404</v>
      </c>
      <c r="AH262" s="408">
        <v>0</v>
      </c>
      <c r="AI262" s="408">
        <v>0</v>
      </c>
      <c r="AJ262" s="408">
        <v>0</v>
      </c>
      <c r="AK262" s="408">
        <v>0</v>
      </c>
      <c r="AL262" s="408">
        <v>280.44480882487807</v>
      </c>
      <c r="AM262" s="408"/>
      <c r="AN262" s="408">
        <v>36.874304312020165</v>
      </c>
      <c r="AO262" s="408">
        <v>0</v>
      </c>
      <c r="AP262" s="408">
        <v>0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5.5366060319899786</v>
      </c>
      <c r="BF262" s="408">
        <v>142.59438434914961</v>
      </c>
      <c r="BG262" s="408">
        <v>185.39747144529213</v>
      </c>
      <c r="BH262" s="408">
        <v>0</v>
      </c>
      <c r="BI262" s="408">
        <v>0</v>
      </c>
      <c r="BJ262" s="408">
        <v>0</v>
      </c>
      <c r="BK262" s="408">
        <v>0</v>
      </c>
      <c r="BL262" s="408">
        <v>0</v>
      </c>
      <c r="BM262" s="408"/>
      <c r="BN262" s="408"/>
      <c r="BO262" s="408"/>
      <c r="BP262" s="408"/>
      <c r="BQ262" s="408"/>
      <c r="BR262" s="408"/>
      <c r="BS262" s="408"/>
      <c r="BT262" s="408"/>
      <c r="BU262" s="408"/>
      <c r="BV262" s="408">
        <v>5108.4100676120097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7842.6711000000005</v>
      </c>
      <c r="CJ262" s="408">
        <v>598.22229999999945</v>
      </c>
      <c r="CK262" s="408"/>
      <c r="CL262" s="408"/>
      <c r="CM262" s="408"/>
      <c r="CN262" s="408"/>
      <c r="CO262" s="408">
        <v>-29.968720000000154</v>
      </c>
      <c r="CP262" s="408">
        <v>628.7496799999999</v>
      </c>
      <c r="CQ262" s="408">
        <v>30</v>
      </c>
      <c r="CR262" s="408">
        <v>598.5173054192428</v>
      </c>
      <c r="CS262" s="408">
        <v>0</v>
      </c>
      <c r="CT262" s="408">
        <v>0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0</v>
      </c>
      <c r="DA262" s="408">
        <v>0</v>
      </c>
      <c r="DB262" s="408">
        <v>0</v>
      </c>
      <c r="DC262" s="408">
        <v>612.90882634393438</v>
      </c>
      <c r="DD262" s="408">
        <v>18.30356519180981</v>
      </c>
      <c r="DE262" s="408">
        <v>0.71068457506546245</v>
      </c>
      <c r="DF262" s="408">
        <v>0</v>
      </c>
      <c r="DG262" s="408">
        <v>23.797814482557754</v>
      </c>
      <c r="DH262" s="408">
        <v>0</v>
      </c>
      <c r="DI262" s="408">
        <v>-46.133956418420439</v>
      </c>
      <c r="DJ262" s="408"/>
      <c r="DK262" s="408">
        <v>0</v>
      </c>
      <c r="DL262" s="408">
        <v>0</v>
      </c>
      <c r="DM262" s="408">
        <v>-2.669962891374297</v>
      </c>
      <c r="DN262" s="408">
        <v>0</v>
      </c>
      <c r="DO262" s="408">
        <v>-7.2634236814608926</v>
      </c>
      <c r="DP262" s="408">
        <v>-1.1362421828674982</v>
      </c>
      <c r="DQ262" s="408">
        <v>0</v>
      </c>
      <c r="DR262" s="408">
        <v>0</v>
      </c>
      <c r="DS262" s="408"/>
      <c r="DT262" s="408"/>
      <c r="DU262" s="408"/>
      <c r="DV262" s="408">
        <v>0</v>
      </c>
      <c r="DW262" s="408">
        <v>0</v>
      </c>
      <c r="DX262" s="408">
        <v>0</v>
      </c>
      <c r="DY262" s="408">
        <v>-29.968720000000303</v>
      </c>
      <c r="DZ262" s="408">
        <v>628.7496799999999</v>
      </c>
      <c r="EA262" s="408">
        <v>0</v>
      </c>
      <c r="EB262" s="408">
        <v>0</v>
      </c>
      <c r="EC262" s="408">
        <v>0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0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239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263</v>
      </c>
      <c r="B263" s="408" t="s">
        <v>1034</v>
      </c>
      <c r="C263" s="408" t="s">
        <v>2241</v>
      </c>
      <c r="D263" s="408" t="s">
        <v>596</v>
      </c>
      <c r="E263" s="408" t="s">
        <v>996</v>
      </c>
      <c r="F263" s="408" t="s">
        <v>1320</v>
      </c>
      <c r="G263" s="408" t="s">
        <v>1320</v>
      </c>
      <c r="H263" s="408" t="s">
        <v>1320</v>
      </c>
      <c r="I263" s="408" t="s">
        <v>1320</v>
      </c>
      <c r="J263" s="408" t="s">
        <v>2234</v>
      </c>
      <c r="K263" s="827">
        <v>44501</v>
      </c>
      <c r="L263" s="408">
        <v>3225</v>
      </c>
      <c r="M263" s="408">
        <v>3225</v>
      </c>
      <c r="N263" s="408">
        <v>0</v>
      </c>
      <c r="O263" s="408">
        <v>0</v>
      </c>
      <c r="P263" s="408">
        <v>0</v>
      </c>
      <c r="Q263" s="408">
        <v>0</v>
      </c>
      <c r="R263" s="408">
        <v>59.12</v>
      </c>
      <c r="S263" s="408"/>
      <c r="T263" s="408"/>
      <c r="U263" s="408">
        <v>190662</v>
      </c>
      <c r="V263" s="408"/>
      <c r="W263" s="408">
        <v>190662</v>
      </c>
      <c r="X263" s="408">
        <v>109746.75</v>
      </c>
      <c r="Y263" s="408">
        <v>0</v>
      </c>
      <c r="Z263" s="408">
        <v>0</v>
      </c>
      <c r="AA263" s="408">
        <v>0</v>
      </c>
      <c r="AB263" s="408">
        <v>0</v>
      </c>
      <c r="AC263" s="408">
        <v>1844.8946717511246</v>
      </c>
      <c r="AD263" s="408">
        <v>16502.398048557265</v>
      </c>
      <c r="AE263" s="408">
        <v>155321.7977516535</v>
      </c>
      <c r="AF263" s="408"/>
      <c r="AG263" s="408"/>
      <c r="AH263" s="408"/>
      <c r="AI263" s="408">
        <v>0</v>
      </c>
      <c r="AJ263" s="408">
        <v>0</v>
      </c>
      <c r="AK263" s="408">
        <v>0</v>
      </c>
      <c r="AL263" s="408">
        <v>0</v>
      </c>
      <c r="AM263" s="408"/>
      <c r="AN263" s="408">
        <v>0</v>
      </c>
      <c r="AO263" s="408">
        <v>3896.0325731004436</v>
      </c>
      <c r="AP263" s="408">
        <v>13096.685861464306</v>
      </c>
      <c r="AQ263" s="408">
        <v>0</v>
      </c>
      <c r="AR263" s="408">
        <v>0</v>
      </c>
      <c r="AS263" s="408"/>
      <c r="AT263" s="408"/>
      <c r="AU263" s="408">
        <v>0</v>
      </c>
      <c r="AV263" s="408">
        <v>0</v>
      </c>
      <c r="AW263" s="408">
        <v>0</v>
      </c>
      <c r="AX263" s="408"/>
      <c r="AY263" s="408"/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/>
      <c r="BG263" s="408">
        <v>0</v>
      </c>
      <c r="BH263" s="408">
        <v>0</v>
      </c>
      <c r="BI263" s="408">
        <v>1698.11</v>
      </c>
      <c r="BJ263" s="408">
        <v>7892.82</v>
      </c>
      <c r="BK263" s="408">
        <v>105058.32</v>
      </c>
      <c r="BL263" s="408">
        <v>16</v>
      </c>
      <c r="BM263" s="408"/>
      <c r="BN263" s="408"/>
      <c r="BO263" s="408"/>
      <c r="BP263" s="408"/>
      <c r="BQ263" s="408"/>
      <c r="BR263" s="408"/>
      <c r="BS263" s="408"/>
      <c r="BT263" s="408"/>
      <c r="BU263" s="408"/>
      <c r="BV263" s="408">
        <v>0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109746.75</v>
      </c>
      <c r="CJ263" s="408">
        <v>-80915.280000000028</v>
      </c>
      <c r="CK263" s="408"/>
      <c r="CL263" s="408"/>
      <c r="CM263" s="408"/>
      <c r="CN263" s="408"/>
      <c r="CO263" s="408">
        <v>-80915.249999999985</v>
      </c>
      <c r="CP263" s="408">
        <v>0</v>
      </c>
      <c r="CQ263" s="408">
        <v>30</v>
      </c>
      <c r="CR263" s="408">
        <v>1333.4651928513413</v>
      </c>
      <c r="CS263" s="408">
        <v>378.28014881331046</v>
      </c>
      <c r="CT263" s="408">
        <v>1271.6054559814347</v>
      </c>
      <c r="CU263" s="408">
        <v>0</v>
      </c>
      <c r="CV263" s="408">
        <v>0</v>
      </c>
      <c r="CW263" s="408"/>
      <c r="CX263" s="408"/>
      <c r="CY263" s="408"/>
      <c r="CZ263" s="408">
        <v>-316.42041194340891</v>
      </c>
      <c r="DA263" s="408">
        <v>0</v>
      </c>
      <c r="DB263" s="408">
        <v>0</v>
      </c>
      <c r="DC263" s="408"/>
      <c r="DD263" s="408"/>
      <c r="DE263" s="408">
        <v>0</v>
      </c>
      <c r="DF263" s="408">
        <v>0</v>
      </c>
      <c r="DG263" s="408">
        <v>0</v>
      </c>
      <c r="DH263" s="408">
        <v>0</v>
      </c>
      <c r="DI263" s="408">
        <v>0</v>
      </c>
      <c r="DJ263" s="408"/>
      <c r="DK263" s="408">
        <v>0</v>
      </c>
      <c r="DL263" s="408">
        <v>0</v>
      </c>
      <c r="DM263" s="408"/>
      <c r="DN263" s="408">
        <v>0</v>
      </c>
      <c r="DO263" s="408">
        <v>0</v>
      </c>
      <c r="DP263" s="408">
        <v>0</v>
      </c>
      <c r="DQ263" s="408">
        <v>0</v>
      </c>
      <c r="DR263" s="408">
        <v>0</v>
      </c>
      <c r="DS263" s="408"/>
      <c r="DT263" s="408"/>
      <c r="DU263" s="408">
        <v>155321.7977516535</v>
      </c>
      <c r="DV263" s="408"/>
      <c r="DW263" s="408">
        <v>0</v>
      </c>
      <c r="DX263" s="408">
        <v>0</v>
      </c>
      <c r="DY263" s="408">
        <v>-80915.25</v>
      </c>
      <c r="DZ263" s="408"/>
      <c r="EA263" s="408">
        <v>0</v>
      </c>
      <c r="EB263" s="408"/>
      <c r="EC263" s="408">
        <v>-82234.657450788873</v>
      </c>
      <c r="ED263" s="408"/>
      <c r="EE263" s="408">
        <v>0</v>
      </c>
      <c r="EF263" s="408">
        <v>0</v>
      </c>
      <c r="EG263" s="408"/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/>
      <c r="EN263" s="408"/>
      <c r="EO263" s="408">
        <v>0</v>
      </c>
      <c r="EP263" s="408">
        <v>0</v>
      </c>
      <c r="EQ263" s="408"/>
      <c r="ER263" s="408">
        <v>0</v>
      </c>
      <c r="ES263" s="408"/>
      <c r="ET263" s="408">
        <v>0</v>
      </c>
      <c r="EU263" s="408"/>
      <c r="EV263" s="408">
        <v>239</v>
      </c>
      <c r="EW263" s="408"/>
      <c r="EX263" s="408"/>
      <c r="EY263" s="408"/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264</v>
      </c>
      <c r="B264" s="408" t="s">
        <v>2236</v>
      </c>
      <c r="C264" s="408" t="s">
        <v>2241</v>
      </c>
      <c r="D264" s="408" t="s">
        <v>596</v>
      </c>
      <c r="E264" s="408" t="s">
        <v>996</v>
      </c>
      <c r="F264" s="408" t="s">
        <v>1320</v>
      </c>
      <c r="G264" s="408" t="s">
        <v>1320</v>
      </c>
      <c r="H264" s="408" t="s">
        <v>1320</v>
      </c>
      <c r="I264" s="408" t="s">
        <v>1320</v>
      </c>
      <c r="J264" s="408" t="s">
        <v>2234</v>
      </c>
      <c r="K264" s="827">
        <v>44501</v>
      </c>
      <c r="L264" s="408">
        <v>100</v>
      </c>
      <c r="M264" s="408">
        <v>100</v>
      </c>
      <c r="N264" s="408">
        <v>0</v>
      </c>
      <c r="O264" s="408">
        <v>0</v>
      </c>
      <c r="P264" s="408">
        <v>0</v>
      </c>
      <c r="Q264" s="408">
        <v>0</v>
      </c>
      <c r="R264" s="408">
        <v>59.12</v>
      </c>
      <c r="S264" s="408"/>
      <c r="T264" s="408"/>
      <c r="U264" s="408">
        <v>5912</v>
      </c>
      <c r="V264" s="408"/>
      <c r="W264" s="408">
        <v>5912</v>
      </c>
      <c r="X264" s="408">
        <v>3403</v>
      </c>
      <c r="Y264" s="408">
        <v>0</v>
      </c>
      <c r="Z264" s="408">
        <v>0</v>
      </c>
      <c r="AA264" s="408">
        <v>0</v>
      </c>
      <c r="AB264" s="408">
        <v>0</v>
      </c>
      <c r="AC264" s="408">
        <v>57.206036333368203</v>
      </c>
      <c r="AD264" s="408">
        <v>511.70226507154302</v>
      </c>
      <c r="AE264" s="408">
        <v>4816.1797752450702</v>
      </c>
      <c r="AF264" s="408"/>
      <c r="AG264" s="408"/>
      <c r="AH264" s="408"/>
      <c r="AI264" s="408">
        <v>0</v>
      </c>
      <c r="AJ264" s="408">
        <v>0</v>
      </c>
      <c r="AK264" s="408">
        <v>0</v>
      </c>
      <c r="AL264" s="408">
        <v>0</v>
      </c>
      <c r="AM264" s="408"/>
      <c r="AN264" s="408">
        <v>0</v>
      </c>
      <c r="AO264" s="408">
        <v>120.807211569006</v>
      </c>
      <c r="AP264" s="408">
        <v>406.098786401994</v>
      </c>
      <c r="AQ264" s="408">
        <v>0</v>
      </c>
      <c r="AR264" s="408">
        <v>0</v>
      </c>
      <c r="AS264" s="408"/>
      <c r="AT264" s="408"/>
      <c r="AU264" s="408">
        <v>0</v>
      </c>
      <c r="AV264" s="408">
        <v>0</v>
      </c>
      <c r="AW264" s="408">
        <v>0</v>
      </c>
      <c r="AX264" s="408"/>
      <c r="AY264" s="408"/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/>
      <c r="BG264" s="408">
        <v>0</v>
      </c>
      <c r="BH264" s="408">
        <v>0</v>
      </c>
      <c r="BI264" s="408">
        <v>141.36000000000001</v>
      </c>
      <c r="BJ264" s="408">
        <v>657.04</v>
      </c>
      <c r="BK264" s="408">
        <v>9637.84</v>
      </c>
      <c r="BL264" s="408">
        <v>1</v>
      </c>
      <c r="BM264" s="408"/>
      <c r="BN264" s="408"/>
      <c r="BO264" s="408"/>
      <c r="BP264" s="408"/>
      <c r="BQ264" s="408"/>
      <c r="BR264" s="408"/>
      <c r="BS264" s="408"/>
      <c r="BT264" s="408"/>
      <c r="BU264" s="408"/>
      <c r="BV264" s="408">
        <v>0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3403</v>
      </c>
      <c r="CJ264" s="408">
        <v>-2509.0300000000007</v>
      </c>
      <c r="CK264" s="408"/>
      <c r="CL264" s="408"/>
      <c r="CM264" s="408"/>
      <c r="CN264" s="408"/>
      <c r="CO264" s="408">
        <v>-2508.9999999999995</v>
      </c>
      <c r="CP264" s="408">
        <v>0</v>
      </c>
      <c r="CQ264" s="408">
        <v>30</v>
      </c>
      <c r="CR264" s="408">
        <v>41.347757917871149</v>
      </c>
      <c r="CS264" s="408">
        <v>11.729617017467007</v>
      </c>
      <c r="CT264" s="408">
        <v>39.429626542059964</v>
      </c>
      <c r="CU264" s="408">
        <v>0</v>
      </c>
      <c r="CV264" s="408">
        <v>0</v>
      </c>
      <c r="CW264" s="408"/>
      <c r="CX264" s="408"/>
      <c r="CY264" s="408"/>
      <c r="CZ264" s="408">
        <v>-9.8114856416560201</v>
      </c>
      <c r="DA264" s="408">
        <v>0</v>
      </c>
      <c r="DB264" s="408">
        <v>0</v>
      </c>
      <c r="DC264" s="408"/>
      <c r="DD264" s="408"/>
      <c r="DE264" s="408">
        <v>0</v>
      </c>
      <c r="DF264" s="408">
        <v>0</v>
      </c>
      <c r="DG264" s="408">
        <v>0</v>
      </c>
      <c r="DH264" s="408">
        <v>0</v>
      </c>
      <c r="DI264" s="408">
        <v>0</v>
      </c>
      <c r="DJ264" s="408"/>
      <c r="DK264" s="408">
        <v>0</v>
      </c>
      <c r="DL264" s="408">
        <v>0</v>
      </c>
      <c r="DM264" s="408"/>
      <c r="DN264" s="408">
        <v>0</v>
      </c>
      <c r="DO264" s="408">
        <v>0</v>
      </c>
      <c r="DP264" s="408">
        <v>0</v>
      </c>
      <c r="DQ264" s="408">
        <v>0</v>
      </c>
      <c r="DR264" s="408">
        <v>0</v>
      </c>
      <c r="DS264" s="408"/>
      <c r="DT264" s="408"/>
      <c r="DU264" s="408">
        <v>4816.1797752450702</v>
      </c>
      <c r="DV264" s="408"/>
      <c r="DW264" s="408">
        <v>0</v>
      </c>
      <c r="DX264" s="408">
        <v>0</v>
      </c>
      <c r="DY264" s="408">
        <v>-2509</v>
      </c>
      <c r="DZ264" s="408"/>
      <c r="EA264" s="408">
        <v>0</v>
      </c>
      <c r="EB264" s="408"/>
      <c r="EC264" s="408">
        <v>-2549.9118589391901</v>
      </c>
      <c r="ED264" s="408"/>
      <c r="EE264" s="408">
        <v>0</v>
      </c>
      <c r="EF264" s="408">
        <v>0</v>
      </c>
      <c r="EG264" s="408"/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/>
      <c r="EN264" s="408"/>
      <c r="EO264" s="408">
        <v>0</v>
      </c>
      <c r="EP264" s="408">
        <v>0</v>
      </c>
      <c r="EQ264" s="408"/>
      <c r="ER264" s="408">
        <v>0</v>
      </c>
      <c r="ES264" s="408"/>
      <c r="ET264" s="408">
        <v>0</v>
      </c>
      <c r="EU264" s="408"/>
      <c r="EV264" s="408">
        <v>239</v>
      </c>
      <c r="EW264" s="408"/>
      <c r="EX264" s="408"/>
      <c r="EY264" s="408"/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265</v>
      </c>
      <c r="B265" s="408" t="s">
        <v>1034</v>
      </c>
      <c r="C265" s="408" t="s">
        <v>2233</v>
      </c>
      <c r="D265" s="408" t="s">
        <v>2243</v>
      </c>
      <c r="E265" s="408" t="s">
        <v>972</v>
      </c>
      <c r="F265" s="408" t="s">
        <v>1320</v>
      </c>
      <c r="G265" s="408" t="s">
        <v>1320</v>
      </c>
      <c r="H265" s="408" t="s">
        <v>1320</v>
      </c>
      <c r="I265" s="408" t="s">
        <v>1320</v>
      </c>
      <c r="J265" s="408" t="s">
        <v>2234</v>
      </c>
      <c r="K265" s="827">
        <v>44501</v>
      </c>
      <c r="L265" s="408">
        <v>0</v>
      </c>
      <c r="M265" s="408">
        <v>0</v>
      </c>
      <c r="N265" s="408">
        <v>2731.47</v>
      </c>
      <c r="O265" s="408">
        <v>2731.47</v>
      </c>
      <c r="P265" s="408">
        <v>2731.47</v>
      </c>
      <c r="Q265" s="408">
        <v>2731.47</v>
      </c>
      <c r="R265" s="408"/>
      <c r="S265" s="408">
        <v>516.83000000000004</v>
      </c>
      <c r="T265" s="408">
        <v>173.82</v>
      </c>
      <c r="U265" s="408"/>
      <c r="V265" s="408">
        <v>1886489.7555</v>
      </c>
      <c r="W265" s="408">
        <v>1886489.7555</v>
      </c>
      <c r="X265" s="408">
        <v>1424325.0314999998</v>
      </c>
      <c r="Y265" s="408">
        <v>0</v>
      </c>
      <c r="Z265" s="408">
        <v>167027.90391936898</v>
      </c>
      <c r="AA265" s="408">
        <v>0</v>
      </c>
      <c r="AB265" s="408">
        <v>0</v>
      </c>
      <c r="AC265" s="408">
        <v>7425.3484331449599</v>
      </c>
      <c r="AD265" s="408">
        <v>94035.256574177605</v>
      </c>
      <c r="AE265" s="408">
        <v>993205.63602398324</v>
      </c>
      <c r="AF265" s="408">
        <v>439553.98556737433</v>
      </c>
      <c r="AG265" s="408">
        <v>22113.613442468508</v>
      </c>
      <c r="AH265" s="408">
        <v>0</v>
      </c>
      <c r="AI265" s="408">
        <v>0</v>
      </c>
      <c r="AJ265" s="408">
        <v>0</v>
      </c>
      <c r="AK265" s="408">
        <v>0</v>
      </c>
      <c r="AL265" s="408">
        <v>25816.479575387224</v>
      </c>
      <c r="AM265" s="408"/>
      <c r="AN265" s="408">
        <v>4237.9903580426826</v>
      </c>
      <c r="AO265" s="408">
        <v>15838.439117595079</v>
      </c>
      <c r="AP265" s="408">
        <v>51868.746569194162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1515.4540190993159</v>
      </c>
      <c r="BF265" s="408">
        <v>13126.593523125224</v>
      </c>
      <c r="BG265" s="408">
        <v>50746.132487890791</v>
      </c>
      <c r="BH265" s="408">
        <v>0</v>
      </c>
      <c r="BI265" s="408">
        <v>11678.36</v>
      </c>
      <c r="BJ265" s="408">
        <v>54535.33</v>
      </c>
      <c r="BK265" s="408">
        <v>99346.39</v>
      </c>
      <c r="BL265" s="408">
        <v>10254</v>
      </c>
      <c r="BM265" s="408"/>
      <c r="BN265" s="408"/>
      <c r="BO265" s="408"/>
      <c r="BP265" s="408"/>
      <c r="BQ265" s="408"/>
      <c r="BR265" s="408">
        <v>170908.07789999997</v>
      </c>
      <c r="BS265" s="408"/>
      <c r="BT265" s="408"/>
      <c r="BU265" s="408"/>
      <c r="BV265" s="408">
        <v>504942.16559748963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1253416.9535999999</v>
      </c>
      <c r="CJ265" s="408">
        <v>-406688.59829999995</v>
      </c>
      <c r="CK265" s="408"/>
      <c r="CL265" s="408"/>
      <c r="CM265" s="408"/>
      <c r="CN265" s="408"/>
      <c r="CO265" s="408">
        <v>-520044.57330000011</v>
      </c>
      <c r="CP265" s="408">
        <v>57879.849299999987</v>
      </c>
      <c r="CQ265" s="408">
        <v>30</v>
      </c>
      <c r="CR265" s="408">
        <v>63659.309350392665</v>
      </c>
      <c r="CS265" s="408">
        <v>1537.8123755281285</v>
      </c>
      <c r="CT265" s="408">
        <v>5036.1275997596676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-1803.0515646788408</v>
      </c>
      <c r="DA265" s="408">
        <v>0</v>
      </c>
      <c r="DB265" s="408">
        <v>0</v>
      </c>
      <c r="DC265" s="408">
        <v>56421.61202122079</v>
      </c>
      <c r="DD265" s="408">
        <v>1684.94335449153</v>
      </c>
      <c r="DE265" s="408">
        <v>194.52527222850426</v>
      </c>
      <c r="DF265" s="408">
        <v>0</v>
      </c>
      <c r="DG265" s="408">
        <v>6513.826953732103</v>
      </c>
      <c r="DH265" s="408">
        <v>0</v>
      </c>
      <c r="DI265" s="408">
        <v>-4881.4749281113327</v>
      </c>
      <c r="DJ265" s="408"/>
      <c r="DK265" s="408">
        <v>0</v>
      </c>
      <c r="DL265" s="408">
        <v>0</v>
      </c>
      <c r="DM265" s="408">
        <v>-245.78469732077792</v>
      </c>
      <c r="DN265" s="408">
        <v>0</v>
      </c>
      <c r="DO265" s="408">
        <v>-668.63790385548782</v>
      </c>
      <c r="DP265" s="408">
        <v>-130.58913260157533</v>
      </c>
      <c r="DQ265" s="408">
        <v>0</v>
      </c>
      <c r="DR265" s="408">
        <v>0</v>
      </c>
      <c r="DS265" s="408"/>
      <c r="DT265" s="408"/>
      <c r="DU265" s="408"/>
      <c r="DV265" s="408">
        <v>993205.63602398324</v>
      </c>
      <c r="DW265" s="408">
        <v>0</v>
      </c>
      <c r="DX265" s="408">
        <v>0</v>
      </c>
      <c r="DY265" s="408">
        <v>-520044.57330000005</v>
      </c>
      <c r="DZ265" s="408">
        <v>57879.849299999943</v>
      </c>
      <c r="EA265" s="408">
        <v>0</v>
      </c>
      <c r="EB265" s="408">
        <v>0</v>
      </c>
      <c r="EC265" s="408">
        <v>-525849.72900724481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239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266</v>
      </c>
      <c r="B266" s="408" t="s">
        <v>2235</v>
      </c>
      <c r="C266" s="408" t="s">
        <v>2233</v>
      </c>
      <c r="D266" s="408" t="s">
        <v>2243</v>
      </c>
      <c r="E266" s="408" t="s">
        <v>972</v>
      </c>
      <c r="F266" s="408" t="s">
        <v>1320</v>
      </c>
      <c r="G266" s="408" t="s">
        <v>1320</v>
      </c>
      <c r="H266" s="408" t="s">
        <v>1320</v>
      </c>
      <c r="I266" s="408" t="s">
        <v>1320</v>
      </c>
      <c r="J266" s="408" t="s">
        <v>2234</v>
      </c>
      <c r="K266" s="827">
        <v>44501</v>
      </c>
      <c r="L266" s="408">
        <v>0</v>
      </c>
      <c r="M266" s="408">
        <v>0</v>
      </c>
      <c r="N266" s="408">
        <v>-1.367</v>
      </c>
      <c r="O266" s="408">
        <v>-1.367</v>
      </c>
      <c r="P266" s="408">
        <v>-1.367</v>
      </c>
      <c r="Q266" s="408">
        <v>-1.367</v>
      </c>
      <c r="R266" s="408"/>
      <c r="S266" s="408">
        <v>516.83000000000004</v>
      </c>
      <c r="T266" s="408">
        <v>173.82</v>
      </c>
      <c r="U266" s="408"/>
      <c r="V266" s="408">
        <v>-944.11855000000003</v>
      </c>
      <c r="W266" s="408">
        <v>-944.11855000000003</v>
      </c>
      <c r="X266" s="408">
        <v>-712.82214999999997</v>
      </c>
      <c r="Y266" s="408">
        <v>0</v>
      </c>
      <c r="Z266" s="408">
        <v>-83.591306021218401</v>
      </c>
      <c r="AA266" s="408">
        <v>0</v>
      </c>
      <c r="AB266" s="408">
        <v>0</v>
      </c>
      <c r="AC266" s="408">
        <v>-3.7161130483253193</v>
      </c>
      <c r="AD266" s="408">
        <v>-47.061177950664216</v>
      </c>
      <c r="AE266" s="408">
        <v>-497.06279199287752</v>
      </c>
      <c r="AF266" s="408">
        <v>-219.98055928514711</v>
      </c>
      <c r="AG266" s="408">
        <v>-11.067047990955219</v>
      </c>
      <c r="AH266" s="408">
        <v>0</v>
      </c>
      <c r="AI266" s="408">
        <v>0</v>
      </c>
      <c r="AJ266" s="408">
        <v>0</v>
      </c>
      <c r="AK266" s="408">
        <v>0</v>
      </c>
      <c r="AL266" s="408">
        <v>-12.9201959309655</v>
      </c>
      <c r="AM266" s="408"/>
      <c r="AN266" s="408">
        <v>-2.1209578796195263</v>
      </c>
      <c r="AO266" s="408">
        <v>-7.9265546660781467</v>
      </c>
      <c r="AP266" s="408">
        <v>-25.958394769149365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-0.75842884751022899</v>
      </c>
      <c r="BF266" s="408">
        <v>-6.569375957309501</v>
      </c>
      <c r="BG266" s="408">
        <v>-25.396567822801174</v>
      </c>
      <c r="BH266" s="408">
        <v>0</v>
      </c>
      <c r="BI266" s="408">
        <v>-7.3</v>
      </c>
      <c r="BJ266" s="408">
        <v>-34.049999999999997</v>
      </c>
      <c r="BK266" s="408">
        <v>-26.28</v>
      </c>
      <c r="BL266" s="408">
        <v>0</v>
      </c>
      <c r="BM266" s="408"/>
      <c r="BN266" s="408"/>
      <c r="BO266" s="408"/>
      <c r="BP266" s="408"/>
      <c r="BQ266" s="408"/>
      <c r="BR266" s="408">
        <v>-85.533189999999991</v>
      </c>
      <c r="BS266" s="408"/>
      <c r="BT266" s="408"/>
      <c r="BU266" s="408"/>
      <c r="BV266" s="408">
        <v>-252.70493191276802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-628.66560000000004</v>
      </c>
      <c r="CJ266" s="408">
        <v>202.12599</v>
      </c>
      <c r="CK266" s="408"/>
      <c r="CL266" s="408"/>
      <c r="CM266" s="408"/>
      <c r="CN266" s="408"/>
      <c r="CO266" s="408">
        <v>260.26313000000005</v>
      </c>
      <c r="CP266" s="408">
        <v>-28.966729999999998</v>
      </c>
      <c r="CQ266" s="408">
        <v>30</v>
      </c>
      <c r="CR266" s="408">
        <v>-31.859136612149086</v>
      </c>
      <c r="CS266" s="408">
        <v>-0.76961838033987107</v>
      </c>
      <c r="CT266" s="408">
        <v>-2.5203961342688999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0.90236081264519186</v>
      </c>
      <c r="DA266" s="408">
        <v>0</v>
      </c>
      <c r="DB266" s="408">
        <v>0</v>
      </c>
      <c r="DC266" s="408">
        <v>-28.236936020900401</v>
      </c>
      <c r="DD266" s="408">
        <v>-0.84325200920746823</v>
      </c>
      <c r="DE266" s="408">
        <v>-9.7352724773241195E-2</v>
      </c>
      <c r="DF266" s="408">
        <v>0</v>
      </c>
      <c r="DG266" s="408">
        <v>-3.2599301642528644</v>
      </c>
      <c r="DH266" s="408">
        <v>0</v>
      </c>
      <c r="DI266" s="408">
        <v>2.4429981756080821</v>
      </c>
      <c r="DJ266" s="408"/>
      <c r="DK266" s="408">
        <v>0</v>
      </c>
      <c r="DL266" s="408">
        <v>0</v>
      </c>
      <c r="DM266" s="408">
        <v>0.12300617661460755</v>
      </c>
      <c r="DN266" s="408">
        <v>0</v>
      </c>
      <c r="DO266" s="408">
        <v>0.33462861190877113</v>
      </c>
      <c r="DP266" s="408">
        <v>6.5355044817022812E-2</v>
      </c>
      <c r="DQ266" s="408">
        <v>0</v>
      </c>
      <c r="DR266" s="408">
        <v>0</v>
      </c>
      <c r="DS266" s="408"/>
      <c r="DT266" s="408"/>
      <c r="DU266" s="408"/>
      <c r="DV266" s="408">
        <v>-497.06279199287752</v>
      </c>
      <c r="DW266" s="408">
        <v>0</v>
      </c>
      <c r="DX266" s="408">
        <v>0</v>
      </c>
      <c r="DY266" s="408">
        <v>260.26313000000005</v>
      </c>
      <c r="DZ266" s="408">
        <v>-28.966730000000013</v>
      </c>
      <c r="EA266" s="408">
        <v>0</v>
      </c>
      <c r="EB266" s="408">
        <v>0</v>
      </c>
      <c r="EC266" s="408">
        <v>263.16839634076291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239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267</v>
      </c>
      <c r="B267" s="408" t="s">
        <v>2236</v>
      </c>
      <c r="C267" s="408" t="s">
        <v>2233</v>
      </c>
      <c r="D267" s="408" t="s">
        <v>2243</v>
      </c>
      <c r="E267" s="408" t="s">
        <v>972</v>
      </c>
      <c r="F267" s="408" t="s">
        <v>1320</v>
      </c>
      <c r="G267" s="408" t="s">
        <v>1320</v>
      </c>
      <c r="H267" s="408" t="s">
        <v>1320</v>
      </c>
      <c r="I267" s="408" t="s">
        <v>1320</v>
      </c>
      <c r="J267" s="408" t="s">
        <v>2234</v>
      </c>
      <c r="K267" s="827">
        <v>44501</v>
      </c>
      <c r="L267" s="408">
        <v>0</v>
      </c>
      <c r="M267" s="408">
        <v>0</v>
      </c>
      <c r="N267" s="408">
        <v>23.303000000000001</v>
      </c>
      <c r="O267" s="408">
        <v>23.303000000000001</v>
      </c>
      <c r="P267" s="408">
        <v>23.303000000000001</v>
      </c>
      <c r="Q267" s="408">
        <v>23.303000000000001</v>
      </c>
      <c r="R267" s="408"/>
      <c r="S267" s="408">
        <v>516.83000000000004</v>
      </c>
      <c r="T267" s="408">
        <v>173.82</v>
      </c>
      <c r="U267" s="408"/>
      <c r="V267" s="408">
        <v>16094.21695</v>
      </c>
      <c r="W267" s="408">
        <v>16094.21695</v>
      </c>
      <c r="X267" s="408">
        <v>12151.34935</v>
      </c>
      <c r="Y267" s="408">
        <v>0</v>
      </c>
      <c r="Z267" s="408">
        <v>1424.9657675292262</v>
      </c>
      <c r="AA267" s="408">
        <v>0</v>
      </c>
      <c r="AB267" s="408">
        <v>0</v>
      </c>
      <c r="AC267" s="408">
        <v>63.347902242227448</v>
      </c>
      <c r="AD267" s="408">
        <v>802.243328298704</v>
      </c>
      <c r="AE267" s="408">
        <v>8473.3388747695863</v>
      </c>
      <c r="AF267" s="408">
        <v>3749.9685245221531</v>
      </c>
      <c r="AG267" s="408">
        <v>188.657951231331</v>
      </c>
      <c r="AH267" s="408">
        <v>0</v>
      </c>
      <c r="AI267" s="408">
        <v>0</v>
      </c>
      <c r="AJ267" s="408">
        <v>0</v>
      </c>
      <c r="AK267" s="408">
        <v>0</v>
      </c>
      <c r="AL267" s="408">
        <v>220.24822661250116</v>
      </c>
      <c r="AM267" s="408"/>
      <c r="AN267" s="408">
        <v>36.155582639922322</v>
      </c>
      <c r="AO267" s="408">
        <v>135.12253356519315</v>
      </c>
      <c r="AP267" s="408">
        <v>442.50802729004221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12.928798415165227</v>
      </c>
      <c r="BF267" s="408">
        <v>111.98695532785904</v>
      </c>
      <c r="BG267" s="408">
        <v>432.93066567281329</v>
      </c>
      <c r="BH267" s="408">
        <v>0</v>
      </c>
      <c r="BI267" s="408">
        <v>108.91</v>
      </c>
      <c r="BJ267" s="408">
        <v>512.24</v>
      </c>
      <c r="BK267" s="408">
        <v>1418.12</v>
      </c>
      <c r="BL267" s="408">
        <v>181</v>
      </c>
      <c r="BM267" s="408"/>
      <c r="BN267" s="408"/>
      <c r="BO267" s="408"/>
      <c r="BP267" s="408"/>
      <c r="BQ267" s="408"/>
      <c r="BR267" s="408">
        <v>1458.06871</v>
      </c>
      <c r="BS267" s="408"/>
      <c r="BT267" s="408"/>
      <c r="BU267" s="408"/>
      <c r="BV267" s="408">
        <v>4307.8149439379904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10691.904</v>
      </c>
      <c r="CJ267" s="408">
        <v>-3470.990310000001</v>
      </c>
      <c r="CK267" s="408"/>
      <c r="CL267" s="408"/>
      <c r="CM267" s="408"/>
      <c r="CN267" s="408"/>
      <c r="CO267" s="408">
        <v>-4436.6581700000015</v>
      </c>
      <c r="CP267" s="408">
        <v>493.79056999999995</v>
      </c>
      <c r="CQ267" s="408">
        <v>30</v>
      </c>
      <c r="CR267" s="408">
        <v>543.0968986634316</v>
      </c>
      <c r="CS267" s="408">
        <v>13.119544343130997</v>
      </c>
      <c r="CT267" s="408">
        <v>42.964733808974529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-15.382380407513551</v>
      </c>
      <c r="DA267" s="408">
        <v>0</v>
      </c>
      <c r="DB267" s="408">
        <v>0</v>
      </c>
      <c r="DC267" s="408">
        <v>481.34990497076933</v>
      </c>
      <c r="DD267" s="408">
        <v>14.374763402020221</v>
      </c>
      <c r="DE267" s="408">
        <v>1.6595541663429714</v>
      </c>
      <c r="DF267" s="408">
        <v>0</v>
      </c>
      <c r="DG267" s="408">
        <v>55.571435711473725</v>
      </c>
      <c r="DH267" s="408">
        <v>0</v>
      </c>
      <c r="DI267" s="408">
        <v>-41.645344905775346</v>
      </c>
      <c r="DJ267" s="408"/>
      <c r="DK267" s="408">
        <v>0</v>
      </c>
      <c r="DL267" s="408">
        <v>0</v>
      </c>
      <c r="DM267" s="408">
        <v>-2.0968638870886593</v>
      </c>
      <c r="DN267" s="408">
        <v>0</v>
      </c>
      <c r="DO267" s="408">
        <v>-5.7043529943746023</v>
      </c>
      <c r="DP267" s="408">
        <v>-1.1140955445289507</v>
      </c>
      <c r="DQ267" s="408">
        <v>0</v>
      </c>
      <c r="DR267" s="408">
        <v>0</v>
      </c>
      <c r="DS267" s="408"/>
      <c r="DT267" s="408"/>
      <c r="DU267" s="408"/>
      <c r="DV267" s="408">
        <v>8473.3388747695863</v>
      </c>
      <c r="DW267" s="408">
        <v>0</v>
      </c>
      <c r="DX267" s="408">
        <v>0</v>
      </c>
      <c r="DY267" s="408">
        <v>-4436.6581700000006</v>
      </c>
      <c r="DZ267" s="408">
        <v>493.79057000000057</v>
      </c>
      <c r="EA267" s="408">
        <v>0</v>
      </c>
      <c r="EB267" s="408">
        <v>0</v>
      </c>
      <c r="EC267" s="408">
        <v>-4486.1837161147014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239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268</v>
      </c>
      <c r="B268" s="408" t="s">
        <v>1034</v>
      </c>
      <c r="C268" s="408" t="s">
        <v>2241</v>
      </c>
      <c r="D268" s="408" t="s">
        <v>596</v>
      </c>
      <c r="E268" s="408" t="s">
        <v>972</v>
      </c>
      <c r="F268" s="408" t="s">
        <v>1320</v>
      </c>
      <c r="G268" s="408" t="s">
        <v>1320</v>
      </c>
      <c r="H268" s="408" t="s">
        <v>1320</v>
      </c>
      <c r="I268" s="408" t="s">
        <v>971</v>
      </c>
      <c r="J268" s="408" t="s">
        <v>2234</v>
      </c>
      <c r="K268" s="827">
        <v>44501</v>
      </c>
      <c r="L268" s="408">
        <v>0</v>
      </c>
      <c r="M268" s="408">
        <v>0</v>
      </c>
      <c r="N268" s="408">
        <v>40.628999999999998</v>
      </c>
      <c r="O268" s="408">
        <v>39.003839999999997</v>
      </c>
      <c r="P268" s="408">
        <v>40.628999999999998</v>
      </c>
      <c r="Q268" s="408">
        <v>39.003839999999997</v>
      </c>
      <c r="R268" s="408"/>
      <c r="S268" s="408">
        <v>1684.16</v>
      </c>
      <c r="T268" s="408">
        <v>173.82</v>
      </c>
      <c r="U268" s="408"/>
      <c r="V268" s="408">
        <v>75487.869420000003</v>
      </c>
      <c r="W268" s="408">
        <v>75487.869420000003</v>
      </c>
      <c r="X268" s="408">
        <v>51820.664339999996</v>
      </c>
      <c r="Y268" s="408">
        <v>0</v>
      </c>
      <c r="Z268" s="408">
        <v>2161.4638770536912</v>
      </c>
      <c r="AA268" s="408">
        <v>0</v>
      </c>
      <c r="AB268" s="408">
        <v>0</v>
      </c>
      <c r="AC268" s="408">
        <v>731.2976169011896</v>
      </c>
      <c r="AD268" s="408">
        <v>11156.151716655479</v>
      </c>
      <c r="AE268" s="408">
        <v>47060.264174332762</v>
      </c>
      <c r="AF268" s="408">
        <v>6538.1054449131243</v>
      </c>
      <c r="AG268" s="408">
        <v>328.92691501427913</v>
      </c>
      <c r="AH268" s="408">
        <v>0</v>
      </c>
      <c r="AI268" s="408">
        <v>0</v>
      </c>
      <c r="AJ268" s="408">
        <v>0</v>
      </c>
      <c r="AK268" s="408">
        <v>0</v>
      </c>
      <c r="AL268" s="408">
        <v>384.00485770241204</v>
      </c>
      <c r="AM268" s="408"/>
      <c r="AN268" s="408">
        <v>50.490904215862336</v>
      </c>
      <c r="AO268" s="408">
        <v>1570.5604595056636</v>
      </c>
      <c r="AP268" s="408">
        <v>5050.1307044153973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7.5811123777878411</v>
      </c>
      <c r="BF268" s="408">
        <v>195.25031146271229</v>
      </c>
      <c r="BG268" s="408">
        <v>253.85932418949761</v>
      </c>
      <c r="BH268" s="408">
        <v>0</v>
      </c>
      <c r="BI268" s="408">
        <v>0</v>
      </c>
      <c r="BJ268" s="408">
        <v>0</v>
      </c>
      <c r="BK268" s="408">
        <v>0</v>
      </c>
      <c r="BL268" s="408">
        <v>0</v>
      </c>
      <c r="BM268" s="408"/>
      <c r="BN268" s="408"/>
      <c r="BO268" s="408"/>
      <c r="BP268" s="408"/>
      <c r="BQ268" s="408"/>
      <c r="BR268" s="408">
        <v>2072.8265736000017</v>
      </c>
      <c r="BS268" s="408"/>
      <c r="BT268" s="408"/>
      <c r="BU268" s="408"/>
      <c r="BV268" s="408">
        <v>6994.7961929431222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49742.94</v>
      </c>
      <c r="CJ268" s="408">
        <v>-22725.444643199982</v>
      </c>
      <c r="CK268" s="408"/>
      <c r="CL268" s="408"/>
      <c r="CM268" s="408"/>
      <c r="CN268" s="408"/>
      <c r="CO268" s="408">
        <v>-24528.133590000001</v>
      </c>
      <c r="CP268" s="408">
        <v>860.92850999999985</v>
      </c>
      <c r="CQ268" s="408">
        <v>30</v>
      </c>
      <c r="CR268" s="408">
        <v>1248.449116871594</v>
      </c>
      <c r="CS268" s="408">
        <v>152.49149826006487</v>
      </c>
      <c r="CT268" s="408">
        <v>490.33578609754659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-213.91037299553318</v>
      </c>
      <c r="DA268" s="408">
        <v>0</v>
      </c>
      <c r="DB268" s="408">
        <v>0</v>
      </c>
      <c r="DC268" s="408">
        <v>839.23809333808549</v>
      </c>
      <c r="DD268" s="408">
        <v>25.062535392897018</v>
      </c>
      <c r="DE268" s="408">
        <v>0.97311956053972359</v>
      </c>
      <c r="DF268" s="408">
        <v>0</v>
      </c>
      <c r="DG268" s="408">
        <v>32.58564992625503</v>
      </c>
      <c r="DH268" s="408">
        <v>0</v>
      </c>
      <c r="DI268" s="408">
        <v>-63.169874471690491</v>
      </c>
      <c r="DJ268" s="408"/>
      <c r="DK268" s="408">
        <v>0</v>
      </c>
      <c r="DL268" s="408">
        <v>0</v>
      </c>
      <c r="DM268" s="408">
        <v>-3.6559019383137752</v>
      </c>
      <c r="DN268" s="408">
        <v>0</v>
      </c>
      <c r="DO268" s="408">
        <v>-9.9455931772066037</v>
      </c>
      <c r="DP268" s="408">
        <v>-1.555823121047581</v>
      </c>
      <c r="DQ268" s="408">
        <v>0</v>
      </c>
      <c r="DR268" s="408">
        <v>0</v>
      </c>
      <c r="DS268" s="408"/>
      <c r="DT268" s="408"/>
      <c r="DU268" s="408"/>
      <c r="DV268" s="408">
        <v>47060.264174332762</v>
      </c>
      <c r="DW268" s="408">
        <v>0</v>
      </c>
      <c r="DX268" s="408">
        <v>0</v>
      </c>
      <c r="DY268" s="408">
        <v>-24528.133590000005</v>
      </c>
      <c r="DZ268" s="408">
        <v>860.92851000000064</v>
      </c>
      <c r="EA268" s="408">
        <v>0</v>
      </c>
      <c r="EB268" s="408">
        <v>0</v>
      </c>
      <c r="EC268" s="408">
        <v>-24915.91495810304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0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239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269</v>
      </c>
      <c r="B269" s="408" t="s">
        <v>2236</v>
      </c>
      <c r="C269" s="408" t="s">
        <v>2241</v>
      </c>
      <c r="D269" s="408" t="s">
        <v>596</v>
      </c>
      <c r="E269" s="408" t="s">
        <v>972</v>
      </c>
      <c r="F269" s="408" t="s">
        <v>1320</v>
      </c>
      <c r="G269" s="408" t="s">
        <v>1320</v>
      </c>
      <c r="H269" s="408" t="s">
        <v>1320</v>
      </c>
      <c r="I269" s="408" t="s">
        <v>971</v>
      </c>
      <c r="J269" s="408" t="s">
        <v>2234</v>
      </c>
      <c r="K269" s="827">
        <v>44501</v>
      </c>
      <c r="L269" s="408">
        <v>0</v>
      </c>
      <c r="M269" s="408">
        <v>0</v>
      </c>
      <c r="N269" s="408">
        <v>4.1909999999999998</v>
      </c>
      <c r="O269" s="408">
        <v>4.0233600000000003</v>
      </c>
      <c r="P269" s="408">
        <v>4.1909999999999998</v>
      </c>
      <c r="Q269" s="408">
        <v>4.0233600000000003</v>
      </c>
      <c r="R269" s="408"/>
      <c r="S269" s="408">
        <v>1684.16</v>
      </c>
      <c r="T269" s="408">
        <v>173.82</v>
      </c>
      <c r="U269" s="408"/>
      <c r="V269" s="408">
        <v>7786.7941799999999</v>
      </c>
      <c r="W269" s="408">
        <v>7786.7941799999999</v>
      </c>
      <c r="X269" s="408">
        <v>5345.4528599999994</v>
      </c>
      <c r="Y269" s="408">
        <v>0</v>
      </c>
      <c r="Z269" s="408">
        <v>222.9613111012336</v>
      </c>
      <c r="AA269" s="408">
        <v>0</v>
      </c>
      <c r="AB269" s="408">
        <v>0</v>
      </c>
      <c r="AC269" s="408">
        <v>75.43548481215106</v>
      </c>
      <c r="AD269" s="408">
        <v>1150.7896291935097</v>
      </c>
      <c r="AE269" s="408">
        <v>4854.4036809822692</v>
      </c>
      <c r="AF269" s="408">
        <v>674.42467005417075</v>
      </c>
      <c r="AG269" s="408">
        <v>33.929771858151661</v>
      </c>
      <c r="AH269" s="408">
        <v>0</v>
      </c>
      <c r="AI269" s="408">
        <v>0</v>
      </c>
      <c r="AJ269" s="408">
        <v>0</v>
      </c>
      <c r="AK269" s="408">
        <v>0</v>
      </c>
      <c r="AL269" s="408">
        <v>39.611222492082234</v>
      </c>
      <c r="AM269" s="408"/>
      <c r="AN269" s="408">
        <v>5.2082842198596833</v>
      </c>
      <c r="AO269" s="408">
        <v>162.00789794945081</v>
      </c>
      <c r="AP269" s="408">
        <v>520.93573019776341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0.78201388110238601</v>
      </c>
      <c r="BF269" s="408">
        <v>20.140639822300013</v>
      </c>
      <c r="BG269" s="408">
        <v>26.186330642599732</v>
      </c>
      <c r="BH269" s="408">
        <v>0</v>
      </c>
      <c r="BI269" s="408">
        <v>0</v>
      </c>
      <c r="BJ269" s="408">
        <v>0</v>
      </c>
      <c r="BK269" s="408">
        <v>0</v>
      </c>
      <c r="BL269" s="408">
        <v>0</v>
      </c>
      <c r="BM269" s="408"/>
      <c r="BN269" s="408"/>
      <c r="BO269" s="408"/>
      <c r="BP269" s="408"/>
      <c r="BQ269" s="408"/>
      <c r="BR269" s="408">
        <v>213.81811439999944</v>
      </c>
      <c r="BS269" s="408"/>
      <c r="BT269" s="408"/>
      <c r="BU269" s="408"/>
      <c r="BV269" s="408">
        <v>721.53365440017285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5127.3491999999997</v>
      </c>
      <c r="CJ269" s="408">
        <v>-2348.0032128000012</v>
      </c>
      <c r="CK269" s="408"/>
      <c r="CL269" s="408"/>
      <c r="CM269" s="408"/>
      <c r="CN269" s="408"/>
      <c r="CO269" s="408">
        <v>-2530.1486100000002</v>
      </c>
      <c r="CP269" s="408">
        <v>88.807289999999981</v>
      </c>
      <c r="CQ269" s="408">
        <v>30</v>
      </c>
      <c r="CR269" s="408">
        <v>128.78117228602468</v>
      </c>
      <c r="CS269" s="408">
        <v>15.729943370694116</v>
      </c>
      <c r="CT269" s="408">
        <v>50.579568277211365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-22.065479662907592</v>
      </c>
      <c r="DA269" s="408">
        <v>0</v>
      </c>
      <c r="DB269" s="408">
        <v>0</v>
      </c>
      <c r="DC269" s="408">
        <v>86.569860178195768</v>
      </c>
      <c r="DD269" s="408">
        <v>2.5852737165972925</v>
      </c>
      <c r="DE269" s="408">
        <v>0.10038012449782141</v>
      </c>
      <c r="DF269" s="408">
        <v>0</v>
      </c>
      <c r="DG269" s="408">
        <v>3.3613049506740182</v>
      </c>
      <c r="DH269" s="408">
        <v>0</v>
      </c>
      <c r="DI269" s="408">
        <v>-6.5161570284982417</v>
      </c>
      <c r="DJ269" s="408"/>
      <c r="DK269" s="408">
        <v>0</v>
      </c>
      <c r="DL269" s="408">
        <v>0</v>
      </c>
      <c r="DM269" s="408">
        <v>-0.37711696136928907</v>
      </c>
      <c r="DN269" s="408">
        <v>0</v>
      </c>
      <c r="DO269" s="408">
        <v>-1.0259169806215525</v>
      </c>
      <c r="DP269" s="408">
        <v>-0.16048769844964017</v>
      </c>
      <c r="DQ269" s="408">
        <v>0</v>
      </c>
      <c r="DR269" s="408">
        <v>0</v>
      </c>
      <c r="DS269" s="408"/>
      <c r="DT269" s="408"/>
      <c r="DU269" s="408"/>
      <c r="DV269" s="408">
        <v>4854.4036809822692</v>
      </c>
      <c r="DW269" s="408">
        <v>0</v>
      </c>
      <c r="DX269" s="408">
        <v>0</v>
      </c>
      <c r="DY269" s="408">
        <v>-2530.1486100000002</v>
      </c>
      <c r="DZ269" s="408">
        <v>88.807289999999966</v>
      </c>
      <c r="EA269" s="408">
        <v>0</v>
      </c>
      <c r="EB269" s="408">
        <v>0</v>
      </c>
      <c r="EC269" s="408">
        <v>-2570.1493905685556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239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270</v>
      </c>
      <c r="B270" s="408" t="s">
        <v>1034</v>
      </c>
      <c r="C270" s="408" t="s">
        <v>2241</v>
      </c>
      <c r="D270" s="408" t="s">
        <v>596</v>
      </c>
      <c r="E270" s="408" t="s">
        <v>972</v>
      </c>
      <c r="F270" s="408" t="s">
        <v>1320</v>
      </c>
      <c r="G270" s="408" t="s">
        <v>1320</v>
      </c>
      <c r="H270" s="408" t="s">
        <v>1320</v>
      </c>
      <c r="I270" s="408" t="s">
        <v>2242</v>
      </c>
      <c r="J270" s="408" t="s">
        <v>2234</v>
      </c>
      <c r="K270" s="827">
        <v>44501</v>
      </c>
      <c r="L270" s="408">
        <v>0</v>
      </c>
      <c r="M270" s="408">
        <v>0</v>
      </c>
      <c r="N270" s="408">
        <v>527.53399999999999</v>
      </c>
      <c r="O270" s="408">
        <v>506.43263999999999</v>
      </c>
      <c r="P270" s="408">
        <v>527.53399999999999</v>
      </c>
      <c r="Q270" s="408">
        <v>506.43263999999999</v>
      </c>
      <c r="R270" s="408"/>
      <c r="S270" s="408">
        <v>70.33</v>
      </c>
      <c r="T270" s="408">
        <v>173.82</v>
      </c>
      <c r="U270" s="408"/>
      <c r="V270" s="408">
        <v>128797.4261</v>
      </c>
      <c r="W270" s="408">
        <v>128797.4261</v>
      </c>
      <c r="X270" s="408">
        <v>139443.06221999999</v>
      </c>
      <c r="Y270" s="408">
        <v>0</v>
      </c>
      <c r="Z270" s="408">
        <v>28064.822784652391</v>
      </c>
      <c r="AA270" s="408">
        <v>0</v>
      </c>
      <c r="AB270" s="408">
        <v>0</v>
      </c>
      <c r="AC270" s="408">
        <v>0</v>
      </c>
      <c r="AD270" s="408">
        <v>0</v>
      </c>
      <c r="AE270" s="408">
        <v>0</v>
      </c>
      <c r="AF270" s="408">
        <v>84891.897850717476</v>
      </c>
      <c r="AG270" s="408">
        <v>4270.8442537385299</v>
      </c>
      <c r="AH270" s="408">
        <v>0</v>
      </c>
      <c r="AI270" s="408">
        <v>0</v>
      </c>
      <c r="AJ270" s="408">
        <v>0</v>
      </c>
      <c r="AK270" s="408">
        <v>0</v>
      </c>
      <c r="AL270" s="408">
        <v>4985.9858377805076</v>
      </c>
      <c r="AM270" s="408"/>
      <c r="AN270" s="408">
        <v>655.58267898817894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98.434481210562183</v>
      </c>
      <c r="BF270" s="408">
        <v>2535.1639914142725</v>
      </c>
      <c r="BG270" s="408">
        <v>3296.1536027709872</v>
      </c>
      <c r="BH270" s="408">
        <v>0</v>
      </c>
      <c r="BI270" s="408">
        <v>0</v>
      </c>
      <c r="BJ270" s="408">
        <v>0</v>
      </c>
      <c r="BK270" s="408">
        <v>0</v>
      </c>
      <c r="BL270" s="408">
        <v>0</v>
      </c>
      <c r="BM270" s="408"/>
      <c r="BN270" s="408"/>
      <c r="BO270" s="408"/>
      <c r="BP270" s="408"/>
      <c r="BQ270" s="408"/>
      <c r="BR270" s="408">
        <v>5577.7224888000001</v>
      </c>
      <c r="BS270" s="408"/>
      <c r="BT270" s="408"/>
      <c r="BU270" s="408"/>
      <c r="BV270" s="408">
        <v>90821.649926113285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133864.64189999999</v>
      </c>
      <c r="CJ270" s="408">
        <v>10219.082844000004</v>
      </c>
      <c r="CK270" s="408"/>
      <c r="CL270" s="408"/>
      <c r="CM270" s="408"/>
      <c r="CN270" s="408"/>
      <c r="CO270" s="408">
        <v>-532.80934000000263</v>
      </c>
      <c r="CP270" s="408">
        <v>11178.445459999999</v>
      </c>
      <c r="CQ270" s="408">
        <v>30</v>
      </c>
      <c r="CR270" s="408">
        <v>10640.948645087497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0</v>
      </c>
      <c r="DA270" s="408">
        <v>0</v>
      </c>
      <c r="DB270" s="408">
        <v>0</v>
      </c>
      <c r="DC270" s="408">
        <v>10896.813318836634</v>
      </c>
      <c r="DD270" s="408">
        <v>325.4163170630959</v>
      </c>
      <c r="DE270" s="408">
        <v>12.635153566412242</v>
      </c>
      <c r="DF270" s="408">
        <v>0</v>
      </c>
      <c r="DG270" s="408">
        <v>423.09774417773042</v>
      </c>
      <c r="DH270" s="408">
        <v>0</v>
      </c>
      <c r="DI270" s="408">
        <v>-820.20863323115918</v>
      </c>
      <c r="DJ270" s="408"/>
      <c r="DK270" s="408">
        <v>0</v>
      </c>
      <c r="DL270" s="408">
        <v>0</v>
      </c>
      <c r="DM270" s="408">
        <v>-47.468866403957691</v>
      </c>
      <c r="DN270" s="408">
        <v>0</v>
      </c>
      <c r="DO270" s="408">
        <v>-129.13531101293393</v>
      </c>
      <c r="DP270" s="408">
        <v>-20.201077908358911</v>
      </c>
      <c r="DQ270" s="408">
        <v>0</v>
      </c>
      <c r="DR270" s="408">
        <v>0</v>
      </c>
      <c r="DS270" s="408"/>
      <c r="DT270" s="408"/>
      <c r="DU270" s="408"/>
      <c r="DV270" s="408">
        <v>0</v>
      </c>
      <c r="DW270" s="408">
        <v>0</v>
      </c>
      <c r="DX270" s="408">
        <v>0</v>
      </c>
      <c r="DY270" s="408">
        <v>-532.80934000000707</v>
      </c>
      <c r="DZ270" s="408">
        <v>11178.445460000003</v>
      </c>
      <c r="EA270" s="408">
        <v>0</v>
      </c>
      <c r="EB270" s="408">
        <v>0</v>
      </c>
      <c r="EC270" s="408">
        <v>0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239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271</v>
      </c>
      <c r="B271" s="408" t="s">
        <v>2236</v>
      </c>
      <c r="C271" s="408" t="s">
        <v>2241</v>
      </c>
      <c r="D271" s="408" t="s">
        <v>596</v>
      </c>
      <c r="E271" s="408" t="s">
        <v>972</v>
      </c>
      <c r="F271" s="408" t="s">
        <v>1320</v>
      </c>
      <c r="G271" s="408" t="s">
        <v>1320</v>
      </c>
      <c r="H271" s="408" t="s">
        <v>1320</v>
      </c>
      <c r="I271" s="408" t="s">
        <v>2242</v>
      </c>
      <c r="J271" s="408" t="s">
        <v>2234</v>
      </c>
      <c r="K271" s="827">
        <v>44501</v>
      </c>
      <c r="L271" s="408">
        <v>0</v>
      </c>
      <c r="M271" s="408">
        <v>0</v>
      </c>
      <c r="N271" s="408">
        <v>22.545000000000002</v>
      </c>
      <c r="O271" s="408">
        <v>21.6432</v>
      </c>
      <c r="P271" s="408">
        <v>22.545000000000002</v>
      </c>
      <c r="Q271" s="408">
        <v>21.6432</v>
      </c>
      <c r="R271" s="408"/>
      <c r="S271" s="408">
        <v>70.33</v>
      </c>
      <c r="T271" s="408">
        <v>173.82</v>
      </c>
      <c r="U271" s="408"/>
      <c r="V271" s="408">
        <v>5504.36175</v>
      </c>
      <c r="W271" s="408">
        <v>5504.36175</v>
      </c>
      <c r="X271" s="408">
        <v>5959.3198499999999</v>
      </c>
      <c r="Y271" s="408">
        <v>0</v>
      </c>
      <c r="Z271" s="408">
        <v>1199.3945976562425</v>
      </c>
      <c r="AA271" s="408">
        <v>0</v>
      </c>
      <c r="AB271" s="408">
        <v>0</v>
      </c>
      <c r="AC271" s="408">
        <v>0</v>
      </c>
      <c r="AD271" s="408">
        <v>0</v>
      </c>
      <c r="AE271" s="408">
        <v>0</v>
      </c>
      <c r="AF271" s="408">
        <v>3627.9895457817424</v>
      </c>
      <c r="AG271" s="408">
        <v>182.52128526414441</v>
      </c>
      <c r="AH271" s="408">
        <v>0</v>
      </c>
      <c r="AI271" s="408">
        <v>0</v>
      </c>
      <c r="AJ271" s="408">
        <v>0</v>
      </c>
      <c r="AK271" s="408">
        <v>0</v>
      </c>
      <c r="AL271" s="408">
        <v>213.08399214602576</v>
      </c>
      <c r="AM271" s="408"/>
      <c r="AN271" s="408">
        <v>28.017362857727647</v>
      </c>
      <c r="AO271" s="408">
        <v>0</v>
      </c>
      <c r="AP271" s="408">
        <v>0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4.2067532687791207</v>
      </c>
      <c r="BF271" s="408">
        <v>108.34424356806343</v>
      </c>
      <c r="BG271" s="408">
        <v>140.86633842457911</v>
      </c>
      <c r="BH271" s="408">
        <v>0</v>
      </c>
      <c r="BI271" s="408">
        <v>0</v>
      </c>
      <c r="BJ271" s="408">
        <v>0</v>
      </c>
      <c r="BK271" s="408">
        <v>0</v>
      </c>
      <c r="BL271" s="408">
        <v>0</v>
      </c>
      <c r="BM271" s="408"/>
      <c r="BN271" s="408"/>
      <c r="BO271" s="408"/>
      <c r="BP271" s="408"/>
      <c r="BQ271" s="408"/>
      <c r="BR271" s="408">
        <v>238.37279400000037</v>
      </c>
      <c r="BS271" s="408"/>
      <c r="BT271" s="408"/>
      <c r="BU271" s="408"/>
      <c r="BV271" s="408">
        <v>3881.4068810431645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5720.1011999999992</v>
      </c>
      <c r="CJ271" s="408">
        <v>435.88391999999931</v>
      </c>
      <c r="CK271" s="408"/>
      <c r="CL271" s="408"/>
      <c r="CM271" s="408"/>
      <c r="CN271" s="408"/>
      <c r="CO271" s="408">
        <v>-22.770450000000118</v>
      </c>
      <c r="CP271" s="408">
        <v>477.72854999999998</v>
      </c>
      <c r="CQ271" s="408">
        <v>30</v>
      </c>
      <c r="CR271" s="408">
        <v>454.75777334446229</v>
      </c>
      <c r="CS271" s="408">
        <v>0</v>
      </c>
      <c r="CT271" s="408">
        <v>0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0</v>
      </c>
      <c r="DA271" s="408">
        <v>0</v>
      </c>
      <c r="DB271" s="408">
        <v>0</v>
      </c>
      <c r="DC271" s="408">
        <v>465.69255493138235</v>
      </c>
      <c r="DD271" s="408">
        <v>13.907181088209484</v>
      </c>
      <c r="DE271" s="408">
        <v>0.53998327530503065</v>
      </c>
      <c r="DF271" s="408">
        <v>0</v>
      </c>
      <c r="DG271" s="408">
        <v>18.081751398937172</v>
      </c>
      <c r="DH271" s="408">
        <v>0</v>
      </c>
      <c r="DI271" s="408">
        <v>-35.052913435335995</v>
      </c>
      <c r="DJ271" s="408"/>
      <c r="DK271" s="408">
        <v>0</v>
      </c>
      <c r="DL271" s="408">
        <v>0</v>
      </c>
      <c r="DM271" s="408">
        <v>-2.0286570971297238</v>
      </c>
      <c r="DN271" s="408">
        <v>0</v>
      </c>
      <c r="DO271" s="408">
        <v>-5.5188017962569234</v>
      </c>
      <c r="DP271" s="408">
        <v>-0.86332502065070926</v>
      </c>
      <c r="DQ271" s="408">
        <v>0</v>
      </c>
      <c r="DR271" s="408">
        <v>0</v>
      </c>
      <c r="DS271" s="408"/>
      <c r="DT271" s="408"/>
      <c r="DU271" s="408"/>
      <c r="DV271" s="408">
        <v>0</v>
      </c>
      <c r="DW271" s="408">
        <v>0</v>
      </c>
      <c r="DX271" s="408">
        <v>0</v>
      </c>
      <c r="DY271" s="408">
        <v>-22.77045000000021</v>
      </c>
      <c r="DZ271" s="408">
        <v>477.72855000000027</v>
      </c>
      <c r="EA271" s="408">
        <v>0</v>
      </c>
      <c r="EB271" s="408">
        <v>0</v>
      </c>
      <c r="EC271" s="408">
        <v>0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239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272</v>
      </c>
      <c r="B272" s="408" t="s">
        <v>1034</v>
      </c>
      <c r="C272" s="408" t="s">
        <v>2241</v>
      </c>
      <c r="D272" s="408" t="s">
        <v>596</v>
      </c>
      <c r="E272" s="408" t="s">
        <v>972</v>
      </c>
      <c r="F272" s="408" t="s">
        <v>1320</v>
      </c>
      <c r="G272" s="408" t="s">
        <v>1320</v>
      </c>
      <c r="H272" s="408" t="s">
        <v>1320</v>
      </c>
      <c r="I272" s="408" t="s">
        <v>1320</v>
      </c>
      <c r="J272" s="408" t="s">
        <v>2234</v>
      </c>
      <c r="K272" s="827">
        <v>44501</v>
      </c>
      <c r="L272" s="408">
        <v>2305</v>
      </c>
      <c r="M272" s="408">
        <v>2212.8000000000002</v>
      </c>
      <c r="N272" s="408">
        <v>0</v>
      </c>
      <c r="O272" s="408">
        <v>0</v>
      </c>
      <c r="P272" s="408">
        <v>0</v>
      </c>
      <c r="Q272" s="408">
        <v>0</v>
      </c>
      <c r="R272" s="408">
        <v>59.12</v>
      </c>
      <c r="S272" s="408"/>
      <c r="T272" s="408"/>
      <c r="U272" s="408">
        <v>136271.6</v>
      </c>
      <c r="V272" s="408"/>
      <c r="W272" s="408">
        <v>136271.6</v>
      </c>
      <c r="X272" s="408">
        <v>78439.150000000009</v>
      </c>
      <c r="Y272" s="408">
        <v>0</v>
      </c>
      <c r="Z272" s="408">
        <v>0</v>
      </c>
      <c r="AA272" s="408">
        <v>0</v>
      </c>
      <c r="AB272" s="408">
        <v>0</v>
      </c>
      <c r="AC272" s="408">
        <v>1318.5991374841371</v>
      </c>
      <c r="AD272" s="408">
        <v>11794.737209899067</v>
      </c>
      <c r="AE272" s="408">
        <v>111012.94381939888</v>
      </c>
      <c r="AF272" s="408"/>
      <c r="AG272" s="408"/>
      <c r="AH272" s="408"/>
      <c r="AI272" s="408">
        <v>0</v>
      </c>
      <c r="AJ272" s="408">
        <v>0</v>
      </c>
      <c r="AK272" s="408">
        <v>0</v>
      </c>
      <c r="AL272" s="408">
        <v>0</v>
      </c>
      <c r="AM272" s="408"/>
      <c r="AN272" s="408">
        <v>0</v>
      </c>
      <c r="AO272" s="408">
        <v>2784.6062266655881</v>
      </c>
      <c r="AP272" s="408">
        <v>9360.5770265659612</v>
      </c>
      <c r="AQ272" s="408">
        <v>0</v>
      </c>
      <c r="AR272" s="408">
        <v>0</v>
      </c>
      <c r="AS272" s="408"/>
      <c r="AT272" s="408"/>
      <c r="AU272" s="408">
        <v>0</v>
      </c>
      <c r="AV272" s="408">
        <v>0</v>
      </c>
      <c r="AW272" s="408">
        <v>0</v>
      </c>
      <c r="AX272" s="408"/>
      <c r="AY272" s="408"/>
      <c r="AZ272" s="408">
        <v>0</v>
      </c>
      <c r="BA272" s="408"/>
      <c r="BB272" s="408">
        <v>0</v>
      </c>
      <c r="BC272" s="408">
        <v>0</v>
      </c>
      <c r="BD272" s="408">
        <v>0</v>
      </c>
      <c r="BE272" s="408">
        <v>0</v>
      </c>
      <c r="BF272" s="408"/>
      <c r="BG272" s="408">
        <v>0</v>
      </c>
      <c r="BH272" s="408">
        <v>0</v>
      </c>
      <c r="BI272" s="408">
        <v>2388.27</v>
      </c>
      <c r="BJ272" s="408">
        <v>11100.48</v>
      </c>
      <c r="BK272" s="408">
        <v>9912.17</v>
      </c>
      <c r="BL272" s="408">
        <v>14</v>
      </c>
      <c r="BM272" s="408"/>
      <c r="BN272" s="408"/>
      <c r="BO272" s="408"/>
      <c r="BP272" s="408"/>
      <c r="BQ272" s="408"/>
      <c r="BR272" s="408">
        <v>3137.5659999999939</v>
      </c>
      <c r="BS272" s="408"/>
      <c r="BT272" s="408"/>
      <c r="BU272" s="408"/>
      <c r="BV272" s="408">
        <v>0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75301.584000000003</v>
      </c>
      <c r="CJ272" s="408">
        <v>-55519.181999999986</v>
      </c>
      <c r="CK272" s="408"/>
      <c r="CL272" s="408"/>
      <c r="CM272" s="408"/>
      <c r="CN272" s="408"/>
      <c r="CO272" s="408">
        <v>-57832.44999999999</v>
      </c>
      <c r="CP272" s="408">
        <v>0</v>
      </c>
      <c r="CQ272" s="408">
        <v>30</v>
      </c>
      <c r="CR272" s="408">
        <v>953.06582000692651</v>
      </c>
      <c r="CS272" s="408">
        <v>270.36767225261474</v>
      </c>
      <c r="CT272" s="408">
        <v>908.85289179448228</v>
      </c>
      <c r="CU272" s="408">
        <v>0</v>
      </c>
      <c r="CV272" s="408">
        <v>0</v>
      </c>
      <c r="CW272" s="408"/>
      <c r="CX272" s="408"/>
      <c r="CY272" s="408"/>
      <c r="CZ272" s="408">
        <v>-226.15474404017186</v>
      </c>
      <c r="DA272" s="408">
        <v>0</v>
      </c>
      <c r="DB272" s="408">
        <v>0</v>
      </c>
      <c r="DC272" s="408"/>
      <c r="DD272" s="408"/>
      <c r="DE272" s="408">
        <v>0</v>
      </c>
      <c r="DF272" s="408">
        <v>0</v>
      </c>
      <c r="DG272" s="408">
        <v>0</v>
      </c>
      <c r="DH272" s="408">
        <v>0</v>
      </c>
      <c r="DI272" s="408">
        <v>0</v>
      </c>
      <c r="DJ272" s="408"/>
      <c r="DK272" s="408">
        <v>0</v>
      </c>
      <c r="DL272" s="408">
        <v>0</v>
      </c>
      <c r="DM272" s="408"/>
      <c r="DN272" s="408">
        <v>0</v>
      </c>
      <c r="DO272" s="408">
        <v>0</v>
      </c>
      <c r="DP272" s="408">
        <v>0</v>
      </c>
      <c r="DQ272" s="408">
        <v>0</v>
      </c>
      <c r="DR272" s="408">
        <v>0</v>
      </c>
      <c r="DS272" s="408"/>
      <c r="DT272" s="408"/>
      <c r="DU272" s="408">
        <v>111012.94381939888</v>
      </c>
      <c r="DV272" s="408"/>
      <c r="DW272" s="408">
        <v>0</v>
      </c>
      <c r="DX272" s="408">
        <v>0</v>
      </c>
      <c r="DY272" s="408">
        <v>-57832.45</v>
      </c>
      <c r="DZ272" s="408"/>
      <c r="EA272" s="408">
        <v>0</v>
      </c>
      <c r="EB272" s="408"/>
      <c r="EC272" s="408">
        <v>-58775.46834854834</v>
      </c>
      <c r="ED272" s="408"/>
      <c r="EE272" s="408">
        <v>0</v>
      </c>
      <c r="EF272" s="408">
        <v>0</v>
      </c>
      <c r="EG272" s="408"/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/>
      <c r="EN272" s="408"/>
      <c r="EO272" s="408">
        <v>0</v>
      </c>
      <c r="EP272" s="408">
        <v>0</v>
      </c>
      <c r="EQ272" s="408"/>
      <c r="ER272" s="408">
        <v>0</v>
      </c>
      <c r="ES272" s="408"/>
      <c r="ET272" s="408">
        <v>0</v>
      </c>
      <c r="EU272" s="408"/>
      <c r="EV272" s="408">
        <v>239</v>
      </c>
      <c r="EW272" s="408"/>
      <c r="EX272" s="408"/>
      <c r="EY272" s="408"/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273</v>
      </c>
      <c r="B273" s="408" t="s">
        <v>2236</v>
      </c>
      <c r="C273" s="408" t="s">
        <v>2241</v>
      </c>
      <c r="D273" s="408" t="s">
        <v>596</v>
      </c>
      <c r="E273" s="408" t="s">
        <v>972</v>
      </c>
      <c r="F273" s="408" t="s">
        <v>1320</v>
      </c>
      <c r="G273" s="408" t="s">
        <v>1320</v>
      </c>
      <c r="H273" s="408" t="s">
        <v>1320</v>
      </c>
      <c r="I273" s="408" t="s">
        <v>1320</v>
      </c>
      <c r="J273" s="408" t="s">
        <v>2234</v>
      </c>
      <c r="K273" s="827">
        <v>44501</v>
      </c>
      <c r="L273" s="408">
        <v>173</v>
      </c>
      <c r="M273" s="408">
        <v>166.07999999999998</v>
      </c>
      <c r="N273" s="408">
        <v>0</v>
      </c>
      <c r="O273" s="408">
        <v>0</v>
      </c>
      <c r="P273" s="408">
        <v>0</v>
      </c>
      <c r="Q273" s="408">
        <v>0</v>
      </c>
      <c r="R273" s="408">
        <v>59.12</v>
      </c>
      <c r="S273" s="408"/>
      <c r="T273" s="408"/>
      <c r="U273" s="408">
        <v>10227.76</v>
      </c>
      <c r="V273" s="408"/>
      <c r="W273" s="408">
        <v>10227.76</v>
      </c>
      <c r="X273" s="408">
        <v>5887.1900000000005</v>
      </c>
      <c r="Y273" s="408">
        <v>0</v>
      </c>
      <c r="Z273" s="408">
        <v>0</v>
      </c>
      <c r="AA273" s="408">
        <v>0</v>
      </c>
      <c r="AB273" s="408">
        <v>0</v>
      </c>
      <c r="AC273" s="408">
        <v>98.966442856726999</v>
      </c>
      <c r="AD273" s="408">
        <v>885.2449185737695</v>
      </c>
      <c r="AE273" s="408">
        <v>8331.9910111739719</v>
      </c>
      <c r="AF273" s="408"/>
      <c r="AG273" s="408"/>
      <c r="AH273" s="408"/>
      <c r="AI273" s="408">
        <v>0</v>
      </c>
      <c r="AJ273" s="408">
        <v>0</v>
      </c>
      <c r="AK273" s="408">
        <v>0</v>
      </c>
      <c r="AL273" s="408">
        <v>0</v>
      </c>
      <c r="AM273" s="408"/>
      <c r="AN273" s="408">
        <v>0</v>
      </c>
      <c r="AO273" s="408">
        <v>208.99647601438039</v>
      </c>
      <c r="AP273" s="408">
        <v>702.55090047544957</v>
      </c>
      <c r="AQ273" s="408">
        <v>0</v>
      </c>
      <c r="AR273" s="408">
        <v>0</v>
      </c>
      <c r="AS273" s="408"/>
      <c r="AT273" s="408"/>
      <c r="AU273" s="408">
        <v>0</v>
      </c>
      <c r="AV273" s="408">
        <v>0</v>
      </c>
      <c r="AW273" s="408">
        <v>0</v>
      </c>
      <c r="AX273" s="408"/>
      <c r="AY273" s="408"/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/>
      <c r="BG273" s="408">
        <v>0</v>
      </c>
      <c r="BH273" s="408">
        <v>0</v>
      </c>
      <c r="BI273" s="408">
        <v>154.22999999999999</v>
      </c>
      <c r="BJ273" s="408">
        <v>716.84</v>
      </c>
      <c r="BK273" s="408">
        <v>8.02</v>
      </c>
      <c r="BL273" s="408">
        <v>1</v>
      </c>
      <c r="BM273" s="408"/>
      <c r="BN273" s="408"/>
      <c r="BO273" s="408"/>
      <c r="BP273" s="408"/>
      <c r="BQ273" s="408"/>
      <c r="BR273" s="408">
        <v>235.48760000000055</v>
      </c>
      <c r="BS273" s="408"/>
      <c r="BT273" s="408"/>
      <c r="BU273" s="408"/>
      <c r="BV273" s="408">
        <v>0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5651.702400000001</v>
      </c>
      <c r="CJ273" s="408">
        <v>-4166.9771999999984</v>
      </c>
      <c r="CK273" s="408"/>
      <c r="CL273" s="408"/>
      <c r="CM273" s="408"/>
      <c r="CN273" s="408"/>
      <c r="CO273" s="408">
        <v>-4340.57</v>
      </c>
      <c r="CP273" s="408">
        <v>0</v>
      </c>
      <c r="CQ273" s="408">
        <v>30</v>
      </c>
      <c r="CR273" s="408">
        <v>71.531621197916593</v>
      </c>
      <c r="CS273" s="408">
        <v>20.292237440217889</v>
      </c>
      <c r="CT273" s="408">
        <v>68.213253917763836</v>
      </c>
      <c r="CU273" s="408">
        <v>0</v>
      </c>
      <c r="CV273" s="408">
        <v>0</v>
      </c>
      <c r="CW273" s="408"/>
      <c r="CX273" s="408"/>
      <c r="CY273" s="408"/>
      <c r="CZ273" s="408">
        <v>-16.973870160065076</v>
      </c>
      <c r="DA273" s="408">
        <v>0</v>
      </c>
      <c r="DB273" s="408">
        <v>0</v>
      </c>
      <c r="DC273" s="408"/>
      <c r="DD273" s="408"/>
      <c r="DE273" s="408">
        <v>0</v>
      </c>
      <c r="DF273" s="408">
        <v>0</v>
      </c>
      <c r="DG273" s="408">
        <v>0</v>
      </c>
      <c r="DH273" s="408">
        <v>0</v>
      </c>
      <c r="DI273" s="408">
        <v>0</v>
      </c>
      <c r="DJ273" s="408"/>
      <c r="DK273" s="408">
        <v>0</v>
      </c>
      <c r="DL273" s="408">
        <v>0</v>
      </c>
      <c r="DM273" s="408"/>
      <c r="DN273" s="408">
        <v>0</v>
      </c>
      <c r="DO273" s="408">
        <v>0</v>
      </c>
      <c r="DP273" s="408">
        <v>0</v>
      </c>
      <c r="DQ273" s="408">
        <v>0</v>
      </c>
      <c r="DR273" s="408">
        <v>0</v>
      </c>
      <c r="DS273" s="408"/>
      <c r="DT273" s="408"/>
      <c r="DU273" s="408">
        <v>8331.9910111739719</v>
      </c>
      <c r="DV273" s="408"/>
      <c r="DW273" s="408">
        <v>0</v>
      </c>
      <c r="DX273" s="408">
        <v>0</v>
      </c>
      <c r="DY273" s="408">
        <v>-4340.57</v>
      </c>
      <c r="DZ273" s="408"/>
      <c r="EA273" s="408">
        <v>0</v>
      </c>
      <c r="EB273" s="408"/>
      <c r="EC273" s="408">
        <v>-4411.3475159647987</v>
      </c>
      <c r="ED273" s="408"/>
      <c r="EE273" s="408">
        <v>0</v>
      </c>
      <c r="EF273" s="408">
        <v>0</v>
      </c>
      <c r="EG273" s="408"/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/>
      <c r="EN273" s="408"/>
      <c r="EO273" s="408">
        <v>0</v>
      </c>
      <c r="EP273" s="408">
        <v>0</v>
      </c>
      <c r="EQ273" s="408"/>
      <c r="ER273" s="408">
        <v>0</v>
      </c>
      <c r="ES273" s="408"/>
      <c r="ET273" s="408">
        <v>0</v>
      </c>
      <c r="EU273" s="408"/>
      <c r="EV273" s="408">
        <v>239</v>
      </c>
      <c r="EW273" s="408"/>
      <c r="EX273" s="408"/>
      <c r="EY273" s="408"/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274</v>
      </c>
      <c r="B274" s="408" t="s">
        <v>1034</v>
      </c>
      <c r="C274" s="408" t="s">
        <v>2233</v>
      </c>
      <c r="D274" s="408" t="s">
        <v>1956</v>
      </c>
      <c r="E274" s="408" t="s">
        <v>2244</v>
      </c>
      <c r="F274" s="408" t="s">
        <v>1320</v>
      </c>
      <c r="G274" s="408" t="s">
        <v>1320</v>
      </c>
      <c r="H274" s="408" t="s">
        <v>1320</v>
      </c>
      <c r="I274" s="408" t="s">
        <v>1320</v>
      </c>
      <c r="J274" s="408" t="s">
        <v>2234</v>
      </c>
      <c r="K274" s="827">
        <v>44501</v>
      </c>
      <c r="L274" s="408">
        <v>0</v>
      </c>
      <c r="M274" s="408">
        <v>0</v>
      </c>
      <c r="N274" s="408">
        <v>199.25399999999999</v>
      </c>
      <c r="O274" s="408">
        <v>199.25399999999999</v>
      </c>
      <c r="P274" s="408">
        <v>199.25399999999999</v>
      </c>
      <c r="Q274" s="408">
        <v>199.25399999999999</v>
      </c>
      <c r="R274" s="408"/>
      <c r="S274" s="408">
        <v>516.83000000000004</v>
      </c>
      <c r="T274" s="408">
        <v>173.82</v>
      </c>
      <c r="U274" s="408"/>
      <c r="V274" s="408">
        <v>137614.7751</v>
      </c>
      <c r="W274" s="408">
        <v>137614.7751</v>
      </c>
      <c r="X274" s="408">
        <v>103900.99829999999</v>
      </c>
      <c r="Y274" s="408">
        <v>0</v>
      </c>
      <c r="Z274" s="408">
        <v>12184.273657609254</v>
      </c>
      <c r="AA274" s="408">
        <v>0</v>
      </c>
      <c r="AB274" s="408">
        <v>0</v>
      </c>
      <c r="AC274" s="408">
        <v>541.66085539942446</v>
      </c>
      <c r="AD274" s="408">
        <v>6859.6400522177382</v>
      </c>
      <c r="AE274" s="408">
        <v>72451.901650145446</v>
      </c>
      <c r="AF274" s="408">
        <v>32064.379195173882</v>
      </c>
      <c r="AG274" s="408">
        <v>1613.1335628308639</v>
      </c>
      <c r="AH274" s="408">
        <v>0</v>
      </c>
      <c r="AI274" s="408">
        <v>0</v>
      </c>
      <c r="AJ274" s="408">
        <v>0</v>
      </c>
      <c r="AK274" s="408">
        <v>0</v>
      </c>
      <c r="AL274" s="408">
        <v>1883.2485150172638</v>
      </c>
      <c r="AM274" s="408"/>
      <c r="AN274" s="408">
        <v>309.15094465670012</v>
      </c>
      <c r="AO274" s="408">
        <v>1155.3750720078529</v>
      </c>
      <c r="AP274" s="408">
        <v>3783.6971406964794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110.54863319810033</v>
      </c>
      <c r="BF274" s="408">
        <v>957.55262399249978</v>
      </c>
      <c r="BG274" s="408">
        <v>3701.805212117355</v>
      </c>
      <c r="BH274" s="408">
        <v>0</v>
      </c>
      <c r="BI274" s="408">
        <v>854.52</v>
      </c>
      <c r="BJ274" s="408">
        <v>3978.61</v>
      </c>
      <c r="BK274" s="408">
        <v>56191.64</v>
      </c>
      <c r="BL274" s="408">
        <v>258</v>
      </c>
      <c r="BM274" s="408"/>
      <c r="BN274" s="408"/>
      <c r="BO274" s="408"/>
      <c r="BP274" s="408"/>
      <c r="BQ274" s="408"/>
      <c r="BR274" s="408"/>
      <c r="BS274" s="408"/>
      <c r="BT274" s="408"/>
      <c r="BU274" s="408"/>
      <c r="BV274" s="408">
        <v>36834.285664481838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103898.91250000001</v>
      </c>
      <c r="CJ274" s="408">
        <v>-33715.892599999992</v>
      </c>
      <c r="CK274" s="408"/>
      <c r="CL274" s="408"/>
      <c r="CM274" s="408"/>
      <c r="CN274" s="408"/>
      <c r="CO274" s="408">
        <v>-37935.96906000001</v>
      </c>
      <c r="CP274" s="408">
        <v>4222.1922599999989</v>
      </c>
      <c r="CQ274" s="408">
        <v>30</v>
      </c>
      <c r="CR274" s="408">
        <v>4643.7896170571767</v>
      </c>
      <c r="CS274" s="408">
        <v>112.17962015818648</v>
      </c>
      <c r="CT274" s="408">
        <v>367.37308803044289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-131.52816485940457</v>
      </c>
      <c r="DA274" s="408">
        <v>0</v>
      </c>
      <c r="DB274" s="408">
        <v>0</v>
      </c>
      <c r="DC274" s="408">
        <v>4115.8174468972138</v>
      </c>
      <c r="DD274" s="408">
        <v>122.91246221113738</v>
      </c>
      <c r="DE274" s="408">
        <v>14.190138860254137</v>
      </c>
      <c r="DF274" s="408">
        <v>0</v>
      </c>
      <c r="DG274" s="408">
        <v>475.16761152014715</v>
      </c>
      <c r="DH274" s="408">
        <v>0</v>
      </c>
      <c r="DI274" s="408">
        <v>-356.09155704653313</v>
      </c>
      <c r="DJ274" s="408"/>
      <c r="DK274" s="408">
        <v>0</v>
      </c>
      <c r="DL274" s="408">
        <v>0</v>
      </c>
      <c r="DM274" s="408">
        <v>-17.929387501950941</v>
      </c>
      <c r="DN274" s="408">
        <v>0</v>
      </c>
      <c r="DO274" s="408">
        <v>-48.775486055062174</v>
      </c>
      <c r="DP274" s="408">
        <v>-9.5261551572575627</v>
      </c>
      <c r="DQ274" s="408">
        <v>0</v>
      </c>
      <c r="DR274" s="408">
        <v>0</v>
      </c>
      <c r="DS274" s="408"/>
      <c r="DT274" s="408"/>
      <c r="DU274" s="408"/>
      <c r="DV274" s="408">
        <v>72451.901650145446</v>
      </c>
      <c r="DW274" s="408">
        <v>0</v>
      </c>
      <c r="DX274" s="408">
        <v>0</v>
      </c>
      <c r="DY274" s="408">
        <v>-37935.96906000001</v>
      </c>
      <c r="DZ274" s="408">
        <v>4222.1922600000034</v>
      </c>
      <c r="EA274" s="408">
        <v>0</v>
      </c>
      <c r="EB274" s="408">
        <v>0</v>
      </c>
      <c r="EC274" s="408">
        <v>-38359.440851852509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239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275</v>
      </c>
      <c r="B275" s="408" t="s">
        <v>2236</v>
      </c>
      <c r="C275" s="408" t="s">
        <v>2233</v>
      </c>
      <c r="D275" s="408" t="s">
        <v>1956</v>
      </c>
      <c r="E275" s="408" t="s">
        <v>2244</v>
      </c>
      <c r="F275" s="408" t="s">
        <v>1320</v>
      </c>
      <c r="G275" s="408" t="s">
        <v>1320</v>
      </c>
      <c r="H275" s="408" t="s">
        <v>1320</v>
      </c>
      <c r="I275" s="408" t="s">
        <v>1320</v>
      </c>
      <c r="J275" s="408" t="s">
        <v>2234</v>
      </c>
      <c r="K275" s="827">
        <v>44501</v>
      </c>
      <c r="L275" s="408">
        <v>0</v>
      </c>
      <c r="M275" s="408">
        <v>0</v>
      </c>
      <c r="N275" s="408">
        <v>0.1</v>
      </c>
      <c r="O275" s="408">
        <v>0.1</v>
      </c>
      <c r="P275" s="408">
        <v>0.1</v>
      </c>
      <c r="Q275" s="408">
        <v>0.1</v>
      </c>
      <c r="R275" s="408"/>
      <c r="S275" s="408">
        <v>516.83000000000004</v>
      </c>
      <c r="T275" s="408">
        <v>173.82</v>
      </c>
      <c r="U275" s="408"/>
      <c r="V275" s="408">
        <v>69.065000000000012</v>
      </c>
      <c r="W275" s="408">
        <v>69.065000000000012</v>
      </c>
      <c r="X275" s="408">
        <v>52.144999999999996</v>
      </c>
      <c r="Y275" s="408">
        <v>0</v>
      </c>
      <c r="Z275" s="408">
        <v>6.1149455758023699</v>
      </c>
      <c r="AA275" s="408">
        <v>0</v>
      </c>
      <c r="AB275" s="408">
        <v>0</v>
      </c>
      <c r="AC275" s="408">
        <v>0.27184440733908705</v>
      </c>
      <c r="AD275" s="408">
        <v>3.4426611522066</v>
      </c>
      <c r="AE275" s="408">
        <v>36.361579516669899</v>
      </c>
      <c r="AF275" s="408">
        <v>16.0922135541439</v>
      </c>
      <c r="AG275" s="408">
        <v>0.80958653920667301</v>
      </c>
      <c r="AH275" s="408">
        <v>0</v>
      </c>
      <c r="AI275" s="408">
        <v>0</v>
      </c>
      <c r="AJ275" s="408">
        <v>0</v>
      </c>
      <c r="AK275" s="408">
        <v>0</v>
      </c>
      <c r="AL275" s="408">
        <v>0.94514966576192405</v>
      </c>
      <c r="AM275" s="408"/>
      <c r="AN275" s="408">
        <v>0.155154197484969</v>
      </c>
      <c r="AO275" s="408">
        <v>0.57985037791354399</v>
      </c>
      <c r="AP275" s="408">
        <v>1.8989315851608901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5.5481261705210609E-2</v>
      </c>
      <c r="BF275" s="408">
        <v>0.48056883374612297</v>
      </c>
      <c r="BG275" s="408">
        <v>1.8578323206145702</v>
      </c>
      <c r="BH275" s="408">
        <v>0</v>
      </c>
      <c r="BI275" s="408">
        <v>0.42</v>
      </c>
      <c r="BJ275" s="408">
        <v>2</v>
      </c>
      <c r="BK275" s="408">
        <v>140.4</v>
      </c>
      <c r="BL275" s="408">
        <v>1</v>
      </c>
      <c r="BM275" s="408"/>
      <c r="BN275" s="408"/>
      <c r="BO275" s="408"/>
      <c r="BP275" s="408"/>
      <c r="BQ275" s="408"/>
      <c r="BR275" s="408"/>
      <c r="BS275" s="408"/>
      <c r="BT275" s="408"/>
      <c r="BU275" s="408"/>
      <c r="BV275" s="408">
        <v>18.486095970209803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52.144999999999996</v>
      </c>
      <c r="CJ275" s="408">
        <v>-16.950000000000017</v>
      </c>
      <c r="CK275" s="408"/>
      <c r="CL275" s="408"/>
      <c r="CM275" s="408"/>
      <c r="CN275" s="408"/>
      <c r="CO275" s="408">
        <v>-19.039000000000005</v>
      </c>
      <c r="CP275" s="408">
        <v>2.1189999999999998</v>
      </c>
      <c r="CQ275" s="408">
        <v>30</v>
      </c>
      <c r="CR275" s="408">
        <v>2.3305879014008113</v>
      </c>
      <c r="CS275" s="408">
        <v>5.6299808364292048E-2</v>
      </c>
      <c r="CT275" s="408">
        <v>0.1843742600050402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-6.6010300851879755E-2</v>
      </c>
      <c r="DA275" s="408">
        <v>0</v>
      </c>
      <c r="DB275" s="408">
        <v>0</v>
      </c>
      <c r="DC275" s="408">
        <v>2.0656134616606003</v>
      </c>
      <c r="DD275" s="408">
        <v>6.1686321083209095E-2</v>
      </c>
      <c r="DE275" s="408">
        <v>7.1216331216709047E-3</v>
      </c>
      <c r="DF275" s="408">
        <v>0</v>
      </c>
      <c r="DG275" s="408">
        <v>0.23847331121088988</v>
      </c>
      <c r="DH275" s="408">
        <v>0</v>
      </c>
      <c r="DI275" s="408">
        <v>-0.17871237568456966</v>
      </c>
      <c r="DJ275" s="408"/>
      <c r="DK275" s="408">
        <v>0</v>
      </c>
      <c r="DL275" s="408">
        <v>0</v>
      </c>
      <c r="DM275" s="408">
        <v>-8.9982572505200586E-3</v>
      </c>
      <c r="DN275" s="408">
        <v>0</v>
      </c>
      <c r="DO275" s="408">
        <v>-2.4479049883597059E-2</v>
      </c>
      <c r="DP275" s="408">
        <v>-4.780910374324987E-3</v>
      </c>
      <c r="DQ275" s="408">
        <v>0</v>
      </c>
      <c r="DR275" s="408">
        <v>0</v>
      </c>
      <c r="DS275" s="408"/>
      <c r="DT275" s="408"/>
      <c r="DU275" s="408"/>
      <c r="DV275" s="408">
        <v>36.361579516669899</v>
      </c>
      <c r="DW275" s="408">
        <v>0</v>
      </c>
      <c r="DX275" s="408">
        <v>0</v>
      </c>
      <c r="DY275" s="408">
        <v>-19.039000000000009</v>
      </c>
      <c r="DZ275" s="408">
        <v>2.1189999999999998</v>
      </c>
      <c r="EA275" s="408">
        <v>0</v>
      </c>
      <c r="EB275" s="408">
        <v>0</v>
      </c>
      <c r="EC275" s="408">
        <v>-19.251528627707597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239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276</v>
      </c>
      <c r="B276" s="408" t="s">
        <v>1034</v>
      </c>
      <c r="C276" s="408" t="s">
        <v>2245</v>
      </c>
      <c r="D276" s="408" t="s">
        <v>596</v>
      </c>
      <c r="E276" s="408" t="s">
        <v>2244</v>
      </c>
      <c r="F276" s="408" t="s">
        <v>1320</v>
      </c>
      <c r="G276" s="408" t="s">
        <v>1320</v>
      </c>
      <c r="H276" s="408" t="s">
        <v>1320</v>
      </c>
      <c r="I276" s="408" t="s">
        <v>971</v>
      </c>
      <c r="J276" s="408" t="s">
        <v>2234</v>
      </c>
      <c r="K276" s="827">
        <v>44501</v>
      </c>
      <c r="L276" s="408">
        <v>563</v>
      </c>
      <c r="M276" s="408">
        <v>563</v>
      </c>
      <c r="N276" s="408">
        <v>24.678999999999998</v>
      </c>
      <c r="O276" s="408">
        <v>24.678999999999998</v>
      </c>
      <c r="P276" s="408">
        <v>24.678999999999998</v>
      </c>
      <c r="Q276" s="408">
        <v>24.678999999999998</v>
      </c>
      <c r="R276" s="408">
        <v>67.099999999999994</v>
      </c>
      <c r="S276" s="408">
        <v>70.33</v>
      </c>
      <c r="T276" s="408">
        <v>173.82</v>
      </c>
      <c r="U276" s="408">
        <v>37777.299999999996</v>
      </c>
      <c r="V276" s="408">
        <v>6025.3778499999999</v>
      </c>
      <c r="W276" s="408">
        <v>43802.677849999993</v>
      </c>
      <c r="X276" s="408">
        <v>30191.92007</v>
      </c>
      <c r="Y276" s="408">
        <v>0</v>
      </c>
      <c r="Z276" s="408">
        <v>1312.9234542274742</v>
      </c>
      <c r="AA276" s="408">
        <v>0</v>
      </c>
      <c r="AB276" s="408">
        <v>0</v>
      </c>
      <c r="AC276" s="408">
        <v>421.35938249346793</v>
      </c>
      <c r="AD276" s="408">
        <v>6427.9022581777299</v>
      </c>
      <c r="AE276" s="408">
        <v>27115.092134629747</v>
      </c>
      <c r="AF276" s="408">
        <v>3971.3973830271725</v>
      </c>
      <c r="AG276" s="408">
        <v>199.79786201081481</v>
      </c>
      <c r="AH276" s="408">
        <v>0</v>
      </c>
      <c r="AI276" s="408">
        <v>0</v>
      </c>
      <c r="AJ276" s="408">
        <v>0</v>
      </c>
      <c r="AK276" s="408">
        <v>0</v>
      </c>
      <c r="AL276" s="408">
        <v>233.25348601338521</v>
      </c>
      <c r="AM276" s="408"/>
      <c r="AN276" s="408">
        <v>30.669350098286117</v>
      </c>
      <c r="AO276" s="408">
        <v>904.91007121287714</v>
      </c>
      <c r="AP276" s="408">
        <v>2909.7513060221718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4.6049440638811223</v>
      </c>
      <c r="BF276" s="408">
        <v>118.59958248020568</v>
      </c>
      <c r="BG276" s="408">
        <v>154.20006058905244</v>
      </c>
      <c r="BH276" s="408">
        <v>0</v>
      </c>
      <c r="BI276" s="408">
        <v>0</v>
      </c>
      <c r="BJ276" s="408">
        <v>0</v>
      </c>
      <c r="BK276" s="408">
        <v>0</v>
      </c>
      <c r="BL276" s="408">
        <v>0</v>
      </c>
      <c r="BM276" s="408"/>
      <c r="BN276" s="408"/>
      <c r="BO276" s="408"/>
      <c r="BP276" s="408"/>
      <c r="BQ276" s="408"/>
      <c r="BR276" s="408"/>
      <c r="BS276" s="408"/>
      <c r="BT276" s="408"/>
      <c r="BU276" s="408"/>
      <c r="BV276" s="408">
        <v>4248.8019701603116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30192.184399999998</v>
      </c>
      <c r="CJ276" s="408">
        <v>-13610.523450000001</v>
      </c>
      <c r="CK276" s="408"/>
      <c r="CL276" s="408"/>
      <c r="CM276" s="408"/>
      <c r="CN276" s="408"/>
      <c r="CO276" s="408">
        <v>-14133.705789999996</v>
      </c>
      <c r="CP276" s="408">
        <v>522.94800999999995</v>
      </c>
      <c r="CQ276" s="408">
        <v>30</v>
      </c>
      <c r="CR276" s="408">
        <v>744.9325165587361</v>
      </c>
      <c r="CS276" s="408">
        <v>87.861050948211414</v>
      </c>
      <c r="CT276" s="408">
        <v>282.51846882683367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-123.24993461431222</v>
      </c>
      <c r="DA276" s="408">
        <v>0</v>
      </c>
      <c r="DB276" s="408">
        <v>0</v>
      </c>
      <c r="DC276" s="408">
        <v>509.77274620321987</v>
      </c>
      <c r="DD276" s="408">
        <v>15.223567180125158</v>
      </c>
      <c r="DE276" s="408">
        <v>0.59109546468187357</v>
      </c>
      <c r="DF276" s="408">
        <v>0</v>
      </c>
      <c r="DG276" s="408">
        <v>19.79328200374232</v>
      </c>
      <c r="DH276" s="408">
        <v>0</v>
      </c>
      <c r="DI276" s="408">
        <v>-38.370851659820573</v>
      </c>
      <c r="DJ276" s="408"/>
      <c r="DK276" s="408">
        <v>0</v>
      </c>
      <c r="DL276" s="408">
        <v>0</v>
      </c>
      <c r="DM276" s="408">
        <v>-2.2206799068558496</v>
      </c>
      <c r="DN276" s="408">
        <v>0</v>
      </c>
      <c r="DO276" s="408">
        <v>-6.0411847207729181</v>
      </c>
      <c r="DP276" s="408">
        <v>-0.94504316631797991</v>
      </c>
      <c r="DQ276" s="408">
        <v>0</v>
      </c>
      <c r="DR276" s="408">
        <v>0</v>
      </c>
      <c r="DS276" s="408"/>
      <c r="DT276" s="408"/>
      <c r="DU276" s="408">
        <v>27115.092134629747</v>
      </c>
      <c r="DV276" s="408">
        <v>0</v>
      </c>
      <c r="DW276" s="408">
        <v>0</v>
      </c>
      <c r="DX276" s="408">
        <v>0</v>
      </c>
      <c r="DY276" s="408">
        <v>-14133.705789999996</v>
      </c>
      <c r="DZ276" s="408">
        <v>522.94801000000007</v>
      </c>
      <c r="EA276" s="408">
        <v>0</v>
      </c>
      <c r="EB276" s="408">
        <v>0</v>
      </c>
      <c r="EC276" s="408">
        <v>-14356.003765827643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239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277</v>
      </c>
      <c r="B277" s="408" t="s">
        <v>1034</v>
      </c>
      <c r="C277" s="408" t="s">
        <v>2245</v>
      </c>
      <c r="D277" s="408" t="s">
        <v>596</v>
      </c>
      <c r="E277" s="408" t="s">
        <v>2244</v>
      </c>
      <c r="F277" s="408" t="s">
        <v>1320</v>
      </c>
      <c r="G277" s="408" t="s">
        <v>1320</v>
      </c>
      <c r="H277" s="408" t="s">
        <v>1320</v>
      </c>
      <c r="I277" s="408" t="s">
        <v>2242</v>
      </c>
      <c r="J277" s="408" t="s">
        <v>2234</v>
      </c>
      <c r="K277" s="827">
        <v>44501</v>
      </c>
      <c r="L277" s="408">
        <v>477</v>
      </c>
      <c r="M277" s="408">
        <v>477</v>
      </c>
      <c r="N277" s="408">
        <v>156.46199999999999</v>
      </c>
      <c r="O277" s="408">
        <v>156.46199999999999</v>
      </c>
      <c r="P277" s="408">
        <v>156.46199999999999</v>
      </c>
      <c r="Q277" s="408">
        <v>156.46199999999999</v>
      </c>
      <c r="R277" s="408">
        <v>59.12</v>
      </c>
      <c r="S277" s="408">
        <v>70.33</v>
      </c>
      <c r="T277" s="408">
        <v>173.82</v>
      </c>
      <c r="U277" s="408">
        <v>28200.239999999998</v>
      </c>
      <c r="V277" s="408">
        <v>38200.197299999993</v>
      </c>
      <c r="W277" s="408">
        <v>66400.437299999991</v>
      </c>
      <c r="X277" s="408">
        <v>57589.910459999999</v>
      </c>
      <c r="Y277" s="408">
        <v>0</v>
      </c>
      <c r="Z277" s="408">
        <v>8323.7825477263686</v>
      </c>
      <c r="AA277" s="408">
        <v>0</v>
      </c>
      <c r="AB277" s="408">
        <v>0</v>
      </c>
      <c r="AC277" s="408">
        <v>272.87279331016634</v>
      </c>
      <c r="AD277" s="408">
        <v>2440.8198043912603</v>
      </c>
      <c r="AE277" s="408">
        <v>22973.177527918986</v>
      </c>
      <c r="AF277" s="408">
        <v>25178.199171084627</v>
      </c>
      <c r="AG277" s="408">
        <v>1266.6952909735444</v>
      </c>
      <c r="AH277" s="408">
        <v>0</v>
      </c>
      <c r="AI277" s="408">
        <v>0</v>
      </c>
      <c r="AJ277" s="408">
        <v>0</v>
      </c>
      <c r="AK277" s="408">
        <v>0</v>
      </c>
      <c r="AL277" s="408">
        <v>1478.8000700444213</v>
      </c>
      <c r="AM277" s="408"/>
      <c r="AN277" s="408">
        <v>194.44012541343014</v>
      </c>
      <c r="AO277" s="408">
        <v>576.2503991841586</v>
      </c>
      <c r="AP277" s="408">
        <v>1937.0912111375114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29.194811707239683</v>
      </c>
      <c r="BF277" s="408">
        <v>751.90760865585889</v>
      </c>
      <c r="BG277" s="408">
        <v>977.61051419767102</v>
      </c>
      <c r="BH277" s="408">
        <v>0</v>
      </c>
      <c r="BI277" s="408">
        <v>0</v>
      </c>
      <c r="BJ277" s="408">
        <v>0</v>
      </c>
      <c r="BK277" s="408">
        <v>0</v>
      </c>
      <c r="BL277" s="408">
        <v>0</v>
      </c>
      <c r="BM277" s="408"/>
      <c r="BN277" s="408"/>
      <c r="BO277" s="408"/>
      <c r="BP277" s="408"/>
      <c r="BQ277" s="408"/>
      <c r="BR277" s="408"/>
      <c r="BS277" s="408"/>
      <c r="BT277" s="408"/>
      <c r="BU277" s="408"/>
      <c r="BV277" s="408">
        <v>26936.912105645395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57589.381800000003</v>
      </c>
      <c r="CJ277" s="408">
        <v>-8811.0854999999865</v>
      </c>
      <c r="CK277" s="408"/>
      <c r="CL277" s="408"/>
      <c r="CM277" s="408"/>
      <c r="CN277" s="408"/>
      <c r="CO277" s="408">
        <v>-12125.956619999999</v>
      </c>
      <c r="CP277" s="408">
        <v>3315.4297799999995</v>
      </c>
      <c r="CQ277" s="408">
        <v>30</v>
      </c>
      <c r="CR277" s="408">
        <v>3353.241700944498</v>
      </c>
      <c r="CS277" s="408">
        <v>55.950273173317555</v>
      </c>
      <c r="CT277" s="408">
        <v>188.07931860562621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-46.800786510699254</v>
      </c>
      <c r="DA277" s="408">
        <v>0</v>
      </c>
      <c r="DB277" s="408">
        <v>0</v>
      </c>
      <c r="DC277" s="408">
        <v>3231.9001343834097</v>
      </c>
      <c r="DD277" s="408">
        <v>96.515651693210543</v>
      </c>
      <c r="DE277" s="408">
        <v>3.7474767452107223</v>
      </c>
      <c r="DF277" s="408">
        <v>0</v>
      </c>
      <c r="DG277" s="408">
        <v>125.48711409982309</v>
      </c>
      <c r="DH277" s="408">
        <v>0</v>
      </c>
      <c r="DI277" s="408">
        <v>-243.26675280193103</v>
      </c>
      <c r="DJ277" s="408"/>
      <c r="DK277" s="408">
        <v>0</v>
      </c>
      <c r="DL277" s="408">
        <v>0</v>
      </c>
      <c r="DM277" s="408">
        <v>-14.078853259308516</v>
      </c>
      <c r="DN277" s="408">
        <v>0</v>
      </c>
      <c r="DO277" s="408">
        <v>-38.300411028873441</v>
      </c>
      <c r="DP277" s="408">
        <v>-5.9914641552917089</v>
      </c>
      <c r="DQ277" s="408">
        <v>0</v>
      </c>
      <c r="DR277" s="408">
        <v>0</v>
      </c>
      <c r="DS277" s="408"/>
      <c r="DT277" s="408"/>
      <c r="DU277" s="408">
        <v>22973.177527918986</v>
      </c>
      <c r="DV277" s="408">
        <v>0</v>
      </c>
      <c r="DW277" s="408">
        <v>0</v>
      </c>
      <c r="DX277" s="408">
        <v>0</v>
      </c>
      <c r="DY277" s="408">
        <v>-12125.956619999997</v>
      </c>
      <c r="DZ277" s="408">
        <v>3315.4297800000022</v>
      </c>
      <c r="EA277" s="408">
        <v>0</v>
      </c>
      <c r="EB277" s="408">
        <v>0</v>
      </c>
      <c r="EC277" s="408">
        <v>-12163.079567139937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239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278</v>
      </c>
      <c r="B278" s="408" t="s">
        <v>1034</v>
      </c>
      <c r="C278" s="408" t="s">
        <v>2245</v>
      </c>
      <c r="D278" s="408" t="s">
        <v>596</v>
      </c>
      <c r="E278" s="408" t="s">
        <v>2244</v>
      </c>
      <c r="F278" s="408" t="s">
        <v>1320</v>
      </c>
      <c r="G278" s="408" t="s">
        <v>1320</v>
      </c>
      <c r="H278" s="408" t="s">
        <v>1320</v>
      </c>
      <c r="I278" s="408" t="s">
        <v>1320</v>
      </c>
      <c r="J278" s="408" t="s">
        <v>2234</v>
      </c>
      <c r="K278" s="827">
        <v>44501</v>
      </c>
      <c r="L278" s="408">
        <v>0</v>
      </c>
      <c r="M278" s="408">
        <v>0</v>
      </c>
      <c r="N278" s="408">
        <v>0</v>
      </c>
      <c r="O278" s="408">
        <v>0</v>
      </c>
      <c r="P278" s="408">
        <v>0</v>
      </c>
      <c r="Q278" s="408">
        <v>0</v>
      </c>
      <c r="R278" s="408"/>
      <c r="S278" s="408"/>
      <c r="T278" s="408"/>
      <c r="U278" s="408"/>
      <c r="V278" s="408"/>
      <c r="W278" s="408"/>
      <c r="X278" s="408"/>
      <c r="Y278" s="408"/>
      <c r="Z278" s="408"/>
      <c r="AA278" s="408">
        <v>0</v>
      </c>
      <c r="AB278" s="408"/>
      <c r="AC278" s="408"/>
      <c r="AD278" s="408"/>
      <c r="AE278" s="408"/>
      <c r="AF278" s="408"/>
      <c r="AG278" s="408"/>
      <c r="AH278" s="408"/>
      <c r="AI278" s="408"/>
      <c r="AJ278" s="408"/>
      <c r="AK278" s="408"/>
      <c r="AL278" s="408"/>
      <c r="AM278" s="408"/>
      <c r="AN278" s="408"/>
      <c r="AO278" s="408"/>
      <c r="AP278" s="408"/>
      <c r="AQ278" s="408"/>
      <c r="AR278" s="408"/>
      <c r="AS278" s="408"/>
      <c r="AT278" s="408"/>
      <c r="AU278" s="408"/>
      <c r="AV278" s="408"/>
      <c r="AW278" s="408"/>
      <c r="AX278" s="408"/>
      <c r="AY278" s="408"/>
      <c r="AZ278" s="408">
        <v>0</v>
      </c>
      <c r="BA278" s="408"/>
      <c r="BB278" s="408"/>
      <c r="BC278" s="408"/>
      <c r="BD278" s="408"/>
      <c r="BE278" s="408"/>
      <c r="BF278" s="408"/>
      <c r="BG278" s="408"/>
      <c r="BH278" s="408"/>
      <c r="BI278" s="408">
        <v>820.46</v>
      </c>
      <c r="BJ278" s="408">
        <v>3813.4</v>
      </c>
      <c r="BK278" s="408">
        <v>0</v>
      </c>
      <c r="BL278" s="408">
        <v>1</v>
      </c>
      <c r="BM278" s="408"/>
      <c r="BN278" s="408"/>
      <c r="BO278" s="408"/>
      <c r="BP278" s="408"/>
      <c r="BQ278" s="408"/>
      <c r="BR278" s="408"/>
      <c r="BS278" s="408"/>
      <c r="BT278" s="408"/>
      <c r="BU278" s="408"/>
      <c r="BV278" s="408"/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/>
      <c r="CJ278" s="408">
        <v>-0.03</v>
      </c>
      <c r="CK278" s="408"/>
      <c r="CL278" s="408"/>
      <c r="CM278" s="408"/>
      <c r="CN278" s="408"/>
      <c r="CO278" s="408">
        <v>0</v>
      </c>
      <c r="CP278" s="408">
        <v>0</v>
      </c>
      <c r="CQ278" s="408">
        <v>30</v>
      </c>
      <c r="CR278" s="408"/>
      <c r="CS278" s="408"/>
      <c r="CT278" s="408"/>
      <c r="CU278" s="408"/>
      <c r="CV278" s="408"/>
      <c r="CW278" s="408"/>
      <c r="CX278" s="408"/>
      <c r="CY278" s="408"/>
      <c r="CZ278" s="408"/>
      <c r="DA278" s="408"/>
      <c r="DB278" s="408"/>
      <c r="DC278" s="408"/>
      <c r="DD278" s="408"/>
      <c r="DE278" s="408"/>
      <c r="DF278" s="408"/>
      <c r="DG278" s="408"/>
      <c r="DH278" s="408"/>
      <c r="DI278" s="408"/>
      <c r="DJ278" s="408"/>
      <c r="DK278" s="408">
        <v>0</v>
      </c>
      <c r="DL278" s="408"/>
      <c r="DM278" s="408"/>
      <c r="DN278" s="408"/>
      <c r="DO278" s="408"/>
      <c r="DP278" s="408"/>
      <c r="DQ278" s="408"/>
      <c r="DR278" s="408"/>
      <c r="DS278" s="408"/>
      <c r="DT278" s="408"/>
      <c r="DU278" s="408"/>
      <c r="DV278" s="408"/>
      <c r="DW278" s="408"/>
      <c r="DX278" s="408"/>
      <c r="DY278" s="408"/>
      <c r="DZ278" s="408"/>
      <c r="EA278" s="408"/>
      <c r="EB278" s="408"/>
      <c r="EC278" s="408"/>
      <c r="ED278" s="408"/>
      <c r="EE278" s="408"/>
      <c r="EF278" s="408"/>
      <c r="EG278" s="408"/>
      <c r="EH278" s="408"/>
      <c r="EI278" s="408"/>
      <c r="EJ278" s="408"/>
      <c r="EK278" s="408"/>
      <c r="EL278" s="408"/>
      <c r="EM278" s="408"/>
      <c r="EN278" s="408"/>
      <c r="EO278" s="408"/>
      <c r="EP278" s="408"/>
      <c r="EQ278" s="408"/>
      <c r="ER278" s="408"/>
      <c r="ES278" s="408"/>
      <c r="ET278" s="408"/>
      <c r="EU278" s="408"/>
      <c r="EV278" s="408">
        <v>239</v>
      </c>
      <c r="EW278" s="408"/>
      <c r="EX278" s="408"/>
      <c r="EY278" s="408"/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279</v>
      </c>
      <c r="B279" s="408" t="s">
        <v>1034</v>
      </c>
      <c r="C279" s="408" t="s">
        <v>2233</v>
      </c>
      <c r="D279" s="408" t="s">
        <v>2246</v>
      </c>
      <c r="E279" s="408" t="s">
        <v>2247</v>
      </c>
      <c r="F279" s="408" t="s">
        <v>2248</v>
      </c>
      <c r="G279" s="408" t="s">
        <v>1320</v>
      </c>
      <c r="H279" s="408" t="s">
        <v>1320</v>
      </c>
      <c r="I279" s="408" t="s">
        <v>1320</v>
      </c>
      <c r="J279" s="408" t="s">
        <v>2234</v>
      </c>
      <c r="K279" s="827">
        <v>44501</v>
      </c>
      <c r="L279" s="408">
        <v>0</v>
      </c>
      <c r="M279" s="408">
        <v>0</v>
      </c>
      <c r="N279" s="408">
        <v>288.93400000000003</v>
      </c>
      <c r="O279" s="408">
        <v>288.93400000000003</v>
      </c>
      <c r="P279" s="408">
        <v>288.93400000000003</v>
      </c>
      <c r="Q279" s="408">
        <v>288.93400000000003</v>
      </c>
      <c r="R279" s="408"/>
      <c r="S279" s="408">
        <v>284.26</v>
      </c>
      <c r="T279" s="408">
        <v>95.6</v>
      </c>
      <c r="U279" s="408"/>
      <c r="V279" s="408">
        <v>109754.46924000001</v>
      </c>
      <c r="W279" s="408">
        <v>109754.46924000001</v>
      </c>
      <c r="X279" s="408">
        <v>82863.381860000009</v>
      </c>
      <c r="Y279" s="408">
        <v>0</v>
      </c>
      <c r="Z279" s="408">
        <v>9717.4862674938704</v>
      </c>
      <c r="AA279" s="408">
        <v>0</v>
      </c>
      <c r="AB279" s="408">
        <v>0</v>
      </c>
      <c r="AC279" s="408">
        <v>431.99800594561515</v>
      </c>
      <c r="AD279" s="408">
        <v>5470.8602154341406</v>
      </c>
      <c r="AE279" s="408">
        <v>57783.531388382129</v>
      </c>
      <c r="AF279" s="408">
        <v>25572.731970791621</v>
      </c>
      <c r="AG279" s="408">
        <v>1286.5439241552745</v>
      </c>
      <c r="AH279" s="408">
        <v>0</v>
      </c>
      <c r="AI279" s="408">
        <v>0</v>
      </c>
      <c r="AJ279" s="408">
        <v>0</v>
      </c>
      <c r="AK279" s="408">
        <v>0</v>
      </c>
      <c r="AL279" s="408">
        <v>1501.9723043999063</v>
      </c>
      <c r="AM279" s="408"/>
      <c r="AN279" s="408">
        <v>246.56127592867193</v>
      </c>
      <c r="AO279" s="408">
        <v>921.46169000639509</v>
      </c>
      <c r="AP279" s="408">
        <v>3017.6624424478227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88.167325782433181</v>
      </c>
      <c r="BF279" s="408">
        <v>763.68971475281376</v>
      </c>
      <c r="BG279" s="408">
        <v>2952.3500804844662</v>
      </c>
      <c r="BH279" s="408">
        <v>0</v>
      </c>
      <c r="BI279" s="408">
        <v>802.18</v>
      </c>
      <c r="BJ279" s="408">
        <v>3728.76</v>
      </c>
      <c r="BK279" s="408">
        <v>32105.62</v>
      </c>
      <c r="BL279" s="408">
        <v>15</v>
      </c>
      <c r="BM279" s="408"/>
      <c r="BN279" s="408"/>
      <c r="BO279" s="408"/>
      <c r="BP279" s="408"/>
      <c r="BQ279" s="408"/>
      <c r="BR279" s="408"/>
      <c r="BS279" s="408"/>
      <c r="BT279" s="408"/>
      <c r="BU279" s="408"/>
      <c r="BV279" s="408">
        <v>29376.939091811335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82862.234700000001</v>
      </c>
      <c r="CJ279" s="408">
        <v>-26892.264539999989</v>
      </c>
      <c r="CK279" s="408"/>
      <c r="CL279" s="408"/>
      <c r="CM279" s="408"/>
      <c r="CN279" s="408"/>
      <c r="CO279" s="408">
        <v>-30257.168480000004</v>
      </c>
      <c r="CP279" s="408">
        <v>3366.0811000000022</v>
      </c>
      <c r="CQ279" s="408">
        <v>30</v>
      </c>
      <c r="CR279" s="408">
        <v>3703.6234658682515</v>
      </c>
      <c r="CS279" s="408">
        <v>89.468108564607064</v>
      </c>
      <c r="CT279" s="408">
        <v>292.99595842162398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-104.89941146484307</v>
      </c>
      <c r="DA279" s="408">
        <v>0</v>
      </c>
      <c r="DB279" s="408">
        <v>0</v>
      </c>
      <c r="DC279" s="408">
        <v>3282.542779622825</v>
      </c>
      <c r="DD279" s="408">
        <v>98.028015227207675</v>
      </c>
      <c r="DE279" s="408">
        <v>11.31725069407274</v>
      </c>
      <c r="DF279" s="408">
        <v>0</v>
      </c>
      <c r="DG279" s="408">
        <v>378.96676235774157</v>
      </c>
      <c r="DH279" s="408">
        <v>0</v>
      </c>
      <c r="DI279" s="408">
        <v>-283.99844855826814</v>
      </c>
      <c r="DJ279" s="408"/>
      <c r="DK279" s="408">
        <v>0</v>
      </c>
      <c r="DL279" s="408">
        <v>0</v>
      </c>
      <c r="DM279" s="408">
        <v>-14.299463532319805</v>
      </c>
      <c r="DN279" s="408">
        <v>0</v>
      </c>
      <c r="DO279" s="408">
        <v>-38.90056389486881</v>
      </c>
      <c r="DP279" s="408">
        <v>-7.5975215695241616</v>
      </c>
      <c r="DQ279" s="408">
        <v>0</v>
      </c>
      <c r="DR279" s="408">
        <v>0</v>
      </c>
      <c r="DS279" s="408"/>
      <c r="DT279" s="408"/>
      <c r="DU279" s="408"/>
      <c r="DV279" s="408">
        <v>57783.531388382129</v>
      </c>
      <c r="DW279" s="408">
        <v>0</v>
      </c>
      <c r="DX279" s="408">
        <v>0</v>
      </c>
      <c r="DY279" s="408">
        <v>-30257.16848</v>
      </c>
      <c r="DZ279" s="408">
        <v>3366.0811000000031</v>
      </c>
      <c r="EA279" s="408">
        <v>0</v>
      </c>
      <c r="EB279" s="408">
        <v>0</v>
      </c>
      <c r="EC279" s="408">
        <v>-30593.316448849288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239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280</v>
      </c>
      <c r="B280" s="408" t="s">
        <v>1034</v>
      </c>
      <c r="C280" s="408" t="s">
        <v>2233</v>
      </c>
      <c r="D280" s="408" t="s">
        <v>1956</v>
      </c>
      <c r="E280" s="408" t="s">
        <v>999</v>
      </c>
      <c r="F280" s="408" t="s">
        <v>2249</v>
      </c>
      <c r="G280" s="408" t="s">
        <v>1320</v>
      </c>
      <c r="H280" s="408" t="s">
        <v>1320</v>
      </c>
      <c r="I280" s="408" t="s">
        <v>1320</v>
      </c>
      <c r="J280" s="408" t="s">
        <v>2234</v>
      </c>
      <c r="K280" s="827">
        <v>44501</v>
      </c>
      <c r="L280" s="408">
        <v>0</v>
      </c>
      <c r="M280" s="408">
        <v>0</v>
      </c>
      <c r="N280" s="408">
        <v>9.9659999999999993</v>
      </c>
      <c r="O280" s="408">
        <v>9.3680400000000006</v>
      </c>
      <c r="P280" s="408">
        <v>9.9659999999999993</v>
      </c>
      <c r="Q280" s="408">
        <v>9.3680400000000006</v>
      </c>
      <c r="R280" s="408"/>
      <c r="S280" s="408">
        <v>516.83000000000004</v>
      </c>
      <c r="T280" s="408">
        <v>173.82</v>
      </c>
      <c r="U280" s="408"/>
      <c r="V280" s="408">
        <v>6883.0178999999998</v>
      </c>
      <c r="W280" s="408">
        <v>6883.0178999999998</v>
      </c>
      <c r="X280" s="408">
        <v>5196.7706999999991</v>
      </c>
      <c r="Y280" s="408">
        <v>0</v>
      </c>
      <c r="Z280" s="408">
        <v>609.4154760844641</v>
      </c>
      <c r="AA280" s="408">
        <v>0</v>
      </c>
      <c r="AB280" s="408">
        <v>0</v>
      </c>
      <c r="AC280" s="408">
        <v>27.092013635413409</v>
      </c>
      <c r="AD280" s="408">
        <v>343.09561042890971</v>
      </c>
      <c r="AE280" s="408">
        <v>3623.7950146313219</v>
      </c>
      <c r="AF280" s="408">
        <v>1603.7500028059808</v>
      </c>
      <c r="AG280" s="408">
        <v>80.683394497337019</v>
      </c>
      <c r="AH280" s="408">
        <v>0</v>
      </c>
      <c r="AI280" s="408">
        <v>0</v>
      </c>
      <c r="AJ280" s="408">
        <v>0</v>
      </c>
      <c r="AK280" s="408">
        <v>0</v>
      </c>
      <c r="AL280" s="408">
        <v>94.193615689833337</v>
      </c>
      <c r="AM280" s="408"/>
      <c r="AN280" s="408">
        <v>15.462667321352008</v>
      </c>
      <c r="AO280" s="408">
        <v>57.787888662863793</v>
      </c>
      <c r="AP280" s="408">
        <v>189.2475217771343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0</v>
      </c>
      <c r="BE280" s="408">
        <v>5.5292625415412884</v>
      </c>
      <c r="BF280" s="408">
        <v>47.893489971138614</v>
      </c>
      <c r="BG280" s="408">
        <v>185.15156907244804</v>
      </c>
      <c r="BH280" s="408">
        <v>0</v>
      </c>
      <c r="BI280" s="408">
        <v>42.64</v>
      </c>
      <c r="BJ280" s="408">
        <v>198.46</v>
      </c>
      <c r="BK280" s="408">
        <v>2929.05</v>
      </c>
      <c r="BL280" s="408">
        <v>7</v>
      </c>
      <c r="BM280" s="408"/>
      <c r="BN280" s="408"/>
      <c r="BO280" s="408"/>
      <c r="BP280" s="408"/>
      <c r="BQ280" s="408">
        <v>311.80624199999932</v>
      </c>
      <c r="BR280" s="408"/>
      <c r="BS280" s="408"/>
      <c r="BT280" s="408"/>
      <c r="BU280" s="408"/>
      <c r="BV280" s="408">
        <v>1842.3243243911088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4885.9864999999991</v>
      </c>
      <c r="CJ280" s="408">
        <v>-1584.080326000003</v>
      </c>
      <c r="CK280" s="408"/>
      <c r="CL280" s="408"/>
      <c r="CM280" s="408"/>
      <c r="CN280" s="408"/>
      <c r="CO280" s="408">
        <v>-1897.4267400000003</v>
      </c>
      <c r="CP280" s="408">
        <v>211.17953999999997</v>
      </c>
      <c r="CQ280" s="408">
        <v>30</v>
      </c>
      <c r="CR280" s="408">
        <v>232.26639025360555</v>
      </c>
      <c r="CS280" s="408">
        <v>5.610838901585339</v>
      </c>
      <c r="CT280" s="408">
        <v>18.374738752102274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-6.5785865828983106</v>
      </c>
      <c r="DA280" s="408">
        <v>0</v>
      </c>
      <c r="DB280" s="408">
        <v>0</v>
      </c>
      <c r="DC280" s="408">
        <v>205.85903758909558</v>
      </c>
      <c r="DD280" s="408">
        <v>6.1476587591526126</v>
      </c>
      <c r="DE280" s="408">
        <v>0.70974195690572195</v>
      </c>
      <c r="DF280" s="408">
        <v>0</v>
      </c>
      <c r="DG280" s="408">
        <v>23.766250195277308</v>
      </c>
      <c r="DH280" s="408">
        <v>0</v>
      </c>
      <c r="DI280" s="408">
        <v>-17.81047536072424</v>
      </c>
      <c r="DJ280" s="408"/>
      <c r="DK280" s="408">
        <v>0</v>
      </c>
      <c r="DL280" s="408">
        <v>0</v>
      </c>
      <c r="DM280" s="408">
        <v>-0.8967663175868239</v>
      </c>
      <c r="DN280" s="408">
        <v>0</v>
      </c>
      <c r="DO280" s="408">
        <v>-2.4395821113992753</v>
      </c>
      <c r="DP280" s="408">
        <v>-0.47646552790522811</v>
      </c>
      <c r="DQ280" s="408">
        <v>0</v>
      </c>
      <c r="DR280" s="408">
        <v>0</v>
      </c>
      <c r="DS280" s="408"/>
      <c r="DT280" s="408"/>
      <c r="DU280" s="408"/>
      <c r="DV280" s="408">
        <v>3623.7950146313219</v>
      </c>
      <c r="DW280" s="408">
        <v>0</v>
      </c>
      <c r="DX280" s="408">
        <v>0</v>
      </c>
      <c r="DY280" s="408">
        <v>-1897.4267400000003</v>
      </c>
      <c r="DZ280" s="408">
        <v>211.17953999999986</v>
      </c>
      <c r="EA280" s="408">
        <v>0</v>
      </c>
      <c r="EB280" s="408">
        <v>0</v>
      </c>
      <c r="EC280" s="408">
        <v>-1918.6073430373392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239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281</v>
      </c>
      <c r="B281" s="408" t="s">
        <v>1034</v>
      </c>
      <c r="C281" s="408" t="s">
        <v>2245</v>
      </c>
      <c r="D281" s="408" t="s">
        <v>596</v>
      </c>
      <c r="E281" s="408" t="s">
        <v>999</v>
      </c>
      <c r="F281" s="408" t="s">
        <v>2249</v>
      </c>
      <c r="G281" s="408" t="s">
        <v>1320</v>
      </c>
      <c r="H281" s="408" t="s">
        <v>1320</v>
      </c>
      <c r="I281" s="408" t="s">
        <v>971</v>
      </c>
      <c r="J281" s="408" t="s">
        <v>2234</v>
      </c>
      <c r="K281" s="827">
        <v>44501</v>
      </c>
      <c r="L281" s="408">
        <v>100</v>
      </c>
      <c r="M281" s="408">
        <v>94</v>
      </c>
      <c r="N281" s="408">
        <v>3.3929999999999998</v>
      </c>
      <c r="O281" s="408">
        <v>3.1894200000000001</v>
      </c>
      <c r="P281" s="408">
        <v>3.3929999999999998</v>
      </c>
      <c r="Q281" s="408">
        <v>3.1894200000000001</v>
      </c>
      <c r="R281" s="408">
        <v>67.099999999999994</v>
      </c>
      <c r="S281" s="408">
        <v>70.33</v>
      </c>
      <c r="T281" s="408">
        <v>173.82</v>
      </c>
      <c r="U281" s="408">
        <v>6709.9999999999991</v>
      </c>
      <c r="V281" s="408">
        <v>828.40094999999997</v>
      </c>
      <c r="W281" s="408">
        <v>7538.4009499999993</v>
      </c>
      <c r="X281" s="408">
        <v>5100.8716899999999</v>
      </c>
      <c r="Y281" s="408">
        <v>0</v>
      </c>
      <c r="Z281" s="408">
        <v>180.50768994666799</v>
      </c>
      <c r="AA281" s="408">
        <v>0</v>
      </c>
      <c r="AB281" s="408">
        <v>0</v>
      </c>
      <c r="AC281" s="408">
        <v>74.841808613404609</v>
      </c>
      <c r="AD281" s="408">
        <v>1141.7233140635399</v>
      </c>
      <c r="AE281" s="408">
        <v>4816.1797752450702</v>
      </c>
      <c r="AF281" s="408">
        <v>546.00880589210249</v>
      </c>
      <c r="AG281" s="408">
        <v>27.469271275282409</v>
      </c>
      <c r="AH281" s="408">
        <v>0</v>
      </c>
      <c r="AI281" s="408">
        <v>0</v>
      </c>
      <c r="AJ281" s="408">
        <v>0</v>
      </c>
      <c r="AK281" s="408">
        <v>0</v>
      </c>
      <c r="AL281" s="408">
        <v>32.068928159302075</v>
      </c>
      <c r="AM281" s="408"/>
      <c r="AN281" s="408">
        <v>4.2165851486480328</v>
      </c>
      <c r="AO281" s="408">
        <v>160.73003041081299</v>
      </c>
      <c r="AP281" s="408">
        <v>516.82971687782799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0.63311216859470187</v>
      </c>
      <c r="BF281" s="408">
        <v>16.30570052900595</v>
      </c>
      <c r="BG281" s="408">
        <v>21.200243347731064</v>
      </c>
      <c r="BH281" s="408">
        <v>0</v>
      </c>
      <c r="BI281" s="408">
        <v>0</v>
      </c>
      <c r="BJ281" s="408">
        <v>0</v>
      </c>
      <c r="BK281" s="408">
        <v>0</v>
      </c>
      <c r="BL281" s="408">
        <v>0</v>
      </c>
      <c r="BM281" s="408"/>
      <c r="BN281" s="408"/>
      <c r="BO281" s="408"/>
      <c r="BP281" s="408"/>
      <c r="BQ281" s="408">
        <v>306.05230139999992</v>
      </c>
      <c r="BR281" s="408"/>
      <c r="BS281" s="408"/>
      <c r="BT281" s="408"/>
      <c r="BU281" s="408"/>
      <c r="BV281" s="408">
        <v>584.1478619374343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4794.9727000000003</v>
      </c>
      <c r="CJ281" s="408">
        <v>-2291.1541929999994</v>
      </c>
      <c r="CK281" s="408"/>
      <c r="CL281" s="408"/>
      <c r="CM281" s="408"/>
      <c r="CN281" s="408"/>
      <c r="CO281" s="408">
        <v>-2509.4269299999996</v>
      </c>
      <c r="CP281" s="408">
        <v>71.897669999999991</v>
      </c>
      <c r="CQ281" s="408">
        <v>30</v>
      </c>
      <c r="CR281" s="408">
        <v>112.3357216174395</v>
      </c>
      <c r="CS281" s="408">
        <v>15.60587050589902</v>
      </c>
      <c r="CT281" s="408">
        <v>50.180900324482081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-21.891640251209992</v>
      </c>
      <c r="DA281" s="408">
        <v>0</v>
      </c>
      <c r="DB281" s="408">
        <v>0</v>
      </c>
      <c r="DC281" s="408">
        <v>70.086264754144167</v>
      </c>
      <c r="DD281" s="408">
        <v>2.0930168743532853</v>
      </c>
      <c r="DE281" s="408">
        <v>8.1266944027942767E-2</v>
      </c>
      <c r="DF281" s="408">
        <v>0</v>
      </c>
      <c r="DG281" s="408">
        <v>2.7212855398799682</v>
      </c>
      <c r="DH281" s="408">
        <v>0</v>
      </c>
      <c r="DI281" s="408">
        <v>-5.2754284890705208</v>
      </c>
      <c r="DJ281" s="408"/>
      <c r="DK281" s="408">
        <v>0</v>
      </c>
      <c r="DL281" s="408">
        <v>0</v>
      </c>
      <c r="DM281" s="408">
        <v>-0.30531086851014066</v>
      </c>
      <c r="DN281" s="408">
        <v>0</v>
      </c>
      <c r="DO281" s="408">
        <v>-0.83057416255044458</v>
      </c>
      <c r="DP281" s="408">
        <v>-0.12992955400611539</v>
      </c>
      <c r="DQ281" s="408">
        <v>0</v>
      </c>
      <c r="DR281" s="408">
        <v>0</v>
      </c>
      <c r="DS281" s="408"/>
      <c r="DT281" s="408"/>
      <c r="DU281" s="408">
        <v>4816.1797752450702</v>
      </c>
      <c r="DV281" s="408">
        <v>0</v>
      </c>
      <c r="DW281" s="408">
        <v>0</v>
      </c>
      <c r="DX281" s="408">
        <v>0</v>
      </c>
      <c r="DY281" s="408">
        <v>-2509.4269299999987</v>
      </c>
      <c r="DZ281" s="408">
        <v>71.897669999999948</v>
      </c>
      <c r="EA281" s="408">
        <v>0</v>
      </c>
      <c r="EB281" s="408">
        <v>0</v>
      </c>
      <c r="EC281" s="408">
        <v>-2549.9118589391901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0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239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282</v>
      </c>
      <c r="B282" s="408" t="s">
        <v>1034</v>
      </c>
      <c r="C282" s="408" t="s">
        <v>2245</v>
      </c>
      <c r="D282" s="408" t="s">
        <v>596</v>
      </c>
      <c r="E282" s="408" t="s">
        <v>999</v>
      </c>
      <c r="F282" s="408" t="s">
        <v>2249</v>
      </c>
      <c r="G282" s="408" t="s">
        <v>1320</v>
      </c>
      <c r="H282" s="408" t="s">
        <v>1320</v>
      </c>
      <c r="I282" s="408" t="s">
        <v>2242</v>
      </c>
      <c r="J282" s="408" t="s">
        <v>2234</v>
      </c>
      <c r="K282" s="827">
        <v>44501</v>
      </c>
      <c r="L282" s="408">
        <v>100</v>
      </c>
      <c r="M282" s="408">
        <v>94</v>
      </c>
      <c r="N282" s="408">
        <v>33.103000000000002</v>
      </c>
      <c r="O282" s="408">
        <v>31.116820000000001</v>
      </c>
      <c r="P282" s="408">
        <v>33.103000000000002</v>
      </c>
      <c r="Q282" s="408">
        <v>31.116820000000001</v>
      </c>
      <c r="R282" s="408">
        <v>59.12</v>
      </c>
      <c r="S282" s="408">
        <v>70.33</v>
      </c>
      <c r="T282" s="408">
        <v>173.82</v>
      </c>
      <c r="U282" s="408">
        <v>5912</v>
      </c>
      <c r="V282" s="408">
        <v>8082.0974500000002</v>
      </c>
      <c r="W282" s="408">
        <v>13994.097450000001</v>
      </c>
      <c r="X282" s="408">
        <v>12153.11599</v>
      </c>
      <c r="Y282" s="408">
        <v>0</v>
      </c>
      <c r="Z282" s="408">
        <v>1761.0804775433396</v>
      </c>
      <c r="AA282" s="408">
        <v>0</v>
      </c>
      <c r="AB282" s="408">
        <v>0</v>
      </c>
      <c r="AC282" s="408">
        <v>57.206036333368203</v>
      </c>
      <c r="AD282" s="408">
        <v>511.70226507154302</v>
      </c>
      <c r="AE282" s="408">
        <v>4816.1797752450702</v>
      </c>
      <c r="AF282" s="408">
        <v>5327.0054528282553</v>
      </c>
      <c r="AG282" s="408">
        <v>267.99743207358495</v>
      </c>
      <c r="AH282" s="408">
        <v>0</v>
      </c>
      <c r="AI282" s="408">
        <v>0</v>
      </c>
      <c r="AJ282" s="408">
        <v>0</v>
      </c>
      <c r="AK282" s="408">
        <v>0</v>
      </c>
      <c r="AL282" s="408">
        <v>312.87289385716969</v>
      </c>
      <c r="AM282" s="408"/>
      <c r="AN282" s="408">
        <v>41.138113225963991</v>
      </c>
      <c r="AO282" s="408">
        <v>120.807211569006</v>
      </c>
      <c r="AP282" s="408">
        <v>406.098786401994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6.1768087583231415</v>
      </c>
      <c r="BF282" s="408">
        <v>159.0827010349791</v>
      </c>
      <c r="BG282" s="408">
        <v>206.83514752135028</v>
      </c>
      <c r="BH282" s="408">
        <v>0</v>
      </c>
      <c r="BI282" s="408">
        <v>0</v>
      </c>
      <c r="BJ282" s="408">
        <v>0</v>
      </c>
      <c r="BK282" s="408">
        <v>0</v>
      </c>
      <c r="BL282" s="408">
        <v>0</v>
      </c>
      <c r="BM282" s="408"/>
      <c r="BN282" s="408"/>
      <c r="BO282" s="408"/>
      <c r="BP282" s="408"/>
      <c r="BQ282" s="408">
        <v>729.18695940000021</v>
      </c>
      <c r="BR282" s="408"/>
      <c r="BS282" s="408"/>
      <c r="BT282" s="408"/>
      <c r="BU282" s="408"/>
      <c r="BV282" s="408">
        <v>5699.1001101429083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11424.7696</v>
      </c>
      <c r="CJ282" s="408">
        <v>-1729.7120029999987</v>
      </c>
      <c r="CK282" s="408"/>
      <c r="CL282" s="408"/>
      <c r="CM282" s="408"/>
      <c r="CN282" s="408"/>
      <c r="CO282" s="408">
        <v>-2542.4340299999999</v>
      </c>
      <c r="CP282" s="408">
        <v>701.45256999999992</v>
      </c>
      <c r="CQ282" s="408">
        <v>30</v>
      </c>
      <c r="CR282" s="408">
        <v>709.07215672122402</v>
      </c>
      <c r="CS282" s="408">
        <v>11.729617017467007</v>
      </c>
      <c r="CT282" s="408">
        <v>39.429626542059964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-9.8114856416560201</v>
      </c>
      <c r="DA282" s="408">
        <v>0</v>
      </c>
      <c r="DB282" s="408">
        <v>0</v>
      </c>
      <c r="DC282" s="408">
        <v>683.78002421350902</v>
      </c>
      <c r="DD282" s="408">
        <v>20.420022868174698</v>
      </c>
      <c r="DE282" s="408">
        <v>0.79286167054435275</v>
      </c>
      <c r="DF282" s="408">
        <v>0</v>
      </c>
      <c r="DG282" s="408">
        <v>26.549577137237435</v>
      </c>
      <c r="DH282" s="408">
        <v>0</v>
      </c>
      <c r="DI282" s="408">
        <v>-51.468467218892101</v>
      </c>
      <c r="DJ282" s="408"/>
      <c r="DK282" s="408">
        <v>0</v>
      </c>
      <c r="DL282" s="408">
        <v>0</v>
      </c>
      <c r="DM282" s="408">
        <v>-2.9786930976396206</v>
      </c>
      <c r="DN282" s="408">
        <v>0</v>
      </c>
      <c r="DO282" s="408">
        <v>-8.1032998829671214</v>
      </c>
      <c r="DP282" s="408">
        <v>-1.2676268866090226</v>
      </c>
      <c r="DQ282" s="408">
        <v>0</v>
      </c>
      <c r="DR282" s="408">
        <v>0</v>
      </c>
      <c r="DS282" s="408"/>
      <c r="DT282" s="408"/>
      <c r="DU282" s="408">
        <v>4816.1797752450702</v>
      </c>
      <c r="DV282" s="408">
        <v>0</v>
      </c>
      <c r="DW282" s="408">
        <v>0</v>
      </c>
      <c r="DX282" s="408">
        <v>0</v>
      </c>
      <c r="DY282" s="408">
        <v>-2542.4340300000003</v>
      </c>
      <c r="DZ282" s="408">
        <v>701.45257000000038</v>
      </c>
      <c r="EA282" s="408">
        <v>0</v>
      </c>
      <c r="EB282" s="408">
        <v>0</v>
      </c>
      <c r="EC282" s="408">
        <v>-2549.9118589391901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239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283</v>
      </c>
      <c r="B283" s="408" t="s">
        <v>1034</v>
      </c>
      <c r="C283" s="408" t="s">
        <v>2245</v>
      </c>
      <c r="D283" s="408" t="s">
        <v>596</v>
      </c>
      <c r="E283" s="408" t="s">
        <v>999</v>
      </c>
      <c r="F283" s="408" t="s">
        <v>2249</v>
      </c>
      <c r="G283" s="408" t="s">
        <v>1320</v>
      </c>
      <c r="H283" s="408" t="s">
        <v>1320</v>
      </c>
      <c r="I283" s="408" t="s">
        <v>1320</v>
      </c>
      <c r="J283" s="408" t="s">
        <v>2234</v>
      </c>
      <c r="K283" s="827">
        <v>44501</v>
      </c>
      <c r="L283" s="408">
        <v>0</v>
      </c>
      <c r="M283" s="408">
        <v>0</v>
      </c>
      <c r="N283" s="408">
        <v>0</v>
      </c>
      <c r="O283" s="408">
        <v>0</v>
      </c>
      <c r="P283" s="408">
        <v>0</v>
      </c>
      <c r="Q283" s="408">
        <v>0</v>
      </c>
      <c r="R283" s="408"/>
      <c r="S283" s="408"/>
      <c r="T283" s="408"/>
      <c r="U283" s="408"/>
      <c r="V283" s="408"/>
      <c r="W283" s="408"/>
      <c r="X283" s="408"/>
      <c r="Y283" s="408"/>
      <c r="Z283" s="408"/>
      <c r="AA283" s="408">
        <v>0</v>
      </c>
      <c r="AB283" s="408"/>
      <c r="AC283" s="408"/>
      <c r="AD283" s="408"/>
      <c r="AE283" s="408"/>
      <c r="AF283" s="408"/>
      <c r="AG283" s="408"/>
      <c r="AH283" s="408"/>
      <c r="AI283" s="408"/>
      <c r="AJ283" s="408"/>
      <c r="AK283" s="408"/>
      <c r="AL283" s="408"/>
      <c r="AM283" s="408"/>
      <c r="AN283" s="408"/>
      <c r="AO283" s="408"/>
      <c r="AP283" s="408"/>
      <c r="AQ283" s="408"/>
      <c r="AR283" s="408"/>
      <c r="AS283" s="408"/>
      <c r="AT283" s="408"/>
      <c r="AU283" s="408"/>
      <c r="AV283" s="408"/>
      <c r="AW283" s="408"/>
      <c r="AX283" s="408"/>
      <c r="AY283" s="408"/>
      <c r="AZ283" s="408">
        <v>0</v>
      </c>
      <c r="BA283" s="408"/>
      <c r="BB283" s="408"/>
      <c r="BC283" s="408"/>
      <c r="BD283" s="408"/>
      <c r="BE283" s="408"/>
      <c r="BF283" s="408"/>
      <c r="BG283" s="408"/>
      <c r="BH283" s="408"/>
      <c r="BI283" s="408">
        <v>145.28</v>
      </c>
      <c r="BJ283" s="408">
        <v>675.27</v>
      </c>
      <c r="BK283" s="408">
        <v>9629.32</v>
      </c>
      <c r="BL283" s="408">
        <v>1</v>
      </c>
      <c r="BM283" s="408"/>
      <c r="BN283" s="408"/>
      <c r="BO283" s="408"/>
      <c r="BP283" s="408"/>
      <c r="BQ283" s="408"/>
      <c r="BR283" s="408"/>
      <c r="BS283" s="408"/>
      <c r="BT283" s="408"/>
      <c r="BU283" s="408"/>
      <c r="BV283" s="408"/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/>
      <c r="CJ283" s="408">
        <v>-0.03</v>
      </c>
      <c r="CK283" s="408"/>
      <c r="CL283" s="408"/>
      <c r="CM283" s="408"/>
      <c r="CN283" s="408"/>
      <c r="CO283" s="408">
        <v>0</v>
      </c>
      <c r="CP283" s="408">
        <v>0</v>
      </c>
      <c r="CQ283" s="408">
        <v>30</v>
      </c>
      <c r="CR283" s="408"/>
      <c r="CS283" s="408"/>
      <c r="CT283" s="408"/>
      <c r="CU283" s="408"/>
      <c r="CV283" s="408"/>
      <c r="CW283" s="408"/>
      <c r="CX283" s="408"/>
      <c r="CY283" s="408"/>
      <c r="CZ283" s="408"/>
      <c r="DA283" s="408"/>
      <c r="DB283" s="408"/>
      <c r="DC283" s="408"/>
      <c r="DD283" s="408"/>
      <c r="DE283" s="408"/>
      <c r="DF283" s="408"/>
      <c r="DG283" s="408"/>
      <c r="DH283" s="408"/>
      <c r="DI283" s="408"/>
      <c r="DJ283" s="408"/>
      <c r="DK283" s="408">
        <v>0</v>
      </c>
      <c r="DL283" s="408"/>
      <c r="DM283" s="408"/>
      <c r="DN283" s="408"/>
      <c r="DO283" s="408"/>
      <c r="DP283" s="408"/>
      <c r="DQ283" s="408"/>
      <c r="DR283" s="408"/>
      <c r="DS283" s="408"/>
      <c r="DT283" s="408"/>
      <c r="DU283" s="408"/>
      <c r="DV283" s="408"/>
      <c r="DW283" s="408"/>
      <c r="DX283" s="408"/>
      <c r="DY283" s="408"/>
      <c r="DZ283" s="408"/>
      <c r="EA283" s="408"/>
      <c r="EB283" s="408"/>
      <c r="EC283" s="408"/>
      <c r="ED283" s="408"/>
      <c r="EE283" s="408"/>
      <c r="EF283" s="408"/>
      <c r="EG283" s="408"/>
      <c r="EH283" s="408"/>
      <c r="EI283" s="408"/>
      <c r="EJ283" s="408"/>
      <c r="EK283" s="408"/>
      <c r="EL283" s="408"/>
      <c r="EM283" s="408"/>
      <c r="EN283" s="408"/>
      <c r="EO283" s="408"/>
      <c r="EP283" s="408"/>
      <c r="EQ283" s="408"/>
      <c r="ER283" s="408"/>
      <c r="ES283" s="408"/>
      <c r="ET283" s="408"/>
      <c r="EU283" s="408"/>
      <c r="EV283" s="408">
        <v>239</v>
      </c>
      <c r="EW283" s="408"/>
      <c r="EX283" s="408"/>
      <c r="EY283" s="408"/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284</v>
      </c>
      <c r="B284" s="408" t="s">
        <v>1034</v>
      </c>
      <c r="C284" s="408" t="s">
        <v>2233</v>
      </c>
      <c r="D284" s="408" t="s">
        <v>1956</v>
      </c>
      <c r="E284" s="408" t="s">
        <v>2250</v>
      </c>
      <c r="F284" s="408" t="s">
        <v>1320</v>
      </c>
      <c r="G284" s="408" t="s">
        <v>1320</v>
      </c>
      <c r="H284" s="408" t="s">
        <v>1320</v>
      </c>
      <c r="I284" s="408" t="s">
        <v>1320</v>
      </c>
      <c r="J284" s="408" t="s">
        <v>2234</v>
      </c>
      <c r="K284" s="827">
        <v>44501</v>
      </c>
      <c r="L284" s="408">
        <v>0</v>
      </c>
      <c r="M284" s="408">
        <v>0</v>
      </c>
      <c r="N284" s="408">
        <v>1.071</v>
      </c>
      <c r="O284" s="408">
        <v>1.071</v>
      </c>
      <c r="P284" s="408">
        <v>1.071</v>
      </c>
      <c r="Q284" s="408">
        <v>1.071</v>
      </c>
      <c r="R284" s="408"/>
      <c r="S284" s="408">
        <v>516.83000000000004</v>
      </c>
      <c r="T284" s="408">
        <v>173.82</v>
      </c>
      <c r="U284" s="408"/>
      <c r="V284" s="408">
        <v>739.68615</v>
      </c>
      <c r="W284" s="408">
        <v>739.68615</v>
      </c>
      <c r="X284" s="408">
        <v>558.47294999999997</v>
      </c>
      <c r="Y284" s="408">
        <v>0</v>
      </c>
      <c r="Z284" s="408">
        <v>65.491067116843382</v>
      </c>
      <c r="AA284" s="408">
        <v>0</v>
      </c>
      <c r="AB284" s="408">
        <v>0</v>
      </c>
      <c r="AC284" s="408">
        <v>2.9114536026016218</v>
      </c>
      <c r="AD284" s="408">
        <v>36.870900940132678</v>
      </c>
      <c r="AE284" s="408">
        <v>389.43251662353464</v>
      </c>
      <c r="AF284" s="408">
        <v>172.34760716488114</v>
      </c>
      <c r="AG284" s="408">
        <v>8.6706718349034659</v>
      </c>
      <c r="AH284" s="408">
        <v>0</v>
      </c>
      <c r="AI284" s="408">
        <v>0</v>
      </c>
      <c r="AJ284" s="408">
        <v>0</v>
      </c>
      <c r="AK284" s="408">
        <v>0</v>
      </c>
      <c r="AL284" s="408">
        <v>10.122552920310206</v>
      </c>
      <c r="AM284" s="408"/>
      <c r="AN284" s="408">
        <v>1.6617014550640179</v>
      </c>
      <c r="AO284" s="408">
        <v>6.2101975474540563</v>
      </c>
      <c r="AP284" s="408">
        <v>20.337557277073131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0.59420431286280551</v>
      </c>
      <c r="BF284" s="408">
        <v>5.1468922094209768</v>
      </c>
      <c r="BG284" s="408">
        <v>19.897384153782046</v>
      </c>
      <c r="BH284" s="408">
        <v>0</v>
      </c>
      <c r="BI284" s="408">
        <v>4.55</v>
      </c>
      <c r="BJ284" s="408">
        <v>21.4</v>
      </c>
      <c r="BK284" s="408">
        <v>315.56</v>
      </c>
      <c r="BL284" s="408">
        <v>7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197.98608784094696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557.95150000000001</v>
      </c>
      <c r="CJ284" s="408">
        <v>-181.76464999999996</v>
      </c>
      <c r="CK284" s="408"/>
      <c r="CL284" s="408"/>
      <c r="CM284" s="408"/>
      <c r="CN284" s="408"/>
      <c r="CO284" s="408">
        <v>-203.90769000000003</v>
      </c>
      <c r="CP284" s="408">
        <v>22.694489999999998</v>
      </c>
      <c r="CQ284" s="408">
        <v>30</v>
      </c>
      <c r="CR284" s="408">
        <v>24.960596424002574</v>
      </c>
      <c r="CS284" s="408">
        <v>0.602970947581567</v>
      </c>
      <c r="CT284" s="408">
        <v>1.9746483246539803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-0.70697032212362387</v>
      </c>
      <c r="DA284" s="408">
        <v>0</v>
      </c>
      <c r="DB284" s="408">
        <v>0</v>
      </c>
      <c r="DC284" s="408">
        <v>22.122720174385051</v>
      </c>
      <c r="DD284" s="408">
        <v>0.66066049880116928</v>
      </c>
      <c r="DE284" s="408">
        <v>7.6272690733095394E-2</v>
      </c>
      <c r="DF284" s="408">
        <v>0</v>
      </c>
      <c r="DG284" s="408">
        <v>2.5540491630686297</v>
      </c>
      <c r="DH284" s="408">
        <v>0</v>
      </c>
      <c r="DI284" s="408">
        <v>-1.9140095435817486</v>
      </c>
      <c r="DJ284" s="408"/>
      <c r="DK284" s="408">
        <v>0</v>
      </c>
      <c r="DL284" s="408">
        <v>0</v>
      </c>
      <c r="DM284" s="408">
        <v>-9.6371335153067506E-2</v>
      </c>
      <c r="DN284" s="408">
        <v>0</v>
      </c>
      <c r="DO284" s="408">
        <v>-0.26217062425332394</v>
      </c>
      <c r="DP284" s="408">
        <v>-5.120355010902089E-2</v>
      </c>
      <c r="DQ284" s="408">
        <v>0</v>
      </c>
      <c r="DR284" s="408">
        <v>0</v>
      </c>
      <c r="DS284" s="408"/>
      <c r="DT284" s="408"/>
      <c r="DU284" s="408"/>
      <c r="DV284" s="408">
        <v>389.43251662353464</v>
      </c>
      <c r="DW284" s="408">
        <v>0</v>
      </c>
      <c r="DX284" s="408">
        <v>0</v>
      </c>
      <c r="DY284" s="408">
        <v>-203.90769000000006</v>
      </c>
      <c r="DZ284" s="408">
        <v>22.694490000000002</v>
      </c>
      <c r="EA284" s="408">
        <v>0</v>
      </c>
      <c r="EB284" s="408">
        <v>0</v>
      </c>
      <c r="EC284" s="408">
        <v>-206.18387160274841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239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285</v>
      </c>
      <c r="B285" s="408" t="s">
        <v>1034</v>
      </c>
      <c r="C285" s="408" t="s">
        <v>2233</v>
      </c>
      <c r="D285" s="408" t="s">
        <v>2243</v>
      </c>
      <c r="E285" s="408" t="s">
        <v>972</v>
      </c>
      <c r="F285" s="408" t="s">
        <v>2251</v>
      </c>
      <c r="G285" s="408" t="s">
        <v>2252</v>
      </c>
      <c r="H285" s="408" t="s">
        <v>1320</v>
      </c>
      <c r="I285" s="408" t="s">
        <v>1320</v>
      </c>
      <c r="J285" s="408" t="s">
        <v>2234</v>
      </c>
      <c r="K285" s="827">
        <v>44501</v>
      </c>
      <c r="L285" s="408">
        <v>0</v>
      </c>
      <c r="M285" s="408">
        <v>0</v>
      </c>
      <c r="N285" s="408">
        <v>0</v>
      </c>
      <c r="O285" s="408">
        <v>0</v>
      </c>
      <c r="P285" s="408">
        <v>0</v>
      </c>
      <c r="Q285" s="408">
        <v>0</v>
      </c>
      <c r="R285" s="408"/>
      <c r="S285" s="408"/>
      <c r="T285" s="408"/>
      <c r="U285" s="408"/>
      <c r="V285" s="408"/>
      <c r="W285" s="408"/>
      <c r="X285" s="408"/>
      <c r="Y285" s="408"/>
      <c r="Z285" s="408"/>
      <c r="AA285" s="408">
        <v>0</v>
      </c>
      <c r="AB285" s="408"/>
      <c r="AC285" s="408"/>
      <c r="AD285" s="408"/>
      <c r="AE285" s="408"/>
      <c r="AF285" s="408"/>
      <c r="AG285" s="408"/>
      <c r="AH285" s="408"/>
      <c r="AI285" s="408"/>
      <c r="AJ285" s="408"/>
      <c r="AK285" s="408"/>
      <c r="AL285" s="408"/>
      <c r="AM285" s="408"/>
      <c r="AN285" s="408"/>
      <c r="AO285" s="408"/>
      <c r="AP285" s="408"/>
      <c r="AQ285" s="408"/>
      <c r="AR285" s="408"/>
      <c r="AS285" s="408"/>
      <c r="AT285" s="408"/>
      <c r="AU285" s="408"/>
      <c r="AV285" s="408"/>
      <c r="AW285" s="408"/>
      <c r="AX285" s="408"/>
      <c r="AY285" s="408"/>
      <c r="AZ285" s="408">
        <v>0</v>
      </c>
      <c r="BA285" s="408"/>
      <c r="BB285" s="408"/>
      <c r="BC285" s="408"/>
      <c r="BD285" s="408"/>
      <c r="BE285" s="408"/>
      <c r="BF285" s="408"/>
      <c r="BG285" s="408"/>
      <c r="BH285" s="408"/>
      <c r="BI285" s="408">
        <v>2327.69</v>
      </c>
      <c r="BJ285" s="408">
        <v>10820.37</v>
      </c>
      <c r="BK285" s="408">
        <v>644.11</v>
      </c>
      <c r="BL285" s="408">
        <v>70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/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/>
      <c r="CJ285" s="408">
        <v>-0.03</v>
      </c>
      <c r="CK285" s="408"/>
      <c r="CL285" s="408"/>
      <c r="CM285" s="408"/>
      <c r="CN285" s="408"/>
      <c r="CO285" s="408">
        <v>0</v>
      </c>
      <c r="CP285" s="408">
        <v>0</v>
      </c>
      <c r="CQ285" s="408">
        <v>30</v>
      </c>
      <c r="CR285" s="408"/>
      <c r="CS285" s="408"/>
      <c r="CT285" s="408"/>
      <c r="CU285" s="408"/>
      <c r="CV285" s="408"/>
      <c r="CW285" s="408"/>
      <c r="CX285" s="408"/>
      <c r="CY285" s="408"/>
      <c r="CZ285" s="408"/>
      <c r="DA285" s="408"/>
      <c r="DB285" s="408"/>
      <c r="DC285" s="408"/>
      <c r="DD285" s="408"/>
      <c r="DE285" s="408"/>
      <c r="DF285" s="408"/>
      <c r="DG285" s="408"/>
      <c r="DH285" s="408"/>
      <c r="DI285" s="408"/>
      <c r="DJ285" s="408"/>
      <c r="DK285" s="408">
        <v>0</v>
      </c>
      <c r="DL285" s="408"/>
      <c r="DM285" s="408"/>
      <c r="DN285" s="408"/>
      <c r="DO285" s="408"/>
      <c r="DP285" s="408"/>
      <c r="DQ285" s="408"/>
      <c r="DR285" s="408"/>
      <c r="DS285" s="408"/>
      <c r="DT285" s="408"/>
      <c r="DU285" s="408"/>
      <c r="DV285" s="408"/>
      <c r="DW285" s="408"/>
      <c r="DX285" s="408"/>
      <c r="DY285" s="408"/>
      <c r="DZ285" s="408"/>
      <c r="EA285" s="408"/>
      <c r="EB285" s="408"/>
      <c r="EC285" s="408"/>
      <c r="ED285" s="408"/>
      <c r="EE285" s="408"/>
      <c r="EF285" s="408"/>
      <c r="EG285" s="408"/>
      <c r="EH285" s="408"/>
      <c r="EI285" s="408"/>
      <c r="EJ285" s="408"/>
      <c r="EK285" s="408"/>
      <c r="EL285" s="408"/>
      <c r="EM285" s="408"/>
      <c r="EN285" s="408"/>
      <c r="EO285" s="408"/>
      <c r="EP285" s="408"/>
      <c r="EQ285" s="408"/>
      <c r="ER285" s="408"/>
      <c r="ES285" s="408"/>
      <c r="ET285" s="408"/>
      <c r="EU285" s="408"/>
      <c r="EV285" s="408">
        <v>239</v>
      </c>
      <c r="EW285" s="408"/>
      <c r="EX285" s="408"/>
      <c r="EY285" s="408"/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286</v>
      </c>
      <c r="B286" s="408" t="s">
        <v>2236</v>
      </c>
      <c r="C286" s="408" t="s">
        <v>2233</v>
      </c>
      <c r="D286" s="408" t="s">
        <v>2243</v>
      </c>
      <c r="E286" s="408" t="s">
        <v>972</v>
      </c>
      <c r="F286" s="408" t="s">
        <v>2251</v>
      </c>
      <c r="G286" s="408" t="s">
        <v>2252</v>
      </c>
      <c r="H286" s="408" t="s">
        <v>1320</v>
      </c>
      <c r="I286" s="408" t="s">
        <v>1320</v>
      </c>
      <c r="J286" s="408" t="s">
        <v>2234</v>
      </c>
      <c r="K286" s="827">
        <v>44501</v>
      </c>
      <c r="L286" s="408">
        <v>0</v>
      </c>
      <c r="M286" s="408">
        <v>0</v>
      </c>
      <c r="N286" s="408">
        <v>0</v>
      </c>
      <c r="O286" s="408">
        <v>0</v>
      </c>
      <c r="P286" s="408">
        <v>0</v>
      </c>
      <c r="Q286" s="408">
        <v>0</v>
      </c>
      <c r="R286" s="408"/>
      <c r="S286" s="408"/>
      <c r="T286" s="408"/>
      <c r="U286" s="408"/>
      <c r="V286" s="408"/>
      <c r="W286" s="408"/>
      <c r="X286" s="408"/>
      <c r="Y286" s="408"/>
      <c r="Z286" s="408"/>
      <c r="AA286" s="408">
        <v>0</v>
      </c>
      <c r="AB286" s="408"/>
      <c r="AC286" s="408"/>
      <c r="AD286" s="408"/>
      <c r="AE286" s="408"/>
      <c r="AF286" s="408"/>
      <c r="AG286" s="408"/>
      <c r="AH286" s="408"/>
      <c r="AI286" s="408"/>
      <c r="AJ286" s="408"/>
      <c r="AK286" s="408"/>
      <c r="AL286" s="408"/>
      <c r="AM286" s="408"/>
      <c r="AN286" s="408"/>
      <c r="AO286" s="408"/>
      <c r="AP286" s="408"/>
      <c r="AQ286" s="408"/>
      <c r="AR286" s="408"/>
      <c r="AS286" s="408"/>
      <c r="AT286" s="408"/>
      <c r="AU286" s="408"/>
      <c r="AV286" s="408"/>
      <c r="AW286" s="408"/>
      <c r="AX286" s="408"/>
      <c r="AY286" s="408"/>
      <c r="AZ286" s="408">
        <v>0</v>
      </c>
      <c r="BA286" s="408"/>
      <c r="BB286" s="408"/>
      <c r="BC286" s="408"/>
      <c r="BD286" s="408"/>
      <c r="BE286" s="408"/>
      <c r="BF286" s="408"/>
      <c r="BG286" s="408"/>
      <c r="BH286" s="408"/>
      <c r="BI286" s="408">
        <v>1.89</v>
      </c>
      <c r="BJ286" s="408">
        <v>9</v>
      </c>
      <c r="BK286" s="408">
        <v>42.81</v>
      </c>
      <c r="BL286" s="408">
        <v>5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/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/>
      <c r="CJ286" s="408">
        <v>-0.03</v>
      </c>
      <c r="CK286" s="408"/>
      <c r="CL286" s="408"/>
      <c r="CM286" s="408"/>
      <c r="CN286" s="408"/>
      <c r="CO286" s="408">
        <v>0</v>
      </c>
      <c r="CP286" s="408">
        <v>0</v>
      </c>
      <c r="CQ286" s="408">
        <v>30</v>
      </c>
      <c r="CR286" s="408"/>
      <c r="CS286" s="408"/>
      <c r="CT286" s="408"/>
      <c r="CU286" s="408"/>
      <c r="CV286" s="408"/>
      <c r="CW286" s="408"/>
      <c r="CX286" s="408"/>
      <c r="CY286" s="408"/>
      <c r="CZ286" s="408"/>
      <c r="DA286" s="408"/>
      <c r="DB286" s="408"/>
      <c r="DC286" s="408"/>
      <c r="DD286" s="408"/>
      <c r="DE286" s="408"/>
      <c r="DF286" s="408"/>
      <c r="DG286" s="408"/>
      <c r="DH286" s="408"/>
      <c r="DI286" s="408"/>
      <c r="DJ286" s="408"/>
      <c r="DK286" s="408">
        <v>0</v>
      </c>
      <c r="DL286" s="408"/>
      <c r="DM286" s="408"/>
      <c r="DN286" s="408"/>
      <c r="DO286" s="408"/>
      <c r="DP286" s="408"/>
      <c r="DQ286" s="408"/>
      <c r="DR286" s="408"/>
      <c r="DS286" s="408"/>
      <c r="DT286" s="408"/>
      <c r="DU286" s="408"/>
      <c r="DV286" s="408"/>
      <c r="DW286" s="408"/>
      <c r="DX286" s="408"/>
      <c r="DY286" s="408"/>
      <c r="DZ286" s="408"/>
      <c r="EA286" s="408"/>
      <c r="EB286" s="408"/>
      <c r="EC286" s="408"/>
      <c r="ED286" s="408"/>
      <c r="EE286" s="408"/>
      <c r="EF286" s="408"/>
      <c r="EG286" s="408"/>
      <c r="EH286" s="408"/>
      <c r="EI286" s="408"/>
      <c r="EJ286" s="408"/>
      <c r="EK286" s="408"/>
      <c r="EL286" s="408"/>
      <c r="EM286" s="408"/>
      <c r="EN286" s="408"/>
      <c r="EO286" s="408"/>
      <c r="EP286" s="408"/>
      <c r="EQ286" s="408"/>
      <c r="ER286" s="408"/>
      <c r="ES286" s="408"/>
      <c r="ET286" s="408"/>
      <c r="EU286" s="408"/>
      <c r="EV286" s="408">
        <v>239</v>
      </c>
      <c r="EW286" s="408"/>
      <c r="EX286" s="408"/>
      <c r="EY286" s="408"/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287</v>
      </c>
      <c r="B287" s="408" t="s">
        <v>1034</v>
      </c>
      <c r="C287" s="408" t="s">
        <v>2233</v>
      </c>
      <c r="D287" s="408" t="s">
        <v>2243</v>
      </c>
      <c r="E287" s="408" t="s">
        <v>972</v>
      </c>
      <c r="F287" s="408" t="s">
        <v>2251</v>
      </c>
      <c r="G287" s="408" t="s">
        <v>2252</v>
      </c>
      <c r="H287" s="408" t="s">
        <v>1320</v>
      </c>
      <c r="I287" s="408" t="s">
        <v>1320</v>
      </c>
      <c r="J287" s="408" t="s">
        <v>2234</v>
      </c>
      <c r="K287" s="827">
        <v>44501</v>
      </c>
      <c r="L287" s="408">
        <v>0</v>
      </c>
      <c r="M287" s="408">
        <v>0</v>
      </c>
      <c r="N287" s="408">
        <v>358.50599999999997</v>
      </c>
      <c r="O287" s="408">
        <v>358.50599999999997</v>
      </c>
      <c r="P287" s="408">
        <v>358.50599999999997</v>
      </c>
      <c r="Q287" s="408">
        <v>358.50599999999997</v>
      </c>
      <c r="R287" s="408"/>
      <c r="S287" s="408">
        <v>516.83000000000004</v>
      </c>
      <c r="T287" s="408">
        <v>173.82</v>
      </c>
      <c r="U287" s="408"/>
      <c r="V287" s="408">
        <v>247602.16889999999</v>
      </c>
      <c r="W287" s="408">
        <v>247602.16889999999</v>
      </c>
      <c r="X287" s="408">
        <v>186942.95369999998</v>
      </c>
      <c r="Y287" s="408">
        <v>0</v>
      </c>
      <c r="Z287" s="408">
        <v>21922.446785986042</v>
      </c>
      <c r="AA287" s="408">
        <v>0</v>
      </c>
      <c r="AB287" s="408">
        <v>0</v>
      </c>
      <c r="AC287" s="408">
        <v>974.57851097506716</v>
      </c>
      <c r="AD287" s="408">
        <v>12342.146790329791</v>
      </c>
      <c r="AE287" s="408">
        <v>130358.44426203259</v>
      </c>
      <c r="AF287" s="408">
        <v>57691.551124419122</v>
      </c>
      <c r="AG287" s="408">
        <v>2902.4163182482744</v>
      </c>
      <c r="AH287" s="408">
        <v>0</v>
      </c>
      <c r="AI287" s="408">
        <v>0</v>
      </c>
      <c r="AJ287" s="408">
        <v>0</v>
      </c>
      <c r="AK287" s="408">
        <v>0</v>
      </c>
      <c r="AL287" s="408">
        <v>3388.4182607364428</v>
      </c>
      <c r="AM287" s="408"/>
      <c r="AN287" s="408">
        <v>556.23710723546287</v>
      </c>
      <c r="AO287" s="408">
        <v>2078.7983958427299</v>
      </c>
      <c r="AP287" s="408">
        <v>6807.7836686968994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198.90365208888232</v>
      </c>
      <c r="BF287" s="408">
        <v>1722.8681031098754</v>
      </c>
      <c r="BG287" s="408">
        <v>6660.44033934247</v>
      </c>
      <c r="BH287" s="408">
        <v>0</v>
      </c>
      <c r="BI287" s="408">
        <v>0</v>
      </c>
      <c r="BJ287" s="408">
        <v>0</v>
      </c>
      <c r="BK287" s="408">
        <v>0</v>
      </c>
      <c r="BL287" s="408">
        <v>0</v>
      </c>
      <c r="BM287" s="408"/>
      <c r="BN287" s="408"/>
      <c r="BO287" s="408"/>
      <c r="BP287" s="408"/>
      <c r="BQ287" s="408"/>
      <c r="BR287" s="408">
        <v>22431.720419999998</v>
      </c>
      <c r="BS287" s="408"/>
      <c r="BT287" s="408"/>
      <c r="BU287" s="408"/>
      <c r="BV287" s="408">
        <v>66273.763218960346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164513.06880000001</v>
      </c>
      <c r="CJ287" s="408">
        <v>-53376.152820000018</v>
      </c>
      <c r="CK287" s="408"/>
      <c r="CL287" s="408"/>
      <c r="CM287" s="408"/>
      <c r="CN287" s="408"/>
      <c r="CO287" s="408">
        <v>-68255.957340000008</v>
      </c>
      <c r="CP287" s="408">
        <v>7596.7421399999985</v>
      </c>
      <c r="CQ287" s="408">
        <v>30</v>
      </c>
      <c r="CR287" s="408">
        <v>8355.2974617959844</v>
      </c>
      <c r="CS287" s="408">
        <v>201.83819097448895</v>
      </c>
      <c r="CT287" s="408">
        <v>660.99278457366927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-236.65088917203866</v>
      </c>
      <c r="DA287" s="408">
        <v>0</v>
      </c>
      <c r="DB287" s="408">
        <v>0</v>
      </c>
      <c r="DC287" s="408">
        <v>7405.3481968609558</v>
      </c>
      <c r="DD287" s="408">
        <v>221.14916226256969</v>
      </c>
      <c r="DE287" s="408">
        <v>25.531482039177462</v>
      </c>
      <c r="DF287" s="408">
        <v>0</v>
      </c>
      <c r="DG287" s="408">
        <v>854.94112908971329</v>
      </c>
      <c r="DH287" s="408">
        <v>0</v>
      </c>
      <c r="DI287" s="408">
        <v>-640.69458957172537</v>
      </c>
      <c r="DJ287" s="408"/>
      <c r="DK287" s="408">
        <v>0</v>
      </c>
      <c r="DL287" s="408">
        <v>0</v>
      </c>
      <c r="DM287" s="408">
        <v>-32.259292138548972</v>
      </c>
      <c r="DN287" s="408">
        <v>0</v>
      </c>
      <c r="DO287" s="408">
        <v>-87.758862575687999</v>
      </c>
      <c r="DP287" s="408">
        <v>-17.139850546577577</v>
      </c>
      <c r="DQ287" s="408">
        <v>0</v>
      </c>
      <c r="DR287" s="408">
        <v>0</v>
      </c>
      <c r="DS287" s="408"/>
      <c r="DT287" s="408"/>
      <c r="DU287" s="408"/>
      <c r="DV287" s="408">
        <v>130358.44426203259</v>
      </c>
      <c r="DW287" s="408">
        <v>0</v>
      </c>
      <c r="DX287" s="408">
        <v>0</v>
      </c>
      <c r="DY287" s="408">
        <v>-68255.957340000023</v>
      </c>
      <c r="DZ287" s="408">
        <v>7596.7421400000021</v>
      </c>
      <c r="EA287" s="408">
        <v>0</v>
      </c>
      <c r="EB287" s="408">
        <v>0</v>
      </c>
      <c r="EC287" s="408">
        <v>-69017.885222049401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239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288</v>
      </c>
      <c r="B288" s="408" t="s">
        <v>2236</v>
      </c>
      <c r="C288" s="408" t="s">
        <v>2233</v>
      </c>
      <c r="D288" s="408" t="s">
        <v>2243</v>
      </c>
      <c r="E288" s="408" t="s">
        <v>972</v>
      </c>
      <c r="F288" s="408" t="s">
        <v>2251</v>
      </c>
      <c r="G288" s="408" t="s">
        <v>2252</v>
      </c>
      <c r="H288" s="408" t="s">
        <v>1320</v>
      </c>
      <c r="I288" s="408" t="s">
        <v>1320</v>
      </c>
      <c r="J288" s="408" t="s">
        <v>2234</v>
      </c>
      <c r="K288" s="827">
        <v>44501</v>
      </c>
      <c r="L288" s="408">
        <v>0</v>
      </c>
      <c r="M288" s="408">
        <v>0</v>
      </c>
      <c r="N288" s="408">
        <v>0.45</v>
      </c>
      <c r="O288" s="408">
        <v>0.45</v>
      </c>
      <c r="P288" s="408">
        <v>0.45</v>
      </c>
      <c r="Q288" s="408">
        <v>0.45</v>
      </c>
      <c r="R288" s="408"/>
      <c r="S288" s="408">
        <v>516.83000000000004</v>
      </c>
      <c r="T288" s="408">
        <v>173.82</v>
      </c>
      <c r="U288" s="408"/>
      <c r="V288" s="408">
        <v>310.79250000000002</v>
      </c>
      <c r="W288" s="408">
        <v>310.79250000000002</v>
      </c>
      <c r="X288" s="408">
        <v>234.65249999999997</v>
      </c>
      <c r="Y288" s="408">
        <v>0</v>
      </c>
      <c r="Z288" s="408">
        <v>27.517255091110666</v>
      </c>
      <c r="AA288" s="408">
        <v>0</v>
      </c>
      <c r="AB288" s="408">
        <v>0</v>
      </c>
      <c r="AC288" s="408">
        <v>1.2232998330258915</v>
      </c>
      <c r="AD288" s="408">
        <v>15.491975184929698</v>
      </c>
      <c r="AE288" s="408">
        <v>163.62710782501455</v>
      </c>
      <c r="AF288" s="408">
        <v>72.414960993647554</v>
      </c>
      <c r="AG288" s="408">
        <v>3.6431394264300283</v>
      </c>
      <c r="AH288" s="408">
        <v>0</v>
      </c>
      <c r="AI288" s="408">
        <v>0</v>
      </c>
      <c r="AJ288" s="408">
        <v>0</v>
      </c>
      <c r="AK288" s="408">
        <v>0</v>
      </c>
      <c r="AL288" s="408">
        <v>4.2531734959286576</v>
      </c>
      <c r="AM288" s="408"/>
      <c r="AN288" s="408">
        <v>0.69819388868236043</v>
      </c>
      <c r="AO288" s="408">
        <v>2.6093267006109482</v>
      </c>
      <c r="AP288" s="408">
        <v>8.5451921332240062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0.24966567767344772</v>
      </c>
      <c r="BF288" s="408">
        <v>2.1625597518575534</v>
      </c>
      <c r="BG288" s="408">
        <v>8.3602454427655655</v>
      </c>
      <c r="BH288" s="408">
        <v>0</v>
      </c>
      <c r="BI288" s="408">
        <v>0</v>
      </c>
      <c r="BJ288" s="408">
        <v>0</v>
      </c>
      <c r="BK288" s="408">
        <v>0</v>
      </c>
      <c r="BL288" s="408">
        <v>0</v>
      </c>
      <c r="BM288" s="408"/>
      <c r="BN288" s="408"/>
      <c r="BO288" s="408"/>
      <c r="BP288" s="408"/>
      <c r="BQ288" s="408"/>
      <c r="BR288" s="408">
        <v>28.156499999999998</v>
      </c>
      <c r="BS288" s="408"/>
      <c r="BT288" s="408"/>
      <c r="BU288" s="408"/>
      <c r="BV288" s="408">
        <v>83.18743186594412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206.49600000000001</v>
      </c>
      <c r="CJ288" s="408">
        <v>-67.030499999999989</v>
      </c>
      <c r="CK288" s="408"/>
      <c r="CL288" s="408"/>
      <c r="CM288" s="408"/>
      <c r="CN288" s="408"/>
      <c r="CO288" s="408">
        <v>-85.675500000000028</v>
      </c>
      <c r="CP288" s="408">
        <v>9.535499999999999</v>
      </c>
      <c r="CQ288" s="408">
        <v>30</v>
      </c>
      <c r="CR288" s="408">
        <v>10.487645556303619</v>
      </c>
      <c r="CS288" s="408">
        <v>0.25334913763931421</v>
      </c>
      <c r="CT288" s="408">
        <v>0.82968417002267891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-0.29704635383345668</v>
      </c>
      <c r="DA288" s="408">
        <v>0</v>
      </c>
      <c r="DB288" s="408">
        <v>0</v>
      </c>
      <c r="DC288" s="408">
        <v>9.2952605774727033</v>
      </c>
      <c r="DD288" s="408">
        <v>0.27758844487444101</v>
      </c>
      <c r="DE288" s="408">
        <v>3.2047349047519047E-2</v>
      </c>
      <c r="DF288" s="408">
        <v>0</v>
      </c>
      <c r="DG288" s="408">
        <v>1.0731299004490058</v>
      </c>
      <c r="DH288" s="408">
        <v>0</v>
      </c>
      <c r="DI288" s="408">
        <v>-0.80420569058056657</v>
      </c>
      <c r="DJ288" s="408"/>
      <c r="DK288" s="408">
        <v>0</v>
      </c>
      <c r="DL288" s="408">
        <v>0</v>
      </c>
      <c r="DM288" s="408">
        <v>-4.0492157627340042E-2</v>
      </c>
      <c r="DN288" s="408">
        <v>0</v>
      </c>
      <c r="DO288" s="408">
        <v>-0.11015572447618638</v>
      </c>
      <c r="DP288" s="408">
        <v>-2.1514096684462469E-2</v>
      </c>
      <c r="DQ288" s="408">
        <v>0</v>
      </c>
      <c r="DR288" s="408">
        <v>0</v>
      </c>
      <c r="DS288" s="408"/>
      <c r="DT288" s="408"/>
      <c r="DU288" s="408"/>
      <c r="DV288" s="408">
        <v>163.62710782501455</v>
      </c>
      <c r="DW288" s="408">
        <v>0</v>
      </c>
      <c r="DX288" s="408">
        <v>0</v>
      </c>
      <c r="DY288" s="408">
        <v>-85.675500000000028</v>
      </c>
      <c r="DZ288" s="408">
        <v>9.535499999999999</v>
      </c>
      <c r="EA288" s="408">
        <v>0</v>
      </c>
      <c r="EB288" s="408">
        <v>0</v>
      </c>
      <c r="EC288" s="408">
        <v>-86.631878824684193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239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289</v>
      </c>
      <c r="B289" s="408" t="s">
        <v>1034</v>
      </c>
      <c r="C289" s="408" t="s">
        <v>2233</v>
      </c>
      <c r="D289" s="408" t="s">
        <v>2243</v>
      </c>
      <c r="E289" s="408" t="s">
        <v>972</v>
      </c>
      <c r="F289" s="408" t="s">
        <v>2251</v>
      </c>
      <c r="G289" s="408" t="s">
        <v>2253</v>
      </c>
      <c r="H289" s="408" t="s">
        <v>1320</v>
      </c>
      <c r="I289" s="408" t="s">
        <v>1320</v>
      </c>
      <c r="J289" s="408" t="s">
        <v>2234</v>
      </c>
      <c r="K289" s="827">
        <v>44501</v>
      </c>
      <c r="L289" s="408">
        <v>0</v>
      </c>
      <c r="M289" s="408">
        <v>0</v>
      </c>
      <c r="N289" s="408">
        <v>182.75700000000001</v>
      </c>
      <c r="O289" s="408">
        <v>73.102800000000002</v>
      </c>
      <c r="P289" s="408">
        <v>182.75700000000001</v>
      </c>
      <c r="Q289" s="408">
        <v>73.102800000000002</v>
      </c>
      <c r="R289" s="408"/>
      <c r="S289" s="408">
        <v>516.83000000000004</v>
      </c>
      <c r="T289" s="408">
        <v>173.82</v>
      </c>
      <c r="U289" s="408"/>
      <c r="V289" s="408">
        <v>126221.12205000001</v>
      </c>
      <c r="W289" s="408">
        <v>126221.12205000001</v>
      </c>
      <c r="X289" s="408">
        <v>95298.63764999999</v>
      </c>
      <c r="Y289" s="408">
        <v>0</v>
      </c>
      <c r="Z289" s="408">
        <v>11175.491085969137</v>
      </c>
      <c r="AA289" s="408">
        <v>0</v>
      </c>
      <c r="AB289" s="408">
        <v>0</v>
      </c>
      <c r="AC289" s="408">
        <v>496.81468352069527</v>
      </c>
      <c r="AD289" s="408">
        <v>6291.704241938216</v>
      </c>
      <c r="AE289" s="408">
        <v>66453.331877280405</v>
      </c>
      <c r="AF289" s="408">
        <v>29409.646725146766</v>
      </c>
      <c r="AG289" s="408">
        <v>1479.5760714579392</v>
      </c>
      <c r="AH289" s="408">
        <v>0</v>
      </c>
      <c r="AI289" s="408">
        <v>0</v>
      </c>
      <c r="AJ289" s="408">
        <v>0</v>
      </c>
      <c r="AK289" s="408">
        <v>0</v>
      </c>
      <c r="AL289" s="408">
        <v>1727.3271746565194</v>
      </c>
      <c r="AM289" s="408"/>
      <c r="AN289" s="408">
        <v>283.55515669760479</v>
      </c>
      <c r="AO289" s="408">
        <v>1059.7171551634556</v>
      </c>
      <c r="AP289" s="408">
        <v>3470.430397092488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101.39588945459175</v>
      </c>
      <c r="BF289" s="408">
        <v>878.27318348940196</v>
      </c>
      <c r="BG289" s="408">
        <v>3395.3186141855699</v>
      </c>
      <c r="BH289" s="408">
        <v>0</v>
      </c>
      <c r="BI289" s="408">
        <v>0</v>
      </c>
      <c r="BJ289" s="408">
        <v>0</v>
      </c>
      <c r="BK289" s="408">
        <v>0</v>
      </c>
      <c r="BL289" s="408">
        <v>0</v>
      </c>
      <c r="BM289" s="408"/>
      <c r="BN289" s="408"/>
      <c r="BO289" s="408"/>
      <c r="BP289" s="408"/>
      <c r="BQ289" s="408"/>
      <c r="BR289" s="408"/>
      <c r="BS289" s="408">
        <v>61753.224785999999</v>
      </c>
      <c r="BT289" s="408"/>
      <c r="BU289" s="408"/>
      <c r="BV289" s="408">
        <v>33784.634412276326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33544.127999999997</v>
      </c>
      <c r="CJ289" s="408">
        <v>-10885.590756000012</v>
      </c>
      <c r="CK289" s="408"/>
      <c r="CL289" s="408"/>
      <c r="CM289" s="408"/>
      <c r="CN289" s="408"/>
      <c r="CO289" s="408">
        <v>-34795.105230000008</v>
      </c>
      <c r="CP289" s="408">
        <v>3872.6208299999998</v>
      </c>
      <c r="CQ289" s="408">
        <v>30</v>
      </c>
      <c r="CR289" s="408">
        <v>4259.3125309630923</v>
      </c>
      <c r="CS289" s="408">
        <v>102.89184077232926</v>
      </c>
      <c r="CT289" s="408">
        <v>336.95686635741095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-120.63844552787032</v>
      </c>
      <c r="DA289" s="408">
        <v>0</v>
      </c>
      <c r="DB289" s="408">
        <v>0</v>
      </c>
      <c r="DC289" s="408">
        <v>3775.0531941270638</v>
      </c>
      <c r="DD289" s="408">
        <v>112.73606982204046</v>
      </c>
      <c r="DE289" s="408">
        <v>13.015283044172079</v>
      </c>
      <c r="DF289" s="408">
        <v>0</v>
      </c>
      <c r="DG289" s="408">
        <v>435.82666936968644</v>
      </c>
      <c r="DH289" s="408">
        <v>0</v>
      </c>
      <c r="DI289" s="408">
        <v>-326.60937642984936</v>
      </c>
      <c r="DJ289" s="408"/>
      <c r="DK289" s="408">
        <v>0</v>
      </c>
      <c r="DL289" s="408">
        <v>0</v>
      </c>
      <c r="DM289" s="408">
        <v>-16.444945003332805</v>
      </c>
      <c r="DN289" s="408">
        <v>0</v>
      </c>
      <c r="DO289" s="408">
        <v>-44.737177195765298</v>
      </c>
      <c r="DP289" s="408">
        <v>-8.7374483728051473</v>
      </c>
      <c r="DQ289" s="408">
        <v>0</v>
      </c>
      <c r="DR289" s="408">
        <v>0</v>
      </c>
      <c r="DS289" s="408"/>
      <c r="DT289" s="408"/>
      <c r="DU289" s="408"/>
      <c r="DV289" s="408">
        <v>66453.331877280405</v>
      </c>
      <c r="DW289" s="408">
        <v>0</v>
      </c>
      <c r="DX289" s="408">
        <v>0</v>
      </c>
      <c r="DY289" s="408">
        <v>-34795.105230000008</v>
      </c>
      <c r="DZ289" s="408">
        <v>3872.6208299999998</v>
      </c>
      <c r="EA289" s="408">
        <v>0</v>
      </c>
      <c r="EB289" s="408">
        <v>0</v>
      </c>
      <c r="EC289" s="408">
        <v>-35183.516174139571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239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290</v>
      </c>
      <c r="B290" s="408" t="s">
        <v>1034</v>
      </c>
      <c r="C290" s="408" t="s">
        <v>2241</v>
      </c>
      <c r="D290" s="408" t="s">
        <v>596</v>
      </c>
      <c r="E290" s="408" t="s">
        <v>972</v>
      </c>
      <c r="F290" s="408" t="s">
        <v>2251</v>
      </c>
      <c r="G290" s="408" t="s">
        <v>1320</v>
      </c>
      <c r="H290" s="408" t="s">
        <v>1320</v>
      </c>
      <c r="I290" s="408" t="s">
        <v>971</v>
      </c>
      <c r="J290" s="408" t="s">
        <v>2234</v>
      </c>
      <c r="K290" s="827">
        <v>44501</v>
      </c>
      <c r="L290" s="408">
        <v>0</v>
      </c>
      <c r="M290" s="408">
        <v>0</v>
      </c>
      <c r="N290" s="408">
        <v>0.58899999999999997</v>
      </c>
      <c r="O290" s="408">
        <v>0.56544000000000005</v>
      </c>
      <c r="P290" s="408">
        <v>0.58899999999999997</v>
      </c>
      <c r="Q290" s="408">
        <v>0.56544000000000005</v>
      </c>
      <c r="R290" s="408"/>
      <c r="S290" s="408">
        <v>1684.16</v>
      </c>
      <c r="T290" s="408">
        <v>173.82</v>
      </c>
      <c r="U290" s="408"/>
      <c r="V290" s="408">
        <v>1094.35022</v>
      </c>
      <c r="W290" s="408">
        <v>1094.35022</v>
      </c>
      <c r="X290" s="408">
        <v>751.24594000000002</v>
      </c>
      <c r="Y290" s="408">
        <v>0</v>
      </c>
      <c r="Z290" s="408">
        <v>31.334815614084132</v>
      </c>
      <c r="AA290" s="408">
        <v>0</v>
      </c>
      <c r="AB290" s="408">
        <v>0</v>
      </c>
      <c r="AC290" s="408">
        <v>10.60164651738415</v>
      </c>
      <c r="AD290" s="408">
        <v>161.73111228703823</v>
      </c>
      <c r="AE290" s="408">
        <v>682.23425628693781</v>
      </c>
      <c r="AF290" s="408">
        <v>94.78313783390756</v>
      </c>
      <c r="AG290" s="408">
        <v>4.768464715927303</v>
      </c>
      <c r="AH290" s="408">
        <v>0</v>
      </c>
      <c r="AI290" s="408">
        <v>0</v>
      </c>
      <c r="AJ290" s="408">
        <v>0</v>
      </c>
      <c r="AK290" s="408">
        <v>0</v>
      </c>
      <c r="AL290" s="408">
        <v>5.5669315313377314</v>
      </c>
      <c r="AM290" s="408"/>
      <c r="AN290" s="408">
        <v>0.73196836208478955</v>
      </c>
      <c r="AO290" s="408">
        <v>22.768468597524819</v>
      </c>
      <c r="AP290" s="408">
        <v>73.211917224166712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0.10990364494614778</v>
      </c>
      <c r="BF290" s="408">
        <v>2.8305504307646641</v>
      </c>
      <c r="BG290" s="408">
        <v>3.680207289069731</v>
      </c>
      <c r="BH290" s="408">
        <v>0</v>
      </c>
      <c r="BI290" s="408">
        <v>0</v>
      </c>
      <c r="BJ290" s="408">
        <v>0</v>
      </c>
      <c r="BK290" s="408">
        <v>0</v>
      </c>
      <c r="BL290" s="408">
        <v>0</v>
      </c>
      <c r="BM290" s="408"/>
      <c r="BN290" s="408"/>
      <c r="BO290" s="408"/>
      <c r="BP290" s="408"/>
      <c r="BQ290" s="408"/>
      <c r="BR290" s="408">
        <v>30.04983759999989</v>
      </c>
      <c r="BS290" s="408"/>
      <c r="BT290" s="408"/>
      <c r="BU290" s="408"/>
      <c r="BV290" s="408">
        <v>101.40379919868809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727.01220000000001</v>
      </c>
      <c r="CJ290" s="408">
        <v>-323.59401119999995</v>
      </c>
      <c r="CK290" s="408"/>
      <c r="CL290" s="408"/>
      <c r="CM290" s="408"/>
      <c r="CN290" s="408"/>
      <c r="CO290" s="408">
        <v>-355.58519000000001</v>
      </c>
      <c r="CP290" s="408">
        <v>12.480909999999998</v>
      </c>
      <c r="CQ290" s="408">
        <v>30</v>
      </c>
      <c r="CR290" s="408">
        <v>18.098809467064655</v>
      </c>
      <c r="CS290" s="408">
        <v>2.2106744560579443</v>
      </c>
      <c r="CT290" s="408">
        <v>7.1084146302260649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-3.1010659798264157</v>
      </c>
      <c r="DA290" s="408">
        <v>0</v>
      </c>
      <c r="DB290" s="408">
        <v>0</v>
      </c>
      <c r="DC290" s="408">
        <v>12.166463289180939</v>
      </c>
      <c r="DD290" s="408">
        <v>0.36333243118010161</v>
      </c>
      <c r="DE290" s="408">
        <v>1.4107347489672351E-2</v>
      </c>
      <c r="DF290" s="408">
        <v>0</v>
      </c>
      <c r="DG290" s="408">
        <v>0.47239527939560855</v>
      </c>
      <c r="DH290" s="408">
        <v>0</v>
      </c>
      <c r="DI290" s="408">
        <v>-0.91577582672046631</v>
      </c>
      <c r="DJ290" s="408"/>
      <c r="DK290" s="408">
        <v>0</v>
      </c>
      <c r="DL290" s="408">
        <v>0</v>
      </c>
      <c r="DM290" s="408">
        <v>-5.2999735205562004E-2</v>
      </c>
      <c r="DN290" s="408">
        <v>0</v>
      </c>
      <c r="DO290" s="408">
        <v>-0.14418160381438572</v>
      </c>
      <c r="DP290" s="408">
        <v>-2.2554820898792016E-2</v>
      </c>
      <c r="DQ290" s="408">
        <v>0</v>
      </c>
      <c r="DR290" s="408">
        <v>0</v>
      </c>
      <c r="DS290" s="408"/>
      <c r="DT290" s="408"/>
      <c r="DU290" s="408"/>
      <c r="DV290" s="408">
        <v>682.23425628693781</v>
      </c>
      <c r="DW290" s="408">
        <v>0</v>
      </c>
      <c r="DX290" s="408">
        <v>0</v>
      </c>
      <c r="DY290" s="408">
        <v>-355.58519000000001</v>
      </c>
      <c r="DZ290" s="408">
        <v>12.480909999999994</v>
      </c>
      <c r="EA290" s="408">
        <v>0</v>
      </c>
      <c r="EB290" s="408">
        <v>0</v>
      </c>
      <c r="EC290" s="408">
        <v>-361.2068697315388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239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291</v>
      </c>
      <c r="B291" s="408" t="s">
        <v>1034</v>
      </c>
      <c r="C291" s="408" t="s">
        <v>2241</v>
      </c>
      <c r="D291" s="408" t="s">
        <v>596</v>
      </c>
      <c r="E291" s="408" t="s">
        <v>972</v>
      </c>
      <c r="F291" s="408" t="s">
        <v>2251</v>
      </c>
      <c r="G291" s="408" t="s">
        <v>1320</v>
      </c>
      <c r="H291" s="408" t="s">
        <v>1320</v>
      </c>
      <c r="I291" s="408" t="s">
        <v>2242</v>
      </c>
      <c r="J291" s="408" t="s">
        <v>2234</v>
      </c>
      <c r="K291" s="827">
        <v>44501</v>
      </c>
      <c r="L291" s="408">
        <v>0</v>
      </c>
      <c r="M291" s="408">
        <v>0</v>
      </c>
      <c r="N291" s="408">
        <v>302.03800000000001</v>
      </c>
      <c r="O291" s="408">
        <v>289.95648</v>
      </c>
      <c r="P291" s="408">
        <v>302.03800000000001</v>
      </c>
      <c r="Q291" s="408">
        <v>289.95648</v>
      </c>
      <c r="R291" s="408"/>
      <c r="S291" s="408">
        <v>70.33</v>
      </c>
      <c r="T291" s="408">
        <v>173.82</v>
      </c>
      <c r="U291" s="408"/>
      <c r="V291" s="408">
        <v>73742.577699999994</v>
      </c>
      <c r="W291" s="408">
        <v>73742.577699999994</v>
      </c>
      <c r="X291" s="408">
        <v>79837.704539999992</v>
      </c>
      <c r="Y291" s="408">
        <v>0</v>
      </c>
      <c r="Z291" s="408">
        <v>16068.429606870532</v>
      </c>
      <c r="AA291" s="408">
        <v>0</v>
      </c>
      <c r="AB291" s="408">
        <v>0</v>
      </c>
      <c r="AC291" s="408">
        <v>0</v>
      </c>
      <c r="AD291" s="408">
        <v>0</v>
      </c>
      <c r="AE291" s="408">
        <v>0</v>
      </c>
      <c r="AF291" s="408">
        <v>48604.599974665151</v>
      </c>
      <c r="AG291" s="408">
        <v>2445.2589912890508</v>
      </c>
      <c r="AH291" s="408">
        <v>0</v>
      </c>
      <c r="AI291" s="408">
        <v>0</v>
      </c>
      <c r="AJ291" s="408">
        <v>0</v>
      </c>
      <c r="AK291" s="408">
        <v>0</v>
      </c>
      <c r="AL291" s="408">
        <v>2854.711147474</v>
      </c>
      <c r="AM291" s="408"/>
      <c r="AN291" s="408">
        <v>375.35188480028131</v>
      </c>
      <c r="AO291" s="408">
        <v>0</v>
      </c>
      <c r="AP291" s="408">
        <v>0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56.358365216034954</v>
      </c>
      <c r="BF291" s="408">
        <v>1451.5004940701149</v>
      </c>
      <c r="BG291" s="408">
        <v>1887.2027999593267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>
        <v>3193.5081816000029</v>
      </c>
      <c r="BS291" s="408"/>
      <c r="BT291" s="408"/>
      <c r="BU291" s="408"/>
      <c r="BV291" s="408">
        <v>51999.661633910633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76645.126799999998</v>
      </c>
      <c r="CJ291" s="408">
        <v>5852.2222080000065</v>
      </c>
      <c r="CK291" s="408"/>
      <c r="CL291" s="408"/>
      <c r="CM291" s="408"/>
      <c r="CN291" s="408"/>
      <c r="CO291" s="408">
        <v>-305.05838000000153</v>
      </c>
      <c r="CP291" s="408">
        <v>6400.1852199999994</v>
      </c>
      <c r="CQ291" s="408">
        <v>30</v>
      </c>
      <c r="CR291" s="408">
        <v>6092.4430403820879</v>
      </c>
      <c r="CS291" s="408">
        <v>0</v>
      </c>
      <c r="CT291" s="408">
        <v>0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0</v>
      </c>
      <c r="DA291" s="408">
        <v>0</v>
      </c>
      <c r="DB291" s="408">
        <v>0</v>
      </c>
      <c r="DC291" s="408">
        <v>6238.9375873304452</v>
      </c>
      <c r="DD291" s="408">
        <v>186.31613047330302</v>
      </c>
      <c r="DE291" s="408">
        <v>7.2342190510792079</v>
      </c>
      <c r="DF291" s="408">
        <v>0</v>
      </c>
      <c r="DG291" s="408">
        <v>242.24333683886402</v>
      </c>
      <c r="DH291" s="408">
        <v>0</v>
      </c>
      <c r="DI291" s="408">
        <v>-469.60797818505125</v>
      </c>
      <c r="DJ291" s="408"/>
      <c r="DK291" s="408">
        <v>0</v>
      </c>
      <c r="DL291" s="408">
        <v>0</v>
      </c>
      <c r="DM291" s="408">
        <v>-27.178156234325343</v>
      </c>
      <c r="DN291" s="408">
        <v>0</v>
      </c>
      <c r="DO291" s="408">
        <v>-73.936032687418447</v>
      </c>
      <c r="DP291" s="408">
        <v>-11.56606620480369</v>
      </c>
      <c r="DQ291" s="408">
        <v>0</v>
      </c>
      <c r="DR291" s="408">
        <v>0</v>
      </c>
      <c r="DS291" s="408"/>
      <c r="DT291" s="408"/>
      <c r="DU291" s="408"/>
      <c r="DV291" s="408">
        <v>0</v>
      </c>
      <c r="DW291" s="408">
        <v>0</v>
      </c>
      <c r="DX291" s="408">
        <v>0</v>
      </c>
      <c r="DY291" s="408">
        <v>-305.05838000000222</v>
      </c>
      <c r="DZ291" s="408">
        <v>6400.1852199999994</v>
      </c>
      <c r="EA291" s="408">
        <v>0</v>
      </c>
      <c r="EB291" s="408">
        <v>0</v>
      </c>
      <c r="EC291" s="408">
        <v>0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239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292</v>
      </c>
      <c r="B292" s="408" t="s">
        <v>1034</v>
      </c>
      <c r="C292" s="408" t="s">
        <v>2241</v>
      </c>
      <c r="D292" s="408" t="s">
        <v>596</v>
      </c>
      <c r="E292" s="408" t="s">
        <v>972</v>
      </c>
      <c r="F292" s="408" t="s">
        <v>2251</v>
      </c>
      <c r="G292" s="408" t="s">
        <v>1320</v>
      </c>
      <c r="H292" s="408" t="s">
        <v>1320</v>
      </c>
      <c r="I292" s="408" t="s">
        <v>1320</v>
      </c>
      <c r="J292" s="408" t="s">
        <v>2234</v>
      </c>
      <c r="K292" s="827">
        <v>44501</v>
      </c>
      <c r="L292" s="408">
        <v>1542</v>
      </c>
      <c r="M292" s="408">
        <v>1480.32</v>
      </c>
      <c r="N292" s="408">
        <v>0</v>
      </c>
      <c r="O292" s="408">
        <v>0</v>
      </c>
      <c r="P292" s="408">
        <v>0</v>
      </c>
      <c r="Q292" s="408">
        <v>0</v>
      </c>
      <c r="R292" s="408">
        <v>59.12</v>
      </c>
      <c r="S292" s="408"/>
      <c r="T292" s="408"/>
      <c r="U292" s="408">
        <v>91163.04</v>
      </c>
      <c r="V292" s="408"/>
      <c r="W292" s="408">
        <v>91163.04</v>
      </c>
      <c r="X292" s="408">
        <v>52474.26</v>
      </c>
      <c r="Y292" s="408">
        <v>0</v>
      </c>
      <c r="Z292" s="408">
        <v>0</v>
      </c>
      <c r="AA292" s="408">
        <v>0</v>
      </c>
      <c r="AB292" s="408">
        <v>0</v>
      </c>
      <c r="AC292" s="408">
        <v>882.1170802605377</v>
      </c>
      <c r="AD292" s="408">
        <v>7890.4489274031939</v>
      </c>
      <c r="AE292" s="408">
        <v>74265.492134278989</v>
      </c>
      <c r="AF292" s="408"/>
      <c r="AG292" s="408"/>
      <c r="AH292" s="408"/>
      <c r="AI292" s="408">
        <v>0</v>
      </c>
      <c r="AJ292" s="408">
        <v>0</v>
      </c>
      <c r="AK292" s="408">
        <v>0</v>
      </c>
      <c r="AL292" s="408">
        <v>0</v>
      </c>
      <c r="AM292" s="408"/>
      <c r="AN292" s="408">
        <v>0</v>
      </c>
      <c r="AO292" s="408">
        <v>1862.8472023940726</v>
      </c>
      <c r="AP292" s="408">
        <v>6262.0432863187471</v>
      </c>
      <c r="AQ292" s="408">
        <v>0</v>
      </c>
      <c r="AR292" s="408">
        <v>0</v>
      </c>
      <c r="AS292" s="408"/>
      <c r="AT292" s="408"/>
      <c r="AU292" s="408">
        <v>0</v>
      </c>
      <c r="AV292" s="408">
        <v>0</v>
      </c>
      <c r="AW292" s="408">
        <v>0</v>
      </c>
      <c r="AX292" s="408"/>
      <c r="AY292" s="408"/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/>
      <c r="BG292" s="408">
        <v>0</v>
      </c>
      <c r="BH292" s="408">
        <v>0</v>
      </c>
      <c r="BI292" s="408">
        <v>1836.4</v>
      </c>
      <c r="BJ292" s="408">
        <v>8535.36</v>
      </c>
      <c r="BK292" s="408">
        <v>45.7</v>
      </c>
      <c r="BL292" s="408">
        <v>9</v>
      </c>
      <c r="BM292" s="408"/>
      <c r="BN292" s="408"/>
      <c r="BO292" s="408"/>
      <c r="BP292" s="408"/>
      <c r="BQ292" s="408"/>
      <c r="BR292" s="408">
        <v>2098.9704000000024</v>
      </c>
      <c r="BS292" s="408"/>
      <c r="BT292" s="408"/>
      <c r="BU292" s="408"/>
      <c r="BV292" s="408">
        <v>0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50375.289599999996</v>
      </c>
      <c r="CJ292" s="408">
        <v>-37141.258799999974</v>
      </c>
      <c r="CK292" s="408"/>
      <c r="CL292" s="408"/>
      <c r="CM292" s="408"/>
      <c r="CN292" s="408"/>
      <c r="CO292" s="408">
        <v>-38688.779999999992</v>
      </c>
      <c r="CP292" s="408">
        <v>0</v>
      </c>
      <c r="CQ292" s="408">
        <v>30</v>
      </c>
      <c r="CR292" s="408">
        <v>637.58242709357</v>
      </c>
      <c r="CS292" s="408">
        <v>180.87069440934101</v>
      </c>
      <c r="CT292" s="408">
        <v>608.00484127856544</v>
      </c>
      <c r="CU292" s="408">
        <v>0</v>
      </c>
      <c r="CV292" s="408">
        <v>0</v>
      </c>
      <c r="CW292" s="408"/>
      <c r="CX292" s="408"/>
      <c r="CY292" s="408"/>
      <c r="CZ292" s="408">
        <v>-151.29310859433645</v>
      </c>
      <c r="DA292" s="408">
        <v>0</v>
      </c>
      <c r="DB292" s="408">
        <v>0</v>
      </c>
      <c r="DC292" s="408"/>
      <c r="DD292" s="408"/>
      <c r="DE292" s="408">
        <v>0</v>
      </c>
      <c r="DF292" s="408">
        <v>0</v>
      </c>
      <c r="DG292" s="408">
        <v>0</v>
      </c>
      <c r="DH292" s="408">
        <v>0</v>
      </c>
      <c r="DI292" s="408">
        <v>0</v>
      </c>
      <c r="DJ292" s="408"/>
      <c r="DK292" s="408">
        <v>0</v>
      </c>
      <c r="DL292" s="408">
        <v>0</v>
      </c>
      <c r="DM292" s="408"/>
      <c r="DN292" s="408">
        <v>0</v>
      </c>
      <c r="DO292" s="408">
        <v>0</v>
      </c>
      <c r="DP292" s="408">
        <v>0</v>
      </c>
      <c r="DQ292" s="408">
        <v>0</v>
      </c>
      <c r="DR292" s="408">
        <v>0</v>
      </c>
      <c r="DS292" s="408"/>
      <c r="DT292" s="408"/>
      <c r="DU292" s="408">
        <v>74265.492134278989</v>
      </c>
      <c r="DV292" s="408"/>
      <c r="DW292" s="408">
        <v>0</v>
      </c>
      <c r="DX292" s="408">
        <v>0</v>
      </c>
      <c r="DY292" s="408">
        <v>-38688.779999999992</v>
      </c>
      <c r="DZ292" s="408"/>
      <c r="EA292" s="408">
        <v>0</v>
      </c>
      <c r="EB292" s="408"/>
      <c r="EC292" s="408">
        <v>-39319.640864842317</v>
      </c>
      <c r="ED292" s="408"/>
      <c r="EE292" s="408">
        <v>0</v>
      </c>
      <c r="EF292" s="408">
        <v>0</v>
      </c>
      <c r="EG292" s="408"/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/>
      <c r="EN292" s="408"/>
      <c r="EO292" s="408">
        <v>0</v>
      </c>
      <c r="EP292" s="408">
        <v>0</v>
      </c>
      <c r="EQ292" s="408"/>
      <c r="ER292" s="408">
        <v>0</v>
      </c>
      <c r="ES292" s="408"/>
      <c r="ET292" s="408">
        <v>0</v>
      </c>
      <c r="EU292" s="408"/>
      <c r="EV292" s="408">
        <v>239</v>
      </c>
      <c r="EW292" s="408"/>
      <c r="EX292" s="408"/>
      <c r="EY292" s="408"/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293</v>
      </c>
      <c r="B293" s="408" t="s">
        <v>1034</v>
      </c>
      <c r="C293" s="408" t="s">
        <v>2241</v>
      </c>
      <c r="D293" s="408" t="s">
        <v>596</v>
      </c>
      <c r="E293" s="408" t="s">
        <v>972</v>
      </c>
      <c r="F293" s="408" t="s">
        <v>2251</v>
      </c>
      <c r="G293" s="408" t="s">
        <v>2253</v>
      </c>
      <c r="H293" s="408" t="s">
        <v>1320</v>
      </c>
      <c r="I293" s="408" t="s">
        <v>2242</v>
      </c>
      <c r="J293" s="408" t="s">
        <v>2234</v>
      </c>
      <c r="K293" s="827">
        <v>44501</v>
      </c>
      <c r="L293" s="408">
        <v>0</v>
      </c>
      <c r="M293" s="408">
        <v>0</v>
      </c>
      <c r="N293" s="408">
        <v>236.74199999999999</v>
      </c>
      <c r="O293" s="408">
        <v>71.022599999999997</v>
      </c>
      <c r="P293" s="408">
        <v>236.74199999999999</v>
      </c>
      <c r="Q293" s="408">
        <v>71.022599999999997</v>
      </c>
      <c r="R293" s="408"/>
      <c r="S293" s="408">
        <v>70.33</v>
      </c>
      <c r="T293" s="408">
        <v>173.82</v>
      </c>
      <c r="U293" s="408"/>
      <c r="V293" s="408">
        <v>57800.559299999994</v>
      </c>
      <c r="W293" s="408">
        <v>57800.559299999994</v>
      </c>
      <c r="X293" s="408">
        <v>62578.012859999995</v>
      </c>
      <c r="Y293" s="408">
        <v>0</v>
      </c>
      <c r="Z293" s="408">
        <v>12594.680675907479</v>
      </c>
      <c r="AA293" s="408">
        <v>0</v>
      </c>
      <c r="AB293" s="408">
        <v>0</v>
      </c>
      <c r="AC293" s="408">
        <v>0</v>
      </c>
      <c r="AD293" s="408">
        <v>0</v>
      </c>
      <c r="AE293" s="408">
        <v>0</v>
      </c>
      <c r="AF293" s="408">
        <v>38097.028212351346</v>
      </c>
      <c r="AG293" s="408">
        <v>1916.6313646486615</v>
      </c>
      <c r="AH293" s="408">
        <v>0</v>
      </c>
      <c r="AI293" s="408">
        <v>0</v>
      </c>
      <c r="AJ293" s="408">
        <v>0</v>
      </c>
      <c r="AK293" s="408">
        <v>0</v>
      </c>
      <c r="AL293" s="408">
        <v>2237.5662217180939</v>
      </c>
      <c r="AM293" s="408"/>
      <c r="AN293" s="408">
        <v>294.20654325412102</v>
      </c>
      <c r="AO293" s="408">
        <v>0</v>
      </c>
      <c r="AP293" s="408">
        <v>0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44.17454789786234</v>
      </c>
      <c r="BF293" s="408">
        <v>1137.7082683872463</v>
      </c>
      <c r="BG293" s="408">
        <v>1479.2183939370905</v>
      </c>
      <c r="BH293" s="408">
        <v>0</v>
      </c>
      <c r="BI293" s="408">
        <v>0</v>
      </c>
      <c r="BJ293" s="408">
        <v>0</v>
      </c>
      <c r="BK293" s="408">
        <v>0</v>
      </c>
      <c r="BL293" s="408">
        <v>0</v>
      </c>
      <c r="BM293" s="408"/>
      <c r="BN293" s="408"/>
      <c r="BO293" s="408"/>
      <c r="BP293" s="408"/>
      <c r="BQ293" s="408"/>
      <c r="BR293" s="408"/>
      <c r="BS293" s="408">
        <v>43804.609001999997</v>
      </c>
      <c r="BT293" s="408"/>
      <c r="BU293" s="408"/>
      <c r="BV293" s="408">
        <v>40758.12942257354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18772.7166</v>
      </c>
      <c r="CJ293" s="408">
        <v>1432.5188100000014</v>
      </c>
      <c r="CK293" s="408"/>
      <c r="CL293" s="408"/>
      <c r="CM293" s="408"/>
      <c r="CN293" s="408"/>
      <c r="CO293" s="408">
        <v>-239.10942000000119</v>
      </c>
      <c r="CP293" s="408">
        <v>5016.5629799999997</v>
      </c>
      <c r="CQ293" s="408">
        <v>30</v>
      </c>
      <c r="CR293" s="408">
        <v>4775.349956846956</v>
      </c>
      <c r="CS293" s="408">
        <v>0</v>
      </c>
      <c r="CT293" s="408">
        <v>0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0</v>
      </c>
      <c r="DA293" s="408">
        <v>0</v>
      </c>
      <c r="DB293" s="408">
        <v>0</v>
      </c>
      <c r="DC293" s="408">
        <v>4890.1746214045415</v>
      </c>
      <c r="DD293" s="408">
        <v>146.0374302588109</v>
      </c>
      <c r="DE293" s="408">
        <v>5.670291442105281</v>
      </c>
      <c r="DF293" s="408">
        <v>0</v>
      </c>
      <c r="DG293" s="408">
        <v>189.87402926090863</v>
      </c>
      <c r="DH293" s="408">
        <v>0</v>
      </c>
      <c r="DI293" s="408">
        <v>-368.08590962556264</v>
      </c>
      <c r="DJ293" s="408"/>
      <c r="DK293" s="408">
        <v>0</v>
      </c>
      <c r="DL293" s="408">
        <v>0</v>
      </c>
      <c r="DM293" s="408">
        <v>-21.302654180025911</v>
      </c>
      <c r="DN293" s="408">
        <v>0</v>
      </c>
      <c r="DO293" s="408">
        <v>-57.952192275425205</v>
      </c>
      <c r="DP293" s="408">
        <v>-9.0656594384072378</v>
      </c>
      <c r="DQ293" s="408">
        <v>0</v>
      </c>
      <c r="DR293" s="408">
        <v>0</v>
      </c>
      <c r="DS293" s="408"/>
      <c r="DT293" s="408"/>
      <c r="DU293" s="408"/>
      <c r="DV293" s="408">
        <v>0</v>
      </c>
      <c r="DW293" s="408">
        <v>0</v>
      </c>
      <c r="DX293" s="408">
        <v>0</v>
      </c>
      <c r="DY293" s="408">
        <v>-239.10942000000068</v>
      </c>
      <c r="DZ293" s="408">
        <v>5016.5629800000024</v>
      </c>
      <c r="EA293" s="408">
        <v>0</v>
      </c>
      <c r="EB293" s="408">
        <v>0</v>
      </c>
      <c r="EC293" s="408">
        <v>0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0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239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294</v>
      </c>
      <c r="B294" s="408" t="s">
        <v>1034</v>
      </c>
      <c r="C294" s="408" t="s">
        <v>2233</v>
      </c>
      <c r="D294" s="408" t="s">
        <v>2243</v>
      </c>
      <c r="E294" s="408" t="s">
        <v>972</v>
      </c>
      <c r="F294" s="408" t="s">
        <v>2254</v>
      </c>
      <c r="G294" s="408" t="s">
        <v>2252</v>
      </c>
      <c r="H294" s="408" t="s">
        <v>1320</v>
      </c>
      <c r="I294" s="408" t="s">
        <v>1320</v>
      </c>
      <c r="J294" s="408" t="s">
        <v>2234</v>
      </c>
      <c r="K294" s="827">
        <v>44501</v>
      </c>
      <c r="L294" s="408">
        <v>0</v>
      </c>
      <c r="M294" s="408">
        <v>0</v>
      </c>
      <c r="N294" s="408">
        <v>0</v>
      </c>
      <c r="O294" s="408">
        <v>0</v>
      </c>
      <c r="P294" s="408">
        <v>0</v>
      </c>
      <c r="Q294" s="408">
        <v>0</v>
      </c>
      <c r="R294" s="408"/>
      <c r="S294" s="408"/>
      <c r="T294" s="408"/>
      <c r="U294" s="408"/>
      <c r="V294" s="408"/>
      <c r="W294" s="408"/>
      <c r="X294" s="408"/>
      <c r="Y294" s="408"/>
      <c r="Z294" s="408"/>
      <c r="AA294" s="408">
        <v>0</v>
      </c>
      <c r="AB294" s="408"/>
      <c r="AC294" s="408"/>
      <c r="AD294" s="408"/>
      <c r="AE294" s="408"/>
      <c r="AF294" s="408"/>
      <c r="AG294" s="408"/>
      <c r="AH294" s="408"/>
      <c r="AI294" s="408"/>
      <c r="AJ294" s="408"/>
      <c r="AK294" s="408"/>
      <c r="AL294" s="408"/>
      <c r="AM294" s="408"/>
      <c r="AN294" s="408"/>
      <c r="AO294" s="408"/>
      <c r="AP294" s="408"/>
      <c r="AQ294" s="408"/>
      <c r="AR294" s="408"/>
      <c r="AS294" s="408"/>
      <c r="AT294" s="408"/>
      <c r="AU294" s="408"/>
      <c r="AV294" s="408"/>
      <c r="AW294" s="408"/>
      <c r="AX294" s="408"/>
      <c r="AY294" s="408"/>
      <c r="AZ294" s="408">
        <v>0</v>
      </c>
      <c r="BA294" s="408"/>
      <c r="BB294" s="408"/>
      <c r="BC294" s="408"/>
      <c r="BD294" s="408"/>
      <c r="BE294" s="408"/>
      <c r="BF294" s="408"/>
      <c r="BG294" s="408"/>
      <c r="BH294" s="408"/>
      <c r="BI294" s="408">
        <v>0.21</v>
      </c>
      <c r="BJ294" s="408">
        <v>1</v>
      </c>
      <c r="BK294" s="408">
        <v>4.68</v>
      </c>
      <c r="BL294" s="408">
        <v>1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/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/>
      <c r="CJ294" s="408">
        <v>-0.03</v>
      </c>
      <c r="CK294" s="408"/>
      <c r="CL294" s="408"/>
      <c r="CM294" s="408"/>
      <c r="CN294" s="408"/>
      <c r="CO294" s="408">
        <v>0</v>
      </c>
      <c r="CP294" s="408">
        <v>0</v>
      </c>
      <c r="CQ294" s="408">
        <v>30</v>
      </c>
      <c r="CR294" s="408"/>
      <c r="CS294" s="408"/>
      <c r="CT294" s="408"/>
      <c r="CU294" s="408"/>
      <c r="CV294" s="408"/>
      <c r="CW294" s="408"/>
      <c r="CX294" s="408"/>
      <c r="CY294" s="408"/>
      <c r="CZ294" s="408"/>
      <c r="DA294" s="408"/>
      <c r="DB294" s="408"/>
      <c r="DC294" s="408"/>
      <c r="DD294" s="408"/>
      <c r="DE294" s="408"/>
      <c r="DF294" s="408"/>
      <c r="DG294" s="408"/>
      <c r="DH294" s="408"/>
      <c r="DI294" s="408"/>
      <c r="DJ294" s="408"/>
      <c r="DK294" s="408">
        <v>0</v>
      </c>
      <c r="DL294" s="408"/>
      <c r="DM294" s="408"/>
      <c r="DN294" s="408"/>
      <c r="DO294" s="408"/>
      <c r="DP294" s="408"/>
      <c r="DQ294" s="408"/>
      <c r="DR294" s="408"/>
      <c r="DS294" s="408"/>
      <c r="DT294" s="408"/>
      <c r="DU294" s="408"/>
      <c r="DV294" s="408"/>
      <c r="DW294" s="408"/>
      <c r="DX294" s="408"/>
      <c r="DY294" s="408"/>
      <c r="DZ294" s="408"/>
      <c r="EA294" s="408"/>
      <c r="EB294" s="408"/>
      <c r="EC294" s="408"/>
      <c r="ED294" s="408"/>
      <c r="EE294" s="408"/>
      <c r="EF294" s="408"/>
      <c r="EG294" s="408"/>
      <c r="EH294" s="408"/>
      <c r="EI294" s="408"/>
      <c r="EJ294" s="408"/>
      <c r="EK294" s="408"/>
      <c r="EL294" s="408"/>
      <c r="EM294" s="408"/>
      <c r="EN294" s="408"/>
      <c r="EO294" s="408"/>
      <c r="EP294" s="408"/>
      <c r="EQ294" s="408"/>
      <c r="ER294" s="408"/>
      <c r="ES294" s="408"/>
      <c r="ET294" s="408"/>
      <c r="EU294" s="408"/>
      <c r="EV294" s="408">
        <v>239</v>
      </c>
      <c r="EW294" s="408"/>
      <c r="EX294" s="408"/>
      <c r="EY294" s="408"/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295</v>
      </c>
      <c r="B295" s="408" t="s">
        <v>1034</v>
      </c>
      <c r="C295" s="408" t="s">
        <v>2233</v>
      </c>
      <c r="D295" s="408" t="s">
        <v>2243</v>
      </c>
      <c r="E295" s="408" t="s">
        <v>972</v>
      </c>
      <c r="F295" s="408" t="s">
        <v>2254</v>
      </c>
      <c r="G295" s="408" t="s">
        <v>2252</v>
      </c>
      <c r="H295" s="408" t="s">
        <v>1320</v>
      </c>
      <c r="I295" s="408" t="s">
        <v>1320</v>
      </c>
      <c r="J295" s="408" t="s">
        <v>2234</v>
      </c>
      <c r="K295" s="827">
        <v>44501</v>
      </c>
      <c r="L295" s="408">
        <v>0</v>
      </c>
      <c r="M295" s="408">
        <v>0</v>
      </c>
      <c r="N295" s="408">
        <v>0.05</v>
      </c>
      <c r="O295" s="408">
        <v>0.05</v>
      </c>
      <c r="P295" s="408">
        <v>0.05</v>
      </c>
      <c r="Q295" s="408">
        <v>0.05</v>
      </c>
      <c r="R295" s="408"/>
      <c r="S295" s="408">
        <v>516.83000000000004</v>
      </c>
      <c r="T295" s="408">
        <v>173.82</v>
      </c>
      <c r="U295" s="408"/>
      <c r="V295" s="408">
        <v>34.532500000000006</v>
      </c>
      <c r="W295" s="408">
        <v>34.532500000000006</v>
      </c>
      <c r="X295" s="408">
        <v>26.072499999999998</v>
      </c>
      <c r="Y295" s="408">
        <v>0</v>
      </c>
      <c r="Z295" s="408">
        <v>3.0574727879011849</v>
      </c>
      <c r="AA295" s="408">
        <v>0</v>
      </c>
      <c r="AB295" s="408">
        <v>0</v>
      </c>
      <c r="AC295" s="408">
        <v>0.13592220366954352</v>
      </c>
      <c r="AD295" s="408">
        <v>1.7213305761033</v>
      </c>
      <c r="AE295" s="408">
        <v>18.180789758334949</v>
      </c>
      <c r="AF295" s="408">
        <v>8.0461067770719499</v>
      </c>
      <c r="AG295" s="408">
        <v>0.4047932696033365</v>
      </c>
      <c r="AH295" s="408">
        <v>0</v>
      </c>
      <c r="AI295" s="408">
        <v>0</v>
      </c>
      <c r="AJ295" s="408">
        <v>0</v>
      </c>
      <c r="AK295" s="408">
        <v>0</v>
      </c>
      <c r="AL295" s="408">
        <v>0.47257483288096203</v>
      </c>
      <c r="AM295" s="408"/>
      <c r="AN295" s="408">
        <v>7.7577098742484502E-2</v>
      </c>
      <c r="AO295" s="408">
        <v>0.289925188956772</v>
      </c>
      <c r="AP295" s="408">
        <v>0.94946579258044506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2.7740630852605305E-2</v>
      </c>
      <c r="BF295" s="408">
        <v>0.24028441687306148</v>
      </c>
      <c r="BG295" s="408">
        <v>0.92891616030728508</v>
      </c>
      <c r="BH295" s="408">
        <v>0</v>
      </c>
      <c r="BI295" s="408">
        <v>0</v>
      </c>
      <c r="BJ295" s="408">
        <v>0</v>
      </c>
      <c r="BK295" s="408">
        <v>0</v>
      </c>
      <c r="BL295" s="408">
        <v>0</v>
      </c>
      <c r="BM295" s="408"/>
      <c r="BN295" s="408"/>
      <c r="BO295" s="408"/>
      <c r="BP295" s="408"/>
      <c r="BQ295" s="408"/>
      <c r="BR295" s="408">
        <v>3.1284999999999998</v>
      </c>
      <c r="BS295" s="408"/>
      <c r="BT295" s="408"/>
      <c r="BU295" s="408"/>
      <c r="BV295" s="408">
        <v>9.2430479851049014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22.944000000000003</v>
      </c>
      <c r="CJ295" s="408">
        <v>-7.4745000000000026</v>
      </c>
      <c r="CK295" s="408"/>
      <c r="CL295" s="408"/>
      <c r="CM295" s="408"/>
      <c r="CN295" s="408"/>
      <c r="CO295" s="408">
        <v>-9.5195000000000025</v>
      </c>
      <c r="CP295" s="408">
        <v>1.0594999999999999</v>
      </c>
      <c r="CQ295" s="408">
        <v>30</v>
      </c>
      <c r="CR295" s="408">
        <v>1.1652939507004056</v>
      </c>
      <c r="CS295" s="408">
        <v>2.8149904182146024E-2</v>
      </c>
      <c r="CT295" s="408">
        <v>9.2187130002520101E-2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-3.3005150425939878E-2</v>
      </c>
      <c r="DA295" s="408">
        <v>0</v>
      </c>
      <c r="DB295" s="408">
        <v>0</v>
      </c>
      <c r="DC295" s="408">
        <v>1.0328067308303002</v>
      </c>
      <c r="DD295" s="408">
        <v>3.0843160541604547E-2</v>
      </c>
      <c r="DE295" s="408">
        <v>3.5608165608354524E-3</v>
      </c>
      <c r="DF295" s="408">
        <v>0</v>
      </c>
      <c r="DG295" s="408">
        <v>0.11923665560544494</v>
      </c>
      <c r="DH295" s="408">
        <v>0</v>
      </c>
      <c r="DI295" s="408">
        <v>-8.9356187842284829E-2</v>
      </c>
      <c r="DJ295" s="408"/>
      <c r="DK295" s="408">
        <v>0</v>
      </c>
      <c r="DL295" s="408">
        <v>0</v>
      </c>
      <c r="DM295" s="408">
        <v>-4.4991286252600293E-3</v>
      </c>
      <c r="DN295" s="408">
        <v>0</v>
      </c>
      <c r="DO295" s="408">
        <v>-1.223952494179853E-2</v>
      </c>
      <c r="DP295" s="408">
        <v>-2.3904551871624935E-3</v>
      </c>
      <c r="DQ295" s="408">
        <v>0</v>
      </c>
      <c r="DR295" s="408">
        <v>0</v>
      </c>
      <c r="DS295" s="408"/>
      <c r="DT295" s="408"/>
      <c r="DU295" s="408"/>
      <c r="DV295" s="408">
        <v>18.180789758334949</v>
      </c>
      <c r="DW295" s="408">
        <v>0</v>
      </c>
      <c r="DX295" s="408">
        <v>0</v>
      </c>
      <c r="DY295" s="408">
        <v>-9.5195000000000043</v>
      </c>
      <c r="DZ295" s="408">
        <v>1.0594999999999999</v>
      </c>
      <c r="EA295" s="408">
        <v>0</v>
      </c>
      <c r="EB295" s="408">
        <v>0</v>
      </c>
      <c r="EC295" s="408">
        <v>-9.6257643138537983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239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297</v>
      </c>
      <c r="B296" s="408" t="s">
        <v>1034</v>
      </c>
      <c r="C296" s="408" t="s">
        <v>2233</v>
      </c>
      <c r="D296" s="408" t="s">
        <v>1953</v>
      </c>
      <c r="E296" s="408" t="s">
        <v>967</v>
      </c>
      <c r="F296" s="408" t="s">
        <v>967</v>
      </c>
      <c r="G296" s="408" t="s">
        <v>1320</v>
      </c>
      <c r="H296" s="408" t="s">
        <v>1320</v>
      </c>
      <c r="I296" s="408" t="s">
        <v>1320</v>
      </c>
      <c r="J296" s="408" t="s">
        <v>2234</v>
      </c>
      <c r="K296" s="827">
        <v>44531</v>
      </c>
      <c r="L296" s="408">
        <v>0</v>
      </c>
      <c r="M296" s="408">
        <v>0</v>
      </c>
      <c r="N296" s="408">
        <v>2076.6010000000001</v>
      </c>
      <c r="O296" s="408">
        <v>2076.6010000000001</v>
      </c>
      <c r="P296" s="408">
        <v>2076.6010000000001</v>
      </c>
      <c r="Q296" s="408">
        <v>2076.6010000000001</v>
      </c>
      <c r="R296" s="408"/>
      <c r="S296" s="408">
        <v>516.83000000000004</v>
      </c>
      <c r="T296" s="408">
        <v>173.82</v>
      </c>
      <c r="U296" s="408"/>
      <c r="V296" s="408">
        <v>1434204.4806500003</v>
      </c>
      <c r="W296" s="408">
        <v>1434204.4806500003</v>
      </c>
      <c r="X296" s="408">
        <v>1082843.5914499999</v>
      </c>
      <c r="Y296" s="408">
        <v>0</v>
      </c>
      <c r="Z296" s="408">
        <v>126983.02097656777</v>
      </c>
      <c r="AA296" s="408">
        <v>0</v>
      </c>
      <c r="AB296" s="408">
        <v>0</v>
      </c>
      <c r="AC296" s="408">
        <v>5645.1236812475545</v>
      </c>
      <c r="AD296" s="408">
        <v>71490.33591333378</v>
      </c>
      <c r="AE296" s="408">
        <v>755084.92385896237</v>
      </c>
      <c r="AF296" s="408">
        <v>334171.06758748775</v>
      </c>
      <c r="AG296" s="408">
        <v>16811.882169031163</v>
      </c>
      <c r="AH296" s="408">
        <v>0</v>
      </c>
      <c r="AI296" s="408">
        <v>0</v>
      </c>
      <c r="AJ296" s="408">
        <v>0</v>
      </c>
      <c r="AK296" s="408">
        <v>0</v>
      </c>
      <c r="AL296" s="408">
        <v>19626.987410708771</v>
      </c>
      <c r="AM296" s="408"/>
      <c r="AN296" s="408">
        <v>3221.9336165148411</v>
      </c>
      <c r="AO296" s="408">
        <v>12041.178746256433</v>
      </c>
      <c r="AP296" s="408">
        <v>39433.232286766899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1152.1244353830205</v>
      </c>
      <c r="BF296" s="408">
        <v>9979.4972072603268</v>
      </c>
      <c r="BG296" s="408">
        <v>38579.76454820537</v>
      </c>
      <c r="BH296" s="408">
        <v>0</v>
      </c>
      <c r="BI296" s="408">
        <v>1845.42</v>
      </c>
      <c r="BJ296" s="408">
        <v>7920.48</v>
      </c>
      <c r="BK296" s="408">
        <v>574921.05000000005</v>
      </c>
      <c r="BL296" s="408">
        <v>12985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383882.45377833646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1082843.0699999998</v>
      </c>
      <c r="CJ296" s="408">
        <v>-351361.44065000047</v>
      </c>
      <c r="CK296" s="408"/>
      <c r="CL296" s="408"/>
      <c r="CM296" s="408"/>
      <c r="CN296" s="408"/>
      <c r="CO296" s="408">
        <v>-395364.06439000013</v>
      </c>
      <c r="CP296" s="408">
        <v>44003.175189999994</v>
      </c>
      <c r="CQ296" s="408"/>
      <c r="CR296" s="408">
        <v>48397.011666368344</v>
      </c>
      <c r="CS296" s="408">
        <v>1169.1223834909724</v>
      </c>
      <c r="CT296" s="408">
        <v>3828.7177270072571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-1370.7705675931502</v>
      </c>
      <c r="DA296" s="408">
        <v>0</v>
      </c>
      <c r="DB296" s="408">
        <v>0</v>
      </c>
      <c r="DC296" s="408">
        <v>42894.549800978682</v>
      </c>
      <c r="DD296" s="408">
        <v>1280.9787604771318</v>
      </c>
      <c r="DE296" s="408">
        <v>147.88790462094926</v>
      </c>
      <c r="DF296" s="408">
        <v>0</v>
      </c>
      <c r="DG296" s="408">
        <v>4952.1391653384562</v>
      </c>
      <c r="DH296" s="408">
        <v>0</v>
      </c>
      <c r="DI296" s="408">
        <v>-3711.1429805895314</v>
      </c>
      <c r="DJ296" s="408"/>
      <c r="DK296" s="408">
        <v>0</v>
      </c>
      <c r="DL296" s="408">
        <v>0</v>
      </c>
      <c r="DM296" s="408">
        <v>-186.85790004687078</v>
      </c>
      <c r="DN296" s="408">
        <v>0</v>
      </c>
      <c r="DO296" s="408">
        <v>-508.33219467327217</v>
      </c>
      <c r="DP296" s="408">
        <v>-99.280432642336564</v>
      </c>
      <c r="DQ296" s="408">
        <v>0</v>
      </c>
      <c r="DR296" s="408">
        <v>0</v>
      </c>
      <c r="DS296" s="408"/>
      <c r="DT296" s="408"/>
      <c r="DU296" s="408"/>
      <c r="DV296" s="408">
        <v>755084.92385896237</v>
      </c>
      <c r="DW296" s="408">
        <v>0</v>
      </c>
      <c r="DX296" s="408">
        <v>0</v>
      </c>
      <c r="DY296" s="408">
        <v>-395364.06439000019</v>
      </c>
      <c r="DZ296" s="408">
        <v>44003.175190000038</v>
      </c>
      <c r="EA296" s="408">
        <v>0</v>
      </c>
      <c r="EB296" s="408">
        <v>0</v>
      </c>
      <c r="EC296" s="408">
        <v>-399777.43599826231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239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298</v>
      </c>
      <c r="B297" s="408" t="s">
        <v>2235</v>
      </c>
      <c r="C297" s="408" t="s">
        <v>2233</v>
      </c>
      <c r="D297" s="408" t="s">
        <v>1953</v>
      </c>
      <c r="E297" s="408" t="s">
        <v>967</v>
      </c>
      <c r="F297" s="408" t="s">
        <v>967</v>
      </c>
      <c r="G297" s="408" t="s">
        <v>1320</v>
      </c>
      <c r="H297" s="408" t="s">
        <v>1320</v>
      </c>
      <c r="I297" s="408" t="s">
        <v>1320</v>
      </c>
      <c r="J297" s="408" t="s">
        <v>2234</v>
      </c>
      <c r="K297" s="827">
        <v>44531</v>
      </c>
      <c r="L297" s="408">
        <v>0</v>
      </c>
      <c r="M297" s="408">
        <v>0</v>
      </c>
      <c r="N297" s="408">
        <v>-2.1230000000000002</v>
      </c>
      <c r="O297" s="408">
        <v>-2.1230000000000002</v>
      </c>
      <c r="P297" s="408">
        <v>-2.1230000000000002</v>
      </c>
      <c r="Q297" s="408">
        <v>-2.1230000000000002</v>
      </c>
      <c r="R297" s="408"/>
      <c r="S297" s="408">
        <v>516.83000000000004</v>
      </c>
      <c r="T297" s="408">
        <v>173.82</v>
      </c>
      <c r="U297" s="408"/>
      <c r="V297" s="408">
        <v>-1466.2499500000004</v>
      </c>
      <c r="W297" s="408">
        <v>-1466.2499500000004</v>
      </c>
      <c r="X297" s="408">
        <v>-1107.03835</v>
      </c>
      <c r="Y297" s="408">
        <v>0</v>
      </c>
      <c r="Z297" s="408">
        <v>-129.82029457428433</v>
      </c>
      <c r="AA297" s="408">
        <v>0</v>
      </c>
      <c r="AB297" s="408">
        <v>0</v>
      </c>
      <c r="AC297" s="408">
        <v>-5.7712567678088176</v>
      </c>
      <c r="AD297" s="408">
        <v>-73.087696261346125</v>
      </c>
      <c r="AE297" s="408">
        <v>-771.9563331389021</v>
      </c>
      <c r="AF297" s="408">
        <v>-341.63769375447504</v>
      </c>
      <c r="AG297" s="408">
        <v>-17.187522227357668</v>
      </c>
      <c r="AH297" s="408">
        <v>0</v>
      </c>
      <c r="AI297" s="408">
        <v>0</v>
      </c>
      <c r="AJ297" s="408">
        <v>0</v>
      </c>
      <c r="AK297" s="408">
        <v>0</v>
      </c>
      <c r="AL297" s="408">
        <v>-20.065527404125646</v>
      </c>
      <c r="AM297" s="408"/>
      <c r="AN297" s="408">
        <v>-3.2939236126058922</v>
      </c>
      <c r="AO297" s="408">
        <v>-12.31022352310454</v>
      </c>
      <c r="AP297" s="408">
        <v>-40.314317552965697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-1.1778671860016212</v>
      </c>
      <c r="BF297" s="408">
        <v>-10.202476340430191</v>
      </c>
      <c r="BG297" s="408">
        <v>-39.441780166647327</v>
      </c>
      <c r="BH297" s="408">
        <v>0</v>
      </c>
      <c r="BI297" s="408">
        <v>-8.6199999999999992</v>
      </c>
      <c r="BJ297" s="408">
        <v>-39.96</v>
      </c>
      <c r="BK297" s="408">
        <v>-803.35</v>
      </c>
      <c r="BL297" s="408">
        <v>0</v>
      </c>
      <c r="BM297" s="408"/>
      <c r="BN297" s="408"/>
      <c r="BO297" s="408"/>
      <c r="BP297" s="408"/>
      <c r="BQ297" s="408"/>
      <c r="BR297" s="408"/>
      <c r="BS297" s="408"/>
      <c r="BT297" s="408"/>
      <c r="BU297" s="408"/>
      <c r="BV297" s="408">
        <v>-392.45981744755414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-1105.4740000000002</v>
      </c>
      <c r="CJ297" s="408">
        <v>360.74595000000022</v>
      </c>
      <c r="CK297" s="408"/>
      <c r="CL297" s="408"/>
      <c r="CM297" s="408"/>
      <c r="CN297" s="408"/>
      <c r="CO297" s="408">
        <v>404.19797000000011</v>
      </c>
      <c r="CP297" s="408">
        <v>-44.986370000000001</v>
      </c>
      <c r="CQ297" s="408"/>
      <c r="CR297" s="408">
        <v>-49.478381146739025</v>
      </c>
      <c r="CS297" s="408">
        <v>-1.1952449315739209</v>
      </c>
      <c r="CT297" s="408">
        <v>-3.9142655399070065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1.401398687085404</v>
      </c>
      <c r="DA297" s="408">
        <v>0</v>
      </c>
      <c r="DB297" s="408">
        <v>0</v>
      </c>
      <c r="DC297" s="408">
        <v>-43.852973791054524</v>
      </c>
      <c r="DD297" s="408">
        <v>-1.3096005965965283</v>
      </c>
      <c r="DE297" s="408">
        <v>-0.15119227117307332</v>
      </c>
      <c r="DF297" s="408">
        <v>0</v>
      </c>
      <c r="DG297" s="408">
        <v>-5.0627883970071963</v>
      </c>
      <c r="DH297" s="408">
        <v>0</v>
      </c>
      <c r="DI297" s="408">
        <v>3.794063735783439</v>
      </c>
      <c r="DJ297" s="408"/>
      <c r="DK297" s="408">
        <v>0</v>
      </c>
      <c r="DL297" s="408">
        <v>0</v>
      </c>
      <c r="DM297" s="408">
        <v>0.19103300142853996</v>
      </c>
      <c r="DN297" s="408">
        <v>0</v>
      </c>
      <c r="DO297" s="408">
        <v>0.51969022902876105</v>
      </c>
      <c r="DP297" s="408">
        <v>0.10149872724691988</v>
      </c>
      <c r="DQ297" s="408">
        <v>0</v>
      </c>
      <c r="DR297" s="408">
        <v>0</v>
      </c>
      <c r="DS297" s="408"/>
      <c r="DT297" s="408"/>
      <c r="DU297" s="408"/>
      <c r="DV297" s="408">
        <v>-771.9563331389021</v>
      </c>
      <c r="DW297" s="408">
        <v>0</v>
      </c>
      <c r="DX297" s="408">
        <v>0</v>
      </c>
      <c r="DY297" s="408">
        <v>404.19797000000017</v>
      </c>
      <c r="DZ297" s="408">
        <v>-44.986369999999965</v>
      </c>
      <c r="EA297" s="408">
        <v>0</v>
      </c>
      <c r="EB297" s="408">
        <v>0</v>
      </c>
      <c r="EC297" s="408">
        <v>408.70995276623245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239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299</v>
      </c>
      <c r="B298" s="408" t="s">
        <v>2236</v>
      </c>
      <c r="C298" s="408" t="s">
        <v>2233</v>
      </c>
      <c r="D298" s="408" t="s">
        <v>1953</v>
      </c>
      <c r="E298" s="408" t="s">
        <v>967</v>
      </c>
      <c r="F298" s="408" t="s">
        <v>967</v>
      </c>
      <c r="G298" s="408" t="s">
        <v>1320</v>
      </c>
      <c r="H298" s="408" t="s">
        <v>1320</v>
      </c>
      <c r="I298" s="408" t="s">
        <v>1320</v>
      </c>
      <c r="J298" s="408" t="s">
        <v>2234</v>
      </c>
      <c r="K298" s="827">
        <v>44531</v>
      </c>
      <c r="L298" s="408">
        <v>0</v>
      </c>
      <c r="M298" s="408">
        <v>0</v>
      </c>
      <c r="N298" s="408">
        <v>18.451000000000001</v>
      </c>
      <c r="O298" s="408">
        <v>18.451000000000001</v>
      </c>
      <c r="P298" s="408">
        <v>18.451000000000001</v>
      </c>
      <c r="Q298" s="408">
        <v>18.451000000000001</v>
      </c>
      <c r="R298" s="408"/>
      <c r="S298" s="408">
        <v>516.83000000000004</v>
      </c>
      <c r="T298" s="408">
        <v>173.82</v>
      </c>
      <c r="U298" s="408"/>
      <c r="V298" s="408">
        <v>12743.183150000001</v>
      </c>
      <c r="W298" s="408">
        <v>12743.183150000001</v>
      </c>
      <c r="X298" s="408">
        <v>9621.2739499999989</v>
      </c>
      <c r="Y298" s="408">
        <v>0</v>
      </c>
      <c r="Z298" s="408">
        <v>1128.2686081912952</v>
      </c>
      <c r="AA298" s="408">
        <v>0</v>
      </c>
      <c r="AB298" s="408">
        <v>0</v>
      </c>
      <c r="AC298" s="408">
        <v>50.158011598134948</v>
      </c>
      <c r="AD298" s="408">
        <v>635.20540919363975</v>
      </c>
      <c r="AE298" s="408">
        <v>6709.0750366207631</v>
      </c>
      <c r="AF298" s="408">
        <v>2969.1743228750911</v>
      </c>
      <c r="AG298" s="408">
        <v>149.37681234902323</v>
      </c>
      <c r="AH298" s="408">
        <v>0</v>
      </c>
      <c r="AI298" s="408">
        <v>0</v>
      </c>
      <c r="AJ298" s="408">
        <v>0</v>
      </c>
      <c r="AK298" s="408">
        <v>0</v>
      </c>
      <c r="AL298" s="408">
        <v>174.38956482973259</v>
      </c>
      <c r="AM298" s="408"/>
      <c r="AN298" s="408">
        <v>28.62750097795163</v>
      </c>
      <c r="AO298" s="408">
        <v>106.98819322882801</v>
      </c>
      <c r="AP298" s="408">
        <v>350.37186677803584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10.23684759722841</v>
      </c>
      <c r="BF298" s="408">
        <v>88.669755514497155</v>
      </c>
      <c r="BG298" s="408">
        <v>342.78864147659431</v>
      </c>
      <c r="BH298" s="408">
        <v>0</v>
      </c>
      <c r="BI298" s="408">
        <v>15.14</v>
      </c>
      <c r="BJ298" s="408">
        <v>70.56</v>
      </c>
      <c r="BK298" s="408">
        <v>17183.47</v>
      </c>
      <c r="BL298" s="408">
        <v>292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3410.8695674634109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9620.7524999999987</v>
      </c>
      <c r="CJ298" s="408">
        <v>-3122.4606500000027</v>
      </c>
      <c r="CK298" s="408"/>
      <c r="CL298" s="408"/>
      <c r="CM298" s="408"/>
      <c r="CN298" s="408"/>
      <c r="CO298" s="408">
        <v>-3512.8858900000009</v>
      </c>
      <c r="CP298" s="408">
        <v>390.97668999999996</v>
      </c>
      <c r="CQ298" s="408"/>
      <c r="CR298" s="408">
        <v>430.01677368746368</v>
      </c>
      <c r="CS298" s="408">
        <v>10.387877641295518</v>
      </c>
      <c r="CT298" s="408">
        <v>34.01889471352996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-12.179560610180374</v>
      </c>
      <c r="DA298" s="408">
        <v>0</v>
      </c>
      <c r="DB298" s="408">
        <v>0</v>
      </c>
      <c r="DC298" s="408">
        <v>381.12633981099725</v>
      </c>
      <c r="DD298" s="408">
        <v>11.381743103062902</v>
      </c>
      <c r="DE298" s="408">
        <v>1.3140125272794965</v>
      </c>
      <c r="DF298" s="408">
        <v>0</v>
      </c>
      <c r="DG298" s="408">
        <v>44.000710651521331</v>
      </c>
      <c r="DH298" s="408">
        <v>0</v>
      </c>
      <c r="DI298" s="408">
        <v>-32.974220437560007</v>
      </c>
      <c r="DJ298" s="408"/>
      <c r="DK298" s="408">
        <v>0</v>
      </c>
      <c r="DL298" s="408">
        <v>0</v>
      </c>
      <c r="DM298" s="408">
        <v>-1.6602684452934398</v>
      </c>
      <c r="DN298" s="408">
        <v>0</v>
      </c>
      <c r="DO298" s="408">
        <v>-4.5166294940224816</v>
      </c>
      <c r="DP298" s="408">
        <v>-0.88212577316670604</v>
      </c>
      <c r="DQ298" s="408">
        <v>0</v>
      </c>
      <c r="DR298" s="408">
        <v>0</v>
      </c>
      <c r="DS298" s="408"/>
      <c r="DT298" s="408"/>
      <c r="DU298" s="408"/>
      <c r="DV298" s="408">
        <v>6709.0750366207631</v>
      </c>
      <c r="DW298" s="408">
        <v>0</v>
      </c>
      <c r="DX298" s="408">
        <v>0</v>
      </c>
      <c r="DY298" s="408">
        <v>-3512.8858900000014</v>
      </c>
      <c r="DZ298" s="408">
        <v>390.97668999999996</v>
      </c>
      <c r="EA298" s="408">
        <v>0</v>
      </c>
      <c r="EB298" s="408">
        <v>0</v>
      </c>
      <c r="EC298" s="408">
        <v>-3552.0995470983289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239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300</v>
      </c>
      <c r="B299" s="408" t="s">
        <v>1034</v>
      </c>
      <c r="C299" s="408" t="s">
        <v>2233</v>
      </c>
      <c r="D299" s="408" t="s">
        <v>1953</v>
      </c>
      <c r="E299" s="408" t="s">
        <v>967</v>
      </c>
      <c r="F299" s="408" t="s">
        <v>2237</v>
      </c>
      <c r="G299" s="408" t="s">
        <v>1320</v>
      </c>
      <c r="H299" s="408" t="s">
        <v>1320</v>
      </c>
      <c r="I299" s="408" t="s">
        <v>1320</v>
      </c>
      <c r="J299" s="408" t="s">
        <v>2234</v>
      </c>
      <c r="K299" s="827">
        <v>44531</v>
      </c>
      <c r="L299" s="408">
        <v>0</v>
      </c>
      <c r="M299" s="408">
        <v>0</v>
      </c>
      <c r="N299" s="408">
        <v>25.483000000000001</v>
      </c>
      <c r="O299" s="408">
        <v>25.483000000000001</v>
      </c>
      <c r="P299" s="408">
        <v>25.483000000000001</v>
      </c>
      <c r="Q299" s="408">
        <v>25.483000000000001</v>
      </c>
      <c r="R299" s="408"/>
      <c r="S299" s="408">
        <v>446.23</v>
      </c>
      <c r="T299" s="408">
        <v>173.82</v>
      </c>
      <c r="U299" s="408"/>
      <c r="V299" s="408">
        <v>15800.73415</v>
      </c>
      <c r="W299" s="408">
        <v>15800.73415</v>
      </c>
      <c r="X299" s="408">
        <v>11540.741040000001</v>
      </c>
      <c r="Y299" s="408">
        <v>0</v>
      </c>
      <c r="Z299" s="408">
        <v>0</v>
      </c>
      <c r="AA299" s="408">
        <v>0</v>
      </c>
      <c r="AB299" s="408">
        <v>0</v>
      </c>
      <c r="AC299" s="408">
        <v>69.274110322219542</v>
      </c>
      <c r="AD299" s="408">
        <v>877.29334141680783</v>
      </c>
      <c r="AE299" s="408">
        <v>9266.0213082329901</v>
      </c>
      <c r="AF299" s="408">
        <v>4100.7787800024898</v>
      </c>
      <c r="AG299" s="408">
        <v>206.30693778603646</v>
      </c>
      <c r="AH299" s="408">
        <v>0</v>
      </c>
      <c r="AI299" s="408">
        <v>0</v>
      </c>
      <c r="AJ299" s="408">
        <v>0</v>
      </c>
      <c r="AK299" s="408">
        <v>0</v>
      </c>
      <c r="AL299" s="408">
        <v>0</v>
      </c>
      <c r="AM299" s="408"/>
      <c r="AN299" s="408">
        <v>39.537944145094649</v>
      </c>
      <c r="AO299" s="408">
        <v>147.76327180370842</v>
      </c>
      <c r="AP299" s="408">
        <v>483.90473584654961</v>
      </c>
      <c r="AQ299" s="408">
        <v>0</v>
      </c>
      <c r="AR299" s="408">
        <v>0</v>
      </c>
      <c r="AS299" s="408">
        <v>0</v>
      </c>
      <c r="AT299" s="408">
        <v>0</v>
      </c>
      <c r="AU299" s="408">
        <v>0</v>
      </c>
      <c r="AV299" s="408">
        <v>0</v>
      </c>
      <c r="AW299" s="408">
        <v>0</v>
      </c>
      <c r="AX299" s="408">
        <v>0</v>
      </c>
      <c r="AY299" s="408">
        <v>0</v>
      </c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14.138289920338819</v>
      </c>
      <c r="BF299" s="408">
        <v>122.46335590352452</v>
      </c>
      <c r="BG299" s="408">
        <v>473.43141026221087</v>
      </c>
      <c r="BH299" s="408">
        <v>0</v>
      </c>
      <c r="BI299" s="408">
        <v>16.98</v>
      </c>
      <c r="BJ299" s="408">
        <v>76.45</v>
      </c>
      <c r="BK299" s="408">
        <v>1674.65</v>
      </c>
      <c r="BL299" s="408">
        <v>43</v>
      </c>
      <c r="BM299" s="408"/>
      <c r="BN299" s="408"/>
      <c r="BO299" s="408"/>
      <c r="BP299" s="408"/>
      <c r="BQ299" s="408"/>
      <c r="BR299" s="408"/>
      <c r="BS299" s="408"/>
      <c r="BT299" s="408">
        <v>7501.4307100000005</v>
      </c>
      <c r="BU299" s="408"/>
      <c r="BV299" s="408">
        <v>4710.8118360885646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4038.8348000000005</v>
      </c>
      <c r="CJ299" s="408">
        <v>-1491.5158600000004</v>
      </c>
      <c r="CK299" s="408"/>
      <c r="CL299" s="408"/>
      <c r="CM299" s="408"/>
      <c r="CN299" s="408"/>
      <c r="CO299" s="408">
        <v>-4799.9778800000004</v>
      </c>
      <c r="CP299" s="408">
        <v>539.98476999999991</v>
      </c>
      <c r="CQ299" s="408"/>
      <c r="CR299" s="408">
        <v>645.68298589150345</v>
      </c>
      <c r="CS299" s="408">
        <v>14.346880165472527</v>
      </c>
      <c r="CT299" s="408">
        <v>46.984092677084334</v>
      </c>
      <c r="CU299" s="408">
        <v>0</v>
      </c>
      <c r="CV299" s="408">
        <v>0</v>
      </c>
      <c r="CW299" s="408">
        <v>0</v>
      </c>
      <c r="CX299" s="408">
        <v>0</v>
      </c>
      <c r="CY299" s="408">
        <v>0</v>
      </c>
      <c r="CZ299" s="408">
        <v>-16.821404966084515</v>
      </c>
      <c r="DA299" s="408">
        <v>0</v>
      </c>
      <c r="DB299" s="408">
        <v>0</v>
      </c>
      <c r="DC299" s="408">
        <v>526.38027843497093</v>
      </c>
      <c r="DD299" s="408">
        <v>15.71952520163417</v>
      </c>
      <c r="DE299" s="408">
        <v>1.8148057683953951</v>
      </c>
      <c r="DF299" s="408">
        <v>0</v>
      </c>
      <c r="DG299" s="408">
        <v>60.77015389587109</v>
      </c>
      <c r="DH299" s="408">
        <v>0</v>
      </c>
      <c r="DI299" s="408">
        <v>0</v>
      </c>
      <c r="DJ299" s="408"/>
      <c r="DK299" s="408">
        <v>0</v>
      </c>
      <c r="DL299" s="408">
        <v>0</v>
      </c>
      <c r="DM299" s="408">
        <v>-2.2930258951500093</v>
      </c>
      <c r="DN299" s="408">
        <v>0</v>
      </c>
      <c r="DO299" s="408">
        <v>0</v>
      </c>
      <c r="DP299" s="408">
        <v>-1.2183193906892384</v>
      </c>
      <c r="DQ299" s="408">
        <v>0</v>
      </c>
      <c r="DR299" s="408">
        <v>0</v>
      </c>
      <c r="DS299" s="408"/>
      <c r="DT299" s="408"/>
      <c r="DU299" s="408"/>
      <c r="DV299" s="408">
        <v>9266.0213082329901</v>
      </c>
      <c r="DW299" s="408">
        <v>0</v>
      </c>
      <c r="DX299" s="408">
        <v>0</v>
      </c>
      <c r="DY299" s="408">
        <v>-4799.9778799999995</v>
      </c>
      <c r="DZ299" s="408">
        <v>539.98477000000003</v>
      </c>
      <c r="EA299" s="408">
        <v>0</v>
      </c>
      <c r="EB299" s="408">
        <v>0</v>
      </c>
      <c r="EC299" s="408">
        <v>-4905.8670401987274</v>
      </c>
      <c r="ED299" s="408">
        <v>0</v>
      </c>
      <c r="EE299" s="408">
        <v>0</v>
      </c>
      <c r="EF299" s="408">
        <v>0</v>
      </c>
      <c r="EG299" s="408">
        <v>0</v>
      </c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>
        <v>0</v>
      </c>
      <c r="EN299" s="408">
        <v>0</v>
      </c>
      <c r="EO299" s="408">
        <v>0</v>
      </c>
      <c r="EP299" s="408">
        <v>0</v>
      </c>
      <c r="EQ299" s="408">
        <v>0</v>
      </c>
      <c r="ER299" s="408">
        <v>0</v>
      </c>
      <c r="ES299" s="408">
        <v>0</v>
      </c>
      <c r="ET299" s="408">
        <v>0</v>
      </c>
      <c r="EU299" s="408">
        <v>0</v>
      </c>
      <c r="EV299" s="408">
        <v>239</v>
      </c>
      <c r="EW299" s="408">
        <v>0</v>
      </c>
      <c r="EX299" s="408">
        <v>0</v>
      </c>
      <c r="EY299" s="408">
        <v>0</v>
      </c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301</v>
      </c>
      <c r="B300" s="408" t="s">
        <v>2235</v>
      </c>
      <c r="C300" s="408" t="s">
        <v>2233</v>
      </c>
      <c r="D300" s="408" t="s">
        <v>1953</v>
      </c>
      <c r="E300" s="408" t="s">
        <v>967</v>
      </c>
      <c r="F300" s="408" t="s">
        <v>2237</v>
      </c>
      <c r="G300" s="408" t="s">
        <v>1320</v>
      </c>
      <c r="H300" s="408" t="s">
        <v>1320</v>
      </c>
      <c r="I300" s="408" t="s">
        <v>1320</v>
      </c>
      <c r="J300" s="408" t="s">
        <v>2234</v>
      </c>
      <c r="K300" s="827">
        <v>44531</v>
      </c>
      <c r="L300" s="408">
        <v>0</v>
      </c>
      <c r="M300" s="408">
        <v>0</v>
      </c>
      <c r="N300" s="408">
        <v>0</v>
      </c>
      <c r="O300" s="408">
        <v>0</v>
      </c>
      <c r="P300" s="408">
        <v>0</v>
      </c>
      <c r="Q300" s="408">
        <v>0</v>
      </c>
      <c r="R300" s="408"/>
      <c r="S300" s="408"/>
      <c r="T300" s="408"/>
      <c r="U300" s="408"/>
      <c r="V300" s="408"/>
      <c r="W300" s="408"/>
      <c r="X300" s="408"/>
      <c r="Y300" s="408"/>
      <c r="Z300" s="408"/>
      <c r="AA300" s="408">
        <v>0</v>
      </c>
      <c r="AB300" s="408"/>
      <c r="AC300" s="408"/>
      <c r="AD300" s="408"/>
      <c r="AE300" s="408"/>
      <c r="AF300" s="408"/>
      <c r="AG300" s="408"/>
      <c r="AH300" s="408"/>
      <c r="AI300" s="408"/>
      <c r="AJ300" s="408"/>
      <c r="AK300" s="408"/>
      <c r="AL300" s="408"/>
      <c r="AM300" s="408"/>
      <c r="AN300" s="408"/>
      <c r="AO300" s="408"/>
      <c r="AP300" s="408"/>
      <c r="AQ300" s="408"/>
      <c r="AR300" s="408"/>
      <c r="AS300" s="408"/>
      <c r="AT300" s="408"/>
      <c r="AU300" s="408"/>
      <c r="AV300" s="408"/>
      <c r="AW300" s="408"/>
      <c r="AX300" s="408"/>
      <c r="AY300" s="408"/>
      <c r="AZ300" s="408">
        <v>0</v>
      </c>
      <c r="BA300" s="408"/>
      <c r="BB300" s="408"/>
      <c r="BC300" s="408"/>
      <c r="BD300" s="408"/>
      <c r="BE300" s="408"/>
      <c r="BF300" s="408"/>
      <c r="BG300" s="408"/>
      <c r="BH300" s="408"/>
      <c r="BI300" s="408">
        <v>0</v>
      </c>
      <c r="BJ300" s="408">
        <v>0.03</v>
      </c>
      <c r="BK300" s="408">
        <v>-1.44</v>
      </c>
      <c r="BL300" s="408">
        <v>0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/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/>
      <c r="CJ300" s="408">
        <v>-0.03</v>
      </c>
      <c r="CK300" s="408"/>
      <c r="CL300" s="408"/>
      <c r="CM300" s="408"/>
      <c r="CN300" s="408"/>
      <c r="CO300" s="408">
        <v>0</v>
      </c>
      <c r="CP300" s="408">
        <v>0</v>
      </c>
      <c r="CQ300" s="408"/>
      <c r="CR300" s="408"/>
      <c r="CS300" s="408"/>
      <c r="CT300" s="408"/>
      <c r="CU300" s="408"/>
      <c r="CV300" s="408"/>
      <c r="CW300" s="408"/>
      <c r="CX300" s="408"/>
      <c r="CY300" s="408"/>
      <c r="CZ300" s="408"/>
      <c r="DA300" s="408"/>
      <c r="DB300" s="408"/>
      <c r="DC300" s="408"/>
      <c r="DD300" s="408"/>
      <c r="DE300" s="408"/>
      <c r="DF300" s="408"/>
      <c r="DG300" s="408"/>
      <c r="DH300" s="408"/>
      <c r="DI300" s="408"/>
      <c r="DJ300" s="408"/>
      <c r="DK300" s="408">
        <v>0</v>
      </c>
      <c r="DL300" s="408"/>
      <c r="DM300" s="408"/>
      <c r="DN300" s="408"/>
      <c r="DO300" s="408"/>
      <c r="DP300" s="408"/>
      <c r="DQ300" s="408"/>
      <c r="DR300" s="408"/>
      <c r="DS300" s="408"/>
      <c r="DT300" s="408"/>
      <c r="DU300" s="408"/>
      <c r="DV300" s="408"/>
      <c r="DW300" s="408"/>
      <c r="DX300" s="408"/>
      <c r="DY300" s="408"/>
      <c r="DZ300" s="408"/>
      <c r="EA300" s="408"/>
      <c r="EB300" s="408"/>
      <c r="EC300" s="408"/>
      <c r="ED300" s="408"/>
      <c r="EE300" s="408"/>
      <c r="EF300" s="408"/>
      <c r="EG300" s="408"/>
      <c r="EH300" s="408"/>
      <c r="EI300" s="408"/>
      <c r="EJ300" s="408"/>
      <c r="EK300" s="408"/>
      <c r="EL300" s="408"/>
      <c r="EM300" s="408"/>
      <c r="EN300" s="408"/>
      <c r="EO300" s="408"/>
      <c r="EP300" s="408"/>
      <c r="EQ300" s="408"/>
      <c r="ER300" s="408"/>
      <c r="ES300" s="408"/>
      <c r="ET300" s="408"/>
      <c r="EU300" s="408"/>
      <c r="EV300" s="408">
        <v>239</v>
      </c>
      <c r="EW300" s="408"/>
      <c r="EX300" s="408"/>
      <c r="EY300" s="408"/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302</v>
      </c>
      <c r="B301" s="408" t="s">
        <v>2236</v>
      </c>
      <c r="C301" s="408" t="s">
        <v>2233</v>
      </c>
      <c r="D301" s="408" t="s">
        <v>1953</v>
      </c>
      <c r="E301" s="408" t="s">
        <v>967</v>
      </c>
      <c r="F301" s="408" t="s">
        <v>2237</v>
      </c>
      <c r="G301" s="408" t="s">
        <v>1320</v>
      </c>
      <c r="H301" s="408" t="s">
        <v>1320</v>
      </c>
      <c r="I301" s="408" t="s">
        <v>1320</v>
      </c>
      <c r="J301" s="408" t="s">
        <v>2234</v>
      </c>
      <c r="K301" s="827">
        <v>44531</v>
      </c>
      <c r="L301" s="408">
        <v>0</v>
      </c>
      <c r="M301" s="408">
        <v>0</v>
      </c>
      <c r="N301" s="408">
        <v>0.03</v>
      </c>
      <c r="O301" s="408">
        <v>-8.9999999999999993E-3</v>
      </c>
      <c r="P301" s="408">
        <v>0.03</v>
      </c>
      <c r="Q301" s="408">
        <v>-8.9999999999999993E-3</v>
      </c>
      <c r="R301" s="408"/>
      <c r="S301" s="408">
        <v>446.23</v>
      </c>
      <c r="T301" s="408">
        <v>173.82</v>
      </c>
      <c r="U301" s="408"/>
      <c r="V301" s="408">
        <v>18.601500000000001</v>
      </c>
      <c r="W301" s="408">
        <v>18.601500000000001</v>
      </c>
      <c r="X301" s="408">
        <v>13.586399999999999</v>
      </c>
      <c r="Y301" s="408">
        <v>0</v>
      </c>
      <c r="Z301" s="408">
        <v>0</v>
      </c>
      <c r="AA301" s="408">
        <v>0</v>
      </c>
      <c r="AB301" s="408">
        <v>0</v>
      </c>
      <c r="AC301" s="408">
        <v>8.1553322201726106E-2</v>
      </c>
      <c r="AD301" s="408">
        <v>1.0327983456619798</v>
      </c>
      <c r="AE301" s="408">
        <v>10.90847385500097</v>
      </c>
      <c r="AF301" s="408">
        <v>4.8276640662431696</v>
      </c>
      <c r="AG301" s="408">
        <v>0.24287596176200188</v>
      </c>
      <c r="AH301" s="408">
        <v>0</v>
      </c>
      <c r="AI301" s="408">
        <v>0</v>
      </c>
      <c r="AJ301" s="408">
        <v>0</v>
      </c>
      <c r="AK301" s="408">
        <v>0</v>
      </c>
      <c r="AL301" s="408">
        <v>0</v>
      </c>
      <c r="AM301" s="408"/>
      <c r="AN301" s="408">
        <v>4.6546259245490697E-2</v>
      </c>
      <c r="AO301" s="408">
        <v>0.17395511337406319</v>
      </c>
      <c r="AP301" s="408">
        <v>0.56967947554826703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1.6644378511563182E-2</v>
      </c>
      <c r="BF301" s="408">
        <v>0.14417065012383687</v>
      </c>
      <c r="BG301" s="408">
        <v>0.55734969618437102</v>
      </c>
      <c r="BH301" s="408">
        <v>0</v>
      </c>
      <c r="BI301" s="408">
        <v>0.02</v>
      </c>
      <c r="BJ301" s="408">
        <v>0.09</v>
      </c>
      <c r="BK301" s="408">
        <v>3.23</v>
      </c>
      <c r="BL301" s="408">
        <v>0</v>
      </c>
      <c r="BM301" s="408"/>
      <c r="BN301" s="408"/>
      <c r="BO301" s="408"/>
      <c r="BP301" s="408"/>
      <c r="BQ301" s="408"/>
      <c r="BR301" s="408"/>
      <c r="BS301" s="408"/>
      <c r="BT301" s="408">
        <v>15.01299</v>
      </c>
      <c r="BU301" s="408"/>
      <c r="BV301" s="408">
        <v>5.5458287910629398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-1.5851000000000002</v>
      </c>
      <c r="CJ301" s="408">
        <v>0.33807999999999949</v>
      </c>
      <c r="CK301" s="408"/>
      <c r="CL301" s="408"/>
      <c r="CM301" s="408"/>
      <c r="CN301" s="408"/>
      <c r="CO301" s="408">
        <v>-5.6508000000000003</v>
      </c>
      <c r="CP301" s="408">
        <v>0.63569999999999993</v>
      </c>
      <c r="CQ301" s="408"/>
      <c r="CR301" s="408">
        <v>0.7601337980906937</v>
      </c>
      <c r="CS301" s="408">
        <v>1.6889942509287603E-2</v>
      </c>
      <c r="CT301" s="408">
        <v>5.531227800151195E-2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-1.9803090255563705E-2</v>
      </c>
      <c r="DA301" s="408">
        <v>0</v>
      </c>
      <c r="DB301" s="408">
        <v>0</v>
      </c>
      <c r="DC301" s="408">
        <v>0.6196840384981801</v>
      </c>
      <c r="DD301" s="408">
        <v>1.8505896324962745E-2</v>
      </c>
      <c r="DE301" s="408">
        <v>2.1364899365012673E-3</v>
      </c>
      <c r="DF301" s="408">
        <v>0</v>
      </c>
      <c r="DG301" s="408">
        <v>7.1541993363266942E-2</v>
      </c>
      <c r="DH301" s="408">
        <v>0</v>
      </c>
      <c r="DI301" s="408">
        <v>0</v>
      </c>
      <c r="DJ301" s="408"/>
      <c r="DK301" s="408">
        <v>0</v>
      </c>
      <c r="DL301" s="408">
        <v>0</v>
      </c>
      <c r="DM301" s="408">
        <v>-2.6994771751560065E-3</v>
      </c>
      <c r="DN301" s="408">
        <v>0</v>
      </c>
      <c r="DO301" s="408">
        <v>0</v>
      </c>
      <c r="DP301" s="408">
        <v>-1.4342731122974975E-3</v>
      </c>
      <c r="DQ301" s="408">
        <v>0</v>
      </c>
      <c r="DR301" s="408">
        <v>0</v>
      </c>
      <c r="DS301" s="408"/>
      <c r="DT301" s="408"/>
      <c r="DU301" s="408"/>
      <c r="DV301" s="408">
        <v>10.90847385500097</v>
      </c>
      <c r="DW301" s="408">
        <v>0</v>
      </c>
      <c r="DX301" s="408">
        <v>0</v>
      </c>
      <c r="DY301" s="408">
        <v>-5.6508000000000012</v>
      </c>
      <c r="DZ301" s="408">
        <v>0.63569999999999993</v>
      </c>
      <c r="EA301" s="408">
        <v>0</v>
      </c>
      <c r="EB301" s="408">
        <v>0</v>
      </c>
      <c r="EC301" s="408">
        <v>-5.7754585883122802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239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303</v>
      </c>
      <c r="B302" s="408" t="s">
        <v>1034</v>
      </c>
      <c r="C302" s="408" t="s">
        <v>2233</v>
      </c>
      <c r="D302" s="408" t="s">
        <v>1953</v>
      </c>
      <c r="E302" s="408" t="s">
        <v>967</v>
      </c>
      <c r="F302" s="408" t="s">
        <v>2238</v>
      </c>
      <c r="G302" s="408" t="s">
        <v>1320</v>
      </c>
      <c r="H302" s="408" t="s">
        <v>1320</v>
      </c>
      <c r="I302" s="408" t="s">
        <v>1320</v>
      </c>
      <c r="J302" s="408" t="s">
        <v>2234</v>
      </c>
      <c r="K302" s="827">
        <v>44531</v>
      </c>
      <c r="L302" s="408">
        <v>0</v>
      </c>
      <c r="M302" s="408">
        <v>0</v>
      </c>
      <c r="N302" s="408">
        <v>53.27</v>
      </c>
      <c r="O302" s="408">
        <v>53.27</v>
      </c>
      <c r="P302" s="408">
        <v>53.27</v>
      </c>
      <c r="Q302" s="408">
        <v>53.27</v>
      </c>
      <c r="R302" s="408"/>
      <c r="S302" s="408">
        <v>446.23</v>
      </c>
      <c r="T302" s="408">
        <v>173.82</v>
      </c>
      <c r="U302" s="408"/>
      <c r="V302" s="408">
        <v>33030.063500000004</v>
      </c>
      <c r="W302" s="408">
        <v>33030.063500000004</v>
      </c>
      <c r="X302" s="408">
        <v>24124.917600000001</v>
      </c>
      <c r="Y302" s="408">
        <v>0</v>
      </c>
      <c r="Z302" s="408">
        <v>0</v>
      </c>
      <c r="AA302" s="408">
        <v>0</v>
      </c>
      <c r="AB302" s="408">
        <v>0</v>
      </c>
      <c r="AC302" s="408">
        <v>144.81151578953165</v>
      </c>
      <c r="AD302" s="408">
        <v>1833.9055957804558</v>
      </c>
      <c r="AE302" s="408">
        <v>19369.813408530055</v>
      </c>
      <c r="AF302" s="408">
        <v>8572.322160292455</v>
      </c>
      <c r="AG302" s="408">
        <v>431.26674943539467</v>
      </c>
      <c r="AH302" s="408">
        <v>0</v>
      </c>
      <c r="AI302" s="408">
        <v>0</v>
      </c>
      <c r="AJ302" s="408">
        <v>0</v>
      </c>
      <c r="AK302" s="408">
        <v>0</v>
      </c>
      <c r="AL302" s="408">
        <v>0</v>
      </c>
      <c r="AM302" s="408"/>
      <c r="AN302" s="408">
        <v>82.650641000242985</v>
      </c>
      <c r="AO302" s="408">
        <v>308.88629631454489</v>
      </c>
      <c r="AP302" s="408">
        <v>1011.5608554152062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29.554868110365693</v>
      </c>
      <c r="BF302" s="408">
        <v>255.99901773655972</v>
      </c>
      <c r="BG302" s="408">
        <v>989.66727719138157</v>
      </c>
      <c r="BH302" s="408">
        <v>0</v>
      </c>
      <c r="BI302" s="408">
        <v>37.26</v>
      </c>
      <c r="BJ302" s="408">
        <v>153.38999999999999</v>
      </c>
      <c r="BK302" s="408">
        <v>6265.54</v>
      </c>
      <c r="BL302" s="408">
        <v>124</v>
      </c>
      <c r="BM302" s="408"/>
      <c r="BN302" s="408"/>
      <c r="BO302" s="408"/>
      <c r="BP302" s="408"/>
      <c r="BQ302" s="408"/>
      <c r="BR302" s="408"/>
      <c r="BS302" s="408"/>
      <c r="BT302" s="408">
        <v>9650.3932000000004</v>
      </c>
      <c r="BU302" s="408"/>
      <c r="BV302" s="408">
        <v>9847.5433233307631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14474.5244</v>
      </c>
      <c r="CJ302" s="408">
        <v>-5343.5437000000002</v>
      </c>
      <c r="CK302" s="408"/>
      <c r="CL302" s="408"/>
      <c r="CM302" s="408"/>
      <c r="CN302" s="408"/>
      <c r="CO302" s="408">
        <v>-10033.937200000002</v>
      </c>
      <c r="CP302" s="408">
        <v>1128.7912999999999</v>
      </c>
      <c r="CQ302" s="408"/>
      <c r="CR302" s="408">
        <v>1349.744247476372</v>
      </c>
      <c r="CS302" s="408">
        <v>29.990907915658397</v>
      </c>
      <c r="CT302" s="408">
        <v>98.216168304684857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-35.163687263796191</v>
      </c>
      <c r="DA302" s="408">
        <v>0</v>
      </c>
      <c r="DB302" s="408">
        <v>0</v>
      </c>
      <c r="DC302" s="408">
        <v>1100.352291026602</v>
      </c>
      <c r="DD302" s="408">
        <v>32.860303241025463</v>
      </c>
      <c r="DE302" s="408">
        <v>3.793693963914091</v>
      </c>
      <c r="DF302" s="408">
        <v>0</v>
      </c>
      <c r="DG302" s="408">
        <v>127.034732882041</v>
      </c>
      <c r="DH302" s="408">
        <v>0</v>
      </c>
      <c r="DI302" s="408">
        <v>0</v>
      </c>
      <c r="DJ302" s="408"/>
      <c r="DK302" s="408">
        <v>0</v>
      </c>
      <c r="DL302" s="408">
        <v>0</v>
      </c>
      <c r="DM302" s="408">
        <v>-4.7933716373519815</v>
      </c>
      <c r="DN302" s="408">
        <v>0</v>
      </c>
      <c r="DO302" s="408">
        <v>0</v>
      </c>
      <c r="DP302" s="408">
        <v>-2.5467909564029299</v>
      </c>
      <c r="DQ302" s="408">
        <v>0</v>
      </c>
      <c r="DR302" s="408">
        <v>0</v>
      </c>
      <c r="DS302" s="408"/>
      <c r="DT302" s="408"/>
      <c r="DU302" s="408"/>
      <c r="DV302" s="408">
        <v>19369.813408530055</v>
      </c>
      <c r="DW302" s="408">
        <v>0</v>
      </c>
      <c r="DX302" s="408">
        <v>0</v>
      </c>
      <c r="DY302" s="408">
        <v>-10033.937200000002</v>
      </c>
      <c r="DZ302" s="408">
        <v>1128.791299999999</v>
      </c>
      <c r="EA302" s="408">
        <v>0</v>
      </c>
      <c r="EB302" s="408">
        <v>0</v>
      </c>
      <c r="EC302" s="408">
        <v>-10255.289299979837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239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304</v>
      </c>
      <c r="B303" s="408" t="s">
        <v>2235</v>
      </c>
      <c r="C303" s="408" t="s">
        <v>2233</v>
      </c>
      <c r="D303" s="408" t="s">
        <v>1953</v>
      </c>
      <c r="E303" s="408" t="s">
        <v>967</v>
      </c>
      <c r="F303" s="408" t="s">
        <v>2238</v>
      </c>
      <c r="G303" s="408" t="s">
        <v>1320</v>
      </c>
      <c r="H303" s="408" t="s">
        <v>1320</v>
      </c>
      <c r="I303" s="408" t="s">
        <v>1320</v>
      </c>
      <c r="J303" s="408" t="s">
        <v>2234</v>
      </c>
      <c r="K303" s="827">
        <v>44531</v>
      </c>
      <c r="L303" s="408">
        <v>0</v>
      </c>
      <c r="M303" s="408">
        <v>0</v>
      </c>
      <c r="N303" s="408">
        <v>-7.0000000000000007E-2</v>
      </c>
      <c r="O303" s="408">
        <v>-7.0000000000000007E-2</v>
      </c>
      <c r="P303" s="408">
        <v>-7.0000000000000007E-2</v>
      </c>
      <c r="Q303" s="408">
        <v>-7.0000000000000007E-2</v>
      </c>
      <c r="R303" s="408"/>
      <c r="S303" s="408">
        <v>446.23</v>
      </c>
      <c r="T303" s="408">
        <v>173.82</v>
      </c>
      <c r="U303" s="408"/>
      <c r="V303" s="408">
        <v>-43.403500000000008</v>
      </c>
      <c r="W303" s="408">
        <v>-43.403500000000008</v>
      </c>
      <c r="X303" s="408">
        <v>-31.701600000000003</v>
      </c>
      <c r="Y303" s="408">
        <v>0</v>
      </c>
      <c r="Z303" s="408">
        <v>0</v>
      </c>
      <c r="AA303" s="408">
        <v>0</v>
      </c>
      <c r="AB303" s="408">
        <v>0</v>
      </c>
      <c r="AC303" s="408">
        <v>-0.19029108513736093</v>
      </c>
      <c r="AD303" s="408">
        <v>-2.4098628065446199</v>
      </c>
      <c r="AE303" s="408">
        <v>-25.453105661668932</v>
      </c>
      <c r="AF303" s="408">
        <v>-11.26454948790073</v>
      </c>
      <c r="AG303" s="408">
        <v>-0.56671057744467113</v>
      </c>
      <c r="AH303" s="408">
        <v>0</v>
      </c>
      <c r="AI303" s="408">
        <v>0</v>
      </c>
      <c r="AJ303" s="408">
        <v>0</v>
      </c>
      <c r="AK303" s="408">
        <v>0</v>
      </c>
      <c r="AL303" s="408">
        <v>0</v>
      </c>
      <c r="AM303" s="408"/>
      <c r="AN303" s="408">
        <v>-0.1086079382394783</v>
      </c>
      <c r="AO303" s="408">
        <v>-0.40589526453948083</v>
      </c>
      <c r="AP303" s="408">
        <v>-1.3292521096126231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-3.8836883193647427E-2</v>
      </c>
      <c r="BF303" s="408">
        <v>-0.33639818362228613</v>
      </c>
      <c r="BG303" s="408">
        <v>-1.3004826244301992</v>
      </c>
      <c r="BH303" s="408">
        <v>0</v>
      </c>
      <c r="BI303" s="408">
        <v>-0.23</v>
      </c>
      <c r="BJ303" s="408">
        <v>-1.1000000000000001</v>
      </c>
      <c r="BK303" s="408">
        <v>-8.7200000000000006</v>
      </c>
      <c r="BL303" s="408">
        <v>0</v>
      </c>
      <c r="BM303" s="408"/>
      <c r="BN303" s="408"/>
      <c r="BO303" s="408"/>
      <c r="BP303" s="408"/>
      <c r="BQ303" s="408"/>
      <c r="BR303" s="408"/>
      <c r="BS303" s="408"/>
      <c r="BT303" s="408">
        <v>-12.6812</v>
      </c>
      <c r="BU303" s="408"/>
      <c r="BV303" s="408">
        <v>-12.940267179146863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-19.020400000000002</v>
      </c>
      <c r="CJ303" s="408">
        <v>6.9916999999999945</v>
      </c>
      <c r="CK303" s="408"/>
      <c r="CL303" s="408"/>
      <c r="CM303" s="408"/>
      <c r="CN303" s="408"/>
      <c r="CO303" s="408">
        <v>13.185200000000002</v>
      </c>
      <c r="CP303" s="408">
        <v>-1.4833000000000001</v>
      </c>
      <c r="CQ303" s="408"/>
      <c r="CR303" s="408">
        <v>-1.7736455288782835</v>
      </c>
      <c r="CS303" s="408">
        <v>-3.9409865855004445E-2</v>
      </c>
      <c r="CT303" s="408">
        <v>-0.12906198200352814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4.6207210596315829E-2</v>
      </c>
      <c r="DA303" s="408">
        <v>0</v>
      </c>
      <c r="DB303" s="408">
        <v>0</v>
      </c>
      <c r="DC303" s="408">
        <v>-1.4459294231624202</v>
      </c>
      <c r="DD303" s="408">
        <v>-4.318042475824635E-2</v>
      </c>
      <c r="DE303" s="408">
        <v>-4.985143185169634E-3</v>
      </c>
      <c r="DF303" s="408">
        <v>0</v>
      </c>
      <c r="DG303" s="408">
        <v>-0.16693131784762305</v>
      </c>
      <c r="DH303" s="408">
        <v>0</v>
      </c>
      <c r="DI303" s="408">
        <v>0</v>
      </c>
      <c r="DJ303" s="408"/>
      <c r="DK303" s="408">
        <v>0</v>
      </c>
      <c r="DL303" s="408">
        <v>0</v>
      </c>
      <c r="DM303" s="408">
        <v>6.2987800753639966E-3</v>
      </c>
      <c r="DN303" s="408">
        <v>0</v>
      </c>
      <c r="DO303" s="408">
        <v>0</v>
      </c>
      <c r="DP303" s="408">
        <v>3.3466372620274965E-3</v>
      </c>
      <c r="DQ303" s="408">
        <v>0</v>
      </c>
      <c r="DR303" s="408">
        <v>0</v>
      </c>
      <c r="DS303" s="408"/>
      <c r="DT303" s="408"/>
      <c r="DU303" s="408"/>
      <c r="DV303" s="408">
        <v>-25.453105661668932</v>
      </c>
      <c r="DW303" s="408">
        <v>0</v>
      </c>
      <c r="DX303" s="408">
        <v>0</v>
      </c>
      <c r="DY303" s="408">
        <v>13.185200000000002</v>
      </c>
      <c r="DZ303" s="408">
        <v>-1.4832999999999998</v>
      </c>
      <c r="EA303" s="408">
        <v>0</v>
      </c>
      <c r="EB303" s="408">
        <v>0</v>
      </c>
      <c r="EC303" s="408">
        <v>13.476070039395321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239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305</v>
      </c>
      <c r="B304" s="408" t="s">
        <v>2236</v>
      </c>
      <c r="C304" s="408" t="s">
        <v>2233</v>
      </c>
      <c r="D304" s="408" t="s">
        <v>1953</v>
      </c>
      <c r="E304" s="408" t="s">
        <v>967</v>
      </c>
      <c r="F304" s="408" t="s">
        <v>2238</v>
      </c>
      <c r="G304" s="408" t="s">
        <v>1320</v>
      </c>
      <c r="H304" s="408" t="s">
        <v>1320</v>
      </c>
      <c r="I304" s="408" t="s">
        <v>1320</v>
      </c>
      <c r="J304" s="408" t="s">
        <v>2234</v>
      </c>
      <c r="K304" s="827">
        <v>44531</v>
      </c>
      <c r="L304" s="408">
        <v>0</v>
      </c>
      <c r="M304" s="408">
        <v>0</v>
      </c>
      <c r="N304" s="408">
        <v>7.0000000000000007E-2</v>
      </c>
      <c r="O304" s="408">
        <v>1.4E-2</v>
      </c>
      <c r="P304" s="408">
        <v>7.0000000000000007E-2</v>
      </c>
      <c r="Q304" s="408">
        <v>1.4E-2</v>
      </c>
      <c r="R304" s="408"/>
      <c r="S304" s="408">
        <v>446.23</v>
      </c>
      <c r="T304" s="408">
        <v>173.82</v>
      </c>
      <c r="U304" s="408"/>
      <c r="V304" s="408">
        <v>43.403500000000008</v>
      </c>
      <c r="W304" s="408">
        <v>43.403500000000008</v>
      </c>
      <c r="X304" s="408">
        <v>31.701600000000003</v>
      </c>
      <c r="Y304" s="408">
        <v>0</v>
      </c>
      <c r="Z304" s="408">
        <v>0</v>
      </c>
      <c r="AA304" s="408">
        <v>0</v>
      </c>
      <c r="AB304" s="408">
        <v>0</v>
      </c>
      <c r="AC304" s="408">
        <v>0.19029108513736093</v>
      </c>
      <c r="AD304" s="408">
        <v>2.4098628065446199</v>
      </c>
      <c r="AE304" s="408">
        <v>25.453105661668932</v>
      </c>
      <c r="AF304" s="408">
        <v>11.26454948790073</v>
      </c>
      <c r="AG304" s="408">
        <v>0.56671057744467113</v>
      </c>
      <c r="AH304" s="408">
        <v>0</v>
      </c>
      <c r="AI304" s="408">
        <v>0</v>
      </c>
      <c r="AJ304" s="408">
        <v>0</v>
      </c>
      <c r="AK304" s="408">
        <v>0</v>
      </c>
      <c r="AL304" s="408">
        <v>0</v>
      </c>
      <c r="AM304" s="408"/>
      <c r="AN304" s="408">
        <v>0.1086079382394783</v>
      </c>
      <c r="AO304" s="408">
        <v>0.40589526453948083</v>
      </c>
      <c r="AP304" s="408">
        <v>1.3292521096126231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3.8836883193647427E-2</v>
      </c>
      <c r="BF304" s="408">
        <v>0.33639818362228613</v>
      </c>
      <c r="BG304" s="408">
        <v>1.3004826244301992</v>
      </c>
      <c r="BH304" s="408">
        <v>0</v>
      </c>
      <c r="BI304" s="408">
        <v>0.05</v>
      </c>
      <c r="BJ304" s="408">
        <v>0.2</v>
      </c>
      <c r="BK304" s="408">
        <v>12.89</v>
      </c>
      <c r="BL304" s="408">
        <v>0</v>
      </c>
      <c r="BM304" s="408"/>
      <c r="BN304" s="408"/>
      <c r="BO304" s="408"/>
      <c r="BP304" s="408"/>
      <c r="BQ304" s="408"/>
      <c r="BR304" s="408"/>
      <c r="BS304" s="408"/>
      <c r="BT304" s="408">
        <v>27.897520000000004</v>
      </c>
      <c r="BU304" s="408"/>
      <c r="BV304" s="408">
        <v>12.940267179146863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2.7172000000000001</v>
      </c>
      <c r="CJ304" s="408">
        <v>-2.5212199999999996</v>
      </c>
      <c r="CK304" s="408"/>
      <c r="CL304" s="408"/>
      <c r="CM304" s="408"/>
      <c r="CN304" s="408"/>
      <c r="CO304" s="408">
        <v>-13.185200000000002</v>
      </c>
      <c r="CP304" s="408">
        <v>1.4833000000000001</v>
      </c>
      <c r="CQ304" s="408"/>
      <c r="CR304" s="408">
        <v>1.7736455288782835</v>
      </c>
      <c r="CS304" s="408">
        <v>3.9409865855004445E-2</v>
      </c>
      <c r="CT304" s="408">
        <v>0.12906198200352814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-4.6207210596315829E-2</v>
      </c>
      <c r="DA304" s="408">
        <v>0</v>
      </c>
      <c r="DB304" s="408">
        <v>0</v>
      </c>
      <c r="DC304" s="408">
        <v>1.4459294231624202</v>
      </c>
      <c r="DD304" s="408">
        <v>4.318042475824635E-2</v>
      </c>
      <c r="DE304" s="408">
        <v>4.985143185169634E-3</v>
      </c>
      <c r="DF304" s="408">
        <v>0</v>
      </c>
      <c r="DG304" s="408">
        <v>0.16693131784762305</v>
      </c>
      <c r="DH304" s="408">
        <v>0</v>
      </c>
      <c r="DI304" s="408">
        <v>0</v>
      </c>
      <c r="DJ304" s="408"/>
      <c r="DK304" s="408">
        <v>0</v>
      </c>
      <c r="DL304" s="408">
        <v>0</v>
      </c>
      <c r="DM304" s="408">
        <v>-6.2987800753639966E-3</v>
      </c>
      <c r="DN304" s="408">
        <v>0</v>
      </c>
      <c r="DO304" s="408">
        <v>0</v>
      </c>
      <c r="DP304" s="408">
        <v>-3.3466372620274965E-3</v>
      </c>
      <c r="DQ304" s="408">
        <v>0</v>
      </c>
      <c r="DR304" s="408">
        <v>0</v>
      </c>
      <c r="DS304" s="408"/>
      <c r="DT304" s="408"/>
      <c r="DU304" s="408"/>
      <c r="DV304" s="408">
        <v>25.453105661668932</v>
      </c>
      <c r="DW304" s="408">
        <v>0</v>
      </c>
      <c r="DX304" s="408">
        <v>0</v>
      </c>
      <c r="DY304" s="408">
        <v>-13.185200000000002</v>
      </c>
      <c r="DZ304" s="408">
        <v>1.4832999999999998</v>
      </c>
      <c r="EA304" s="408">
        <v>0</v>
      </c>
      <c r="EB304" s="408">
        <v>0</v>
      </c>
      <c r="EC304" s="408">
        <v>-13.476070039395321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239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306</v>
      </c>
      <c r="B305" s="408" t="s">
        <v>1034</v>
      </c>
      <c r="C305" s="408" t="s">
        <v>2233</v>
      </c>
      <c r="D305" s="408" t="s">
        <v>1953</v>
      </c>
      <c r="E305" s="408" t="s">
        <v>967</v>
      </c>
      <c r="F305" s="408" t="s">
        <v>2239</v>
      </c>
      <c r="G305" s="408" t="s">
        <v>1320</v>
      </c>
      <c r="H305" s="408" t="s">
        <v>1320</v>
      </c>
      <c r="I305" s="408" t="s">
        <v>1320</v>
      </c>
      <c r="J305" s="408" t="s">
        <v>2234</v>
      </c>
      <c r="K305" s="827">
        <v>44531</v>
      </c>
      <c r="L305" s="408">
        <v>0</v>
      </c>
      <c r="M305" s="408">
        <v>0</v>
      </c>
      <c r="N305" s="408">
        <v>54.472000000000001</v>
      </c>
      <c r="O305" s="408">
        <v>54.472000000000001</v>
      </c>
      <c r="P305" s="408">
        <v>54.472000000000001</v>
      </c>
      <c r="Q305" s="408">
        <v>54.472000000000001</v>
      </c>
      <c r="R305" s="408"/>
      <c r="S305" s="408">
        <v>446.23</v>
      </c>
      <c r="T305" s="408">
        <v>173.82</v>
      </c>
      <c r="U305" s="408"/>
      <c r="V305" s="408">
        <v>33775.363599999997</v>
      </c>
      <c r="W305" s="408">
        <v>33775.363599999997</v>
      </c>
      <c r="X305" s="408">
        <v>24669.27936</v>
      </c>
      <c r="Y305" s="408">
        <v>0</v>
      </c>
      <c r="Z305" s="408">
        <v>0</v>
      </c>
      <c r="AA305" s="408">
        <v>0</v>
      </c>
      <c r="AB305" s="408">
        <v>0</v>
      </c>
      <c r="AC305" s="408">
        <v>148.07908556574748</v>
      </c>
      <c r="AD305" s="408">
        <v>1875.2863828299789</v>
      </c>
      <c r="AE305" s="408">
        <v>19806.879594320428</v>
      </c>
      <c r="AF305" s="408">
        <v>8765.7505672132647</v>
      </c>
      <c r="AG305" s="408">
        <v>440.9979796366589</v>
      </c>
      <c r="AH305" s="408">
        <v>0</v>
      </c>
      <c r="AI305" s="408">
        <v>0</v>
      </c>
      <c r="AJ305" s="408">
        <v>0</v>
      </c>
      <c r="AK305" s="408">
        <v>0</v>
      </c>
      <c r="AL305" s="408">
        <v>0</v>
      </c>
      <c r="AM305" s="408"/>
      <c r="AN305" s="408">
        <v>84.515594454012316</v>
      </c>
      <c r="AO305" s="408">
        <v>315.85609785706566</v>
      </c>
      <c r="AP305" s="408">
        <v>1034.3860130688399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30.221752876062322</v>
      </c>
      <c r="BF305" s="408">
        <v>261.77545511818812</v>
      </c>
      <c r="BG305" s="408">
        <v>1011.9984216851686</v>
      </c>
      <c r="BH305" s="408">
        <v>0</v>
      </c>
      <c r="BI305" s="408">
        <v>39.26</v>
      </c>
      <c r="BJ305" s="408">
        <v>168.09</v>
      </c>
      <c r="BK305" s="408">
        <v>9784.51</v>
      </c>
      <c r="BL305" s="408">
        <v>452</v>
      </c>
      <c r="BM305" s="408"/>
      <c r="BN305" s="408"/>
      <c r="BO305" s="408"/>
      <c r="BP305" s="408"/>
      <c r="BQ305" s="408"/>
      <c r="BR305" s="408"/>
      <c r="BS305" s="408"/>
      <c r="BT305" s="408">
        <v>2466.4921599999998</v>
      </c>
      <c r="BU305" s="408"/>
      <c r="BV305" s="408">
        <v>10069.746196892684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22201.972000000002</v>
      </c>
      <c r="CJ305" s="408">
        <v>-8196.157599999995</v>
      </c>
      <c r="CK305" s="408"/>
      <c r="CL305" s="408"/>
      <c r="CM305" s="408"/>
      <c r="CN305" s="408"/>
      <c r="CO305" s="408">
        <v>-10260.345920000002</v>
      </c>
      <c r="CP305" s="408">
        <v>1154.2616799999998</v>
      </c>
      <c r="CQ305" s="408"/>
      <c r="CR305" s="408">
        <v>1380.2002749865442</v>
      </c>
      <c r="CS305" s="408">
        <v>30.667631612197169</v>
      </c>
      <c r="CT305" s="408">
        <v>100.43234690994564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-35.957131080035651</v>
      </c>
      <c r="DA305" s="408">
        <v>0</v>
      </c>
      <c r="DB305" s="408">
        <v>0</v>
      </c>
      <c r="DC305" s="408">
        <v>1125.180964835763</v>
      </c>
      <c r="DD305" s="408">
        <v>33.60177282044566</v>
      </c>
      <c r="DE305" s="408">
        <v>3.8792959940365712</v>
      </c>
      <c r="DF305" s="408">
        <v>0</v>
      </c>
      <c r="DG305" s="408">
        <v>129.90118208279603</v>
      </c>
      <c r="DH305" s="408">
        <v>0</v>
      </c>
      <c r="DI305" s="408">
        <v>0</v>
      </c>
      <c r="DJ305" s="408"/>
      <c r="DK305" s="408">
        <v>0</v>
      </c>
      <c r="DL305" s="408">
        <v>0</v>
      </c>
      <c r="DM305" s="408">
        <v>-4.9015306895032609</v>
      </c>
      <c r="DN305" s="408">
        <v>0</v>
      </c>
      <c r="DO305" s="408">
        <v>0</v>
      </c>
      <c r="DP305" s="408">
        <v>-2.6042574991023173</v>
      </c>
      <c r="DQ305" s="408">
        <v>0</v>
      </c>
      <c r="DR305" s="408">
        <v>0</v>
      </c>
      <c r="DS305" s="408"/>
      <c r="DT305" s="408"/>
      <c r="DU305" s="408"/>
      <c r="DV305" s="408">
        <v>19806.879594320428</v>
      </c>
      <c r="DW305" s="408">
        <v>0</v>
      </c>
      <c r="DX305" s="408">
        <v>0</v>
      </c>
      <c r="DY305" s="408">
        <v>-10260.345920000002</v>
      </c>
      <c r="DZ305" s="408">
        <v>1154.2616799999996</v>
      </c>
      <c r="EA305" s="408">
        <v>0</v>
      </c>
      <c r="EB305" s="408">
        <v>0</v>
      </c>
      <c r="EC305" s="408">
        <v>-10486.692674084883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239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307</v>
      </c>
      <c r="B306" s="408" t="s">
        <v>2235</v>
      </c>
      <c r="C306" s="408" t="s">
        <v>2233</v>
      </c>
      <c r="D306" s="408" t="s">
        <v>1953</v>
      </c>
      <c r="E306" s="408" t="s">
        <v>967</v>
      </c>
      <c r="F306" s="408" t="s">
        <v>2239</v>
      </c>
      <c r="G306" s="408" t="s">
        <v>1320</v>
      </c>
      <c r="H306" s="408" t="s">
        <v>1320</v>
      </c>
      <c r="I306" s="408" t="s">
        <v>1320</v>
      </c>
      <c r="J306" s="408" t="s">
        <v>2234</v>
      </c>
      <c r="K306" s="827">
        <v>44531</v>
      </c>
      <c r="L306" s="408">
        <v>0</v>
      </c>
      <c r="M306" s="408">
        <v>0</v>
      </c>
      <c r="N306" s="408">
        <v>-0.12</v>
      </c>
      <c r="O306" s="408">
        <v>-0.12</v>
      </c>
      <c r="P306" s="408">
        <v>-0.12</v>
      </c>
      <c r="Q306" s="408">
        <v>-0.12</v>
      </c>
      <c r="R306" s="408"/>
      <c r="S306" s="408">
        <v>446.23</v>
      </c>
      <c r="T306" s="408">
        <v>173.82</v>
      </c>
      <c r="U306" s="408"/>
      <c r="V306" s="408">
        <v>-74.406000000000006</v>
      </c>
      <c r="W306" s="408">
        <v>-74.406000000000006</v>
      </c>
      <c r="X306" s="408">
        <v>-54.345599999999997</v>
      </c>
      <c r="Y306" s="408">
        <v>0</v>
      </c>
      <c r="Z306" s="408">
        <v>0</v>
      </c>
      <c r="AA306" s="408">
        <v>0</v>
      </c>
      <c r="AB306" s="408">
        <v>0</v>
      </c>
      <c r="AC306" s="408">
        <v>-0.32621328880690442</v>
      </c>
      <c r="AD306" s="408">
        <v>-4.1311933826479192</v>
      </c>
      <c r="AE306" s="408">
        <v>-43.633895420003881</v>
      </c>
      <c r="AF306" s="408">
        <v>-19.310656264972678</v>
      </c>
      <c r="AG306" s="408">
        <v>-0.97150384704800752</v>
      </c>
      <c r="AH306" s="408">
        <v>0</v>
      </c>
      <c r="AI306" s="408">
        <v>0</v>
      </c>
      <c r="AJ306" s="408">
        <v>0</v>
      </c>
      <c r="AK306" s="408">
        <v>0</v>
      </c>
      <c r="AL306" s="408">
        <v>0</v>
      </c>
      <c r="AM306" s="408"/>
      <c r="AN306" s="408">
        <v>-0.18618503698196279</v>
      </c>
      <c r="AO306" s="408">
        <v>-0.69582045349625277</v>
      </c>
      <c r="AP306" s="408">
        <v>-2.2787179021930681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-6.6577514046252728E-2</v>
      </c>
      <c r="BF306" s="408">
        <v>-0.57668260049534747</v>
      </c>
      <c r="BG306" s="408">
        <v>-2.2293987847374841</v>
      </c>
      <c r="BH306" s="408">
        <v>0</v>
      </c>
      <c r="BI306" s="408">
        <v>-0.4</v>
      </c>
      <c r="BJ306" s="408">
        <v>-1.89</v>
      </c>
      <c r="BK306" s="408">
        <v>-21.94</v>
      </c>
      <c r="BL306" s="408">
        <v>0</v>
      </c>
      <c r="BM306" s="408"/>
      <c r="BN306" s="408"/>
      <c r="BO306" s="408"/>
      <c r="BP306" s="408"/>
      <c r="BQ306" s="408"/>
      <c r="BR306" s="408"/>
      <c r="BS306" s="408"/>
      <c r="BT306" s="408">
        <v>-5.4336000000000002</v>
      </c>
      <c r="BU306" s="408"/>
      <c r="BV306" s="408">
        <v>-22.183315164251759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-48.911999999999999</v>
      </c>
      <c r="CJ306" s="408">
        <v>18.023999999999994</v>
      </c>
      <c r="CK306" s="408"/>
      <c r="CL306" s="408"/>
      <c r="CM306" s="408"/>
      <c r="CN306" s="408"/>
      <c r="CO306" s="408">
        <v>22.603200000000001</v>
      </c>
      <c r="CP306" s="408">
        <v>-2.5427999999999997</v>
      </c>
      <c r="CQ306" s="408"/>
      <c r="CR306" s="408">
        <v>-3.0405351923627748</v>
      </c>
      <c r="CS306" s="408">
        <v>-6.7559770037150413E-2</v>
      </c>
      <c r="CT306" s="408">
        <v>-0.2212491120060478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7.9212361022254818E-2</v>
      </c>
      <c r="DA306" s="408">
        <v>0</v>
      </c>
      <c r="DB306" s="408">
        <v>0</v>
      </c>
      <c r="DC306" s="408">
        <v>-2.4787361539927204</v>
      </c>
      <c r="DD306" s="408">
        <v>-7.402358529985098E-2</v>
      </c>
      <c r="DE306" s="408">
        <v>-8.545959746005069E-3</v>
      </c>
      <c r="DF306" s="408">
        <v>0</v>
      </c>
      <c r="DG306" s="408">
        <v>-0.28616797345306777</v>
      </c>
      <c r="DH306" s="408">
        <v>0</v>
      </c>
      <c r="DI306" s="408">
        <v>0</v>
      </c>
      <c r="DJ306" s="408"/>
      <c r="DK306" s="408">
        <v>0</v>
      </c>
      <c r="DL306" s="408">
        <v>0</v>
      </c>
      <c r="DM306" s="408">
        <v>1.0797908700624026E-2</v>
      </c>
      <c r="DN306" s="408">
        <v>0</v>
      </c>
      <c r="DO306" s="408">
        <v>0</v>
      </c>
      <c r="DP306" s="408">
        <v>5.73709244918999E-3</v>
      </c>
      <c r="DQ306" s="408">
        <v>0</v>
      </c>
      <c r="DR306" s="408">
        <v>0</v>
      </c>
      <c r="DS306" s="408"/>
      <c r="DT306" s="408"/>
      <c r="DU306" s="408"/>
      <c r="DV306" s="408">
        <v>-43.633895420003881</v>
      </c>
      <c r="DW306" s="408">
        <v>0</v>
      </c>
      <c r="DX306" s="408">
        <v>0</v>
      </c>
      <c r="DY306" s="408">
        <v>22.603200000000005</v>
      </c>
      <c r="DZ306" s="408">
        <v>-2.5427999999999997</v>
      </c>
      <c r="EA306" s="408">
        <v>0</v>
      </c>
      <c r="EB306" s="408">
        <v>0</v>
      </c>
      <c r="EC306" s="408">
        <v>23.101834353249121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239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308</v>
      </c>
      <c r="B307" s="408" t="s">
        <v>2236</v>
      </c>
      <c r="C307" s="408" t="s">
        <v>2233</v>
      </c>
      <c r="D307" s="408" t="s">
        <v>1953</v>
      </c>
      <c r="E307" s="408" t="s">
        <v>967</v>
      </c>
      <c r="F307" s="408" t="s">
        <v>2239</v>
      </c>
      <c r="G307" s="408" t="s">
        <v>1320</v>
      </c>
      <c r="H307" s="408" t="s">
        <v>1320</v>
      </c>
      <c r="I307" s="408" t="s">
        <v>1320</v>
      </c>
      <c r="J307" s="408" t="s">
        <v>2234</v>
      </c>
      <c r="K307" s="827">
        <v>44531</v>
      </c>
      <c r="L307" s="408">
        <v>0</v>
      </c>
      <c r="M307" s="408">
        <v>0</v>
      </c>
      <c r="N307" s="408">
        <v>2.7E-2</v>
      </c>
      <c r="O307" s="408">
        <v>2.1600000000000001E-2</v>
      </c>
      <c r="P307" s="408">
        <v>2.7E-2</v>
      </c>
      <c r="Q307" s="408">
        <v>2.1600000000000001E-2</v>
      </c>
      <c r="R307" s="408"/>
      <c r="S307" s="408">
        <v>446.23</v>
      </c>
      <c r="T307" s="408">
        <v>173.82</v>
      </c>
      <c r="U307" s="408"/>
      <c r="V307" s="408">
        <v>16.741350000000001</v>
      </c>
      <c r="W307" s="408">
        <v>16.741350000000001</v>
      </c>
      <c r="X307" s="408">
        <v>12.22776</v>
      </c>
      <c r="Y307" s="408">
        <v>0</v>
      </c>
      <c r="Z307" s="408">
        <v>0</v>
      </c>
      <c r="AA307" s="408">
        <v>0</v>
      </c>
      <c r="AB307" s="408">
        <v>0</v>
      </c>
      <c r="AC307" s="408">
        <v>7.3397989981553488E-2</v>
      </c>
      <c r="AD307" s="408">
        <v>0.92951851109578187</v>
      </c>
      <c r="AE307" s="408">
        <v>9.8176264695008726</v>
      </c>
      <c r="AF307" s="408">
        <v>4.3448976596188524</v>
      </c>
      <c r="AG307" s="408">
        <v>0.21858836558580169</v>
      </c>
      <c r="AH307" s="408">
        <v>0</v>
      </c>
      <c r="AI307" s="408">
        <v>0</v>
      </c>
      <c r="AJ307" s="408">
        <v>0</v>
      </c>
      <c r="AK307" s="408">
        <v>0</v>
      </c>
      <c r="AL307" s="408">
        <v>0</v>
      </c>
      <c r="AM307" s="408"/>
      <c r="AN307" s="408">
        <v>4.1891633320941625E-2</v>
      </c>
      <c r="AO307" s="408">
        <v>0.15655960203665686</v>
      </c>
      <c r="AP307" s="408">
        <v>0.51271152799344033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1.4979940660406863E-2</v>
      </c>
      <c r="BF307" s="408">
        <v>0.12975358511145318</v>
      </c>
      <c r="BG307" s="408">
        <v>0.50161472656593387</v>
      </c>
      <c r="BH307" s="408">
        <v>0</v>
      </c>
      <c r="BI307" s="408">
        <v>0.02</v>
      </c>
      <c r="BJ307" s="408">
        <v>0.08</v>
      </c>
      <c r="BK307" s="408">
        <v>25.94</v>
      </c>
      <c r="BL307" s="408">
        <v>0</v>
      </c>
      <c r="BM307" s="408"/>
      <c r="BN307" s="408"/>
      <c r="BO307" s="408"/>
      <c r="BP307" s="408"/>
      <c r="BQ307" s="408"/>
      <c r="BR307" s="408"/>
      <c r="BS307" s="408"/>
      <c r="BT307" s="408">
        <v>3.4235999999999995</v>
      </c>
      <c r="BU307" s="408"/>
      <c r="BV307" s="408">
        <v>4.9912459119566464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8.1519999999999992</v>
      </c>
      <c r="CJ307" s="408">
        <v>-3.9318800000000014</v>
      </c>
      <c r="CK307" s="408"/>
      <c r="CL307" s="408"/>
      <c r="CM307" s="408"/>
      <c r="CN307" s="408"/>
      <c r="CO307" s="408">
        <v>-5.0857200000000002</v>
      </c>
      <c r="CP307" s="408">
        <v>0.57212999999999992</v>
      </c>
      <c r="CQ307" s="408"/>
      <c r="CR307" s="408">
        <v>0.68412041828162362</v>
      </c>
      <c r="CS307" s="408">
        <v>1.5200948258358854E-2</v>
      </c>
      <c r="CT307" s="408">
        <v>4.978105020136081E-2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-1.7822781230007467E-2</v>
      </c>
      <c r="DA307" s="408">
        <v>0</v>
      </c>
      <c r="DB307" s="408">
        <v>0</v>
      </c>
      <c r="DC307" s="408">
        <v>0.55771563464836227</v>
      </c>
      <c r="DD307" s="408">
        <v>1.6655306692466454E-2</v>
      </c>
      <c r="DE307" s="408">
        <v>1.9228409428511412E-3</v>
      </c>
      <c r="DF307" s="408">
        <v>0</v>
      </c>
      <c r="DG307" s="408">
        <v>6.4387794026940393E-2</v>
      </c>
      <c r="DH307" s="408">
        <v>0</v>
      </c>
      <c r="DI307" s="408">
        <v>0</v>
      </c>
      <c r="DJ307" s="408"/>
      <c r="DK307" s="408">
        <v>0</v>
      </c>
      <c r="DL307" s="408">
        <v>0</v>
      </c>
      <c r="DM307" s="408">
        <v>-2.4295294576404114E-3</v>
      </c>
      <c r="DN307" s="408">
        <v>0</v>
      </c>
      <c r="DO307" s="408">
        <v>0</v>
      </c>
      <c r="DP307" s="408">
        <v>-1.2908458010677457E-3</v>
      </c>
      <c r="DQ307" s="408">
        <v>0</v>
      </c>
      <c r="DR307" s="408">
        <v>0</v>
      </c>
      <c r="DS307" s="408"/>
      <c r="DT307" s="408"/>
      <c r="DU307" s="408"/>
      <c r="DV307" s="408">
        <v>9.8176264695008726</v>
      </c>
      <c r="DW307" s="408">
        <v>0</v>
      </c>
      <c r="DX307" s="408">
        <v>0</v>
      </c>
      <c r="DY307" s="408">
        <v>-5.0857200000000011</v>
      </c>
      <c r="DZ307" s="408">
        <v>0.57213000000000047</v>
      </c>
      <c r="EA307" s="408">
        <v>0</v>
      </c>
      <c r="EB307" s="408">
        <v>0</v>
      </c>
      <c r="EC307" s="408">
        <v>-5.1979127294810512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0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239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309</v>
      </c>
      <c r="B308" s="408" t="s">
        <v>1034</v>
      </c>
      <c r="C308" s="408" t="s">
        <v>2233</v>
      </c>
      <c r="D308" s="408" t="s">
        <v>1953</v>
      </c>
      <c r="E308" s="408" t="s">
        <v>967</v>
      </c>
      <c r="F308" s="408" t="s">
        <v>2240</v>
      </c>
      <c r="G308" s="408" t="s">
        <v>1320</v>
      </c>
      <c r="H308" s="408" t="s">
        <v>1320</v>
      </c>
      <c r="I308" s="408" t="s">
        <v>1320</v>
      </c>
      <c r="J308" s="408" t="s">
        <v>2234</v>
      </c>
      <c r="K308" s="827">
        <v>44531</v>
      </c>
      <c r="L308" s="408">
        <v>0</v>
      </c>
      <c r="M308" s="408">
        <v>0</v>
      </c>
      <c r="N308" s="408">
        <v>17.189</v>
      </c>
      <c r="O308" s="408">
        <v>17.189</v>
      </c>
      <c r="P308" s="408">
        <v>17.189</v>
      </c>
      <c r="Q308" s="408">
        <v>17.189</v>
      </c>
      <c r="R308" s="408"/>
      <c r="S308" s="408">
        <v>446.23</v>
      </c>
      <c r="T308" s="408">
        <v>173.82</v>
      </c>
      <c r="U308" s="408"/>
      <c r="V308" s="408">
        <v>10658.03945</v>
      </c>
      <c r="W308" s="408">
        <v>10658.03945</v>
      </c>
      <c r="X308" s="408">
        <v>7784.5543199999993</v>
      </c>
      <c r="Y308" s="408">
        <v>0</v>
      </c>
      <c r="Z308" s="408">
        <v>0</v>
      </c>
      <c r="AA308" s="408">
        <v>0</v>
      </c>
      <c r="AB308" s="408">
        <v>0</v>
      </c>
      <c r="AC308" s="408">
        <v>46.72733517751567</v>
      </c>
      <c r="AD308" s="408">
        <v>591.75902545279246</v>
      </c>
      <c r="AE308" s="408">
        <v>6250.1919031203888</v>
      </c>
      <c r="AF308" s="408">
        <v>2766.090587821795</v>
      </c>
      <c r="AG308" s="408">
        <v>139.15983022423501</v>
      </c>
      <c r="AH308" s="408">
        <v>0</v>
      </c>
      <c r="AI308" s="408">
        <v>0</v>
      </c>
      <c r="AJ308" s="408">
        <v>0</v>
      </c>
      <c r="AK308" s="408">
        <v>0</v>
      </c>
      <c r="AL308" s="408">
        <v>0</v>
      </c>
      <c r="AM308" s="408"/>
      <c r="AN308" s="408">
        <v>26.669455005691319</v>
      </c>
      <c r="AO308" s="408">
        <v>99.67048145955907</v>
      </c>
      <c r="AP308" s="408">
        <v>326.40735017330536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9.5366740745086513</v>
      </c>
      <c r="BF308" s="408">
        <v>82.604976832621077</v>
      </c>
      <c r="BG308" s="408">
        <v>319.34279759043847</v>
      </c>
      <c r="BH308" s="408">
        <v>0</v>
      </c>
      <c r="BI308" s="408">
        <v>11.97</v>
      </c>
      <c r="BJ308" s="408">
        <v>54</v>
      </c>
      <c r="BK308" s="408">
        <v>3572.65</v>
      </c>
      <c r="BL308" s="408">
        <v>229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3177.5750363193629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7785.0072</v>
      </c>
      <c r="CJ308" s="408">
        <v>-2873.0622500000009</v>
      </c>
      <c r="CK308" s="408"/>
      <c r="CL308" s="408"/>
      <c r="CM308" s="408"/>
      <c r="CN308" s="408"/>
      <c r="CO308" s="408">
        <v>-3237.7200400000002</v>
      </c>
      <c r="CP308" s="408">
        <v>364.23490999999996</v>
      </c>
      <c r="CQ308" s="408"/>
      <c r="CR308" s="408">
        <v>435.53132851269856</v>
      </c>
      <c r="CS308" s="408">
        <v>9.6773740597381703</v>
      </c>
      <c r="CT308" s="408">
        <v>31.69209155226639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-11.346510613429587</v>
      </c>
      <c r="DA308" s="408">
        <v>0</v>
      </c>
      <c r="DB308" s="408">
        <v>0</v>
      </c>
      <c r="DC308" s="408">
        <v>355.05829792484064</v>
      </c>
      <c r="DD308" s="408">
        <v>10.603261730992813</v>
      </c>
      <c r="DE308" s="408">
        <v>1.2241375172840101</v>
      </c>
      <c r="DF308" s="408">
        <v>0</v>
      </c>
      <c r="DG308" s="408">
        <v>40.991177464039879</v>
      </c>
      <c r="DH308" s="408">
        <v>0</v>
      </c>
      <c r="DI308" s="408">
        <v>0</v>
      </c>
      <c r="DJ308" s="408"/>
      <c r="DK308" s="408">
        <v>0</v>
      </c>
      <c r="DL308" s="408">
        <v>0</v>
      </c>
      <c r="DM308" s="408">
        <v>-1.5467104387918766</v>
      </c>
      <c r="DN308" s="408">
        <v>0</v>
      </c>
      <c r="DO308" s="408">
        <v>0</v>
      </c>
      <c r="DP308" s="408">
        <v>-0.82179068424272117</v>
      </c>
      <c r="DQ308" s="408">
        <v>0</v>
      </c>
      <c r="DR308" s="408">
        <v>0</v>
      </c>
      <c r="DS308" s="408"/>
      <c r="DT308" s="408"/>
      <c r="DU308" s="408"/>
      <c r="DV308" s="408">
        <v>6250.1919031203888</v>
      </c>
      <c r="DW308" s="408">
        <v>0</v>
      </c>
      <c r="DX308" s="408">
        <v>0</v>
      </c>
      <c r="DY308" s="408">
        <v>-3237.7200400000002</v>
      </c>
      <c r="DZ308" s="408">
        <v>364.23490999999967</v>
      </c>
      <c r="EA308" s="408">
        <v>0</v>
      </c>
      <c r="EB308" s="408">
        <v>0</v>
      </c>
      <c r="EC308" s="408">
        <v>-3309.1452558166588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239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310</v>
      </c>
      <c r="B309" s="408" t="s">
        <v>2235</v>
      </c>
      <c r="C309" s="408" t="s">
        <v>2233</v>
      </c>
      <c r="D309" s="408" t="s">
        <v>1953</v>
      </c>
      <c r="E309" s="408" t="s">
        <v>967</v>
      </c>
      <c r="F309" s="408" t="s">
        <v>2240</v>
      </c>
      <c r="G309" s="408" t="s">
        <v>1320</v>
      </c>
      <c r="H309" s="408" t="s">
        <v>1320</v>
      </c>
      <c r="I309" s="408" t="s">
        <v>1320</v>
      </c>
      <c r="J309" s="408" t="s">
        <v>2234</v>
      </c>
      <c r="K309" s="827">
        <v>44531</v>
      </c>
      <c r="L309" s="408">
        <v>0</v>
      </c>
      <c r="M309" s="408">
        <v>0</v>
      </c>
      <c r="N309" s="408">
        <v>-3.0000000000000001E-3</v>
      </c>
      <c r="O309" s="408">
        <v>-3.0000000000000001E-3</v>
      </c>
      <c r="P309" s="408">
        <v>-3.0000000000000001E-3</v>
      </c>
      <c r="Q309" s="408">
        <v>-3.0000000000000001E-3</v>
      </c>
      <c r="R309" s="408"/>
      <c r="S309" s="408">
        <v>446.23</v>
      </c>
      <c r="T309" s="408">
        <v>173.82</v>
      </c>
      <c r="U309" s="408"/>
      <c r="V309" s="408">
        <v>-1.8601500000000002</v>
      </c>
      <c r="W309" s="408">
        <v>-1.8601500000000002</v>
      </c>
      <c r="X309" s="408">
        <v>-1.3586399999999998</v>
      </c>
      <c r="Y309" s="408">
        <v>0</v>
      </c>
      <c r="Z309" s="408">
        <v>0</v>
      </c>
      <c r="AA309" s="408">
        <v>0</v>
      </c>
      <c r="AB309" s="408">
        <v>0</v>
      </c>
      <c r="AC309" s="408">
        <v>-8.1553322201726106E-3</v>
      </c>
      <c r="AD309" s="408">
        <v>-0.10327983456619799</v>
      </c>
      <c r="AE309" s="408">
        <v>-1.0908473855000971</v>
      </c>
      <c r="AF309" s="408">
        <v>-0.48276640662431697</v>
      </c>
      <c r="AG309" s="408">
        <v>-2.4287596176200188E-2</v>
      </c>
      <c r="AH309" s="408">
        <v>0</v>
      </c>
      <c r="AI309" s="408">
        <v>0</v>
      </c>
      <c r="AJ309" s="408">
        <v>0</v>
      </c>
      <c r="AK309" s="408">
        <v>0</v>
      </c>
      <c r="AL309" s="408">
        <v>0</v>
      </c>
      <c r="AM309" s="408"/>
      <c r="AN309" s="408">
        <v>-4.65462592454907E-3</v>
      </c>
      <c r="AO309" s="408">
        <v>-1.7395511337406321E-2</v>
      </c>
      <c r="AP309" s="408">
        <v>-5.6967947554826703E-2</v>
      </c>
      <c r="AQ309" s="408">
        <v>0</v>
      </c>
      <c r="AR309" s="408">
        <v>0</v>
      </c>
      <c r="AS309" s="408">
        <v>0</v>
      </c>
      <c r="AT309" s="408">
        <v>0</v>
      </c>
      <c r="AU309" s="408">
        <v>0</v>
      </c>
      <c r="AV309" s="408">
        <v>0</v>
      </c>
      <c r="AW309" s="408">
        <v>0</v>
      </c>
      <c r="AX309" s="408">
        <v>0</v>
      </c>
      <c r="AY309" s="408">
        <v>0</v>
      </c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-1.6644378511563181E-3</v>
      </c>
      <c r="BF309" s="408">
        <v>-1.4417065012383689E-2</v>
      </c>
      <c r="BG309" s="408">
        <v>-5.5734969618437102E-2</v>
      </c>
      <c r="BH309" s="408">
        <v>0</v>
      </c>
      <c r="BI309" s="408">
        <v>-0.1</v>
      </c>
      <c r="BJ309" s="408">
        <v>-0.43</v>
      </c>
      <c r="BK309" s="408">
        <v>-6.37</v>
      </c>
      <c r="BL309" s="408">
        <v>0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>
        <v>-0.55458287910629411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0</v>
      </c>
      <c r="CJ309" s="408">
        <v>1.8301500000000002</v>
      </c>
      <c r="CK309" s="408"/>
      <c r="CL309" s="408"/>
      <c r="CM309" s="408"/>
      <c r="CN309" s="408"/>
      <c r="CO309" s="408">
        <v>0.56508000000000003</v>
      </c>
      <c r="CP309" s="408">
        <v>-6.3569999999999988E-2</v>
      </c>
      <c r="CQ309" s="408"/>
      <c r="CR309" s="408">
        <v>-7.6013379809069304E-2</v>
      </c>
      <c r="CS309" s="408">
        <v>-1.6889942509287596E-3</v>
      </c>
      <c r="CT309" s="408">
        <v>-5.5312278001512019E-3</v>
      </c>
      <c r="CU309" s="408">
        <v>0</v>
      </c>
      <c r="CV309" s="408">
        <v>0</v>
      </c>
      <c r="CW309" s="408">
        <v>0</v>
      </c>
      <c r="CX309" s="408">
        <v>0</v>
      </c>
      <c r="CY309" s="408">
        <v>0</v>
      </c>
      <c r="CZ309" s="408">
        <v>1.9803090255563899E-3</v>
      </c>
      <c r="DA309" s="408">
        <v>0</v>
      </c>
      <c r="DB309" s="408">
        <v>0</v>
      </c>
      <c r="DC309" s="408">
        <v>-6.1968403849817999E-2</v>
      </c>
      <c r="DD309" s="408">
        <v>-1.8505896324962721E-3</v>
      </c>
      <c r="DE309" s="408">
        <v>-2.1364899365012712E-4</v>
      </c>
      <c r="DF309" s="408">
        <v>0</v>
      </c>
      <c r="DG309" s="408">
        <v>-7.1541993363267026E-3</v>
      </c>
      <c r="DH309" s="408">
        <v>0</v>
      </c>
      <c r="DI309" s="408">
        <v>0</v>
      </c>
      <c r="DJ309" s="408"/>
      <c r="DK309" s="408">
        <v>0</v>
      </c>
      <c r="DL309" s="408">
        <v>0</v>
      </c>
      <c r="DM309" s="408">
        <v>2.6994771751559857E-4</v>
      </c>
      <c r="DN309" s="408">
        <v>0</v>
      </c>
      <c r="DO309" s="408">
        <v>0</v>
      </c>
      <c r="DP309" s="408">
        <v>1.434273112297501E-4</v>
      </c>
      <c r="DQ309" s="408">
        <v>0</v>
      </c>
      <c r="DR309" s="408">
        <v>0</v>
      </c>
      <c r="DS309" s="408"/>
      <c r="DT309" s="408"/>
      <c r="DU309" s="408"/>
      <c r="DV309" s="408">
        <v>-1.0908473855000971</v>
      </c>
      <c r="DW309" s="408">
        <v>0</v>
      </c>
      <c r="DX309" s="408">
        <v>0</v>
      </c>
      <c r="DY309" s="408">
        <v>0.56508000000000014</v>
      </c>
      <c r="DZ309" s="408">
        <v>-6.3569999999999904E-2</v>
      </c>
      <c r="EA309" s="408">
        <v>0</v>
      </c>
      <c r="EB309" s="408">
        <v>0</v>
      </c>
      <c r="EC309" s="408">
        <v>0.57754585883122811</v>
      </c>
      <c r="ED309" s="408">
        <v>0</v>
      </c>
      <c r="EE309" s="408">
        <v>0</v>
      </c>
      <c r="EF309" s="408">
        <v>0</v>
      </c>
      <c r="EG309" s="408">
        <v>0</v>
      </c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>
        <v>0</v>
      </c>
      <c r="EN309" s="408">
        <v>0</v>
      </c>
      <c r="EO309" s="408">
        <v>0</v>
      </c>
      <c r="EP309" s="408">
        <v>0</v>
      </c>
      <c r="EQ309" s="408">
        <v>0</v>
      </c>
      <c r="ER309" s="408">
        <v>0</v>
      </c>
      <c r="ES309" s="408">
        <v>0</v>
      </c>
      <c r="ET309" s="408">
        <v>0</v>
      </c>
      <c r="EU309" s="408">
        <v>0</v>
      </c>
      <c r="EV309" s="408">
        <v>239</v>
      </c>
      <c r="EW309" s="408">
        <v>0</v>
      </c>
      <c r="EX309" s="408">
        <v>0</v>
      </c>
      <c r="EY309" s="408">
        <v>0</v>
      </c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311</v>
      </c>
      <c r="B310" s="408" t="s">
        <v>2236</v>
      </c>
      <c r="C310" s="408" t="s">
        <v>2233</v>
      </c>
      <c r="D310" s="408" t="s">
        <v>1953</v>
      </c>
      <c r="E310" s="408" t="s">
        <v>967</v>
      </c>
      <c r="F310" s="408" t="s">
        <v>2240</v>
      </c>
      <c r="G310" s="408" t="s">
        <v>1320</v>
      </c>
      <c r="H310" s="408" t="s">
        <v>1320</v>
      </c>
      <c r="I310" s="408" t="s">
        <v>1320</v>
      </c>
      <c r="J310" s="408" t="s">
        <v>2234</v>
      </c>
      <c r="K310" s="827">
        <v>44531</v>
      </c>
      <c r="L310" s="408">
        <v>0</v>
      </c>
      <c r="M310" s="408">
        <v>0</v>
      </c>
      <c r="N310" s="408">
        <v>0</v>
      </c>
      <c r="O310" s="408">
        <v>0</v>
      </c>
      <c r="P310" s="408">
        <v>0</v>
      </c>
      <c r="Q310" s="408">
        <v>0</v>
      </c>
      <c r="R310" s="408"/>
      <c r="S310" s="408"/>
      <c r="T310" s="408"/>
      <c r="U310" s="408"/>
      <c r="V310" s="408"/>
      <c r="W310" s="408"/>
      <c r="X310" s="408"/>
      <c r="Y310" s="408"/>
      <c r="Z310" s="408"/>
      <c r="AA310" s="408">
        <v>0</v>
      </c>
      <c r="AB310" s="408"/>
      <c r="AC310" s="408"/>
      <c r="AD310" s="408"/>
      <c r="AE310" s="408"/>
      <c r="AF310" s="408"/>
      <c r="AG310" s="408"/>
      <c r="AH310" s="408"/>
      <c r="AI310" s="408"/>
      <c r="AJ310" s="408"/>
      <c r="AK310" s="408"/>
      <c r="AL310" s="408"/>
      <c r="AM310" s="408"/>
      <c r="AN310" s="408"/>
      <c r="AO310" s="408"/>
      <c r="AP310" s="408"/>
      <c r="AQ310" s="408"/>
      <c r="AR310" s="408"/>
      <c r="AS310" s="408"/>
      <c r="AT310" s="408"/>
      <c r="AU310" s="408"/>
      <c r="AV310" s="408"/>
      <c r="AW310" s="408"/>
      <c r="AX310" s="408"/>
      <c r="AY310" s="408"/>
      <c r="AZ310" s="408">
        <v>0</v>
      </c>
      <c r="BA310" s="408"/>
      <c r="BB310" s="408"/>
      <c r="BC310" s="408"/>
      <c r="BD310" s="408"/>
      <c r="BE310" s="408"/>
      <c r="BF310" s="408"/>
      <c r="BG310" s="408"/>
      <c r="BH310" s="408"/>
      <c r="BI310" s="408">
        <v>0</v>
      </c>
      <c r="BJ310" s="408">
        <v>0</v>
      </c>
      <c r="BK310" s="408">
        <v>21.25</v>
      </c>
      <c r="BL310" s="408">
        <v>2</v>
      </c>
      <c r="BM310" s="408"/>
      <c r="BN310" s="408"/>
      <c r="BO310" s="408"/>
      <c r="BP310" s="408"/>
      <c r="BQ310" s="408"/>
      <c r="BR310" s="408"/>
      <c r="BS310" s="408"/>
      <c r="BT310" s="408"/>
      <c r="BU310" s="408"/>
      <c r="BV310" s="408"/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/>
      <c r="CJ310" s="408">
        <v>-0.03</v>
      </c>
      <c r="CK310" s="408"/>
      <c r="CL310" s="408"/>
      <c r="CM310" s="408"/>
      <c r="CN310" s="408"/>
      <c r="CO310" s="408">
        <v>0</v>
      </c>
      <c r="CP310" s="408">
        <v>0</v>
      </c>
      <c r="CQ310" s="408"/>
      <c r="CR310" s="408"/>
      <c r="CS310" s="408"/>
      <c r="CT310" s="408"/>
      <c r="CU310" s="408"/>
      <c r="CV310" s="408"/>
      <c r="CW310" s="408"/>
      <c r="CX310" s="408"/>
      <c r="CY310" s="408"/>
      <c r="CZ310" s="408"/>
      <c r="DA310" s="408"/>
      <c r="DB310" s="408"/>
      <c r="DC310" s="408"/>
      <c r="DD310" s="408"/>
      <c r="DE310" s="408"/>
      <c r="DF310" s="408"/>
      <c r="DG310" s="408"/>
      <c r="DH310" s="408"/>
      <c r="DI310" s="408"/>
      <c r="DJ310" s="408"/>
      <c r="DK310" s="408">
        <v>0</v>
      </c>
      <c r="DL310" s="408"/>
      <c r="DM310" s="408"/>
      <c r="DN310" s="408"/>
      <c r="DO310" s="408"/>
      <c r="DP310" s="408"/>
      <c r="DQ310" s="408"/>
      <c r="DR310" s="408"/>
      <c r="DS310" s="408"/>
      <c r="DT310" s="408"/>
      <c r="DU310" s="408"/>
      <c r="DV310" s="408"/>
      <c r="DW310" s="408"/>
      <c r="DX310" s="408"/>
      <c r="DY310" s="408"/>
      <c r="DZ310" s="408"/>
      <c r="EA310" s="408"/>
      <c r="EB310" s="408"/>
      <c r="EC310" s="408"/>
      <c r="ED310" s="408"/>
      <c r="EE310" s="408"/>
      <c r="EF310" s="408"/>
      <c r="EG310" s="408"/>
      <c r="EH310" s="408"/>
      <c r="EI310" s="408"/>
      <c r="EJ310" s="408"/>
      <c r="EK310" s="408"/>
      <c r="EL310" s="408"/>
      <c r="EM310" s="408"/>
      <c r="EN310" s="408"/>
      <c r="EO310" s="408"/>
      <c r="EP310" s="408"/>
      <c r="EQ310" s="408"/>
      <c r="ER310" s="408"/>
      <c r="ES310" s="408"/>
      <c r="ET310" s="408"/>
      <c r="EU310" s="408"/>
      <c r="EV310" s="408">
        <v>239</v>
      </c>
      <c r="EW310" s="408"/>
      <c r="EX310" s="408"/>
      <c r="EY310" s="408"/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312</v>
      </c>
      <c r="B311" s="408" t="s">
        <v>1034</v>
      </c>
      <c r="C311" s="408" t="s">
        <v>2233</v>
      </c>
      <c r="D311" s="408" t="s">
        <v>1956</v>
      </c>
      <c r="E311" s="408" t="s">
        <v>968</v>
      </c>
      <c r="F311" s="408" t="s">
        <v>1320</v>
      </c>
      <c r="G311" s="408" t="s">
        <v>1320</v>
      </c>
      <c r="H311" s="408" t="s">
        <v>1320</v>
      </c>
      <c r="I311" s="408" t="s">
        <v>1320</v>
      </c>
      <c r="J311" s="408" t="s">
        <v>2234</v>
      </c>
      <c r="K311" s="827">
        <v>44531</v>
      </c>
      <c r="L311" s="408">
        <v>0</v>
      </c>
      <c r="M311" s="408">
        <v>0</v>
      </c>
      <c r="N311" s="408">
        <v>82.14</v>
      </c>
      <c r="O311" s="408">
        <v>82.14</v>
      </c>
      <c r="P311" s="408">
        <v>82.14</v>
      </c>
      <c r="Q311" s="408">
        <v>82.14</v>
      </c>
      <c r="R311" s="408"/>
      <c r="S311" s="408">
        <v>516.83000000000004</v>
      </c>
      <c r="T311" s="408">
        <v>173.82</v>
      </c>
      <c r="U311" s="408"/>
      <c r="V311" s="408">
        <v>56729.991000000009</v>
      </c>
      <c r="W311" s="408">
        <v>56729.991000000009</v>
      </c>
      <c r="X311" s="408">
        <v>42831.902999999998</v>
      </c>
      <c r="Y311" s="408">
        <v>0</v>
      </c>
      <c r="Z311" s="408">
        <v>5022.8162959640667</v>
      </c>
      <c r="AA311" s="408">
        <v>0</v>
      </c>
      <c r="AB311" s="408">
        <v>0</v>
      </c>
      <c r="AC311" s="408">
        <v>223.29299618832607</v>
      </c>
      <c r="AD311" s="408">
        <v>2827.801870422501</v>
      </c>
      <c r="AE311" s="408">
        <v>29867.401414992655</v>
      </c>
      <c r="AF311" s="408">
        <v>13218.144213373798</v>
      </c>
      <c r="AG311" s="408">
        <v>664.99438330436112</v>
      </c>
      <c r="AH311" s="408">
        <v>0</v>
      </c>
      <c r="AI311" s="408">
        <v>0</v>
      </c>
      <c r="AJ311" s="408">
        <v>0</v>
      </c>
      <c r="AK311" s="408">
        <v>0</v>
      </c>
      <c r="AL311" s="408">
        <v>776.34593545684436</v>
      </c>
      <c r="AM311" s="408"/>
      <c r="AN311" s="408">
        <v>127.44365781415353</v>
      </c>
      <c r="AO311" s="408">
        <v>476.28910041818506</v>
      </c>
      <c r="AP311" s="408">
        <v>1559.782404051155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45.572308364659989</v>
      </c>
      <c r="BF311" s="408">
        <v>394.73924003906541</v>
      </c>
      <c r="BG311" s="408">
        <v>1526.0234681528079</v>
      </c>
      <c r="BH311" s="408">
        <v>0</v>
      </c>
      <c r="BI311" s="408">
        <v>74.98</v>
      </c>
      <c r="BJ311" s="408">
        <v>310.14999999999998</v>
      </c>
      <c r="BK311" s="408">
        <v>11641.07</v>
      </c>
      <c r="BL311" s="408">
        <v>36</v>
      </c>
      <c r="BM311" s="408"/>
      <c r="BN311" s="408"/>
      <c r="BO311" s="408"/>
      <c r="BP311" s="408"/>
      <c r="BQ311" s="408"/>
      <c r="BR311" s="408"/>
      <c r="BS311" s="408"/>
      <c r="BT311" s="408"/>
      <c r="BU311" s="408"/>
      <c r="BV311" s="408">
        <v>15184.479229930332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42831.902999999998</v>
      </c>
      <c r="CJ311" s="408">
        <v>-13898.118000000017</v>
      </c>
      <c r="CK311" s="408"/>
      <c r="CL311" s="408"/>
      <c r="CM311" s="408"/>
      <c r="CN311" s="408"/>
      <c r="CO311" s="408">
        <v>-15638.634600000003</v>
      </c>
      <c r="CP311" s="408">
        <v>1740.5465999999999</v>
      </c>
      <c r="CQ311" s="408"/>
      <c r="CR311" s="408">
        <v>1914.3449022106288</v>
      </c>
      <c r="CS311" s="408">
        <v>46.244662590429471</v>
      </c>
      <c r="CT311" s="408">
        <v>151.44501716814011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-54.220861119733854</v>
      </c>
      <c r="DA311" s="408">
        <v>0</v>
      </c>
      <c r="DB311" s="408">
        <v>0</v>
      </c>
      <c r="DC311" s="408">
        <v>1696.6948974080187</v>
      </c>
      <c r="DD311" s="408">
        <v>50.669144137747935</v>
      </c>
      <c r="DE311" s="408">
        <v>5.8497094461404799</v>
      </c>
      <c r="DF311" s="408">
        <v>0</v>
      </c>
      <c r="DG311" s="408">
        <v>195.88197782862494</v>
      </c>
      <c r="DH311" s="408">
        <v>0</v>
      </c>
      <c r="DI311" s="408">
        <v>-146.79434538730584</v>
      </c>
      <c r="DJ311" s="408"/>
      <c r="DK311" s="408">
        <v>0</v>
      </c>
      <c r="DL311" s="408">
        <v>0</v>
      </c>
      <c r="DM311" s="408">
        <v>-7.3911685055770704</v>
      </c>
      <c r="DN311" s="408">
        <v>0</v>
      </c>
      <c r="DO311" s="408">
        <v>-20.107091574386573</v>
      </c>
      <c r="DP311" s="408">
        <v>-3.9270397814705547</v>
      </c>
      <c r="DQ311" s="408">
        <v>0</v>
      </c>
      <c r="DR311" s="408">
        <v>0</v>
      </c>
      <c r="DS311" s="408"/>
      <c r="DT311" s="408"/>
      <c r="DU311" s="408"/>
      <c r="DV311" s="408">
        <v>29867.401414992655</v>
      </c>
      <c r="DW311" s="408">
        <v>0</v>
      </c>
      <c r="DX311" s="408">
        <v>0</v>
      </c>
      <c r="DY311" s="408">
        <v>-15638.634600000009</v>
      </c>
      <c r="DZ311" s="408">
        <v>1740.5465999999997</v>
      </c>
      <c r="EA311" s="408">
        <v>0</v>
      </c>
      <c r="EB311" s="408">
        <v>0</v>
      </c>
      <c r="EC311" s="408">
        <v>-15813.205614799022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239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313</v>
      </c>
      <c r="B312" s="408" t="s">
        <v>2236</v>
      </c>
      <c r="C312" s="408" t="s">
        <v>2233</v>
      </c>
      <c r="D312" s="408" t="s">
        <v>1956</v>
      </c>
      <c r="E312" s="408" t="s">
        <v>968</v>
      </c>
      <c r="F312" s="408" t="s">
        <v>1320</v>
      </c>
      <c r="G312" s="408" t="s">
        <v>1320</v>
      </c>
      <c r="H312" s="408" t="s">
        <v>1320</v>
      </c>
      <c r="I312" s="408" t="s">
        <v>1320</v>
      </c>
      <c r="J312" s="408" t="s">
        <v>2234</v>
      </c>
      <c r="K312" s="827">
        <v>44531</v>
      </c>
      <c r="L312" s="408">
        <v>0</v>
      </c>
      <c r="M312" s="408">
        <v>0</v>
      </c>
      <c r="N312" s="408">
        <v>0.59</v>
      </c>
      <c r="O312" s="408">
        <v>0.59</v>
      </c>
      <c r="P312" s="408">
        <v>0.59</v>
      </c>
      <c r="Q312" s="408">
        <v>0.59</v>
      </c>
      <c r="R312" s="408"/>
      <c r="S312" s="408">
        <v>516.83000000000004</v>
      </c>
      <c r="T312" s="408">
        <v>173.82</v>
      </c>
      <c r="U312" s="408"/>
      <c r="V312" s="408">
        <v>407.48350000000005</v>
      </c>
      <c r="W312" s="408">
        <v>407.48350000000005</v>
      </c>
      <c r="X312" s="408">
        <v>307.65549999999996</v>
      </c>
      <c r="Y312" s="408">
        <v>0</v>
      </c>
      <c r="Z312" s="408">
        <v>36.078178897233983</v>
      </c>
      <c r="AA312" s="408">
        <v>0</v>
      </c>
      <c r="AB312" s="408">
        <v>0</v>
      </c>
      <c r="AC312" s="408">
        <v>1.6038820033006134</v>
      </c>
      <c r="AD312" s="408">
        <v>20.311700798018936</v>
      </c>
      <c r="AE312" s="408">
        <v>214.5333191483524</v>
      </c>
      <c r="AF312" s="408">
        <v>94.944059969449</v>
      </c>
      <c r="AG312" s="408">
        <v>4.7765605813193703</v>
      </c>
      <c r="AH312" s="408">
        <v>0</v>
      </c>
      <c r="AI312" s="408">
        <v>0</v>
      </c>
      <c r="AJ312" s="408">
        <v>0</v>
      </c>
      <c r="AK312" s="408">
        <v>0</v>
      </c>
      <c r="AL312" s="408">
        <v>5.5763830279953508</v>
      </c>
      <c r="AM312" s="408"/>
      <c r="AN312" s="408">
        <v>0.915409765161317</v>
      </c>
      <c r="AO312" s="408">
        <v>3.4211172296899095</v>
      </c>
      <c r="AP312" s="408">
        <v>11.203696352449251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0.32733944406074256</v>
      </c>
      <c r="BF312" s="408">
        <v>2.8353561191021255</v>
      </c>
      <c r="BG312" s="408">
        <v>10.961210691625963</v>
      </c>
      <c r="BH312" s="408">
        <v>0</v>
      </c>
      <c r="BI312" s="408">
        <v>0.53</v>
      </c>
      <c r="BJ312" s="408">
        <v>2.2000000000000002</v>
      </c>
      <c r="BK312" s="408">
        <v>180.64</v>
      </c>
      <c r="BL312" s="408">
        <v>5</v>
      </c>
      <c r="BM312" s="408"/>
      <c r="BN312" s="408"/>
      <c r="BO312" s="408"/>
      <c r="BP312" s="408"/>
      <c r="BQ312" s="408"/>
      <c r="BR312" s="408"/>
      <c r="BS312" s="408"/>
      <c r="BT312" s="408"/>
      <c r="BU312" s="408"/>
      <c r="BV312" s="408">
        <v>109.06796622423784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307.65549999999996</v>
      </c>
      <c r="CJ312" s="408">
        <v>-99.858000000000061</v>
      </c>
      <c r="CK312" s="408"/>
      <c r="CL312" s="408"/>
      <c r="CM312" s="408"/>
      <c r="CN312" s="408"/>
      <c r="CO312" s="408">
        <v>-112.33010000000002</v>
      </c>
      <c r="CP312" s="408">
        <v>12.502099999999999</v>
      </c>
      <c r="CQ312" s="408"/>
      <c r="CR312" s="408">
        <v>13.75046861826479</v>
      </c>
      <c r="CS312" s="408">
        <v>0.33216886934932299</v>
      </c>
      <c r="CT312" s="408">
        <v>1.0878081340297356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-0.38946077502608745</v>
      </c>
      <c r="DA312" s="408">
        <v>0</v>
      </c>
      <c r="DB312" s="408">
        <v>0</v>
      </c>
      <c r="DC312" s="408">
        <v>12.18711942379754</v>
      </c>
      <c r="DD312" s="408">
        <v>0.36394929439093326</v>
      </c>
      <c r="DE312" s="408">
        <v>4.2017635417858301E-2</v>
      </c>
      <c r="DF312" s="408">
        <v>0</v>
      </c>
      <c r="DG312" s="408">
        <v>1.4069925361442515</v>
      </c>
      <c r="DH312" s="408">
        <v>0</v>
      </c>
      <c r="DI312" s="408">
        <v>-1.0544030165389628</v>
      </c>
      <c r="DJ312" s="408"/>
      <c r="DK312" s="408">
        <v>0</v>
      </c>
      <c r="DL312" s="408">
        <v>0</v>
      </c>
      <c r="DM312" s="408">
        <v>-5.3089717778068035E-2</v>
      </c>
      <c r="DN312" s="408">
        <v>0</v>
      </c>
      <c r="DO312" s="408">
        <v>-0.14442639431322224</v>
      </c>
      <c r="DP312" s="408">
        <v>-2.8207371208517462E-2</v>
      </c>
      <c r="DQ312" s="408">
        <v>0</v>
      </c>
      <c r="DR312" s="408">
        <v>0</v>
      </c>
      <c r="DS312" s="408"/>
      <c r="DT312" s="408"/>
      <c r="DU312" s="408"/>
      <c r="DV312" s="408">
        <v>214.5333191483524</v>
      </c>
      <c r="DW312" s="408">
        <v>0</v>
      </c>
      <c r="DX312" s="408">
        <v>0</v>
      </c>
      <c r="DY312" s="408">
        <v>-112.33010000000004</v>
      </c>
      <c r="DZ312" s="408">
        <v>12.502099999999999</v>
      </c>
      <c r="EA312" s="408">
        <v>0</v>
      </c>
      <c r="EB312" s="408">
        <v>0</v>
      </c>
      <c r="EC312" s="408">
        <v>-113.58401890347484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239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314</v>
      </c>
      <c r="B313" s="408" t="s">
        <v>1034</v>
      </c>
      <c r="C313" s="408" t="s">
        <v>2245</v>
      </c>
      <c r="D313" s="408" t="s">
        <v>596</v>
      </c>
      <c r="E313" s="408" t="s">
        <v>968</v>
      </c>
      <c r="F313" s="408" t="s">
        <v>1320</v>
      </c>
      <c r="G313" s="408" t="s">
        <v>1320</v>
      </c>
      <c r="H313" s="408" t="s">
        <v>1320</v>
      </c>
      <c r="I313" s="408" t="s">
        <v>971</v>
      </c>
      <c r="J313" s="408" t="s">
        <v>2234</v>
      </c>
      <c r="K313" s="827">
        <v>44531</v>
      </c>
      <c r="L313" s="408">
        <v>1200</v>
      </c>
      <c r="M313" s="408">
        <v>1200</v>
      </c>
      <c r="N313" s="408">
        <v>58.481000000000002</v>
      </c>
      <c r="O313" s="408">
        <v>58.481000000000002</v>
      </c>
      <c r="P313" s="408">
        <v>58.481000000000002</v>
      </c>
      <c r="Q313" s="408">
        <v>58.481000000000002</v>
      </c>
      <c r="R313" s="408">
        <v>67.099999999999994</v>
      </c>
      <c r="S313" s="408">
        <v>70.33</v>
      </c>
      <c r="T313" s="408">
        <v>173.82</v>
      </c>
      <c r="U313" s="408">
        <v>80520</v>
      </c>
      <c r="V313" s="408">
        <v>14278.136149999998</v>
      </c>
      <c r="W313" s="408">
        <v>94798.136149999991</v>
      </c>
      <c r="X313" s="408">
        <v>65906.282730000006</v>
      </c>
      <c r="Y313" s="408">
        <v>0</v>
      </c>
      <c r="Z313" s="408">
        <v>3111.1907503009411</v>
      </c>
      <c r="AA313" s="408">
        <v>0</v>
      </c>
      <c r="AB313" s="408">
        <v>0</v>
      </c>
      <c r="AC313" s="408">
        <v>898.10170336085525</v>
      </c>
      <c r="AD313" s="408">
        <v>13700.67976876248</v>
      </c>
      <c r="AE313" s="408">
        <v>57794.157302940846</v>
      </c>
      <c r="AF313" s="408">
        <v>9410.8874085988937</v>
      </c>
      <c r="AG313" s="408">
        <v>473.4543039934544</v>
      </c>
      <c r="AH313" s="408">
        <v>0</v>
      </c>
      <c r="AI313" s="408">
        <v>0</v>
      </c>
      <c r="AJ313" s="408">
        <v>0</v>
      </c>
      <c r="AK313" s="408">
        <v>0</v>
      </c>
      <c r="AL313" s="408">
        <v>552.73297603423077</v>
      </c>
      <c r="AM313" s="408"/>
      <c r="AN313" s="408">
        <v>72.676132059559563</v>
      </c>
      <c r="AO313" s="408">
        <v>1928.760364929756</v>
      </c>
      <c r="AP313" s="408">
        <v>6201.9566025339363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10.912181765867011</v>
      </c>
      <c r="BF313" s="408">
        <v>281.04145966307016</v>
      </c>
      <c r="BG313" s="408">
        <v>365.40272066568241</v>
      </c>
      <c r="BH313" s="408">
        <v>0</v>
      </c>
      <c r="BI313" s="408">
        <v>0</v>
      </c>
      <c r="BJ313" s="408">
        <v>0</v>
      </c>
      <c r="BK313" s="408">
        <v>0</v>
      </c>
      <c r="BL313" s="408">
        <v>0</v>
      </c>
      <c r="BM313" s="408"/>
      <c r="BN313" s="408"/>
      <c r="BO313" s="408"/>
      <c r="BP313" s="408"/>
      <c r="BQ313" s="408"/>
      <c r="BR313" s="408"/>
      <c r="BS313" s="408"/>
      <c r="BT313" s="408"/>
      <c r="BU313" s="408"/>
      <c r="BV313" s="408">
        <v>10068.243770693514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65906.018400000001</v>
      </c>
      <c r="CJ313" s="408">
        <v>-28892.147749999975</v>
      </c>
      <c r="CK313" s="408"/>
      <c r="CL313" s="408"/>
      <c r="CM313" s="408"/>
      <c r="CN313" s="408"/>
      <c r="CO313" s="408">
        <v>-30131.065809999993</v>
      </c>
      <c r="CP313" s="408">
        <v>1239.2123899999999</v>
      </c>
      <c r="CQ313" s="408"/>
      <c r="CR313" s="408">
        <v>1706.3685060920907</v>
      </c>
      <c r="CS313" s="408">
        <v>187.27044607078801</v>
      </c>
      <c r="CT313" s="408">
        <v>602.17080389378407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-262.69968301452172</v>
      </c>
      <c r="DA313" s="408">
        <v>0</v>
      </c>
      <c r="DB313" s="408">
        <v>0</v>
      </c>
      <c r="DC313" s="408">
        <v>1207.991408513737</v>
      </c>
      <c r="DD313" s="408">
        <v>36.07477743267151</v>
      </c>
      <c r="DE313" s="408">
        <v>1.4006991316528481</v>
      </c>
      <c r="DF313" s="408">
        <v>0</v>
      </c>
      <c r="DG313" s="408">
        <v>46.903477647427223</v>
      </c>
      <c r="DH313" s="408">
        <v>0</v>
      </c>
      <c r="DI313" s="408">
        <v>-90.926122448963724</v>
      </c>
      <c r="DJ313" s="408"/>
      <c r="DK313" s="408">
        <v>0</v>
      </c>
      <c r="DL313" s="408">
        <v>0</v>
      </c>
      <c r="DM313" s="408">
        <v>-5.2622708226766122</v>
      </c>
      <c r="DN313" s="408">
        <v>0</v>
      </c>
      <c r="DO313" s="408">
        <v>-14.315593162426353</v>
      </c>
      <c r="DP313" s="408">
        <v>-2.2394371493756466</v>
      </c>
      <c r="DQ313" s="408">
        <v>0</v>
      </c>
      <c r="DR313" s="408">
        <v>0</v>
      </c>
      <c r="DS313" s="408"/>
      <c r="DT313" s="408"/>
      <c r="DU313" s="408">
        <v>57794.157302940846</v>
      </c>
      <c r="DV313" s="408">
        <v>0</v>
      </c>
      <c r="DW313" s="408">
        <v>0</v>
      </c>
      <c r="DX313" s="408">
        <v>0</v>
      </c>
      <c r="DY313" s="408">
        <v>-30131.065809999993</v>
      </c>
      <c r="DZ313" s="408">
        <v>1239.2123900000006</v>
      </c>
      <c r="EA313" s="408">
        <v>0</v>
      </c>
      <c r="EB313" s="408">
        <v>0</v>
      </c>
      <c r="EC313" s="408">
        <v>-30598.942307270285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239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315</v>
      </c>
      <c r="B314" s="408" t="s">
        <v>1034</v>
      </c>
      <c r="C314" s="408" t="s">
        <v>2245</v>
      </c>
      <c r="D314" s="408" t="s">
        <v>596</v>
      </c>
      <c r="E314" s="408" t="s">
        <v>968</v>
      </c>
      <c r="F314" s="408" t="s">
        <v>1320</v>
      </c>
      <c r="G314" s="408" t="s">
        <v>1320</v>
      </c>
      <c r="H314" s="408" t="s">
        <v>1320</v>
      </c>
      <c r="I314" s="408" t="s">
        <v>2242</v>
      </c>
      <c r="J314" s="408" t="s">
        <v>2234</v>
      </c>
      <c r="K314" s="827">
        <v>44531</v>
      </c>
      <c r="L314" s="408">
        <v>1200</v>
      </c>
      <c r="M314" s="408">
        <v>1200</v>
      </c>
      <c r="N314" s="408">
        <v>570.99900000000002</v>
      </c>
      <c r="O314" s="408">
        <v>570.99900000000002</v>
      </c>
      <c r="P314" s="408">
        <v>570.99900000000002</v>
      </c>
      <c r="Q314" s="408">
        <v>570.99900000000002</v>
      </c>
      <c r="R314" s="408">
        <v>59.12</v>
      </c>
      <c r="S314" s="408">
        <v>70.33</v>
      </c>
      <c r="T314" s="408">
        <v>173.82</v>
      </c>
      <c r="U314" s="408">
        <v>70944</v>
      </c>
      <c r="V314" s="408">
        <v>139409.40585000001</v>
      </c>
      <c r="W314" s="408">
        <v>210353.40585000001</v>
      </c>
      <c r="X314" s="408">
        <v>191768.16566999999</v>
      </c>
      <c r="Y314" s="408">
        <v>0</v>
      </c>
      <c r="Z314" s="408">
        <v>30377.161936886972</v>
      </c>
      <c r="AA314" s="408">
        <v>0</v>
      </c>
      <c r="AB314" s="408">
        <v>0</v>
      </c>
      <c r="AC314" s="408">
        <v>686.4724360004185</v>
      </c>
      <c r="AD314" s="408">
        <v>6140.4271808585163</v>
      </c>
      <c r="AE314" s="408">
        <v>57794.157302940846</v>
      </c>
      <c r="AF314" s="408">
        <v>91886.378472026132</v>
      </c>
      <c r="AG314" s="408">
        <v>4622.73104300471</v>
      </c>
      <c r="AH314" s="408">
        <v>0</v>
      </c>
      <c r="AI314" s="408">
        <v>0</v>
      </c>
      <c r="AJ314" s="408">
        <v>0</v>
      </c>
      <c r="AK314" s="408">
        <v>0</v>
      </c>
      <c r="AL314" s="408">
        <v>5396.7951400039283</v>
      </c>
      <c r="AM314" s="408"/>
      <c r="AN314" s="408">
        <v>709.59796737190629</v>
      </c>
      <c r="AO314" s="408">
        <v>1449.6865388280721</v>
      </c>
      <c r="AP314" s="408">
        <v>4873.1854368239283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106.54477310798887</v>
      </c>
      <c r="BF314" s="408">
        <v>2744.0432350020246</v>
      </c>
      <c r="BG314" s="408">
        <v>3567.7329063693169</v>
      </c>
      <c r="BH314" s="408">
        <v>0</v>
      </c>
      <c r="BI314" s="408">
        <v>0</v>
      </c>
      <c r="BJ314" s="408">
        <v>0</v>
      </c>
      <c r="BK314" s="408">
        <v>0</v>
      </c>
      <c r="BL314" s="408">
        <v>0</v>
      </c>
      <c r="BM314" s="408"/>
      <c r="BN314" s="408"/>
      <c r="BO314" s="408"/>
      <c r="BP314" s="408"/>
      <c r="BQ314" s="408"/>
      <c r="BR314" s="408"/>
      <c r="BS314" s="408"/>
      <c r="BT314" s="408"/>
      <c r="BU314" s="408"/>
      <c r="BV314" s="408">
        <v>98304.699386505468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191768.43</v>
      </c>
      <c r="CJ314" s="408">
        <v>-18585.005850000016</v>
      </c>
      <c r="CK314" s="408"/>
      <c r="CL314" s="408"/>
      <c r="CM314" s="408"/>
      <c r="CN314" s="408"/>
      <c r="CO314" s="408">
        <v>-30684.708989999999</v>
      </c>
      <c r="CP314" s="408">
        <v>12099.468809999998</v>
      </c>
      <c r="CQ314" s="408"/>
      <c r="CR314" s="408">
        <v>12013.859225948661</v>
      </c>
      <c r="CS314" s="408">
        <v>140.75540420960397</v>
      </c>
      <c r="CT314" s="408">
        <v>473.15551850471911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-117.73782769987247</v>
      </c>
      <c r="DA314" s="408">
        <v>0</v>
      </c>
      <c r="DB314" s="408">
        <v>0</v>
      </c>
      <c r="DC314" s="408">
        <v>11794.632209947405</v>
      </c>
      <c r="DD314" s="408">
        <v>352.22827652191336</v>
      </c>
      <c r="DE314" s="408">
        <v>13.676199166817341</v>
      </c>
      <c r="DF314" s="408">
        <v>0</v>
      </c>
      <c r="DG314" s="408">
        <v>457.95794930324837</v>
      </c>
      <c r="DH314" s="408">
        <v>0</v>
      </c>
      <c r="DI314" s="408">
        <v>-887.78791389059188</v>
      </c>
      <c r="DJ314" s="408"/>
      <c r="DK314" s="408">
        <v>0</v>
      </c>
      <c r="DL314" s="408">
        <v>0</v>
      </c>
      <c r="DM314" s="408">
        <v>-51.379958917896147</v>
      </c>
      <c r="DN314" s="408">
        <v>0</v>
      </c>
      <c r="DO314" s="408">
        <v>-139.7751300448399</v>
      </c>
      <c r="DP314" s="408">
        <v>-21.865501151764647</v>
      </c>
      <c r="DQ314" s="408">
        <v>0</v>
      </c>
      <c r="DR314" s="408">
        <v>0</v>
      </c>
      <c r="DS314" s="408"/>
      <c r="DT314" s="408"/>
      <c r="DU314" s="408">
        <v>57794.157302940846</v>
      </c>
      <c r="DV314" s="408">
        <v>0</v>
      </c>
      <c r="DW314" s="408">
        <v>0</v>
      </c>
      <c r="DX314" s="408">
        <v>0</v>
      </c>
      <c r="DY314" s="408">
        <v>-30684.708990000014</v>
      </c>
      <c r="DZ314" s="408">
        <v>12099.468809999991</v>
      </c>
      <c r="EA314" s="408">
        <v>0</v>
      </c>
      <c r="EB314" s="408">
        <v>0</v>
      </c>
      <c r="EC314" s="408">
        <v>-30598.942307270285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0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239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316</v>
      </c>
      <c r="B315" s="408" t="s">
        <v>1034</v>
      </c>
      <c r="C315" s="408" t="s">
        <v>2245</v>
      </c>
      <c r="D315" s="408" t="s">
        <v>596</v>
      </c>
      <c r="E315" s="408" t="s">
        <v>968</v>
      </c>
      <c r="F315" s="408" t="s">
        <v>1320</v>
      </c>
      <c r="G315" s="408" t="s">
        <v>1320</v>
      </c>
      <c r="H315" s="408" t="s">
        <v>1320</v>
      </c>
      <c r="I315" s="408" t="s">
        <v>1320</v>
      </c>
      <c r="J315" s="408" t="s">
        <v>2234</v>
      </c>
      <c r="K315" s="827">
        <v>44531</v>
      </c>
      <c r="L315" s="408">
        <v>0</v>
      </c>
      <c r="M315" s="408">
        <v>0</v>
      </c>
      <c r="N315" s="408">
        <v>0</v>
      </c>
      <c r="O315" s="408">
        <v>0</v>
      </c>
      <c r="P315" s="408">
        <v>0</v>
      </c>
      <c r="Q315" s="408">
        <v>0</v>
      </c>
      <c r="R315" s="408"/>
      <c r="S315" s="408"/>
      <c r="T315" s="408"/>
      <c r="U315" s="408"/>
      <c r="V315" s="408"/>
      <c r="W315" s="408"/>
      <c r="X315" s="408"/>
      <c r="Y315" s="408"/>
      <c r="Z315" s="408"/>
      <c r="AA315" s="408">
        <v>0</v>
      </c>
      <c r="AB315" s="408"/>
      <c r="AC315" s="408"/>
      <c r="AD315" s="408"/>
      <c r="AE315" s="408"/>
      <c r="AF315" s="408"/>
      <c r="AG315" s="408"/>
      <c r="AH315" s="408"/>
      <c r="AI315" s="408"/>
      <c r="AJ315" s="408"/>
      <c r="AK315" s="408"/>
      <c r="AL315" s="408"/>
      <c r="AM315" s="408"/>
      <c r="AN315" s="408"/>
      <c r="AO315" s="408"/>
      <c r="AP315" s="408"/>
      <c r="AQ315" s="408"/>
      <c r="AR315" s="408"/>
      <c r="AS315" s="408"/>
      <c r="AT315" s="408"/>
      <c r="AU315" s="408"/>
      <c r="AV315" s="408"/>
      <c r="AW315" s="408"/>
      <c r="AX315" s="408"/>
      <c r="AY315" s="408"/>
      <c r="AZ315" s="408">
        <v>0</v>
      </c>
      <c r="BA315" s="408"/>
      <c r="BB315" s="408"/>
      <c r="BC315" s="408"/>
      <c r="BD315" s="408"/>
      <c r="BE315" s="408"/>
      <c r="BF315" s="408"/>
      <c r="BG315" s="408"/>
      <c r="BH315" s="408"/>
      <c r="BI315" s="408">
        <v>478.83</v>
      </c>
      <c r="BJ315" s="408">
        <v>1975.11</v>
      </c>
      <c r="BK315" s="408">
        <v>69987.63</v>
      </c>
      <c r="BL315" s="408">
        <v>1</v>
      </c>
      <c r="BM315" s="408"/>
      <c r="BN315" s="408"/>
      <c r="BO315" s="408"/>
      <c r="BP315" s="408"/>
      <c r="BQ315" s="408"/>
      <c r="BR315" s="408"/>
      <c r="BS315" s="408"/>
      <c r="BT315" s="408"/>
      <c r="BU315" s="408"/>
      <c r="BV315" s="408"/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/>
      <c r="CJ315" s="408">
        <v>-0.03</v>
      </c>
      <c r="CK315" s="408"/>
      <c r="CL315" s="408"/>
      <c r="CM315" s="408"/>
      <c r="CN315" s="408"/>
      <c r="CO315" s="408">
        <v>0</v>
      </c>
      <c r="CP315" s="408">
        <v>0</v>
      </c>
      <c r="CQ315" s="408"/>
      <c r="CR315" s="408"/>
      <c r="CS315" s="408"/>
      <c r="CT315" s="408"/>
      <c r="CU315" s="408"/>
      <c r="CV315" s="408"/>
      <c r="CW315" s="408"/>
      <c r="CX315" s="408"/>
      <c r="CY315" s="408"/>
      <c r="CZ315" s="408"/>
      <c r="DA315" s="408"/>
      <c r="DB315" s="408"/>
      <c r="DC315" s="408"/>
      <c r="DD315" s="408"/>
      <c r="DE315" s="408"/>
      <c r="DF315" s="408"/>
      <c r="DG315" s="408"/>
      <c r="DH315" s="408"/>
      <c r="DI315" s="408"/>
      <c r="DJ315" s="408"/>
      <c r="DK315" s="408">
        <v>0</v>
      </c>
      <c r="DL315" s="408"/>
      <c r="DM315" s="408"/>
      <c r="DN315" s="408"/>
      <c r="DO315" s="408"/>
      <c r="DP315" s="408"/>
      <c r="DQ315" s="408"/>
      <c r="DR315" s="408"/>
      <c r="DS315" s="408"/>
      <c r="DT315" s="408"/>
      <c r="DU315" s="408"/>
      <c r="DV315" s="408"/>
      <c r="DW315" s="408"/>
      <c r="DX315" s="408"/>
      <c r="DY315" s="408"/>
      <c r="DZ315" s="408"/>
      <c r="EA315" s="408"/>
      <c r="EB315" s="408"/>
      <c r="EC315" s="408"/>
      <c r="ED315" s="408"/>
      <c r="EE315" s="408"/>
      <c r="EF315" s="408"/>
      <c r="EG315" s="408"/>
      <c r="EH315" s="408"/>
      <c r="EI315" s="408"/>
      <c r="EJ315" s="408"/>
      <c r="EK315" s="408"/>
      <c r="EL315" s="408"/>
      <c r="EM315" s="408"/>
      <c r="EN315" s="408"/>
      <c r="EO315" s="408"/>
      <c r="EP315" s="408"/>
      <c r="EQ315" s="408"/>
      <c r="ER315" s="408"/>
      <c r="ES315" s="408"/>
      <c r="ET315" s="408"/>
      <c r="EU315" s="408"/>
      <c r="EV315" s="408">
        <v>239</v>
      </c>
      <c r="EW315" s="408"/>
      <c r="EX315" s="408"/>
      <c r="EY315" s="408"/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317</v>
      </c>
      <c r="B316" s="408" t="s">
        <v>1034</v>
      </c>
      <c r="C316" s="408" t="s">
        <v>2241</v>
      </c>
      <c r="D316" s="408" t="s">
        <v>596</v>
      </c>
      <c r="E316" s="408" t="s">
        <v>968</v>
      </c>
      <c r="F316" s="408" t="s">
        <v>1320</v>
      </c>
      <c r="G316" s="408" t="s">
        <v>1320</v>
      </c>
      <c r="H316" s="408" t="s">
        <v>1320</v>
      </c>
      <c r="I316" s="408" t="s">
        <v>971</v>
      </c>
      <c r="J316" s="408" t="s">
        <v>2234</v>
      </c>
      <c r="K316" s="827">
        <v>44531</v>
      </c>
      <c r="L316" s="408">
        <v>0</v>
      </c>
      <c r="M316" s="408">
        <v>0</v>
      </c>
      <c r="N316" s="408">
        <v>38.375999999999998</v>
      </c>
      <c r="O316" s="408">
        <v>38.375999999999998</v>
      </c>
      <c r="P316" s="408">
        <v>38.375999999999998</v>
      </c>
      <c r="Q316" s="408">
        <v>38.375999999999998</v>
      </c>
      <c r="R316" s="408"/>
      <c r="S316" s="408">
        <v>1684.16</v>
      </c>
      <c r="T316" s="408">
        <v>173.82</v>
      </c>
      <c r="U316" s="408"/>
      <c r="V316" s="408">
        <v>71301.840479999999</v>
      </c>
      <c r="W316" s="408">
        <v>71301.840479999999</v>
      </c>
      <c r="X316" s="408">
        <v>48947.052959999994</v>
      </c>
      <c r="Y316" s="408">
        <v>0</v>
      </c>
      <c r="Z316" s="408">
        <v>2041.6042173278313</v>
      </c>
      <c r="AA316" s="408">
        <v>0</v>
      </c>
      <c r="AB316" s="408">
        <v>0</v>
      </c>
      <c r="AC316" s="408">
        <v>690.74496901720568</v>
      </c>
      <c r="AD316" s="408">
        <v>10537.509618212867</v>
      </c>
      <c r="AE316" s="408">
        <v>44450.631272101062</v>
      </c>
      <c r="AF316" s="408">
        <v>6175.5478735382621</v>
      </c>
      <c r="AG316" s="408">
        <v>310.68693028595277</v>
      </c>
      <c r="AH316" s="408">
        <v>0</v>
      </c>
      <c r="AI316" s="408">
        <v>0</v>
      </c>
      <c r="AJ316" s="408">
        <v>0</v>
      </c>
      <c r="AK316" s="408">
        <v>0</v>
      </c>
      <c r="AL316" s="408">
        <v>362.71063573279594</v>
      </c>
      <c r="AM316" s="408"/>
      <c r="AN316" s="408">
        <v>47.691032026088088</v>
      </c>
      <c r="AO316" s="408">
        <v>1483.4681679093592</v>
      </c>
      <c r="AP316" s="408">
        <v>4770.0857986326346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7.1607169413469736</v>
      </c>
      <c r="BF316" s="408">
        <v>184.42309563841212</v>
      </c>
      <c r="BG316" s="408">
        <v>239.78206269157894</v>
      </c>
      <c r="BH316" s="408">
        <v>0</v>
      </c>
      <c r="BI316" s="408">
        <v>0</v>
      </c>
      <c r="BJ316" s="408">
        <v>0</v>
      </c>
      <c r="BK316" s="408">
        <v>0</v>
      </c>
      <c r="BL316" s="408">
        <v>0</v>
      </c>
      <c r="BM316" s="408"/>
      <c r="BN316" s="408"/>
      <c r="BO316" s="408"/>
      <c r="BP316" s="408"/>
      <c r="BQ316" s="408"/>
      <c r="BR316" s="408"/>
      <c r="BS316" s="408"/>
      <c r="BT316" s="408"/>
      <c r="BU316" s="408"/>
      <c r="BV316" s="408">
        <v>6606.9137488096003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48952.154800000004</v>
      </c>
      <c r="CJ316" s="408">
        <v>-22349.715679999994</v>
      </c>
      <c r="CK316" s="408"/>
      <c r="CL316" s="408"/>
      <c r="CM316" s="408"/>
      <c r="CN316" s="408"/>
      <c r="CO316" s="408">
        <v>-23167.97496</v>
      </c>
      <c r="CP316" s="408">
        <v>813.18743999999981</v>
      </c>
      <c r="CQ316" s="408"/>
      <c r="CR316" s="408">
        <v>1179.2188660578577</v>
      </c>
      <c r="CS316" s="408">
        <v>144.03538697059344</v>
      </c>
      <c r="CT316" s="408">
        <v>463.14519499075595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-202.04840075011634</v>
      </c>
      <c r="DA316" s="408">
        <v>0</v>
      </c>
      <c r="DB316" s="408">
        <v>0</v>
      </c>
      <c r="DC316" s="408">
        <v>792.69982204687221</v>
      </c>
      <c r="DD316" s="408">
        <v>23.672742578892326</v>
      </c>
      <c r="DE316" s="408">
        <v>0.91915716004017955</v>
      </c>
      <c r="DF316" s="408">
        <v>0</v>
      </c>
      <c r="DG316" s="408">
        <v>30.778677830366547</v>
      </c>
      <c r="DH316" s="408">
        <v>0</v>
      </c>
      <c r="DI316" s="408">
        <v>-59.66691532465984</v>
      </c>
      <c r="DJ316" s="408"/>
      <c r="DK316" s="408">
        <v>0</v>
      </c>
      <c r="DL316" s="408">
        <v>0</v>
      </c>
      <c r="DM316" s="408">
        <v>-3.4531712024595436</v>
      </c>
      <c r="DN316" s="408">
        <v>0</v>
      </c>
      <c r="DO316" s="408">
        <v>-9.3940801833292085</v>
      </c>
      <c r="DP316" s="408">
        <v>-1.4695480591036372</v>
      </c>
      <c r="DQ316" s="408">
        <v>0</v>
      </c>
      <c r="DR316" s="408">
        <v>0</v>
      </c>
      <c r="DS316" s="408"/>
      <c r="DT316" s="408"/>
      <c r="DU316" s="408"/>
      <c r="DV316" s="408">
        <v>44450.631272101062</v>
      </c>
      <c r="DW316" s="408">
        <v>0</v>
      </c>
      <c r="DX316" s="408">
        <v>0</v>
      </c>
      <c r="DY316" s="408">
        <v>-23167.97496</v>
      </c>
      <c r="DZ316" s="408">
        <v>813.1874399999997</v>
      </c>
      <c r="EA316" s="408">
        <v>0</v>
      </c>
      <c r="EB316" s="408">
        <v>0</v>
      </c>
      <c r="EC316" s="408">
        <v>-23534.252687296321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239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318</v>
      </c>
      <c r="B317" s="408" t="s">
        <v>2235</v>
      </c>
      <c r="C317" s="408" t="s">
        <v>2241</v>
      </c>
      <c r="D317" s="408" t="s">
        <v>596</v>
      </c>
      <c r="E317" s="408" t="s">
        <v>968</v>
      </c>
      <c r="F317" s="408" t="s">
        <v>1320</v>
      </c>
      <c r="G317" s="408" t="s">
        <v>1320</v>
      </c>
      <c r="H317" s="408" t="s">
        <v>1320</v>
      </c>
      <c r="I317" s="408" t="s">
        <v>971</v>
      </c>
      <c r="J317" s="408" t="s">
        <v>2234</v>
      </c>
      <c r="K317" s="827">
        <v>44531</v>
      </c>
      <c r="L317" s="408">
        <v>0</v>
      </c>
      <c r="M317" s="408">
        <v>0</v>
      </c>
      <c r="N317" s="408">
        <v>-1.226</v>
      </c>
      <c r="O317" s="408">
        <v>-1.226</v>
      </c>
      <c r="P317" s="408">
        <v>-1.226</v>
      </c>
      <c r="Q317" s="408">
        <v>-1.226</v>
      </c>
      <c r="R317" s="408"/>
      <c r="S317" s="408">
        <v>1684.16</v>
      </c>
      <c r="T317" s="408">
        <v>173.82</v>
      </c>
      <c r="U317" s="408"/>
      <c r="V317" s="408">
        <v>-2277.8834800000004</v>
      </c>
      <c r="W317" s="408">
        <v>-2277.8834800000004</v>
      </c>
      <c r="X317" s="408">
        <v>-1563.71396</v>
      </c>
      <c r="Y317" s="408">
        <v>0</v>
      </c>
      <c r="Z317" s="408">
        <v>-65.22323250062334</v>
      </c>
      <c r="AA317" s="408">
        <v>0</v>
      </c>
      <c r="AB317" s="408">
        <v>0</v>
      </c>
      <c r="AC317" s="408">
        <v>-22.067264228035601</v>
      </c>
      <c r="AD317" s="408">
        <v>-336.64234917471799</v>
      </c>
      <c r="AE317" s="408">
        <v>-1420.066550437667</v>
      </c>
      <c r="AF317" s="408">
        <v>-197.29053817380421</v>
      </c>
      <c r="AG317" s="408">
        <v>-9.92553097067381</v>
      </c>
      <c r="AH317" s="408">
        <v>0</v>
      </c>
      <c r="AI317" s="408">
        <v>0</v>
      </c>
      <c r="AJ317" s="408">
        <v>0</v>
      </c>
      <c r="AK317" s="408">
        <v>0</v>
      </c>
      <c r="AL317" s="408">
        <v>-11.587534902241188</v>
      </c>
      <c r="AM317" s="408"/>
      <c r="AN317" s="408">
        <v>-1.5235877961221598</v>
      </c>
      <c r="AO317" s="408">
        <v>-47.392432089245212</v>
      </c>
      <c r="AP317" s="408">
        <v>-152.39017065675446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-0.22876378387772017</v>
      </c>
      <c r="BF317" s="408">
        <v>-5.8917739017274675</v>
      </c>
      <c r="BG317" s="408">
        <v>-7.6603296033947208</v>
      </c>
      <c r="BH317" s="408">
        <v>0</v>
      </c>
      <c r="BI317" s="408">
        <v>0</v>
      </c>
      <c r="BJ317" s="408">
        <v>0</v>
      </c>
      <c r="BK317" s="408">
        <v>0</v>
      </c>
      <c r="BL317" s="408">
        <v>0</v>
      </c>
      <c r="BM317" s="408"/>
      <c r="BN317" s="408"/>
      <c r="BO317" s="408"/>
      <c r="BP317" s="408"/>
      <c r="BQ317" s="408"/>
      <c r="BR317" s="408"/>
      <c r="BS317" s="408"/>
      <c r="BT317" s="408"/>
      <c r="BU317" s="408"/>
      <c r="BV317" s="408">
        <v>-211.07140546280414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-1568.8158000000001</v>
      </c>
      <c r="CJ317" s="408">
        <v>709.03767999999968</v>
      </c>
      <c r="CK317" s="408"/>
      <c r="CL317" s="408"/>
      <c r="CM317" s="408"/>
      <c r="CN317" s="408"/>
      <c r="CO317" s="408">
        <v>740.14846</v>
      </c>
      <c r="CP317" s="408">
        <v>-25.978939999999998</v>
      </c>
      <c r="CQ317" s="408"/>
      <c r="CR317" s="408">
        <v>-37.672564357591682</v>
      </c>
      <c r="CS317" s="408">
        <v>-4.6015057438489606</v>
      </c>
      <c r="CT317" s="408">
        <v>-14.796122812660712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6.4548504096217698</v>
      </c>
      <c r="DA317" s="408">
        <v>0</v>
      </c>
      <c r="DB317" s="408">
        <v>0</v>
      </c>
      <c r="DC317" s="408">
        <v>-25.324421039958963</v>
      </c>
      <c r="DD317" s="408">
        <v>-0.75627429648014299</v>
      </c>
      <c r="DE317" s="408">
        <v>-2.9364359970014076E-2</v>
      </c>
      <c r="DF317" s="408">
        <v>0</v>
      </c>
      <c r="DG317" s="408">
        <v>-0.98328796695928045</v>
      </c>
      <c r="DH317" s="408">
        <v>0</v>
      </c>
      <c r="DI317" s="408">
        <v>1.9061819415268104</v>
      </c>
      <c r="DJ317" s="408"/>
      <c r="DK317" s="408">
        <v>0</v>
      </c>
      <c r="DL317" s="408">
        <v>0</v>
      </c>
      <c r="DM317" s="408">
        <v>0.11031863389137442</v>
      </c>
      <c r="DN317" s="408">
        <v>0</v>
      </c>
      <c r="DO317" s="408">
        <v>0.30011315157289964</v>
      </c>
      <c r="DP317" s="408">
        <v>4.6947725673886387E-2</v>
      </c>
      <c r="DQ317" s="408">
        <v>0</v>
      </c>
      <c r="DR317" s="408">
        <v>0</v>
      </c>
      <c r="DS317" s="408"/>
      <c r="DT317" s="408"/>
      <c r="DU317" s="408"/>
      <c r="DV317" s="408">
        <v>-1420.066550437667</v>
      </c>
      <c r="DW317" s="408">
        <v>0</v>
      </c>
      <c r="DX317" s="408">
        <v>0</v>
      </c>
      <c r="DY317" s="408">
        <v>740.14846000000011</v>
      </c>
      <c r="DZ317" s="408">
        <v>-25.978939999999994</v>
      </c>
      <c r="EA317" s="408">
        <v>0</v>
      </c>
      <c r="EB317" s="408">
        <v>0</v>
      </c>
      <c r="EC317" s="408">
        <v>751.84995295563101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239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319</v>
      </c>
      <c r="B318" s="408" t="s">
        <v>1034</v>
      </c>
      <c r="C318" s="408" t="s">
        <v>2241</v>
      </c>
      <c r="D318" s="408" t="s">
        <v>596</v>
      </c>
      <c r="E318" s="408" t="s">
        <v>968</v>
      </c>
      <c r="F318" s="408" t="s">
        <v>1320</v>
      </c>
      <c r="G318" s="408" t="s">
        <v>1320</v>
      </c>
      <c r="H318" s="408" t="s">
        <v>1320</v>
      </c>
      <c r="I318" s="408" t="s">
        <v>2242</v>
      </c>
      <c r="J318" s="408" t="s">
        <v>2234</v>
      </c>
      <c r="K318" s="827">
        <v>44531</v>
      </c>
      <c r="L318" s="408">
        <v>0</v>
      </c>
      <c r="M318" s="408">
        <v>0</v>
      </c>
      <c r="N318" s="408">
        <v>563.62300000000005</v>
      </c>
      <c r="O318" s="408">
        <v>563.62300000000005</v>
      </c>
      <c r="P318" s="408">
        <v>563.62300000000005</v>
      </c>
      <c r="Q318" s="408">
        <v>563.62300000000005</v>
      </c>
      <c r="R318" s="408"/>
      <c r="S318" s="408">
        <v>70.33</v>
      </c>
      <c r="T318" s="408">
        <v>173.82</v>
      </c>
      <c r="U318" s="408"/>
      <c r="V318" s="408">
        <v>137608.55545000001</v>
      </c>
      <c r="W318" s="408">
        <v>137608.55545000001</v>
      </c>
      <c r="X318" s="408">
        <v>148982.46759000001</v>
      </c>
      <c r="Y318" s="408">
        <v>0</v>
      </c>
      <c r="Z318" s="408">
        <v>29984.758541353043</v>
      </c>
      <c r="AA318" s="408">
        <v>0</v>
      </c>
      <c r="AB318" s="408">
        <v>0</v>
      </c>
      <c r="AC318" s="408">
        <v>0</v>
      </c>
      <c r="AD318" s="408">
        <v>0</v>
      </c>
      <c r="AE318" s="408">
        <v>0</v>
      </c>
      <c r="AF318" s="408">
        <v>90699.416800272476</v>
      </c>
      <c r="AG318" s="408">
        <v>4563.0159398728265</v>
      </c>
      <c r="AH318" s="408">
        <v>0</v>
      </c>
      <c r="AI318" s="408">
        <v>0</v>
      </c>
      <c r="AJ318" s="408">
        <v>0</v>
      </c>
      <c r="AK318" s="408">
        <v>0</v>
      </c>
      <c r="AL318" s="408">
        <v>5327.080900657329</v>
      </c>
      <c r="AM318" s="408"/>
      <c r="AN318" s="408">
        <v>700.43158598185983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105.16845853222863</v>
      </c>
      <c r="BF318" s="408">
        <v>2708.5964778249108</v>
      </c>
      <c r="BG318" s="408">
        <v>3521.6459641550923</v>
      </c>
      <c r="BH318" s="408">
        <v>0</v>
      </c>
      <c r="BI318" s="408">
        <v>0</v>
      </c>
      <c r="BJ318" s="408">
        <v>0</v>
      </c>
      <c r="BK318" s="408">
        <v>0</v>
      </c>
      <c r="BL318" s="408">
        <v>0</v>
      </c>
      <c r="BM318" s="408"/>
      <c r="BN318" s="408"/>
      <c r="BO318" s="408"/>
      <c r="BP318" s="408"/>
      <c r="BQ318" s="408"/>
      <c r="BR318" s="408"/>
      <c r="BS318" s="408"/>
      <c r="BT318" s="408"/>
      <c r="BU318" s="408"/>
      <c r="BV318" s="408">
        <v>97034.827700784692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148981.6746</v>
      </c>
      <c r="CJ318" s="408">
        <v>11373.089149999985</v>
      </c>
      <c r="CK318" s="408"/>
      <c r="CL318" s="408"/>
      <c r="CM318" s="408"/>
      <c r="CN318" s="408"/>
      <c r="CO318" s="408">
        <v>-569.25923000000296</v>
      </c>
      <c r="CP318" s="408">
        <v>11943.17137</v>
      </c>
      <c r="CQ318" s="408"/>
      <c r="CR318" s="408">
        <v>11368.903991382802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0</v>
      </c>
      <c r="DA318" s="408">
        <v>0</v>
      </c>
      <c r="DB318" s="408">
        <v>0</v>
      </c>
      <c r="DC318" s="408">
        <v>11642.272561015328</v>
      </c>
      <c r="DD318" s="408">
        <v>347.6782934788157</v>
      </c>
      <c r="DE318" s="408">
        <v>13.499533979917814</v>
      </c>
      <c r="DF318" s="408">
        <v>0</v>
      </c>
      <c r="DG318" s="408">
        <v>452.04218091475605</v>
      </c>
      <c r="DH318" s="408">
        <v>0</v>
      </c>
      <c r="DI318" s="408">
        <v>-876.31972628806398</v>
      </c>
      <c r="DJ318" s="408"/>
      <c r="DK318" s="408">
        <v>0</v>
      </c>
      <c r="DL318" s="408">
        <v>0</v>
      </c>
      <c r="DM318" s="408">
        <v>-50.716247463098625</v>
      </c>
      <c r="DN318" s="408">
        <v>0</v>
      </c>
      <c r="DO318" s="408">
        <v>-137.96955532542597</v>
      </c>
      <c r="DP318" s="408">
        <v>-21.583048929439542</v>
      </c>
      <c r="DQ318" s="408">
        <v>0</v>
      </c>
      <c r="DR318" s="408">
        <v>0</v>
      </c>
      <c r="DS318" s="408"/>
      <c r="DT318" s="408"/>
      <c r="DU318" s="408"/>
      <c r="DV318" s="408">
        <v>0</v>
      </c>
      <c r="DW318" s="408">
        <v>0</v>
      </c>
      <c r="DX318" s="408">
        <v>0</v>
      </c>
      <c r="DY318" s="408">
        <v>-569.2592300000033</v>
      </c>
      <c r="DZ318" s="408">
        <v>11943.171369999996</v>
      </c>
      <c r="EA318" s="408">
        <v>0</v>
      </c>
      <c r="EB318" s="408">
        <v>0</v>
      </c>
      <c r="EC318" s="408">
        <v>0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239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320</v>
      </c>
      <c r="B319" s="408" t="s">
        <v>2235</v>
      </c>
      <c r="C319" s="408" t="s">
        <v>2241</v>
      </c>
      <c r="D319" s="408" t="s">
        <v>596</v>
      </c>
      <c r="E319" s="408" t="s">
        <v>968</v>
      </c>
      <c r="F319" s="408" t="s">
        <v>1320</v>
      </c>
      <c r="G319" s="408" t="s">
        <v>1320</v>
      </c>
      <c r="H319" s="408" t="s">
        <v>1320</v>
      </c>
      <c r="I319" s="408" t="s">
        <v>2242</v>
      </c>
      <c r="J319" s="408" t="s">
        <v>2234</v>
      </c>
      <c r="K319" s="827">
        <v>44531</v>
      </c>
      <c r="L319" s="408">
        <v>0</v>
      </c>
      <c r="M319" s="408">
        <v>0</v>
      </c>
      <c r="N319" s="408">
        <v>-58.784999999999997</v>
      </c>
      <c r="O319" s="408">
        <v>-58.784999999999997</v>
      </c>
      <c r="P319" s="408">
        <v>-58.784999999999997</v>
      </c>
      <c r="Q319" s="408">
        <v>-58.784999999999997</v>
      </c>
      <c r="R319" s="408"/>
      <c r="S319" s="408">
        <v>70.33</v>
      </c>
      <c r="T319" s="408">
        <v>173.82</v>
      </c>
      <c r="U319" s="408"/>
      <c r="V319" s="408">
        <v>-14352.357749999999</v>
      </c>
      <c r="W319" s="408">
        <v>-14352.357749999999</v>
      </c>
      <c r="X319" s="408">
        <v>-15538.639049999998</v>
      </c>
      <c r="Y319" s="408">
        <v>0</v>
      </c>
      <c r="Z319" s="408">
        <v>-3127.3635583598229</v>
      </c>
      <c r="AA319" s="408">
        <v>0</v>
      </c>
      <c r="AB319" s="408">
        <v>0</v>
      </c>
      <c r="AC319" s="408">
        <v>0</v>
      </c>
      <c r="AD319" s="408">
        <v>0</v>
      </c>
      <c r="AE319" s="408">
        <v>0</v>
      </c>
      <c r="AF319" s="408">
        <v>-9459.8077378034905</v>
      </c>
      <c r="AG319" s="408">
        <v>-475.91544707264262</v>
      </c>
      <c r="AH319" s="408">
        <v>0</v>
      </c>
      <c r="AI319" s="408">
        <v>0</v>
      </c>
      <c r="AJ319" s="408">
        <v>0</v>
      </c>
      <c r="AK319" s="408">
        <v>0</v>
      </c>
      <c r="AL319" s="408">
        <v>-555.60623101814701</v>
      </c>
      <c r="AM319" s="408"/>
      <c r="AN319" s="408">
        <v>-73.053922181925898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-10.968906227774699</v>
      </c>
      <c r="BF319" s="408">
        <v>-282.50238891765838</v>
      </c>
      <c r="BG319" s="408">
        <v>-367.30218249229904</v>
      </c>
      <c r="BH319" s="408">
        <v>0</v>
      </c>
      <c r="BI319" s="408">
        <v>0</v>
      </c>
      <c r="BJ319" s="408">
        <v>0</v>
      </c>
      <c r="BK319" s="408">
        <v>0</v>
      </c>
      <c r="BL319" s="408">
        <v>0</v>
      </c>
      <c r="BM319" s="408"/>
      <c r="BN319" s="408"/>
      <c r="BO319" s="408"/>
      <c r="BP319" s="408"/>
      <c r="BQ319" s="408"/>
      <c r="BR319" s="408"/>
      <c r="BS319" s="408"/>
      <c r="BT319" s="408"/>
      <c r="BU319" s="408"/>
      <c r="BV319" s="408">
        <v>-10120.581215441223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-15539.9607</v>
      </c>
      <c r="CJ319" s="408">
        <v>-1187.6329500000011</v>
      </c>
      <c r="CK319" s="408"/>
      <c r="CL319" s="408"/>
      <c r="CM319" s="408"/>
      <c r="CN319" s="408"/>
      <c r="CO319" s="408">
        <v>59.372850000000298</v>
      </c>
      <c r="CP319" s="408">
        <v>-1245.6541499999998</v>
      </c>
      <c r="CQ319" s="408"/>
      <c r="CR319" s="408">
        <v>-1185.7589579088108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0</v>
      </c>
      <c r="DA319" s="408">
        <v>0</v>
      </c>
      <c r="DB319" s="408">
        <v>0</v>
      </c>
      <c r="DC319" s="408">
        <v>-1214.2708734371845</v>
      </c>
      <c r="DD319" s="408">
        <v>-36.262303848764418</v>
      </c>
      <c r="DE319" s="408">
        <v>-1.4079803432604212</v>
      </c>
      <c r="DF319" s="408">
        <v>0</v>
      </c>
      <c r="DG319" s="408">
        <v>-47.147294565824893</v>
      </c>
      <c r="DH319" s="408">
        <v>0</v>
      </c>
      <c r="DI319" s="408">
        <v>91.39878094017422</v>
      </c>
      <c r="DJ319" s="408"/>
      <c r="DK319" s="408">
        <v>0</v>
      </c>
      <c r="DL319" s="408">
        <v>0</v>
      </c>
      <c r="DM319" s="408">
        <v>5.289625524718133</v>
      </c>
      <c r="DN319" s="408">
        <v>0</v>
      </c>
      <c r="DO319" s="408">
        <v>14.390009474072485</v>
      </c>
      <c r="DP319" s="408">
        <v>2.2510783472588969</v>
      </c>
      <c r="DQ319" s="408">
        <v>0</v>
      </c>
      <c r="DR319" s="408">
        <v>0</v>
      </c>
      <c r="DS319" s="408"/>
      <c r="DT319" s="408"/>
      <c r="DU319" s="408"/>
      <c r="DV319" s="408">
        <v>0</v>
      </c>
      <c r="DW319" s="408">
        <v>0</v>
      </c>
      <c r="DX319" s="408">
        <v>0</v>
      </c>
      <c r="DY319" s="408">
        <v>59.372850000000653</v>
      </c>
      <c r="DZ319" s="408">
        <v>-1245.6541500000003</v>
      </c>
      <c r="EA319" s="408">
        <v>0</v>
      </c>
      <c r="EB319" s="408">
        <v>0</v>
      </c>
      <c r="EC319" s="408">
        <v>0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239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321</v>
      </c>
      <c r="B320" s="408" t="s">
        <v>1034</v>
      </c>
      <c r="C320" s="408" t="s">
        <v>2241</v>
      </c>
      <c r="D320" s="408" t="s">
        <v>596</v>
      </c>
      <c r="E320" s="408" t="s">
        <v>968</v>
      </c>
      <c r="F320" s="408" t="s">
        <v>1320</v>
      </c>
      <c r="G320" s="408" t="s">
        <v>1320</v>
      </c>
      <c r="H320" s="408" t="s">
        <v>1320</v>
      </c>
      <c r="I320" s="408" t="s">
        <v>1320</v>
      </c>
      <c r="J320" s="408" t="s">
        <v>2234</v>
      </c>
      <c r="K320" s="827">
        <v>44531</v>
      </c>
      <c r="L320" s="408">
        <v>4240</v>
      </c>
      <c r="M320" s="408">
        <v>4240</v>
      </c>
      <c r="N320" s="408">
        <v>0</v>
      </c>
      <c r="O320" s="408">
        <v>0</v>
      </c>
      <c r="P320" s="408">
        <v>0</v>
      </c>
      <c r="Q320" s="408">
        <v>0</v>
      </c>
      <c r="R320" s="408">
        <v>59.12</v>
      </c>
      <c r="S320" s="408"/>
      <c r="T320" s="408"/>
      <c r="U320" s="408">
        <v>250668.79999999999</v>
      </c>
      <c r="V320" s="408"/>
      <c r="W320" s="408">
        <v>250668.79999999999</v>
      </c>
      <c r="X320" s="408">
        <v>144287.20000000001</v>
      </c>
      <c r="Y320" s="408">
        <v>0</v>
      </c>
      <c r="Z320" s="408">
        <v>0</v>
      </c>
      <c r="AA320" s="408">
        <v>0</v>
      </c>
      <c r="AB320" s="408">
        <v>0</v>
      </c>
      <c r="AC320" s="408">
        <v>2425.5359405348117</v>
      </c>
      <c r="AD320" s="408">
        <v>21696.176039033424</v>
      </c>
      <c r="AE320" s="408">
        <v>204206.02247039098</v>
      </c>
      <c r="AF320" s="408"/>
      <c r="AG320" s="408"/>
      <c r="AH320" s="408"/>
      <c r="AI320" s="408">
        <v>0</v>
      </c>
      <c r="AJ320" s="408">
        <v>0</v>
      </c>
      <c r="AK320" s="408">
        <v>0</v>
      </c>
      <c r="AL320" s="408">
        <v>0</v>
      </c>
      <c r="AM320" s="408"/>
      <c r="AN320" s="408">
        <v>0</v>
      </c>
      <c r="AO320" s="408">
        <v>5122.2257705258544</v>
      </c>
      <c r="AP320" s="408">
        <v>17218.588543444544</v>
      </c>
      <c r="AQ320" s="408">
        <v>0</v>
      </c>
      <c r="AR320" s="408">
        <v>0</v>
      </c>
      <c r="AS320" s="408"/>
      <c r="AT320" s="408"/>
      <c r="AU320" s="408">
        <v>0</v>
      </c>
      <c r="AV320" s="408">
        <v>0</v>
      </c>
      <c r="AW320" s="408">
        <v>0</v>
      </c>
      <c r="AX320" s="408"/>
      <c r="AY320" s="408"/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/>
      <c r="BG320" s="408">
        <v>0</v>
      </c>
      <c r="BH320" s="408">
        <v>0</v>
      </c>
      <c r="BI320" s="408">
        <v>601.24</v>
      </c>
      <c r="BJ320" s="408">
        <v>2480.5</v>
      </c>
      <c r="BK320" s="408">
        <v>87805.41</v>
      </c>
      <c r="BL320" s="408">
        <v>26</v>
      </c>
      <c r="BM320" s="408"/>
      <c r="BN320" s="408"/>
      <c r="BO320" s="408"/>
      <c r="BP320" s="408"/>
      <c r="BQ320" s="408"/>
      <c r="BR320" s="408"/>
      <c r="BS320" s="408"/>
      <c r="BT320" s="408"/>
      <c r="BU320" s="408"/>
      <c r="BV320" s="408">
        <v>0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144287.20000000001</v>
      </c>
      <c r="CJ320" s="408">
        <v>-106381.63</v>
      </c>
      <c r="CK320" s="408"/>
      <c r="CL320" s="408"/>
      <c r="CM320" s="408"/>
      <c r="CN320" s="408"/>
      <c r="CO320" s="408">
        <v>-106381.59999999999</v>
      </c>
      <c r="CP320" s="408">
        <v>0</v>
      </c>
      <c r="CQ320" s="408"/>
      <c r="CR320" s="408">
        <v>1753.1449357177262</v>
      </c>
      <c r="CS320" s="408">
        <v>497.3357615406012</v>
      </c>
      <c r="CT320" s="408">
        <v>1671.8161653833449</v>
      </c>
      <c r="CU320" s="408">
        <v>0</v>
      </c>
      <c r="CV320" s="408">
        <v>0</v>
      </c>
      <c r="CW320" s="408"/>
      <c r="CX320" s="408"/>
      <c r="CY320" s="408"/>
      <c r="CZ320" s="408">
        <v>-416.00699120621721</v>
      </c>
      <c r="DA320" s="408">
        <v>0</v>
      </c>
      <c r="DB320" s="408">
        <v>0</v>
      </c>
      <c r="DC320" s="408"/>
      <c r="DD320" s="408"/>
      <c r="DE320" s="408">
        <v>0</v>
      </c>
      <c r="DF320" s="408">
        <v>0</v>
      </c>
      <c r="DG320" s="408">
        <v>0</v>
      </c>
      <c r="DH320" s="408">
        <v>0</v>
      </c>
      <c r="DI320" s="408">
        <v>0</v>
      </c>
      <c r="DJ320" s="408"/>
      <c r="DK320" s="408">
        <v>0</v>
      </c>
      <c r="DL320" s="408">
        <v>0</v>
      </c>
      <c r="DM320" s="408"/>
      <c r="DN320" s="408">
        <v>0</v>
      </c>
      <c r="DO320" s="408">
        <v>0</v>
      </c>
      <c r="DP320" s="408">
        <v>0</v>
      </c>
      <c r="DQ320" s="408">
        <v>0</v>
      </c>
      <c r="DR320" s="408">
        <v>0</v>
      </c>
      <c r="DS320" s="408"/>
      <c r="DT320" s="408"/>
      <c r="DU320" s="408">
        <v>204206.02247039098</v>
      </c>
      <c r="DV320" s="408"/>
      <c r="DW320" s="408">
        <v>0</v>
      </c>
      <c r="DX320" s="408">
        <v>0</v>
      </c>
      <c r="DY320" s="408">
        <v>-106381.59999999998</v>
      </c>
      <c r="DZ320" s="408"/>
      <c r="EA320" s="408">
        <v>0</v>
      </c>
      <c r="EB320" s="408"/>
      <c r="EC320" s="408">
        <v>-108116.26281902166</v>
      </c>
      <c r="ED320" s="408"/>
      <c r="EE320" s="408">
        <v>0</v>
      </c>
      <c r="EF320" s="408">
        <v>0</v>
      </c>
      <c r="EG320" s="408"/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/>
      <c r="EN320" s="408"/>
      <c r="EO320" s="408">
        <v>0</v>
      </c>
      <c r="EP320" s="408">
        <v>0</v>
      </c>
      <c r="EQ320" s="408"/>
      <c r="ER320" s="408">
        <v>0</v>
      </c>
      <c r="ES320" s="408"/>
      <c r="ET320" s="408">
        <v>0</v>
      </c>
      <c r="EU320" s="408"/>
      <c r="EV320" s="408">
        <v>239</v>
      </c>
      <c r="EW320" s="408"/>
      <c r="EX320" s="408"/>
      <c r="EY320" s="408"/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322</v>
      </c>
      <c r="B321" s="408" t="s">
        <v>2235</v>
      </c>
      <c r="C321" s="408" t="s">
        <v>2241</v>
      </c>
      <c r="D321" s="408" t="s">
        <v>596</v>
      </c>
      <c r="E321" s="408" t="s">
        <v>968</v>
      </c>
      <c r="F321" s="408" t="s">
        <v>1320</v>
      </c>
      <c r="G321" s="408" t="s">
        <v>1320</v>
      </c>
      <c r="H321" s="408" t="s">
        <v>1320</v>
      </c>
      <c r="I321" s="408" t="s">
        <v>1320</v>
      </c>
      <c r="J321" s="408" t="s">
        <v>2234</v>
      </c>
      <c r="K321" s="827">
        <v>44531</v>
      </c>
      <c r="L321" s="408">
        <v>0</v>
      </c>
      <c r="M321" s="408">
        <v>0</v>
      </c>
      <c r="N321" s="408">
        <v>0</v>
      </c>
      <c r="O321" s="408">
        <v>0</v>
      </c>
      <c r="P321" s="408">
        <v>0</v>
      </c>
      <c r="Q321" s="408">
        <v>0</v>
      </c>
      <c r="R321" s="408"/>
      <c r="S321" s="408"/>
      <c r="T321" s="408"/>
      <c r="U321" s="408"/>
      <c r="V321" s="408"/>
      <c r="W321" s="408"/>
      <c r="X321" s="408"/>
      <c r="Y321" s="408"/>
      <c r="Z321" s="408"/>
      <c r="AA321" s="408">
        <v>0</v>
      </c>
      <c r="AB321" s="408"/>
      <c r="AC321" s="408"/>
      <c r="AD321" s="408"/>
      <c r="AE321" s="408"/>
      <c r="AF321" s="408"/>
      <c r="AG321" s="408"/>
      <c r="AH321" s="408"/>
      <c r="AI321" s="408"/>
      <c r="AJ321" s="408"/>
      <c r="AK321" s="408"/>
      <c r="AL321" s="408"/>
      <c r="AM321" s="408"/>
      <c r="AN321" s="408"/>
      <c r="AO321" s="408"/>
      <c r="AP321" s="408"/>
      <c r="AQ321" s="408"/>
      <c r="AR321" s="408"/>
      <c r="AS321" s="408"/>
      <c r="AT321" s="408"/>
      <c r="AU321" s="408"/>
      <c r="AV321" s="408"/>
      <c r="AW321" s="408"/>
      <c r="AX321" s="408"/>
      <c r="AY321" s="408"/>
      <c r="AZ321" s="408">
        <v>0</v>
      </c>
      <c r="BA321" s="408"/>
      <c r="BB321" s="408"/>
      <c r="BC321" s="408"/>
      <c r="BD321" s="408"/>
      <c r="BE321" s="408"/>
      <c r="BF321" s="408"/>
      <c r="BG321" s="408"/>
      <c r="BH321" s="408"/>
      <c r="BI321" s="408">
        <v>-170.61</v>
      </c>
      <c r="BJ321" s="408">
        <v>-806.68</v>
      </c>
      <c r="BK321" s="408">
        <v>-5642.69</v>
      </c>
      <c r="BL321" s="408">
        <v>0</v>
      </c>
      <c r="BM321" s="408"/>
      <c r="BN321" s="408"/>
      <c r="BO321" s="408"/>
      <c r="BP321" s="408"/>
      <c r="BQ321" s="408"/>
      <c r="BR321" s="408"/>
      <c r="BS321" s="408"/>
      <c r="BT321" s="408"/>
      <c r="BU321" s="408"/>
      <c r="BV321" s="408"/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/>
      <c r="CJ321" s="408">
        <v>-0.03</v>
      </c>
      <c r="CK321" s="408"/>
      <c r="CL321" s="408"/>
      <c r="CM321" s="408"/>
      <c r="CN321" s="408"/>
      <c r="CO321" s="408">
        <v>0</v>
      </c>
      <c r="CP321" s="408">
        <v>0</v>
      </c>
      <c r="CQ321" s="408"/>
      <c r="CR321" s="408"/>
      <c r="CS321" s="408"/>
      <c r="CT321" s="408"/>
      <c r="CU321" s="408"/>
      <c r="CV321" s="408"/>
      <c r="CW321" s="408"/>
      <c r="CX321" s="408"/>
      <c r="CY321" s="408"/>
      <c r="CZ321" s="408"/>
      <c r="DA321" s="408"/>
      <c r="DB321" s="408"/>
      <c r="DC321" s="408"/>
      <c r="DD321" s="408"/>
      <c r="DE321" s="408"/>
      <c r="DF321" s="408"/>
      <c r="DG321" s="408"/>
      <c r="DH321" s="408"/>
      <c r="DI321" s="408"/>
      <c r="DJ321" s="408"/>
      <c r="DK321" s="408">
        <v>0</v>
      </c>
      <c r="DL321" s="408"/>
      <c r="DM321" s="408"/>
      <c r="DN321" s="408"/>
      <c r="DO321" s="408"/>
      <c r="DP321" s="408"/>
      <c r="DQ321" s="408"/>
      <c r="DR321" s="408"/>
      <c r="DS321" s="408"/>
      <c r="DT321" s="408"/>
      <c r="DU321" s="408"/>
      <c r="DV321" s="408"/>
      <c r="DW321" s="408"/>
      <c r="DX321" s="408"/>
      <c r="DY321" s="408"/>
      <c r="DZ321" s="408"/>
      <c r="EA321" s="408"/>
      <c r="EB321" s="408"/>
      <c r="EC321" s="408"/>
      <c r="ED321" s="408"/>
      <c r="EE321" s="408"/>
      <c r="EF321" s="408"/>
      <c r="EG321" s="408"/>
      <c r="EH321" s="408"/>
      <c r="EI321" s="408"/>
      <c r="EJ321" s="408"/>
      <c r="EK321" s="408"/>
      <c r="EL321" s="408"/>
      <c r="EM321" s="408"/>
      <c r="EN321" s="408"/>
      <c r="EO321" s="408"/>
      <c r="EP321" s="408"/>
      <c r="EQ321" s="408"/>
      <c r="ER321" s="408"/>
      <c r="ES321" s="408"/>
      <c r="ET321" s="408"/>
      <c r="EU321" s="408"/>
      <c r="EV321" s="408">
        <v>239</v>
      </c>
      <c r="EW321" s="408"/>
      <c r="EX321" s="408"/>
      <c r="EY321" s="408"/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323</v>
      </c>
      <c r="B322" s="408" t="s">
        <v>1034</v>
      </c>
      <c r="C322" s="408" t="s">
        <v>2233</v>
      </c>
      <c r="D322" s="408" t="s">
        <v>1956</v>
      </c>
      <c r="E322" s="408" t="s">
        <v>996</v>
      </c>
      <c r="F322" s="408" t="s">
        <v>1320</v>
      </c>
      <c r="G322" s="408" t="s">
        <v>1320</v>
      </c>
      <c r="H322" s="408" t="s">
        <v>1320</v>
      </c>
      <c r="I322" s="408" t="s">
        <v>1320</v>
      </c>
      <c r="J322" s="408" t="s">
        <v>2234</v>
      </c>
      <c r="K322" s="827">
        <v>44531</v>
      </c>
      <c r="L322" s="408">
        <v>0</v>
      </c>
      <c r="M322" s="408">
        <v>0</v>
      </c>
      <c r="N322" s="408">
        <v>404.34</v>
      </c>
      <c r="O322" s="408">
        <v>404.34</v>
      </c>
      <c r="P322" s="408">
        <v>404.34</v>
      </c>
      <c r="Q322" s="408">
        <v>404.34</v>
      </c>
      <c r="R322" s="408"/>
      <c r="S322" s="408">
        <v>516.83000000000004</v>
      </c>
      <c r="T322" s="408">
        <v>173.82</v>
      </c>
      <c r="U322" s="408"/>
      <c r="V322" s="408">
        <v>279257.42099999997</v>
      </c>
      <c r="W322" s="408">
        <v>279257.42099999997</v>
      </c>
      <c r="X322" s="408">
        <v>210843.09299999999</v>
      </c>
      <c r="Y322" s="408">
        <v>0</v>
      </c>
      <c r="Z322" s="408">
        <v>24725.1709411993</v>
      </c>
      <c r="AA322" s="408">
        <v>0</v>
      </c>
      <c r="AB322" s="408">
        <v>0</v>
      </c>
      <c r="AC322" s="408">
        <v>1099.1756766348644</v>
      </c>
      <c r="AD322" s="408">
        <v>13920.056102832164</v>
      </c>
      <c r="AE322" s="408">
        <v>147024.41061770308</v>
      </c>
      <c r="AF322" s="408">
        <v>65067.256284825438</v>
      </c>
      <c r="AG322" s="408">
        <v>3273.4822126282611</v>
      </c>
      <c r="AH322" s="408">
        <v>0</v>
      </c>
      <c r="AI322" s="408">
        <v>0</v>
      </c>
      <c r="AJ322" s="408">
        <v>0</v>
      </c>
      <c r="AK322" s="408">
        <v>0</v>
      </c>
      <c r="AL322" s="408">
        <v>3821.618158541763</v>
      </c>
      <c r="AM322" s="408"/>
      <c r="AN322" s="408">
        <v>627.35048211072353</v>
      </c>
      <c r="AO322" s="408">
        <v>2344.5670180556235</v>
      </c>
      <c r="AP322" s="408">
        <v>7678.139971439542</v>
      </c>
      <c r="AQ322" s="408">
        <v>0</v>
      </c>
      <c r="AR322" s="408">
        <v>0</v>
      </c>
      <c r="AS322" s="408">
        <v>0</v>
      </c>
      <c r="AT322" s="408">
        <v>0</v>
      </c>
      <c r="AU322" s="408">
        <v>0</v>
      </c>
      <c r="AV322" s="408">
        <v>0</v>
      </c>
      <c r="AW322" s="408">
        <v>0</v>
      </c>
      <c r="AX322" s="408">
        <v>0</v>
      </c>
      <c r="AY322" s="408">
        <v>0</v>
      </c>
      <c r="AZ322" s="408">
        <v>0</v>
      </c>
      <c r="BA322" s="408"/>
      <c r="BB322" s="408">
        <v>0</v>
      </c>
      <c r="BC322" s="408">
        <v>0</v>
      </c>
      <c r="BD322" s="408">
        <v>0</v>
      </c>
      <c r="BE322" s="408">
        <v>224.33293357884855</v>
      </c>
      <c r="BF322" s="408">
        <v>1943.1320223690734</v>
      </c>
      <c r="BG322" s="408">
        <v>7511.9592051729524</v>
      </c>
      <c r="BH322" s="408">
        <v>0</v>
      </c>
      <c r="BI322" s="408">
        <v>367.37</v>
      </c>
      <c r="BJ322" s="408">
        <v>1527.12</v>
      </c>
      <c r="BK322" s="408">
        <v>115774.35</v>
      </c>
      <c r="BL322" s="408">
        <v>510</v>
      </c>
      <c r="BM322" s="408"/>
      <c r="BN322" s="408"/>
      <c r="BO322" s="408"/>
      <c r="BP322" s="408"/>
      <c r="BQ322" s="408"/>
      <c r="BR322" s="408"/>
      <c r="BS322" s="408"/>
      <c r="BT322" s="408"/>
      <c r="BU322" s="408"/>
      <c r="BV322" s="408">
        <v>74746.680445946316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210843.09299999999</v>
      </c>
      <c r="CJ322" s="408">
        <v>-68414.358000000007</v>
      </c>
      <c r="CK322" s="408"/>
      <c r="CL322" s="408"/>
      <c r="CM322" s="408"/>
      <c r="CN322" s="408"/>
      <c r="CO322" s="408">
        <v>-76982.292600000015</v>
      </c>
      <c r="CP322" s="408">
        <v>8567.9645999999993</v>
      </c>
      <c r="CQ322" s="408"/>
      <c r="CR322" s="408">
        <v>9423.4991205240367</v>
      </c>
      <c r="CS322" s="408">
        <v>227.6426451401785</v>
      </c>
      <c r="CT322" s="408">
        <v>745.49888290437866</v>
      </c>
      <c r="CU322" s="408">
        <v>0</v>
      </c>
      <c r="CV322" s="408">
        <v>0</v>
      </c>
      <c r="CW322" s="408">
        <v>0</v>
      </c>
      <c r="CX322" s="408">
        <v>0</v>
      </c>
      <c r="CY322" s="408">
        <v>0</v>
      </c>
      <c r="CZ322" s="408">
        <v>-266.90605046448945</v>
      </c>
      <c r="DA322" s="408">
        <v>0</v>
      </c>
      <c r="DB322" s="408">
        <v>0</v>
      </c>
      <c r="DC322" s="408">
        <v>8352.1014708784714</v>
      </c>
      <c r="DD322" s="408">
        <v>249.42247066784762</v>
      </c>
      <c r="DE322" s="408">
        <v>28.795611364164102</v>
      </c>
      <c r="DF322" s="408">
        <v>0</v>
      </c>
      <c r="DG322" s="408">
        <v>964.24298655011262</v>
      </c>
      <c r="DH322" s="408">
        <v>0</v>
      </c>
      <c r="DI322" s="408">
        <v>-722.60561984299056</v>
      </c>
      <c r="DJ322" s="408"/>
      <c r="DK322" s="408">
        <v>0</v>
      </c>
      <c r="DL322" s="408">
        <v>0</v>
      </c>
      <c r="DM322" s="408">
        <v>-36.383553366752494</v>
      </c>
      <c r="DN322" s="408">
        <v>0</v>
      </c>
      <c r="DO322" s="408">
        <v>-98.978590299335792</v>
      </c>
      <c r="DP322" s="408">
        <v>-19.331133007545645</v>
      </c>
      <c r="DQ322" s="408">
        <v>0</v>
      </c>
      <c r="DR322" s="408">
        <v>0</v>
      </c>
      <c r="DS322" s="408"/>
      <c r="DT322" s="408"/>
      <c r="DU322" s="408"/>
      <c r="DV322" s="408">
        <v>147024.41061770308</v>
      </c>
      <c r="DW322" s="408">
        <v>0</v>
      </c>
      <c r="DX322" s="408">
        <v>0</v>
      </c>
      <c r="DY322" s="408">
        <v>-76982.292600000015</v>
      </c>
      <c r="DZ322" s="408">
        <v>8567.9646000000066</v>
      </c>
      <c r="EA322" s="408">
        <v>0</v>
      </c>
      <c r="EB322" s="408">
        <v>0</v>
      </c>
      <c r="EC322" s="408">
        <v>-77841.630853272916</v>
      </c>
      <c r="ED322" s="408">
        <v>0</v>
      </c>
      <c r="EE322" s="408">
        <v>0</v>
      </c>
      <c r="EF322" s="408">
        <v>0</v>
      </c>
      <c r="EG322" s="408">
        <v>0</v>
      </c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>
        <v>0</v>
      </c>
      <c r="EN322" s="408">
        <v>0</v>
      </c>
      <c r="EO322" s="408">
        <v>0</v>
      </c>
      <c r="EP322" s="408">
        <v>0</v>
      </c>
      <c r="EQ322" s="408">
        <v>0</v>
      </c>
      <c r="ER322" s="408">
        <v>0</v>
      </c>
      <c r="ES322" s="408">
        <v>0</v>
      </c>
      <c r="ET322" s="408">
        <v>0</v>
      </c>
      <c r="EU322" s="408">
        <v>0</v>
      </c>
      <c r="EV322" s="408">
        <v>239</v>
      </c>
      <c r="EW322" s="408">
        <v>0</v>
      </c>
      <c r="EX322" s="408">
        <v>0</v>
      </c>
      <c r="EY322" s="408">
        <v>0</v>
      </c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324</v>
      </c>
      <c r="B323" s="408" t="s">
        <v>2235</v>
      </c>
      <c r="C323" s="408" t="s">
        <v>2233</v>
      </c>
      <c r="D323" s="408" t="s">
        <v>1956</v>
      </c>
      <c r="E323" s="408" t="s">
        <v>996</v>
      </c>
      <c r="F323" s="408" t="s">
        <v>1320</v>
      </c>
      <c r="G323" s="408" t="s">
        <v>1320</v>
      </c>
      <c r="H323" s="408" t="s">
        <v>1320</v>
      </c>
      <c r="I323" s="408" t="s">
        <v>1320</v>
      </c>
      <c r="J323" s="408" t="s">
        <v>2234</v>
      </c>
      <c r="K323" s="827">
        <v>44531</v>
      </c>
      <c r="L323" s="408">
        <v>0</v>
      </c>
      <c r="M323" s="408">
        <v>0</v>
      </c>
      <c r="N323" s="408">
        <v>-2.4E-2</v>
      </c>
      <c r="O323" s="408">
        <v>-2.4E-2</v>
      </c>
      <c r="P323" s="408">
        <v>-2.4E-2</v>
      </c>
      <c r="Q323" s="408">
        <v>-2.4E-2</v>
      </c>
      <c r="R323" s="408"/>
      <c r="S323" s="408">
        <v>516.83000000000004</v>
      </c>
      <c r="T323" s="408">
        <v>173.82</v>
      </c>
      <c r="U323" s="408"/>
      <c r="V323" s="408">
        <v>-16.575600000000001</v>
      </c>
      <c r="W323" s="408">
        <v>-16.575600000000001</v>
      </c>
      <c r="X323" s="408">
        <v>-12.514799999999999</v>
      </c>
      <c r="Y323" s="408">
        <v>0</v>
      </c>
      <c r="Z323" s="408">
        <v>-1.4675869381925688</v>
      </c>
      <c r="AA323" s="408">
        <v>0</v>
      </c>
      <c r="AB323" s="408">
        <v>0</v>
      </c>
      <c r="AC323" s="408">
        <v>-6.5242657761380884E-2</v>
      </c>
      <c r="AD323" s="408">
        <v>-0.82623867652958394</v>
      </c>
      <c r="AE323" s="408">
        <v>-8.7267790840007766</v>
      </c>
      <c r="AF323" s="408">
        <v>-3.8621312529945357</v>
      </c>
      <c r="AG323" s="408">
        <v>-0.1943007694096015</v>
      </c>
      <c r="AH323" s="408">
        <v>0</v>
      </c>
      <c r="AI323" s="408">
        <v>0</v>
      </c>
      <c r="AJ323" s="408">
        <v>0</v>
      </c>
      <c r="AK323" s="408">
        <v>0</v>
      </c>
      <c r="AL323" s="408">
        <v>-0.22683591978286174</v>
      </c>
      <c r="AM323" s="408"/>
      <c r="AN323" s="408">
        <v>-3.723700739639256E-2</v>
      </c>
      <c r="AO323" s="408">
        <v>-0.13916409069925056</v>
      </c>
      <c r="AP323" s="408">
        <v>-0.45574358043861363</v>
      </c>
      <c r="AQ323" s="408">
        <v>0</v>
      </c>
      <c r="AR323" s="408">
        <v>0</v>
      </c>
      <c r="AS323" s="408">
        <v>0</v>
      </c>
      <c r="AT323" s="408">
        <v>0</v>
      </c>
      <c r="AU323" s="408">
        <v>0</v>
      </c>
      <c r="AV323" s="408">
        <v>0</v>
      </c>
      <c r="AW323" s="408">
        <v>0</v>
      </c>
      <c r="AX323" s="408">
        <v>0</v>
      </c>
      <c r="AY323" s="408">
        <v>0</v>
      </c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-1.3315502809250545E-2</v>
      </c>
      <c r="BF323" s="408">
        <v>-0.11533652009906951</v>
      </c>
      <c r="BG323" s="408">
        <v>-0.44587975694749682</v>
      </c>
      <c r="BH323" s="408">
        <v>0</v>
      </c>
      <c r="BI323" s="408">
        <v>-0.09</v>
      </c>
      <c r="BJ323" s="408">
        <v>-0.4</v>
      </c>
      <c r="BK323" s="408">
        <v>-6.92</v>
      </c>
      <c r="BL323" s="408">
        <v>0</v>
      </c>
      <c r="BM323" s="408"/>
      <c r="BN323" s="408"/>
      <c r="BO323" s="408"/>
      <c r="BP323" s="408"/>
      <c r="BQ323" s="408"/>
      <c r="BR323" s="408"/>
      <c r="BS323" s="408"/>
      <c r="BT323" s="408"/>
      <c r="BU323" s="408"/>
      <c r="BV323" s="408">
        <v>-4.4366630328503529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-10.429</v>
      </c>
      <c r="CJ323" s="408">
        <v>6.1166</v>
      </c>
      <c r="CK323" s="408"/>
      <c r="CL323" s="408"/>
      <c r="CM323" s="408"/>
      <c r="CN323" s="408"/>
      <c r="CO323" s="408">
        <v>4.5693600000000014</v>
      </c>
      <c r="CP323" s="408">
        <v>-0.5085599999999999</v>
      </c>
      <c r="CQ323" s="408"/>
      <c r="CR323" s="408">
        <v>-0.55934109633619311</v>
      </c>
      <c r="CS323" s="408">
        <v>-1.3511954007430077E-2</v>
      </c>
      <c r="CT323" s="408">
        <v>-4.4249822401209615E-2</v>
      </c>
      <c r="CU323" s="408">
        <v>0</v>
      </c>
      <c r="CV323" s="408">
        <v>0</v>
      </c>
      <c r="CW323" s="408">
        <v>0</v>
      </c>
      <c r="CX323" s="408">
        <v>0</v>
      </c>
      <c r="CY323" s="408">
        <v>0</v>
      </c>
      <c r="CZ323" s="408">
        <v>1.5842472204451119E-2</v>
      </c>
      <c r="DA323" s="408">
        <v>0</v>
      </c>
      <c r="DB323" s="408">
        <v>0</v>
      </c>
      <c r="DC323" s="408">
        <v>-0.49574723079854399</v>
      </c>
      <c r="DD323" s="408">
        <v>-1.4804717059970177E-2</v>
      </c>
      <c r="DE323" s="408">
        <v>-1.7091919492010169E-3</v>
      </c>
      <c r="DF323" s="408">
        <v>0</v>
      </c>
      <c r="DG323" s="408">
        <v>-5.7233594690613621E-2</v>
      </c>
      <c r="DH323" s="408">
        <v>0</v>
      </c>
      <c r="DI323" s="408">
        <v>4.2890970164296771E-2</v>
      </c>
      <c r="DJ323" s="408"/>
      <c r="DK323" s="408">
        <v>0</v>
      </c>
      <c r="DL323" s="408">
        <v>0</v>
      </c>
      <c r="DM323" s="408">
        <v>2.1595817401247885E-3</v>
      </c>
      <c r="DN323" s="408">
        <v>0</v>
      </c>
      <c r="DO323" s="408">
        <v>5.8749719720632698E-3</v>
      </c>
      <c r="DP323" s="408">
        <v>1.1474184898380008E-3</v>
      </c>
      <c r="DQ323" s="408">
        <v>0</v>
      </c>
      <c r="DR323" s="408">
        <v>0</v>
      </c>
      <c r="DS323" s="408"/>
      <c r="DT323" s="408"/>
      <c r="DU323" s="408"/>
      <c r="DV323" s="408">
        <v>-8.7267790840007766</v>
      </c>
      <c r="DW323" s="408">
        <v>0</v>
      </c>
      <c r="DX323" s="408">
        <v>0</v>
      </c>
      <c r="DY323" s="408">
        <v>4.5693600000000014</v>
      </c>
      <c r="DZ323" s="408">
        <v>-0.50855999999999923</v>
      </c>
      <c r="EA323" s="408">
        <v>0</v>
      </c>
      <c r="EB323" s="408">
        <v>0</v>
      </c>
      <c r="EC323" s="408">
        <v>4.6203668706498249</v>
      </c>
      <c r="ED323" s="408">
        <v>0</v>
      </c>
      <c r="EE323" s="408">
        <v>0</v>
      </c>
      <c r="EF323" s="408">
        <v>0</v>
      </c>
      <c r="EG323" s="408">
        <v>0</v>
      </c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>
        <v>0</v>
      </c>
      <c r="EN323" s="408">
        <v>0</v>
      </c>
      <c r="EO323" s="408">
        <v>0</v>
      </c>
      <c r="EP323" s="408">
        <v>0</v>
      </c>
      <c r="EQ323" s="408">
        <v>0</v>
      </c>
      <c r="ER323" s="408">
        <v>0</v>
      </c>
      <c r="ES323" s="408">
        <v>0</v>
      </c>
      <c r="ET323" s="408">
        <v>0</v>
      </c>
      <c r="EU323" s="408">
        <v>0</v>
      </c>
      <c r="EV323" s="408">
        <v>239</v>
      </c>
      <c r="EW323" s="408">
        <v>0</v>
      </c>
      <c r="EX323" s="408">
        <v>0</v>
      </c>
      <c r="EY323" s="408">
        <v>0</v>
      </c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325</v>
      </c>
      <c r="B324" s="408" t="s">
        <v>2236</v>
      </c>
      <c r="C324" s="408" t="s">
        <v>2233</v>
      </c>
      <c r="D324" s="408" t="s">
        <v>1956</v>
      </c>
      <c r="E324" s="408" t="s">
        <v>996</v>
      </c>
      <c r="F324" s="408" t="s">
        <v>1320</v>
      </c>
      <c r="G324" s="408" t="s">
        <v>1320</v>
      </c>
      <c r="H324" s="408" t="s">
        <v>1320</v>
      </c>
      <c r="I324" s="408" t="s">
        <v>1320</v>
      </c>
      <c r="J324" s="408" t="s">
        <v>2234</v>
      </c>
      <c r="K324" s="827">
        <v>44531</v>
      </c>
      <c r="L324" s="408">
        <v>0</v>
      </c>
      <c r="M324" s="408">
        <v>0</v>
      </c>
      <c r="N324" s="408">
        <v>15.571</v>
      </c>
      <c r="O324" s="408">
        <v>15.571</v>
      </c>
      <c r="P324" s="408">
        <v>15.571</v>
      </c>
      <c r="Q324" s="408">
        <v>15.571</v>
      </c>
      <c r="R324" s="408"/>
      <c r="S324" s="408">
        <v>516.83000000000004</v>
      </c>
      <c r="T324" s="408">
        <v>173.82</v>
      </c>
      <c r="U324" s="408"/>
      <c r="V324" s="408">
        <v>10754.111150000001</v>
      </c>
      <c r="W324" s="408">
        <v>10754.111150000001</v>
      </c>
      <c r="X324" s="408">
        <v>8119.497949999999</v>
      </c>
      <c r="Y324" s="408">
        <v>0</v>
      </c>
      <c r="Z324" s="408">
        <v>952.15817560818698</v>
      </c>
      <c r="AA324" s="408">
        <v>0</v>
      </c>
      <c r="AB324" s="408">
        <v>0</v>
      </c>
      <c r="AC324" s="408">
        <v>42.328892666769235</v>
      </c>
      <c r="AD324" s="408">
        <v>536.05676801008963</v>
      </c>
      <c r="AE324" s="408">
        <v>5661.8615465406701</v>
      </c>
      <c r="AF324" s="408">
        <v>2505.7185725157465</v>
      </c>
      <c r="AG324" s="408">
        <v>126.06072001987104</v>
      </c>
      <c r="AH324" s="408">
        <v>0</v>
      </c>
      <c r="AI324" s="408">
        <v>0</v>
      </c>
      <c r="AJ324" s="408">
        <v>0</v>
      </c>
      <c r="AK324" s="408">
        <v>0</v>
      </c>
      <c r="AL324" s="408">
        <v>147.16925445578917</v>
      </c>
      <c r="AM324" s="408"/>
      <c r="AN324" s="408">
        <v>24.159060090384521</v>
      </c>
      <c r="AO324" s="408">
        <v>90.28850234491793</v>
      </c>
      <c r="AP324" s="408">
        <v>295.68263712540215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8.6389872601183431</v>
      </c>
      <c r="BF324" s="408">
        <v>74.829373102608798</v>
      </c>
      <c r="BG324" s="408">
        <v>289.2830706428947</v>
      </c>
      <c r="BH324" s="408">
        <v>0</v>
      </c>
      <c r="BI324" s="408">
        <v>14.32</v>
      </c>
      <c r="BJ324" s="408">
        <v>59.36</v>
      </c>
      <c r="BK324" s="408">
        <v>13010.3</v>
      </c>
      <c r="BL324" s="408">
        <v>46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>
        <v>2878.4700035213682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8118.9764999999998</v>
      </c>
      <c r="CJ324" s="408">
        <v>-2635.1646500000015</v>
      </c>
      <c r="CK324" s="408"/>
      <c r="CL324" s="408"/>
      <c r="CM324" s="408"/>
      <c r="CN324" s="408"/>
      <c r="CO324" s="408">
        <v>-2964.5626900000007</v>
      </c>
      <c r="CP324" s="408">
        <v>329.94948999999997</v>
      </c>
      <c r="CQ324" s="408"/>
      <c r="CR324" s="408">
        <v>362.89584212711998</v>
      </c>
      <c r="CS324" s="408">
        <v>8.7664431604039237</v>
      </c>
      <c r="CT324" s="408">
        <v>28.708916025384838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-10.278463945646195</v>
      </c>
      <c r="DA324" s="408">
        <v>0</v>
      </c>
      <c r="DB324" s="408">
        <v>0</v>
      </c>
      <c r="DC324" s="408">
        <v>321.63667211517213</v>
      </c>
      <c r="DD324" s="408">
        <v>9.6051770558664913</v>
      </c>
      <c r="DE324" s="408">
        <v>1.1089094933753767</v>
      </c>
      <c r="DF324" s="408">
        <v>0</v>
      </c>
      <c r="DG324" s="408">
        <v>37.132679288647694</v>
      </c>
      <c r="DH324" s="408">
        <v>0</v>
      </c>
      <c r="DI324" s="408">
        <v>-27.827304017844426</v>
      </c>
      <c r="DJ324" s="408"/>
      <c r="DK324" s="408">
        <v>0</v>
      </c>
      <c r="DL324" s="408">
        <v>0</v>
      </c>
      <c r="DM324" s="408">
        <v>-1.401118636478472</v>
      </c>
      <c r="DN324" s="408">
        <v>0</v>
      </c>
      <c r="DO324" s="408">
        <v>-3.8116328573748888</v>
      </c>
      <c r="DP324" s="408">
        <v>-0.74443555438614695</v>
      </c>
      <c r="DQ324" s="408">
        <v>0</v>
      </c>
      <c r="DR324" s="408">
        <v>0</v>
      </c>
      <c r="DS324" s="408"/>
      <c r="DT324" s="408"/>
      <c r="DU324" s="408"/>
      <c r="DV324" s="408">
        <v>5661.8615465406701</v>
      </c>
      <c r="DW324" s="408">
        <v>0</v>
      </c>
      <c r="DX324" s="408">
        <v>0</v>
      </c>
      <c r="DY324" s="408">
        <v>-2964.5626900000007</v>
      </c>
      <c r="DZ324" s="408">
        <v>329.94948999999997</v>
      </c>
      <c r="EA324" s="408">
        <v>0</v>
      </c>
      <c r="EB324" s="408">
        <v>0</v>
      </c>
      <c r="EC324" s="408">
        <v>-2997.6555226203504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239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326</v>
      </c>
      <c r="B325" s="408" t="s">
        <v>1034</v>
      </c>
      <c r="C325" s="408" t="s">
        <v>2241</v>
      </c>
      <c r="D325" s="408" t="s">
        <v>596</v>
      </c>
      <c r="E325" s="408" t="s">
        <v>996</v>
      </c>
      <c r="F325" s="408" t="s">
        <v>1320</v>
      </c>
      <c r="G325" s="408" t="s">
        <v>1320</v>
      </c>
      <c r="H325" s="408" t="s">
        <v>1320</v>
      </c>
      <c r="I325" s="408" t="s">
        <v>971</v>
      </c>
      <c r="J325" s="408" t="s">
        <v>2234</v>
      </c>
      <c r="K325" s="827">
        <v>44531</v>
      </c>
      <c r="L325" s="408">
        <v>0</v>
      </c>
      <c r="M325" s="408">
        <v>0</v>
      </c>
      <c r="N325" s="408">
        <v>19.033999999999999</v>
      </c>
      <c r="O325" s="408">
        <v>19.033999999999999</v>
      </c>
      <c r="P325" s="408">
        <v>19.033999999999999</v>
      </c>
      <c r="Q325" s="408">
        <v>19.033999999999999</v>
      </c>
      <c r="R325" s="408"/>
      <c r="S325" s="408">
        <v>1684.16</v>
      </c>
      <c r="T325" s="408">
        <v>173.82</v>
      </c>
      <c r="U325" s="408"/>
      <c r="V325" s="408">
        <v>35364.791319999997</v>
      </c>
      <c r="W325" s="408">
        <v>35364.791319999997</v>
      </c>
      <c r="X325" s="408">
        <v>24277.105639999998</v>
      </c>
      <c r="Y325" s="408">
        <v>0</v>
      </c>
      <c r="Z325" s="408">
        <v>1012.6093045814556</v>
      </c>
      <c r="AA325" s="408">
        <v>0</v>
      </c>
      <c r="AB325" s="408">
        <v>0</v>
      </c>
      <c r="AC325" s="408">
        <v>342.6005769302036</v>
      </c>
      <c r="AD325" s="408">
        <v>5226.4685760127095</v>
      </c>
      <c r="AE325" s="408">
        <v>22046.938597904202</v>
      </c>
      <c r="AF325" s="408">
        <v>3062.9919278957495</v>
      </c>
      <c r="AG325" s="408">
        <v>154.09670187259812</v>
      </c>
      <c r="AH325" s="408">
        <v>0</v>
      </c>
      <c r="AI325" s="408">
        <v>0</v>
      </c>
      <c r="AJ325" s="408">
        <v>0</v>
      </c>
      <c r="AK325" s="408">
        <v>0</v>
      </c>
      <c r="AL325" s="408">
        <v>179.89978738112461</v>
      </c>
      <c r="AM325" s="408"/>
      <c r="AN325" s="408">
        <v>23.654135490529516</v>
      </c>
      <c r="AO325" s="408">
        <v>735.78103783580207</v>
      </c>
      <c r="AP325" s="408">
        <v>2365.9009039809662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3.5516230524702497</v>
      </c>
      <c r="BF325" s="408">
        <v>91.471471815237038</v>
      </c>
      <c r="BG325" s="408">
        <v>118.92880397309551</v>
      </c>
      <c r="BH325" s="408">
        <v>0</v>
      </c>
      <c r="BI325" s="408">
        <v>0</v>
      </c>
      <c r="BJ325" s="408">
        <v>0</v>
      </c>
      <c r="BK325" s="408">
        <v>0</v>
      </c>
      <c r="BL325" s="408">
        <v>0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3276.9438267365526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24272.003800000002</v>
      </c>
      <c r="CJ325" s="408">
        <v>-11092.817519999993</v>
      </c>
      <c r="CK325" s="408"/>
      <c r="CL325" s="408"/>
      <c r="CM325" s="408"/>
      <c r="CN325" s="408"/>
      <c r="CO325" s="408">
        <v>-11491.01614</v>
      </c>
      <c r="CP325" s="408">
        <v>403.33045999999996</v>
      </c>
      <c r="CQ325" s="408"/>
      <c r="CR325" s="408">
        <v>584.87731646198336</v>
      </c>
      <c r="CS325" s="408">
        <v>71.439690316819906</v>
      </c>
      <c r="CT325" s="408">
        <v>229.71403068204245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-100.21339534807521</v>
      </c>
      <c r="DA325" s="408">
        <v>0</v>
      </c>
      <c r="DB325" s="408">
        <v>0</v>
      </c>
      <c r="DC325" s="408">
        <v>393.16886629247892</v>
      </c>
      <c r="DD325" s="408">
        <v>11.741374354978021</v>
      </c>
      <c r="DE325" s="408">
        <v>0.45589007150835847</v>
      </c>
      <c r="DF325" s="408">
        <v>0</v>
      </c>
      <c r="DG325" s="408">
        <v>15.265826397310747</v>
      </c>
      <c r="DH325" s="408">
        <v>0</v>
      </c>
      <c r="DI325" s="408">
        <v>-29.594018821387635</v>
      </c>
      <c r="DJ325" s="408"/>
      <c r="DK325" s="408">
        <v>0</v>
      </c>
      <c r="DL325" s="408">
        <v>0</v>
      </c>
      <c r="DM325" s="408">
        <v>-1.7127282850639745</v>
      </c>
      <c r="DN325" s="408">
        <v>0</v>
      </c>
      <c r="DO325" s="408">
        <v>-4.6593423548438579</v>
      </c>
      <c r="DP325" s="408">
        <v>-0.72887684378201811</v>
      </c>
      <c r="DQ325" s="408">
        <v>0</v>
      </c>
      <c r="DR325" s="408">
        <v>0</v>
      </c>
      <c r="DS325" s="408"/>
      <c r="DT325" s="408"/>
      <c r="DU325" s="408"/>
      <c r="DV325" s="408">
        <v>22046.938597904202</v>
      </c>
      <c r="DW325" s="408">
        <v>0</v>
      </c>
      <c r="DX325" s="408">
        <v>0</v>
      </c>
      <c r="DY325" s="408">
        <v>-11491.01614</v>
      </c>
      <c r="DZ325" s="408">
        <v>403.33046000000013</v>
      </c>
      <c r="EA325" s="408">
        <v>0</v>
      </c>
      <c r="EB325" s="408">
        <v>0</v>
      </c>
      <c r="EC325" s="408">
        <v>-11672.685158692886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239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327</v>
      </c>
      <c r="B326" s="408" t="s">
        <v>2236</v>
      </c>
      <c r="C326" s="408" t="s">
        <v>2241</v>
      </c>
      <c r="D326" s="408" t="s">
        <v>596</v>
      </c>
      <c r="E326" s="408" t="s">
        <v>996</v>
      </c>
      <c r="F326" s="408" t="s">
        <v>1320</v>
      </c>
      <c r="G326" s="408" t="s">
        <v>1320</v>
      </c>
      <c r="H326" s="408" t="s">
        <v>1320</v>
      </c>
      <c r="I326" s="408" t="s">
        <v>971</v>
      </c>
      <c r="J326" s="408" t="s">
        <v>2234</v>
      </c>
      <c r="K326" s="827">
        <v>44531</v>
      </c>
      <c r="L326" s="408">
        <v>0</v>
      </c>
      <c r="M326" s="408">
        <v>0</v>
      </c>
      <c r="N326" s="408">
        <v>4.5419999999999998</v>
      </c>
      <c r="O326" s="408">
        <v>4.5419999999999998</v>
      </c>
      <c r="P326" s="408">
        <v>4.5419999999999998</v>
      </c>
      <c r="Q326" s="408">
        <v>4.5419999999999998</v>
      </c>
      <c r="R326" s="408"/>
      <c r="S326" s="408">
        <v>1684.16</v>
      </c>
      <c r="T326" s="408">
        <v>173.82</v>
      </c>
      <c r="U326" s="408"/>
      <c r="V326" s="408">
        <v>8438.9451599999993</v>
      </c>
      <c r="W326" s="408">
        <v>8438.9451599999993</v>
      </c>
      <c r="X326" s="408">
        <v>5793.1393200000002</v>
      </c>
      <c r="Y326" s="408">
        <v>0</v>
      </c>
      <c r="Z326" s="408">
        <v>241.63452040606134</v>
      </c>
      <c r="AA326" s="408">
        <v>0</v>
      </c>
      <c r="AB326" s="408">
        <v>0</v>
      </c>
      <c r="AC326" s="408">
        <v>81.753274162918188</v>
      </c>
      <c r="AD326" s="408">
        <v>1247.1692903357007</v>
      </c>
      <c r="AE326" s="408">
        <v>5260.9643328612428</v>
      </c>
      <c r="AF326" s="408">
        <v>730.9083396292159</v>
      </c>
      <c r="AG326" s="408">
        <v>36.77142061076708</v>
      </c>
      <c r="AH326" s="408">
        <v>0</v>
      </c>
      <c r="AI326" s="408">
        <v>0</v>
      </c>
      <c r="AJ326" s="408">
        <v>0</v>
      </c>
      <c r="AK326" s="408">
        <v>0</v>
      </c>
      <c r="AL326" s="408">
        <v>42.928697818906585</v>
      </c>
      <c r="AM326" s="408"/>
      <c r="AN326" s="408">
        <v>5.644482683512928</v>
      </c>
      <c r="AO326" s="408">
        <v>175.57620436325593</v>
      </c>
      <c r="AP326" s="408">
        <v>564.56456372184243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0.84750824337080344</v>
      </c>
      <c r="BF326" s="408">
        <v>21.827436428748904</v>
      </c>
      <c r="BG326" s="408">
        <v>28.379459264778809</v>
      </c>
      <c r="BH326" s="408">
        <v>0</v>
      </c>
      <c r="BI326" s="408">
        <v>0</v>
      </c>
      <c r="BJ326" s="408">
        <v>0</v>
      </c>
      <c r="BK326" s="408">
        <v>0</v>
      </c>
      <c r="BL326" s="408">
        <v>0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>
        <v>781.96274356611445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5790.5884000000005</v>
      </c>
      <c r="CJ326" s="408">
        <v>-2648.3867599999994</v>
      </c>
      <c r="CK326" s="408"/>
      <c r="CL326" s="408"/>
      <c r="CM326" s="408"/>
      <c r="CN326" s="408"/>
      <c r="CO326" s="408">
        <v>-2742.0508199999999</v>
      </c>
      <c r="CP326" s="408">
        <v>96.244979999999984</v>
      </c>
      <c r="CQ326" s="408"/>
      <c r="CR326" s="408">
        <v>139.56671069508957</v>
      </c>
      <c r="CS326" s="408">
        <v>17.04734020274222</v>
      </c>
      <c r="CT326" s="408">
        <v>54.815652377736455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-23.913483328305119</v>
      </c>
      <c r="DA326" s="408">
        <v>0</v>
      </c>
      <c r="DB326" s="408">
        <v>0</v>
      </c>
      <c r="DC326" s="408">
        <v>93.820163428624483</v>
      </c>
      <c r="DD326" s="408">
        <v>2.8017927035993573</v>
      </c>
      <c r="DE326" s="408">
        <v>0.1087870497420913</v>
      </c>
      <c r="DF326" s="408">
        <v>0</v>
      </c>
      <c r="DG326" s="408">
        <v>3.6428172479029826</v>
      </c>
      <c r="DH326" s="408">
        <v>0</v>
      </c>
      <c r="DI326" s="408">
        <v>-7.0618910101262315</v>
      </c>
      <c r="DJ326" s="408"/>
      <c r="DK326" s="408">
        <v>0</v>
      </c>
      <c r="DL326" s="408">
        <v>0</v>
      </c>
      <c r="DM326" s="408">
        <v>-0.40870084431861642</v>
      </c>
      <c r="DN326" s="408">
        <v>0</v>
      </c>
      <c r="DO326" s="408">
        <v>-1.1118384457129764</v>
      </c>
      <c r="DP326" s="408">
        <v>-0.17392868679509998</v>
      </c>
      <c r="DQ326" s="408">
        <v>0</v>
      </c>
      <c r="DR326" s="408">
        <v>0</v>
      </c>
      <c r="DS326" s="408"/>
      <c r="DT326" s="408"/>
      <c r="DU326" s="408"/>
      <c r="DV326" s="408">
        <v>5260.9643328612428</v>
      </c>
      <c r="DW326" s="408">
        <v>0</v>
      </c>
      <c r="DX326" s="408">
        <v>0</v>
      </c>
      <c r="DY326" s="408">
        <v>-2742.0508199999995</v>
      </c>
      <c r="DZ326" s="408">
        <v>96.244980000000055</v>
      </c>
      <c r="EA326" s="408">
        <v>0</v>
      </c>
      <c r="EB326" s="408">
        <v>0</v>
      </c>
      <c r="EC326" s="408">
        <v>-2785.401701732852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239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328</v>
      </c>
      <c r="B327" s="408" t="s">
        <v>1034</v>
      </c>
      <c r="C327" s="408" t="s">
        <v>2241</v>
      </c>
      <c r="D327" s="408" t="s">
        <v>596</v>
      </c>
      <c r="E327" s="408" t="s">
        <v>996</v>
      </c>
      <c r="F327" s="408" t="s">
        <v>1320</v>
      </c>
      <c r="G327" s="408" t="s">
        <v>1320</v>
      </c>
      <c r="H327" s="408" t="s">
        <v>1320</v>
      </c>
      <c r="I327" s="408" t="s">
        <v>2242</v>
      </c>
      <c r="J327" s="408" t="s">
        <v>2234</v>
      </c>
      <c r="K327" s="827">
        <v>44531</v>
      </c>
      <c r="L327" s="408">
        <v>0</v>
      </c>
      <c r="M327" s="408">
        <v>0</v>
      </c>
      <c r="N327" s="408">
        <v>312.28100000000001</v>
      </c>
      <c r="O327" s="408">
        <v>312.28100000000001</v>
      </c>
      <c r="P327" s="408">
        <v>312.28100000000001</v>
      </c>
      <c r="Q327" s="408">
        <v>312.28100000000001</v>
      </c>
      <c r="R327" s="408"/>
      <c r="S327" s="408">
        <v>70.33</v>
      </c>
      <c r="T327" s="408">
        <v>173.82</v>
      </c>
      <c r="U327" s="408"/>
      <c r="V327" s="408">
        <v>76243.406149999995</v>
      </c>
      <c r="W327" s="408">
        <v>76243.406149999995</v>
      </c>
      <c r="X327" s="408">
        <v>82545.236730000004</v>
      </c>
      <c r="Y327" s="408">
        <v>0</v>
      </c>
      <c r="Z327" s="408">
        <v>16613.357478407142</v>
      </c>
      <c r="AA327" s="408">
        <v>0</v>
      </c>
      <c r="AB327" s="408">
        <v>0</v>
      </c>
      <c r="AC327" s="408">
        <v>0</v>
      </c>
      <c r="AD327" s="408">
        <v>0</v>
      </c>
      <c r="AE327" s="408">
        <v>0</v>
      </c>
      <c r="AF327" s="408">
        <v>50252.925409016112</v>
      </c>
      <c r="AG327" s="408">
        <v>2528.1849404999903</v>
      </c>
      <c r="AH327" s="408">
        <v>0</v>
      </c>
      <c r="AI327" s="408">
        <v>0</v>
      </c>
      <c r="AJ327" s="408">
        <v>0</v>
      </c>
      <c r="AK327" s="408">
        <v>0</v>
      </c>
      <c r="AL327" s="408">
        <v>2951.5228277379938</v>
      </c>
      <c r="AM327" s="408"/>
      <c r="AN327" s="408">
        <v>388.08117500882884</v>
      </c>
      <c r="AO327" s="408">
        <v>0</v>
      </c>
      <c r="AP327" s="408">
        <v>0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58.269643713799624</v>
      </c>
      <c r="BF327" s="408">
        <v>1500.7251597107302</v>
      </c>
      <c r="BG327" s="408">
        <v>1951.2034167028603</v>
      </c>
      <c r="BH327" s="408">
        <v>0</v>
      </c>
      <c r="BI327" s="408">
        <v>0</v>
      </c>
      <c r="BJ327" s="408">
        <v>0</v>
      </c>
      <c r="BK327" s="408">
        <v>0</v>
      </c>
      <c r="BL327" s="408">
        <v>0</v>
      </c>
      <c r="BM327" s="408"/>
      <c r="BN327" s="408"/>
      <c r="BO327" s="408"/>
      <c r="BP327" s="408"/>
      <c r="BQ327" s="408"/>
      <c r="BR327" s="408"/>
      <c r="BS327" s="408"/>
      <c r="BT327" s="408"/>
      <c r="BU327" s="408"/>
      <c r="BV327" s="408">
        <v>53763.123629143505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82544.972399999984</v>
      </c>
      <c r="CJ327" s="408">
        <v>6301.5362499999901</v>
      </c>
      <c r="CK327" s="408"/>
      <c r="CL327" s="408"/>
      <c r="CM327" s="408"/>
      <c r="CN327" s="408"/>
      <c r="CO327" s="408">
        <v>-315.40381000000161</v>
      </c>
      <c r="CP327" s="408">
        <v>6617.2343899999996</v>
      </c>
      <c r="CQ327" s="408"/>
      <c r="CR327" s="408">
        <v>6299.0557648162358</v>
      </c>
      <c r="CS327" s="408">
        <v>0</v>
      </c>
      <c r="CT327" s="408">
        <v>0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0</v>
      </c>
      <c r="DA327" s="408">
        <v>0</v>
      </c>
      <c r="DB327" s="408">
        <v>0</v>
      </c>
      <c r="DC327" s="408">
        <v>6450.5183742083391</v>
      </c>
      <c r="DD327" s="408">
        <v>192.63466034185626</v>
      </c>
      <c r="DE327" s="408">
        <v>7.4795527698172606</v>
      </c>
      <c r="DF327" s="408">
        <v>0</v>
      </c>
      <c r="DG327" s="408">
        <v>250.45852333606149</v>
      </c>
      <c r="DH327" s="408">
        <v>0</v>
      </c>
      <c r="DI327" s="408">
        <v>-485.53377070304487</v>
      </c>
      <c r="DJ327" s="408"/>
      <c r="DK327" s="408">
        <v>0</v>
      </c>
      <c r="DL327" s="408">
        <v>0</v>
      </c>
      <c r="DM327" s="408">
        <v>-28.099847724496158</v>
      </c>
      <c r="DN327" s="408">
        <v>0</v>
      </c>
      <c r="DO327" s="408">
        <v>-76.443421766995471</v>
      </c>
      <c r="DP327" s="408">
        <v>-11.958305645323719</v>
      </c>
      <c r="DQ327" s="408">
        <v>0</v>
      </c>
      <c r="DR327" s="408">
        <v>0</v>
      </c>
      <c r="DS327" s="408"/>
      <c r="DT327" s="408"/>
      <c r="DU327" s="408"/>
      <c r="DV327" s="408">
        <v>0</v>
      </c>
      <c r="DW327" s="408">
        <v>0</v>
      </c>
      <c r="DX327" s="408">
        <v>0</v>
      </c>
      <c r="DY327" s="408">
        <v>-315.40381000000343</v>
      </c>
      <c r="DZ327" s="408">
        <v>6617.2343899999978</v>
      </c>
      <c r="EA327" s="408">
        <v>0</v>
      </c>
      <c r="EB327" s="408">
        <v>0</v>
      </c>
      <c r="EC327" s="408">
        <v>0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0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239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329</v>
      </c>
      <c r="B328" s="408" t="s">
        <v>2236</v>
      </c>
      <c r="C328" s="408" t="s">
        <v>2241</v>
      </c>
      <c r="D328" s="408" t="s">
        <v>596</v>
      </c>
      <c r="E328" s="408" t="s">
        <v>996</v>
      </c>
      <c r="F328" s="408" t="s">
        <v>1320</v>
      </c>
      <c r="G328" s="408" t="s">
        <v>1320</v>
      </c>
      <c r="H328" s="408" t="s">
        <v>1320</v>
      </c>
      <c r="I328" s="408" t="s">
        <v>2242</v>
      </c>
      <c r="J328" s="408" t="s">
        <v>2234</v>
      </c>
      <c r="K328" s="827">
        <v>44531</v>
      </c>
      <c r="L328" s="408">
        <v>0</v>
      </c>
      <c r="M328" s="408">
        <v>0</v>
      </c>
      <c r="N328" s="408">
        <v>28.065999999999999</v>
      </c>
      <c r="O328" s="408">
        <v>28.065999999999999</v>
      </c>
      <c r="P328" s="408">
        <v>28.065999999999999</v>
      </c>
      <c r="Q328" s="408">
        <v>28.065999999999999</v>
      </c>
      <c r="R328" s="408"/>
      <c r="S328" s="408">
        <v>70.33</v>
      </c>
      <c r="T328" s="408">
        <v>173.82</v>
      </c>
      <c r="U328" s="408"/>
      <c r="V328" s="408">
        <v>6852.3138999999992</v>
      </c>
      <c r="W328" s="408">
        <v>6852.3138999999992</v>
      </c>
      <c r="X328" s="408">
        <v>7418.6857799999989</v>
      </c>
      <c r="Y328" s="408">
        <v>0</v>
      </c>
      <c r="Z328" s="408">
        <v>1493.1119440150853</v>
      </c>
      <c r="AA328" s="408">
        <v>0</v>
      </c>
      <c r="AB328" s="408">
        <v>0</v>
      </c>
      <c r="AC328" s="408">
        <v>0</v>
      </c>
      <c r="AD328" s="408">
        <v>0</v>
      </c>
      <c r="AE328" s="408">
        <v>0</v>
      </c>
      <c r="AF328" s="408">
        <v>4516.4406561060268</v>
      </c>
      <c r="AG328" s="408">
        <v>227.2185580937448</v>
      </c>
      <c r="AH328" s="408">
        <v>0</v>
      </c>
      <c r="AI328" s="408">
        <v>0</v>
      </c>
      <c r="AJ328" s="408">
        <v>0</v>
      </c>
      <c r="AK328" s="408">
        <v>0</v>
      </c>
      <c r="AL328" s="408">
        <v>265.26570519274156</v>
      </c>
      <c r="AM328" s="408"/>
      <c r="AN328" s="408">
        <v>34.878478862940078</v>
      </c>
      <c r="AO328" s="408">
        <v>0</v>
      </c>
      <c r="AP328" s="408">
        <v>0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5.2369366707276468</v>
      </c>
      <c r="BF328" s="408">
        <v>134.87644887918685</v>
      </c>
      <c r="BG328" s="408">
        <v>175.36281455862661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/>
      <c r="BR328" s="408"/>
      <c r="BS328" s="408"/>
      <c r="BT328" s="408"/>
      <c r="BU328" s="408"/>
      <c r="BV328" s="408">
        <v>4831.9168562145678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7419.7430999999997</v>
      </c>
      <c r="CJ328" s="408">
        <v>567.39919999999984</v>
      </c>
      <c r="CK328" s="408"/>
      <c r="CL328" s="408"/>
      <c r="CM328" s="408"/>
      <c r="CN328" s="408"/>
      <c r="CO328" s="408">
        <v>-28.346660000000142</v>
      </c>
      <c r="CP328" s="408">
        <v>594.71853999999996</v>
      </c>
      <c r="CQ328" s="408"/>
      <c r="CR328" s="408">
        <v>566.12249575008354</v>
      </c>
      <c r="CS328" s="408">
        <v>0</v>
      </c>
      <c r="CT328" s="408">
        <v>0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0</v>
      </c>
      <c r="DA328" s="408">
        <v>0</v>
      </c>
      <c r="DB328" s="408">
        <v>0</v>
      </c>
      <c r="DC328" s="408">
        <v>579.73507414966389</v>
      </c>
      <c r="DD328" s="408">
        <v>17.312882875213461</v>
      </c>
      <c r="DE328" s="408">
        <v>0.6722187005859821</v>
      </c>
      <c r="DF328" s="408">
        <v>0</v>
      </c>
      <c r="DG328" s="408">
        <v>22.509755367601286</v>
      </c>
      <c r="DH328" s="408">
        <v>0</v>
      </c>
      <c r="DI328" s="408">
        <v>-43.636951362880382</v>
      </c>
      <c r="DJ328" s="408"/>
      <c r="DK328" s="408">
        <v>0</v>
      </c>
      <c r="DL328" s="408">
        <v>0</v>
      </c>
      <c r="DM328" s="408">
        <v>-2.5254508799309292</v>
      </c>
      <c r="DN328" s="408">
        <v>0</v>
      </c>
      <c r="DO328" s="408">
        <v>-6.8702901403303258</v>
      </c>
      <c r="DP328" s="408">
        <v>-1.0747429598395613</v>
      </c>
      <c r="DQ328" s="408">
        <v>0</v>
      </c>
      <c r="DR328" s="408">
        <v>0</v>
      </c>
      <c r="DS328" s="408"/>
      <c r="DT328" s="408"/>
      <c r="DU328" s="408"/>
      <c r="DV328" s="408">
        <v>0</v>
      </c>
      <c r="DW328" s="408">
        <v>0</v>
      </c>
      <c r="DX328" s="408">
        <v>0</v>
      </c>
      <c r="DY328" s="408">
        <v>-28.346660000000156</v>
      </c>
      <c r="DZ328" s="408">
        <v>594.71853999999985</v>
      </c>
      <c r="EA328" s="408">
        <v>0</v>
      </c>
      <c r="EB328" s="408">
        <v>0</v>
      </c>
      <c r="EC328" s="408">
        <v>0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239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330</v>
      </c>
      <c r="B329" s="408" t="s">
        <v>1034</v>
      </c>
      <c r="C329" s="408" t="s">
        <v>2241</v>
      </c>
      <c r="D329" s="408" t="s">
        <v>596</v>
      </c>
      <c r="E329" s="408" t="s">
        <v>996</v>
      </c>
      <c r="F329" s="408" t="s">
        <v>1320</v>
      </c>
      <c r="G329" s="408" t="s">
        <v>1320</v>
      </c>
      <c r="H329" s="408" t="s">
        <v>1320</v>
      </c>
      <c r="I329" s="408" t="s">
        <v>1320</v>
      </c>
      <c r="J329" s="408" t="s">
        <v>2234</v>
      </c>
      <c r="K329" s="827">
        <v>44531</v>
      </c>
      <c r="L329" s="408">
        <v>3231</v>
      </c>
      <c r="M329" s="408">
        <v>3231</v>
      </c>
      <c r="N329" s="408">
        <v>0</v>
      </c>
      <c r="O329" s="408">
        <v>0</v>
      </c>
      <c r="P329" s="408">
        <v>0</v>
      </c>
      <c r="Q329" s="408">
        <v>0</v>
      </c>
      <c r="R329" s="408">
        <v>59.12</v>
      </c>
      <c r="S329" s="408"/>
      <c r="T329" s="408"/>
      <c r="U329" s="408">
        <v>191016.72</v>
      </c>
      <c r="V329" s="408"/>
      <c r="W329" s="408">
        <v>191016.72</v>
      </c>
      <c r="X329" s="408">
        <v>109950.93000000001</v>
      </c>
      <c r="Y329" s="408">
        <v>0</v>
      </c>
      <c r="Z329" s="408">
        <v>0</v>
      </c>
      <c r="AA329" s="408">
        <v>0</v>
      </c>
      <c r="AB329" s="408">
        <v>0</v>
      </c>
      <c r="AC329" s="408">
        <v>1848.3270339311266</v>
      </c>
      <c r="AD329" s="408">
        <v>16533.100184461557</v>
      </c>
      <c r="AE329" s="408">
        <v>155610.76853816822</v>
      </c>
      <c r="AF329" s="408"/>
      <c r="AG329" s="408"/>
      <c r="AH329" s="408"/>
      <c r="AI329" s="408">
        <v>0</v>
      </c>
      <c r="AJ329" s="408">
        <v>0</v>
      </c>
      <c r="AK329" s="408">
        <v>0</v>
      </c>
      <c r="AL329" s="408">
        <v>0</v>
      </c>
      <c r="AM329" s="408"/>
      <c r="AN329" s="408">
        <v>0</v>
      </c>
      <c r="AO329" s="408">
        <v>3903.281005794584</v>
      </c>
      <c r="AP329" s="408">
        <v>13121.051788648427</v>
      </c>
      <c r="AQ329" s="408">
        <v>0</v>
      </c>
      <c r="AR329" s="408">
        <v>0</v>
      </c>
      <c r="AS329" s="408"/>
      <c r="AT329" s="408"/>
      <c r="AU329" s="408">
        <v>0</v>
      </c>
      <c r="AV329" s="408">
        <v>0</v>
      </c>
      <c r="AW329" s="408">
        <v>0</v>
      </c>
      <c r="AX329" s="408"/>
      <c r="AY329" s="408"/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/>
      <c r="BG329" s="408">
        <v>0</v>
      </c>
      <c r="BH329" s="408">
        <v>0</v>
      </c>
      <c r="BI329" s="408">
        <v>368.14</v>
      </c>
      <c r="BJ329" s="408">
        <v>1518.82</v>
      </c>
      <c r="BK329" s="408">
        <v>83059.8</v>
      </c>
      <c r="BL329" s="408">
        <v>16</v>
      </c>
      <c r="BM329" s="408"/>
      <c r="BN329" s="408"/>
      <c r="BO329" s="408"/>
      <c r="BP329" s="408"/>
      <c r="BQ329" s="408"/>
      <c r="BR329" s="408"/>
      <c r="BS329" s="408"/>
      <c r="BT329" s="408"/>
      <c r="BU329" s="408"/>
      <c r="BV329" s="408">
        <v>0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109950.93000000001</v>
      </c>
      <c r="CJ329" s="408">
        <v>-81065.820000000022</v>
      </c>
      <c r="CK329" s="408"/>
      <c r="CL329" s="408"/>
      <c r="CM329" s="408"/>
      <c r="CN329" s="408"/>
      <c r="CO329" s="408">
        <v>-81065.789999999994</v>
      </c>
      <c r="CP329" s="408">
        <v>0</v>
      </c>
      <c r="CQ329" s="408"/>
      <c r="CR329" s="408">
        <v>1335.9460583264081</v>
      </c>
      <c r="CS329" s="408">
        <v>378.98392583435862</v>
      </c>
      <c r="CT329" s="408">
        <v>1273.9712335739569</v>
      </c>
      <c r="CU329" s="408">
        <v>0</v>
      </c>
      <c r="CV329" s="408">
        <v>0</v>
      </c>
      <c r="CW329" s="408"/>
      <c r="CX329" s="408"/>
      <c r="CY329" s="408"/>
      <c r="CZ329" s="408">
        <v>-317.00910108190874</v>
      </c>
      <c r="DA329" s="408">
        <v>0</v>
      </c>
      <c r="DB329" s="408">
        <v>0</v>
      </c>
      <c r="DC329" s="408"/>
      <c r="DD329" s="408"/>
      <c r="DE329" s="408">
        <v>0</v>
      </c>
      <c r="DF329" s="408">
        <v>0</v>
      </c>
      <c r="DG329" s="408">
        <v>0</v>
      </c>
      <c r="DH329" s="408">
        <v>0</v>
      </c>
      <c r="DI329" s="408">
        <v>0</v>
      </c>
      <c r="DJ329" s="408"/>
      <c r="DK329" s="408">
        <v>0</v>
      </c>
      <c r="DL329" s="408">
        <v>0</v>
      </c>
      <c r="DM329" s="408"/>
      <c r="DN329" s="408">
        <v>0</v>
      </c>
      <c r="DO329" s="408">
        <v>0</v>
      </c>
      <c r="DP329" s="408">
        <v>0</v>
      </c>
      <c r="DQ329" s="408">
        <v>0</v>
      </c>
      <c r="DR329" s="408">
        <v>0</v>
      </c>
      <c r="DS329" s="408"/>
      <c r="DT329" s="408"/>
      <c r="DU329" s="408">
        <v>155610.76853816822</v>
      </c>
      <c r="DV329" s="408"/>
      <c r="DW329" s="408">
        <v>0</v>
      </c>
      <c r="DX329" s="408">
        <v>0</v>
      </c>
      <c r="DY329" s="408">
        <v>-81065.789999999994</v>
      </c>
      <c r="DZ329" s="408"/>
      <c r="EA329" s="408">
        <v>0</v>
      </c>
      <c r="EB329" s="408"/>
      <c r="EC329" s="408">
        <v>-82387.652162325234</v>
      </c>
      <c r="ED329" s="408"/>
      <c r="EE329" s="408">
        <v>0</v>
      </c>
      <c r="EF329" s="408">
        <v>0</v>
      </c>
      <c r="EG329" s="408"/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/>
      <c r="EN329" s="408"/>
      <c r="EO329" s="408">
        <v>0</v>
      </c>
      <c r="EP329" s="408">
        <v>0</v>
      </c>
      <c r="EQ329" s="408"/>
      <c r="ER329" s="408">
        <v>0</v>
      </c>
      <c r="ES329" s="408"/>
      <c r="ET329" s="408">
        <v>0</v>
      </c>
      <c r="EU329" s="408"/>
      <c r="EV329" s="408">
        <v>239</v>
      </c>
      <c r="EW329" s="408"/>
      <c r="EX329" s="408"/>
      <c r="EY329" s="408"/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331</v>
      </c>
      <c r="B330" s="408" t="s">
        <v>2236</v>
      </c>
      <c r="C330" s="408" t="s">
        <v>2241</v>
      </c>
      <c r="D330" s="408" t="s">
        <v>596</v>
      </c>
      <c r="E330" s="408" t="s">
        <v>996</v>
      </c>
      <c r="F330" s="408" t="s">
        <v>1320</v>
      </c>
      <c r="G330" s="408" t="s">
        <v>1320</v>
      </c>
      <c r="H330" s="408" t="s">
        <v>1320</v>
      </c>
      <c r="I330" s="408" t="s">
        <v>1320</v>
      </c>
      <c r="J330" s="408" t="s">
        <v>2234</v>
      </c>
      <c r="K330" s="827">
        <v>44531</v>
      </c>
      <c r="L330" s="408">
        <v>100</v>
      </c>
      <c r="M330" s="408">
        <v>100</v>
      </c>
      <c r="N330" s="408">
        <v>0</v>
      </c>
      <c r="O330" s="408">
        <v>0</v>
      </c>
      <c r="P330" s="408">
        <v>0</v>
      </c>
      <c r="Q330" s="408">
        <v>0</v>
      </c>
      <c r="R330" s="408">
        <v>59.12</v>
      </c>
      <c r="S330" s="408"/>
      <c r="T330" s="408"/>
      <c r="U330" s="408">
        <v>5912</v>
      </c>
      <c r="V330" s="408"/>
      <c r="W330" s="408">
        <v>5912</v>
      </c>
      <c r="X330" s="408">
        <v>3403</v>
      </c>
      <c r="Y330" s="408">
        <v>0</v>
      </c>
      <c r="Z330" s="408">
        <v>0</v>
      </c>
      <c r="AA330" s="408">
        <v>0</v>
      </c>
      <c r="AB330" s="408">
        <v>0</v>
      </c>
      <c r="AC330" s="408">
        <v>57.206036333368203</v>
      </c>
      <c r="AD330" s="408">
        <v>511.70226507154302</v>
      </c>
      <c r="AE330" s="408">
        <v>4816.1797752450702</v>
      </c>
      <c r="AF330" s="408"/>
      <c r="AG330" s="408"/>
      <c r="AH330" s="408"/>
      <c r="AI330" s="408">
        <v>0</v>
      </c>
      <c r="AJ330" s="408">
        <v>0</v>
      </c>
      <c r="AK330" s="408">
        <v>0</v>
      </c>
      <c r="AL330" s="408">
        <v>0</v>
      </c>
      <c r="AM330" s="408"/>
      <c r="AN330" s="408">
        <v>0</v>
      </c>
      <c r="AO330" s="408">
        <v>120.807211569006</v>
      </c>
      <c r="AP330" s="408">
        <v>406.098786401994</v>
      </c>
      <c r="AQ330" s="408">
        <v>0</v>
      </c>
      <c r="AR330" s="408">
        <v>0</v>
      </c>
      <c r="AS330" s="408"/>
      <c r="AT330" s="408"/>
      <c r="AU330" s="408">
        <v>0</v>
      </c>
      <c r="AV330" s="408">
        <v>0</v>
      </c>
      <c r="AW330" s="408">
        <v>0</v>
      </c>
      <c r="AX330" s="408"/>
      <c r="AY330" s="408"/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/>
      <c r="BG330" s="408">
        <v>0</v>
      </c>
      <c r="BH330" s="408">
        <v>0</v>
      </c>
      <c r="BI330" s="408">
        <v>30.81</v>
      </c>
      <c r="BJ330" s="408">
        <v>127.13</v>
      </c>
      <c r="BK330" s="408">
        <v>7390.43</v>
      </c>
      <c r="BL330" s="408">
        <v>1</v>
      </c>
      <c r="BM330" s="408"/>
      <c r="BN330" s="408"/>
      <c r="BO330" s="408"/>
      <c r="BP330" s="408"/>
      <c r="BQ330" s="408"/>
      <c r="BR330" s="408"/>
      <c r="BS330" s="408"/>
      <c r="BT330" s="408"/>
      <c r="BU330" s="408"/>
      <c r="BV330" s="408">
        <v>0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3403</v>
      </c>
      <c r="CJ330" s="408">
        <v>-2509.0300000000007</v>
      </c>
      <c r="CK330" s="408"/>
      <c r="CL330" s="408"/>
      <c r="CM330" s="408"/>
      <c r="CN330" s="408"/>
      <c r="CO330" s="408">
        <v>-2508.9999999999995</v>
      </c>
      <c r="CP330" s="408">
        <v>0</v>
      </c>
      <c r="CQ330" s="408"/>
      <c r="CR330" s="408">
        <v>41.347757917871149</v>
      </c>
      <c r="CS330" s="408">
        <v>11.729617017467007</v>
      </c>
      <c r="CT330" s="408">
        <v>39.429626542059964</v>
      </c>
      <c r="CU330" s="408">
        <v>0</v>
      </c>
      <c r="CV330" s="408">
        <v>0</v>
      </c>
      <c r="CW330" s="408"/>
      <c r="CX330" s="408"/>
      <c r="CY330" s="408"/>
      <c r="CZ330" s="408">
        <v>-9.8114856416560201</v>
      </c>
      <c r="DA330" s="408">
        <v>0</v>
      </c>
      <c r="DB330" s="408">
        <v>0</v>
      </c>
      <c r="DC330" s="408"/>
      <c r="DD330" s="408"/>
      <c r="DE330" s="408">
        <v>0</v>
      </c>
      <c r="DF330" s="408">
        <v>0</v>
      </c>
      <c r="DG330" s="408">
        <v>0</v>
      </c>
      <c r="DH330" s="408">
        <v>0</v>
      </c>
      <c r="DI330" s="408">
        <v>0</v>
      </c>
      <c r="DJ330" s="408"/>
      <c r="DK330" s="408">
        <v>0</v>
      </c>
      <c r="DL330" s="408">
        <v>0</v>
      </c>
      <c r="DM330" s="408"/>
      <c r="DN330" s="408">
        <v>0</v>
      </c>
      <c r="DO330" s="408">
        <v>0</v>
      </c>
      <c r="DP330" s="408">
        <v>0</v>
      </c>
      <c r="DQ330" s="408">
        <v>0</v>
      </c>
      <c r="DR330" s="408">
        <v>0</v>
      </c>
      <c r="DS330" s="408"/>
      <c r="DT330" s="408"/>
      <c r="DU330" s="408">
        <v>4816.1797752450702</v>
      </c>
      <c r="DV330" s="408"/>
      <c r="DW330" s="408">
        <v>0</v>
      </c>
      <c r="DX330" s="408">
        <v>0</v>
      </c>
      <c r="DY330" s="408">
        <v>-2509</v>
      </c>
      <c r="DZ330" s="408"/>
      <c r="EA330" s="408">
        <v>0</v>
      </c>
      <c r="EB330" s="408"/>
      <c r="EC330" s="408">
        <v>-2549.9118589391901</v>
      </c>
      <c r="ED330" s="408"/>
      <c r="EE330" s="408">
        <v>0</v>
      </c>
      <c r="EF330" s="408">
        <v>0</v>
      </c>
      <c r="EG330" s="408"/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/>
      <c r="EN330" s="408"/>
      <c r="EO330" s="408">
        <v>0</v>
      </c>
      <c r="EP330" s="408">
        <v>0</v>
      </c>
      <c r="EQ330" s="408"/>
      <c r="ER330" s="408">
        <v>0</v>
      </c>
      <c r="ES330" s="408"/>
      <c r="ET330" s="408">
        <v>0</v>
      </c>
      <c r="EU330" s="408"/>
      <c r="EV330" s="408">
        <v>239</v>
      </c>
      <c r="EW330" s="408"/>
      <c r="EX330" s="408"/>
      <c r="EY330" s="408"/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332</v>
      </c>
      <c r="B331" s="408" t="s">
        <v>1034</v>
      </c>
      <c r="C331" s="408" t="s">
        <v>2233</v>
      </c>
      <c r="D331" s="408" t="s">
        <v>2243</v>
      </c>
      <c r="E331" s="408" t="s">
        <v>972</v>
      </c>
      <c r="F331" s="408" t="s">
        <v>1320</v>
      </c>
      <c r="G331" s="408" t="s">
        <v>1320</v>
      </c>
      <c r="H331" s="408" t="s">
        <v>1320</v>
      </c>
      <c r="I331" s="408" t="s">
        <v>1320</v>
      </c>
      <c r="J331" s="408" t="s">
        <v>2234</v>
      </c>
      <c r="K331" s="827">
        <v>44531</v>
      </c>
      <c r="L331" s="408">
        <v>0</v>
      </c>
      <c r="M331" s="408">
        <v>0</v>
      </c>
      <c r="N331" s="408">
        <v>2977.8919999999998</v>
      </c>
      <c r="O331" s="408">
        <v>2977.8919999999998</v>
      </c>
      <c r="P331" s="408">
        <v>2977.8919999999998</v>
      </c>
      <c r="Q331" s="408">
        <v>2977.8919999999998</v>
      </c>
      <c r="R331" s="408"/>
      <c r="S331" s="408">
        <v>516.83000000000004</v>
      </c>
      <c r="T331" s="408">
        <v>173.82</v>
      </c>
      <c r="U331" s="408"/>
      <c r="V331" s="408">
        <v>2056681.1098</v>
      </c>
      <c r="W331" s="408">
        <v>2056681.1098</v>
      </c>
      <c r="X331" s="408">
        <v>1552821.7833999998</v>
      </c>
      <c r="Y331" s="408">
        <v>0</v>
      </c>
      <c r="Z331" s="408">
        <v>182096.4751061727</v>
      </c>
      <c r="AA331" s="408">
        <v>0</v>
      </c>
      <c r="AB331" s="408">
        <v>0</v>
      </c>
      <c r="AC331" s="408">
        <v>8095.2328585980849</v>
      </c>
      <c r="AD331" s="408">
        <v>102518.73103866815</v>
      </c>
      <c r="AE331" s="408">
        <v>1082808.5675005515</v>
      </c>
      <c r="AF331" s="408">
        <v>479208.7400517668</v>
      </c>
      <c r="AG331" s="408">
        <v>24108.612784112374</v>
      </c>
      <c r="AH331" s="408">
        <v>0</v>
      </c>
      <c r="AI331" s="408">
        <v>0</v>
      </c>
      <c r="AJ331" s="408">
        <v>0</v>
      </c>
      <c r="AK331" s="408">
        <v>0</v>
      </c>
      <c r="AL331" s="408">
        <v>28145.53628475107</v>
      </c>
      <c r="AM331" s="408"/>
      <c r="AN331" s="408">
        <v>4620.3244345690928</v>
      </c>
      <c r="AO331" s="408">
        <v>17267.318015857192</v>
      </c>
      <c r="AP331" s="408">
        <v>56548.131759979326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1652.17205381853</v>
      </c>
      <c r="BF331" s="408">
        <v>14310.820854619094</v>
      </c>
      <c r="BG331" s="408">
        <v>55324.240048995627</v>
      </c>
      <c r="BH331" s="408">
        <v>0</v>
      </c>
      <c r="BI331" s="408">
        <v>2672.87</v>
      </c>
      <c r="BJ331" s="408">
        <v>11250.78</v>
      </c>
      <c r="BK331" s="408">
        <v>97859.4</v>
      </c>
      <c r="BL331" s="408">
        <v>10255</v>
      </c>
      <c r="BM331" s="408"/>
      <c r="BN331" s="408"/>
      <c r="BO331" s="408"/>
      <c r="BP331" s="408"/>
      <c r="BQ331" s="408"/>
      <c r="BR331" s="408">
        <v>186326.70243999996</v>
      </c>
      <c r="BS331" s="408"/>
      <c r="BT331" s="408"/>
      <c r="BU331" s="408"/>
      <c r="BV331" s="408">
        <v>550495.97300920007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1366494.1631999998</v>
      </c>
      <c r="CJ331" s="408">
        <v>-443379.28764</v>
      </c>
      <c r="CK331" s="408"/>
      <c r="CL331" s="408"/>
      <c r="CM331" s="408"/>
      <c r="CN331" s="408"/>
      <c r="CO331" s="408">
        <v>-566960.85788000014</v>
      </c>
      <c r="CP331" s="408">
        <v>63101.531479999991</v>
      </c>
      <c r="CQ331" s="408"/>
      <c r="CR331" s="408">
        <v>69402.390668782755</v>
      </c>
      <c r="CS331" s="408">
        <v>1676.5474892955826</v>
      </c>
      <c r="CT331" s="408">
        <v>5490.466338749291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-1965.7154682440596</v>
      </c>
      <c r="DA331" s="408">
        <v>0</v>
      </c>
      <c r="DB331" s="408">
        <v>0</v>
      </c>
      <c r="DC331" s="408">
        <v>61511.738025714119</v>
      </c>
      <c r="DD331" s="408">
        <v>1836.9520206311972</v>
      </c>
      <c r="DE331" s="408">
        <v>212.07454299958818</v>
      </c>
      <c r="DF331" s="408">
        <v>0</v>
      </c>
      <c r="DG331" s="408">
        <v>7101.4776566841974</v>
      </c>
      <c r="DH331" s="408">
        <v>0</v>
      </c>
      <c r="DI331" s="408">
        <v>-5321.8615385207522</v>
      </c>
      <c r="DJ331" s="408"/>
      <c r="DK331" s="408">
        <v>0</v>
      </c>
      <c r="DL331" s="408">
        <v>0</v>
      </c>
      <c r="DM331" s="408">
        <v>-267.95838280265525</v>
      </c>
      <c r="DN331" s="408">
        <v>0</v>
      </c>
      <c r="DO331" s="408">
        <v>-728.9596681596413</v>
      </c>
      <c r="DP331" s="408">
        <v>-142.37034756419416</v>
      </c>
      <c r="DQ331" s="408">
        <v>0</v>
      </c>
      <c r="DR331" s="408">
        <v>0</v>
      </c>
      <c r="DS331" s="408"/>
      <c r="DT331" s="408"/>
      <c r="DU331" s="408"/>
      <c r="DV331" s="408">
        <v>1082808.5675005515</v>
      </c>
      <c r="DW331" s="408">
        <v>0</v>
      </c>
      <c r="DX331" s="408">
        <v>0</v>
      </c>
      <c r="DY331" s="408">
        <v>-566960.85788000003</v>
      </c>
      <c r="DZ331" s="408">
        <v>63101.531479999947</v>
      </c>
      <c r="EA331" s="408">
        <v>0</v>
      </c>
      <c r="EB331" s="408">
        <v>0</v>
      </c>
      <c r="EC331" s="408">
        <v>-573289.73088221427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239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333</v>
      </c>
      <c r="B332" s="408" t="s">
        <v>2235</v>
      </c>
      <c r="C332" s="408" t="s">
        <v>2233</v>
      </c>
      <c r="D332" s="408" t="s">
        <v>2243</v>
      </c>
      <c r="E332" s="408" t="s">
        <v>972</v>
      </c>
      <c r="F332" s="408" t="s">
        <v>1320</v>
      </c>
      <c r="G332" s="408" t="s">
        <v>1320</v>
      </c>
      <c r="H332" s="408" t="s">
        <v>1320</v>
      </c>
      <c r="I332" s="408" t="s">
        <v>1320</v>
      </c>
      <c r="J332" s="408" t="s">
        <v>2234</v>
      </c>
      <c r="K332" s="827">
        <v>44531</v>
      </c>
      <c r="L332" s="408">
        <v>0</v>
      </c>
      <c r="M332" s="408">
        <v>0</v>
      </c>
      <c r="N332" s="408">
        <v>-2.347</v>
      </c>
      <c r="O332" s="408">
        <v>-2.347</v>
      </c>
      <c r="P332" s="408">
        <v>-2.347</v>
      </c>
      <c r="Q332" s="408">
        <v>-2.347</v>
      </c>
      <c r="R332" s="408"/>
      <c r="S332" s="408">
        <v>516.83000000000004</v>
      </c>
      <c r="T332" s="408">
        <v>173.82</v>
      </c>
      <c r="U332" s="408"/>
      <c r="V332" s="408">
        <v>-1620.9555499999999</v>
      </c>
      <c r="W332" s="408">
        <v>-1620.9555499999999</v>
      </c>
      <c r="X332" s="408">
        <v>-1223.8431499999999</v>
      </c>
      <c r="Y332" s="408">
        <v>0</v>
      </c>
      <c r="Z332" s="408">
        <v>-143.51777266408163</v>
      </c>
      <c r="AA332" s="408">
        <v>0</v>
      </c>
      <c r="AB332" s="408">
        <v>0</v>
      </c>
      <c r="AC332" s="408">
        <v>-6.3801882402483718</v>
      </c>
      <c r="AD332" s="408">
        <v>-80.799257242288888</v>
      </c>
      <c r="AE332" s="408">
        <v>-853.40627125624258</v>
      </c>
      <c r="AF332" s="408">
        <v>-377.68425211575732</v>
      </c>
      <c r="AG332" s="408">
        <v>-19.000996075180613</v>
      </c>
      <c r="AH332" s="408">
        <v>0</v>
      </c>
      <c r="AI332" s="408">
        <v>0</v>
      </c>
      <c r="AJ332" s="408">
        <v>0</v>
      </c>
      <c r="AK332" s="408">
        <v>0</v>
      </c>
      <c r="AL332" s="408">
        <v>-22.182662655432356</v>
      </c>
      <c r="AM332" s="408"/>
      <c r="AN332" s="408">
        <v>-3.6414690149722224</v>
      </c>
      <c r="AO332" s="408">
        <v>-13.609088369630877</v>
      </c>
      <c r="AP332" s="408">
        <v>-44.567924303726087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-1.3021452122212929</v>
      </c>
      <c r="BF332" s="408">
        <v>-11.278950528021506</v>
      </c>
      <c r="BG332" s="408">
        <v>-43.603324564823957</v>
      </c>
      <c r="BH332" s="408">
        <v>0</v>
      </c>
      <c r="BI332" s="408">
        <v>-10.19</v>
      </c>
      <c r="BJ332" s="408">
        <v>-47.39</v>
      </c>
      <c r="BK332" s="408">
        <v>-9.84</v>
      </c>
      <c r="BL332" s="408">
        <v>0</v>
      </c>
      <c r="BM332" s="408"/>
      <c r="BN332" s="408"/>
      <c r="BO332" s="408"/>
      <c r="BP332" s="408"/>
      <c r="BQ332" s="408"/>
      <c r="BR332" s="408">
        <v>-146.85178999999999</v>
      </c>
      <c r="BS332" s="408"/>
      <c r="BT332" s="408"/>
      <c r="BU332" s="408"/>
      <c r="BV332" s="408">
        <v>-433.86867242082405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-1078.3679999999999</v>
      </c>
      <c r="CJ332" s="408">
        <v>348.03818999999999</v>
      </c>
      <c r="CK332" s="408"/>
      <c r="CL332" s="408"/>
      <c r="CM332" s="408"/>
      <c r="CN332" s="408"/>
      <c r="CO332" s="408">
        <v>446.8453300000001</v>
      </c>
      <c r="CP332" s="408">
        <v>-49.732929999999996</v>
      </c>
      <c r="CQ332" s="408"/>
      <c r="CR332" s="408">
        <v>-54.698898045877058</v>
      </c>
      <c r="CS332" s="408">
        <v>-1.3213565023099356</v>
      </c>
      <c r="CT332" s="408">
        <v>-4.3272638823182916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1.5492617609936019</v>
      </c>
      <c r="DA332" s="408">
        <v>0</v>
      </c>
      <c r="DB332" s="408">
        <v>0</v>
      </c>
      <c r="DC332" s="408">
        <v>-48.479947945174274</v>
      </c>
      <c r="DD332" s="408">
        <v>-1.447777955822918</v>
      </c>
      <c r="DE332" s="408">
        <v>-0.16714472936561608</v>
      </c>
      <c r="DF332" s="408">
        <v>0</v>
      </c>
      <c r="DG332" s="408">
        <v>-5.5969686141195893</v>
      </c>
      <c r="DH332" s="408">
        <v>0</v>
      </c>
      <c r="DI332" s="408">
        <v>4.1943794573168702</v>
      </c>
      <c r="DJ332" s="408"/>
      <c r="DK332" s="408">
        <v>0</v>
      </c>
      <c r="DL332" s="408">
        <v>0</v>
      </c>
      <c r="DM332" s="408">
        <v>0.21118909766970262</v>
      </c>
      <c r="DN332" s="408">
        <v>0</v>
      </c>
      <c r="DO332" s="408">
        <v>0.57452330076802127</v>
      </c>
      <c r="DP332" s="408">
        <v>0.11220796648540787</v>
      </c>
      <c r="DQ332" s="408">
        <v>0</v>
      </c>
      <c r="DR332" s="408">
        <v>0</v>
      </c>
      <c r="DS332" s="408"/>
      <c r="DT332" s="408"/>
      <c r="DU332" s="408"/>
      <c r="DV332" s="408">
        <v>-853.40627125624258</v>
      </c>
      <c r="DW332" s="408">
        <v>0</v>
      </c>
      <c r="DX332" s="408">
        <v>0</v>
      </c>
      <c r="DY332" s="408">
        <v>446.84532999999999</v>
      </c>
      <c r="DZ332" s="408">
        <v>-49.73293000000001</v>
      </c>
      <c r="EA332" s="408">
        <v>0</v>
      </c>
      <c r="EB332" s="408">
        <v>0</v>
      </c>
      <c r="EC332" s="408">
        <v>451.83337689229739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239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334</v>
      </c>
      <c r="B333" s="408" t="s">
        <v>2236</v>
      </c>
      <c r="C333" s="408" t="s">
        <v>2233</v>
      </c>
      <c r="D333" s="408" t="s">
        <v>2243</v>
      </c>
      <c r="E333" s="408" t="s">
        <v>972</v>
      </c>
      <c r="F333" s="408" t="s">
        <v>1320</v>
      </c>
      <c r="G333" s="408" t="s">
        <v>1320</v>
      </c>
      <c r="H333" s="408" t="s">
        <v>1320</v>
      </c>
      <c r="I333" s="408" t="s">
        <v>1320</v>
      </c>
      <c r="J333" s="408" t="s">
        <v>2234</v>
      </c>
      <c r="K333" s="827">
        <v>44531</v>
      </c>
      <c r="L333" s="408">
        <v>0</v>
      </c>
      <c r="M333" s="408">
        <v>0</v>
      </c>
      <c r="N333" s="408">
        <v>44.627000000000002</v>
      </c>
      <c r="O333" s="408">
        <v>44.627000000000002</v>
      </c>
      <c r="P333" s="408">
        <v>44.627000000000002</v>
      </c>
      <c r="Q333" s="408">
        <v>44.627000000000002</v>
      </c>
      <c r="R333" s="408"/>
      <c r="S333" s="408">
        <v>516.83000000000004</v>
      </c>
      <c r="T333" s="408">
        <v>173.82</v>
      </c>
      <c r="U333" s="408"/>
      <c r="V333" s="408">
        <v>30821.637550000003</v>
      </c>
      <c r="W333" s="408">
        <v>30821.637550000003</v>
      </c>
      <c r="X333" s="408">
        <v>23270.74915</v>
      </c>
      <c r="Y333" s="408">
        <v>0</v>
      </c>
      <c r="Z333" s="408">
        <v>2728.9167621133238</v>
      </c>
      <c r="AA333" s="408">
        <v>0</v>
      </c>
      <c r="AB333" s="408">
        <v>0</v>
      </c>
      <c r="AC333" s="408">
        <v>121.31600366321437</v>
      </c>
      <c r="AD333" s="408">
        <v>1536.3563923952393</v>
      </c>
      <c r="AE333" s="408">
        <v>16227.082090904278</v>
      </c>
      <c r="AF333" s="408">
        <v>7181.4721428077983</v>
      </c>
      <c r="AG333" s="408">
        <v>361.29418485176194</v>
      </c>
      <c r="AH333" s="408">
        <v>0</v>
      </c>
      <c r="AI333" s="408">
        <v>0</v>
      </c>
      <c r="AJ333" s="408">
        <v>0</v>
      </c>
      <c r="AK333" s="408">
        <v>0</v>
      </c>
      <c r="AL333" s="408">
        <v>421.79194133957384</v>
      </c>
      <c r="AM333" s="408"/>
      <c r="AN333" s="408">
        <v>69.240663711617117</v>
      </c>
      <c r="AO333" s="408">
        <v>258.76982815147727</v>
      </c>
      <c r="AP333" s="408">
        <v>847.4361985097504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24.759622661184338</v>
      </c>
      <c r="BF333" s="408">
        <v>214.46345343588231</v>
      </c>
      <c r="BG333" s="408">
        <v>829.09482972066428</v>
      </c>
      <c r="BH333" s="408">
        <v>0</v>
      </c>
      <c r="BI333" s="408">
        <v>40.68</v>
      </c>
      <c r="BJ333" s="408">
        <v>173.06</v>
      </c>
      <c r="BK333" s="408">
        <v>1507.57</v>
      </c>
      <c r="BL333" s="408">
        <v>199</v>
      </c>
      <c r="BM333" s="408"/>
      <c r="BN333" s="408"/>
      <c r="BO333" s="408"/>
      <c r="BP333" s="408"/>
      <c r="BQ333" s="408"/>
      <c r="BR333" s="408">
        <v>2792.3113899999998</v>
      </c>
      <c r="BS333" s="408"/>
      <c r="BT333" s="408"/>
      <c r="BU333" s="408"/>
      <c r="BV333" s="408">
        <v>8249.7900486255294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20479.814400000003</v>
      </c>
      <c r="CJ333" s="408">
        <v>-6643.1673899999914</v>
      </c>
      <c r="CK333" s="408"/>
      <c r="CL333" s="408"/>
      <c r="CM333" s="408"/>
      <c r="CN333" s="408"/>
      <c r="CO333" s="408">
        <v>-8496.5345300000026</v>
      </c>
      <c r="CP333" s="408">
        <v>945.64612999999997</v>
      </c>
      <c r="CQ333" s="408"/>
      <c r="CR333" s="408">
        <v>1040.0714627581401</v>
      </c>
      <c r="CS333" s="408">
        <v>25.124915478732646</v>
      </c>
      <c r="CT333" s="408">
        <v>82.280701012449299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-29.458416961168268</v>
      </c>
      <c r="DA333" s="408">
        <v>0</v>
      </c>
      <c r="DB333" s="408">
        <v>0</v>
      </c>
      <c r="DC333" s="408">
        <v>921.82131953527642</v>
      </c>
      <c r="DD333" s="408">
        <v>27.528754509803719</v>
      </c>
      <c r="DE333" s="408">
        <v>3.1781712132080742</v>
      </c>
      <c r="DF333" s="408">
        <v>0</v>
      </c>
      <c r="DG333" s="408">
        <v>106.4234845940839</v>
      </c>
      <c r="DH333" s="408">
        <v>0</v>
      </c>
      <c r="DI333" s="408">
        <v>-79.753971896753228</v>
      </c>
      <c r="DJ333" s="408"/>
      <c r="DK333" s="408">
        <v>0</v>
      </c>
      <c r="DL333" s="408">
        <v>0</v>
      </c>
      <c r="DM333" s="408">
        <v>-4.0156522631895655</v>
      </c>
      <c r="DN333" s="408">
        <v>0</v>
      </c>
      <c r="DO333" s="408">
        <v>-10.924265591552853</v>
      </c>
      <c r="DP333" s="408">
        <v>-2.1335768727500124</v>
      </c>
      <c r="DQ333" s="408">
        <v>0</v>
      </c>
      <c r="DR333" s="408">
        <v>0</v>
      </c>
      <c r="DS333" s="408"/>
      <c r="DT333" s="408"/>
      <c r="DU333" s="408"/>
      <c r="DV333" s="408">
        <v>16227.082090904278</v>
      </c>
      <c r="DW333" s="408">
        <v>0</v>
      </c>
      <c r="DX333" s="408">
        <v>0</v>
      </c>
      <c r="DY333" s="408">
        <v>-8496.5345300000045</v>
      </c>
      <c r="DZ333" s="408">
        <v>945.64613000000008</v>
      </c>
      <c r="EA333" s="408">
        <v>0</v>
      </c>
      <c r="EB333" s="408">
        <v>0</v>
      </c>
      <c r="EC333" s="408">
        <v>-8591.3796806870705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239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335</v>
      </c>
      <c r="B334" s="408" t="s">
        <v>1034</v>
      </c>
      <c r="C334" s="408" t="s">
        <v>2241</v>
      </c>
      <c r="D334" s="408" t="s">
        <v>596</v>
      </c>
      <c r="E334" s="408" t="s">
        <v>972</v>
      </c>
      <c r="F334" s="408" t="s">
        <v>1320</v>
      </c>
      <c r="G334" s="408" t="s">
        <v>1320</v>
      </c>
      <c r="H334" s="408" t="s">
        <v>1320</v>
      </c>
      <c r="I334" s="408" t="s">
        <v>971</v>
      </c>
      <c r="J334" s="408" t="s">
        <v>2234</v>
      </c>
      <c r="K334" s="827">
        <v>44531</v>
      </c>
      <c r="L334" s="408">
        <v>0</v>
      </c>
      <c r="M334" s="408">
        <v>0</v>
      </c>
      <c r="N334" s="408">
        <v>53.945</v>
      </c>
      <c r="O334" s="408">
        <v>51.787199999999999</v>
      </c>
      <c r="P334" s="408">
        <v>53.945</v>
      </c>
      <c r="Q334" s="408">
        <v>51.787199999999999</v>
      </c>
      <c r="R334" s="408"/>
      <c r="S334" s="408">
        <v>1684.16</v>
      </c>
      <c r="T334" s="408">
        <v>173.82</v>
      </c>
      <c r="U334" s="408"/>
      <c r="V334" s="408">
        <v>100228.7311</v>
      </c>
      <c r="W334" s="408">
        <v>100228.7311</v>
      </c>
      <c r="X334" s="408">
        <v>68804.689700000003</v>
      </c>
      <c r="Y334" s="408">
        <v>0</v>
      </c>
      <c r="Z334" s="408">
        <v>2869.8754300539363</v>
      </c>
      <c r="AA334" s="408">
        <v>0</v>
      </c>
      <c r="AB334" s="408">
        <v>0</v>
      </c>
      <c r="AC334" s="408">
        <v>970.97762543342628</v>
      </c>
      <c r="AD334" s="408">
        <v>14812.537949616772</v>
      </c>
      <c r="AE334" s="408">
        <v>62484.086511712841</v>
      </c>
      <c r="AF334" s="408">
        <v>8680.9446017829268</v>
      </c>
      <c r="AG334" s="408">
        <v>436.73145857503971</v>
      </c>
      <c r="AH334" s="408">
        <v>0</v>
      </c>
      <c r="AI334" s="408">
        <v>0</v>
      </c>
      <c r="AJ334" s="408">
        <v>0</v>
      </c>
      <c r="AK334" s="408">
        <v>0</v>
      </c>
      <c r="AL334" s="408">
        <v>509.8609871952699</v>
      </c>
      <c r="AM334" s="408"/>
      <c r="AN334" s="408">
        <v>67.039105760040712</v>
      </c>
      <c r="AO334" s="408">
        <v>2085.3056680704185</v>
      </c>
      <c r="AP334" s="408">
        <v>6705.2918075682055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10.065793084244385</v>
      </c>
      <c r="BF334" s="408">
        <v>259.24285736434604</v>
      </c>
      <c r="BG334" s="408">
        <v>337.06075077906053</v>
      </c>
      <c r="BH334" s="408">
        <v>0</v>
      </c>
      <c r="BI334" s="408">
        <v>0</v>
      </c>
      <c r="BJ334" s="408">
        <v>0</v>
      </c>
      <c r="BK334" s="408">
        <v>0</v>
      </c>
      <c r="BL334" s="408">
        <v>0</v>
      </c>
      <c r="BM334" s="408"/>
      <c r="BN334" s="408"/>
      <c r="BO334" s="408"/>
      <c r="BP334" s="408"/>
      <c r="BQ334" s="408"/>
      <c r="BR334" s="408">
        <v>2752.1875880000025</v>
      </c>
      <c r="BS334" s="408"/>
      <c r="BT334" s="408"/>
      <c r="BU334" s="408"/>
      <c r="BV334" s="408">
        <v>9287.3140030105787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66056.073399999994</v>
      </c>
      <c r="CJ334" s="408">
        <v>-30163.538455999995</v>
      </c>
      <c r="CK334" s="408"/>
      <c r="CL334" s="408"/>
      <c r="CM334" s="408"/>
      <c r="CN334" s="408"/>
      <c r="CO334" s="408">
        <v>-32567.135950000004</v>
      </c>
      <c r="CP334" s="408">
        <v>1143.0945499999998</v>
      </c>
      <c r="CQ334" s="408"/>
      <c r="CR334" s="408">
        <v>1657.6235597636769</v>
      </c>
      <c r="CS334" s="408">
        <v>202.47000599668218</v>
      </c>
      <c r="CT334" s="408">
        <v>651.04147237274265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-284.01868299106536</v>
      </c>
      <c r="DA334" s="408">
        <v>0</v>
      </c>
      <c r="DB334" s="408">
        <v>0</v>
      </c>
      <c r="DC334" s="408">
        <v>1114.2951818928104</v>
      </c>
      <c r="DD334" s="408">
        <v>33.276685908337129</v>
      </c>
      <c r="DE334" s="408">
        <v>1.2920557900345919</v>
      </c>
      <c r="DF334" s="408">
        <v>0</v>
      </c>
      <c r="DG334" s="408">
        <v>43.265472575545175</v>
      </c>
      <c r="DH334" s="408">
        <v>0</v>
      </c>
      <c r="DI334" s="408">
        <v>-83.873560224848006</v>
      </c>
      <c r="DJ334" s="408"/>
      <c r="DK334" s="408">
        <v>0</v>
      </c>
      <c r="DL334" s="408">
        <v>0</v>
      </c>
      <c r="DM334" s="408">
        <v>-4.8541098737929929</v>
      </c>
      <c r="DN334" s="408">
        <v>0</v>
      </c>
      <c r="DO334" s="408">
        <v>-13.205223459706417</v>
      </c>
      <c r="DP334" s="408">
        <v>-2.0657382230650967</v>
      </c>
      <c r="DQ334" s="408">
        <v>0</v>
      </c>
      <c r="DR334" s="408">
        <v>0</v>
      </c>
      <c r="DS334" s="408"/>
      <c r="DT334" s="408"/>
      <c r="DU334" s="408"/>
      <c r="DV334" s="408">
        <v>62484.086511712841</v>
      </c>
      <c r="DW334" s="408">
        <v>0</v>
      </c>
      <c r="DX334" s="408">
        <v>0</v>
      </c>
      <c r="DY334" s="408">
        <v>-32567.135950000004</v>
      </c>
      <c r="DZ334" s="408">
        <v>1143.0945499999998</v>
      </c>
      <c r="EA334" s="408">
        <v>0</v>
      </c>
      <c r="EB334" s="408">
        <v>0</v>
      </c>
      <c r="EC334" s="408">
        <v>-33082.011184495525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239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336</v>
      </c>
      <c r="B335" s="408" t="s">
        <v>2236</v>
      </c>
      <c r="C335" s="408" t="s">
        <v>2241</v>
      </c>
      <c r="D335" s="408" t="s">
        <v>596</v>
      </c>
      <c r="E335" s="408" t="s">
        <v>972</v>
      </c>
      <c r="F335" s="408" t="s">
        <v>1320</v>
      </c>
      <c r="G335" s="408" t="s">
        <v>1320</v>
      </c>
      <c r="H335" s="408" t="s">
        <v>1320</v>
      </c>
      <c r="I335" s="408" t="s">
        <v>971</v>
      </c>
      <c r="J335" s="408" t="s">
        <v>2234</v>
      </c>
      <c r="K335" s="827">
        <v>44531</v>
      </c>
      <c r="L335" s="408">
        <v>0</v>
      </c>
      <c r="M335" s="408">
        <v>0</v>
      </c>
      <c r="N335" s="408">
        <v>4.3949999999999996</v>
      </c>
      <c r="O335" s="408">
        <v>4.2191999999999998</v>
      </c>
      <c r="P335" s="408">
        <v>4.3949999999999996</v>
      </c>
      <c r="Q335" s="408">
        <v>4.2191999999999998</v>
      </c>
      <c r="R335" s="408"/>
      <c r="S335" s="408">
        <v>1684.16</v>
      </c>
      <c r="T335" s="408">
        <v>173.82</v>
      </c>
      <c r="U335" s="408"/>
      <c r="V335" s="408">
        <v>8165.8220999999994</v>
      </c>
      <c r="W335" s="408">
        <v>8165.8220999999994</v>
      </c>
      <c r="X335" s="408">
        <v>5605.6466999999993</v>
      </c>
      <c r="Y335" s="408">
        <v>0</v>
      </c>
      <c r="Z335" s="408">
        <v>233.81411650916766</v>
      </c>
      <c r="AA335" s="408">
        <v>0</v>
      </c>
      <c r="AB335" s="408">
        <v>0</v>
      </c>
      <c r="AC335" s="408">
        <v>79.10736238353708</v>
      </c>
      <c r="AD335" s="408">
        <v>1206.805158746236</v>
      </c>
      <c r="AE335" s="408">
        <v>5090.6953419033816</v>
      </c>
      <c r="AF335" s="408">
        <v>707.25278570462433</v>
      </c>
      <c r="AG335" s="408">
        <v>35.581328398133273</v>
      </c>
      <c r="AH335" s="408">
        <v>0</v>
      </c>
      <c r="AI335" s="408">
        <v>0</v>
      </c>
      <c r="AJ335" s="408">
        <v>0</v>
      </c>
      <c r="AK335" s="408">
        <v>0</v>
      </c>
      <c r="AL335" s="408">
        <v>41.539327810236557</v>
      </c>
      <c r="AM335" s="408"/>
      <c r="AN335" s="408">
        <v>5.46180127565815</v>
      </c>
      <c r="AO335" s="408">
        <v>169.89375124978196</v>
      </c>
      <c r="AP335" s="408">
        <v>546.29265908355285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0.82007898054044059</v>
      </c>
      <c r="BF335" s="408">
        <v>21.121000243142102</v>
      </c>
      <c r="BG335" s="408">
        <v>27.460969499934578</v>
      </c>
      <c r="BH335" s="408">
        <v>0</v>
      </c>
      <c r="BI335" s="408">
        <v>0</v>
      </c>
      <c r="BJ335" s="408">
        <v>0</v>
      </c>
      <c r="BK335" s="408">
        <v>0</v>
      </c>
      <c r="BL335" s="408">
        <v>0</v>
      </c>
      <c r="BM335" s="408"/>
      <c r="BN335" s="408"/>
      <c r="BO335" s="408"/>
      <c r="BP335" s="408"/>
      <c r="BQ335" s="408"/>
      <c r="BR335" s="408">
        <v>224.22586799999968</v>
      </c>
      <c r="BS335" s="408"/>
      <c r="BT335" s="408"/>
      <c r="BU335" s="408"/>
      <c r="BV335" s="408">
        <v>756.65483442824143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5382.4411999999993</v>
      </c>
      <c r="CJ335" s="408">
        <v>-2456.778016000002</v>
      </c>
      <c r="CK335" s="408"/>
      <c r="CL335" s="408"/>
      <c r="CM335" s="408"/>
      <c r="CN335" s="408"/>
      <c r="CO335" s="408">
        <v>-2653.3054499999998</v>
      </c>
      <c r="CP335" s="408">
        <v>93.130049999999983</v>
      </c>
      <c r="CQ335" s="408"/>
      <c r="CR335" s="408">
        <v>135.04969033573707</v>
      </c>
      <c r="CS335" s="408">
        <v>16.495609905559718</v>
      </c>
      <c r="CT335" s="408">
        <v>53.041565874097728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-23.139533075275267</v>
      </c>
      <c r="DA335" s="408">
        <v>0</v>
      </c>
      <c r="DB335" s="408">
        <v>0</v>
      </c>
      <c r="DC335" s="408">
        <v>90.78371163998338</v>
      </c>
      <c r="DD335" s="408">
        <v>2.7111138116070386</v>
      </c>
      <c r="DE335" s="408">
        <v>0.10526620070816628</v>
      </c>
      <c r="DF335" s="408">
        <v>0</v>
      </c>
      <c r="DG335" s="408">
        <v>3.524918935388289</v>
      </c>
      <c r="DH335" s="408">
        <v>0</v>
      </c>
      <c r="DI335" s="408">
        <v>-6.8333357528632348</v>
      </c>
      <c r="DJ335" s="408"/>
      <c r="DK335" s="408">
        <v>0</v>
      </c>
      <c r="DL335" s="408">
        <v>0</v>
      </c>
      <c r="DM335" s="408">
        <v>-0.39547340616035598</v>
      </c>
      <c r="DN335" s="408">
        <v>0</v>
      </c>
      <c r="DO335" s="408">
        <v>-1.0758542423840893</v>
      </c>
      <c r="DP335" s="408">
        <v>-0.16829955492392479</v>
      </c>
      <c r="DQ335" s="408">
        <v>0</v>
      </c>
      <c r="DR335" s="408">
        <v>0</v>
      </c>
      <c r="DS335" s="408"/>
      <c r="DT335" s="408"/>
      <c r="DU335" s="408"/>
      <c r="DV335" s="408">
        <v>5090.6953419033816</v>
      </c>
      <c r="DW335" s="408">
        <v>0</v>
      </c>
      <c r="DX335" s="408">
        <v>0</v>
      </c>
      <c r="DY335" s="408">
        <v>-2653.3054499999998</v>
      </c>
      <c r="DZ335" s="408">
        <v>93.130049999999983</v>
      </c>
      <c r="EA335" s="408">
        <v>0</v>
      </c>
      <c r="EB335" s="408">
        <v>0</v>
      </c>
      <c r="EC335" s="408">
        <v>-2695.2532979119069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239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337</v>
      </c>
      <c r="B336" s="408" t="s">
        <v>1034</v>
      </c>
      <c r="C336" s="408" t="s">
        <v>2241</v>
      </c>
      <c r="D336" s="408" t="s">
        <v>596</v>
      </c>
      <c r="E336" s="408" t="s">
        <v>972</v>
      </c>
      <c r="F336" s="408" t="s">
        <v>1320</v>
      </c>
      <c r="G336" s="408" t="s">
        <v>1320</v>
      </c>
      <c r="H336" s="408" t="s">
        <v>1320</v>
      </c>
      <c r="I336" s="408" t="s">
        <v>2242</v>
      </c>
      <c r="J336" s="408" t="s">
        <v>2234</v>
      </c>
      <c r="K336" s="827">
        <v>44531</v>
      </c>
      <c r="L336" s="408">
        <v>0</v>
      </c>
      <c r="M336" s="408">
        <v>0</v>
      </c>
      <c r="N336" s="408">
        <v>586.95899999999995</v>
      </c>
      <c r="O336" s="408">
        <v>563.48063999999999</v>
      </c>
      <c r="P336" s="408">
        <v>586.95899999999995</v>
      </c>
      <c r="Q336" s="408">
        <v>563.48063999999999</v>
      </c>
      <c r="R336" s="408"/>
      <c r="S336" s="408">
        <v>70.33</v>
      </c>
      <c r="T336" s="408">
        <v>173.82</v>
      </c>
      <c r="U336" s="408"/>
      <c r="V336" s="408">
        <v>143306.03984999997</v>
      </c>
      <c r="W336" s="408">
        <v>143306.03984999997</v>
      </c>
      <c r="X336" s="408">
        <v>155150.87246999997</v>
      </c>
      <c r="Y336" s="408">
        <v>0</v>
      </c>
      <c r="Z336" s="408">
        <v>31226.23435997828</v>
      </c>
      <c r="AA336" s="408">
        <v>0</v>
      </c>
      <c r="AB336" s="408">
        <v>0</v>
      </c>
      <c r="AC336" s="408">
        <v>0</v>
      </c>
      <c r="AD336" s="408">
        <v>0</v>
      </c>
      <c r="AE336" s="408">
        <v>0</v>
      </c>
      <c r="AF336" s="408">
        <v>94454.695755267487</v>
      </c>
      <c r="AG336" s="408">
        <v>4751.9410546620948</v>
      </c>
      <c r="AH336" s="408">
        <v>0</v>
      </c>
      <c r="AI336" s="408">
        <v>0</v>
      </c>
      <c r="AJ336" s="408">
        <v>0</v>
      </c>
      <c r="AK336" s="408">
        <v>0</v>
      </c>
      <c r="AL336" s="408">
        <v>5547.6410266595303</v>
      </c>
      <c r="AM336" s="408"/>
      <c r="AN336" s="408">
        <v>729.43194879613918</v>
      </c>
      <c r="AO336" s="408">
        <v>0</v>
      </c>
      <c r="AP336" s="408">
        <v>0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109.52280735814254</v>
      </c>
      <c r="BF336" s="408">
        <v>2820.7420208679055</v>
      </c>
      <c r="BG336" s="408">
        <v>3667.4546522666897</v>
      </c>
      <c r="BH336" s="408">
        <v>0</v>
      </c>
      <c r="BI336" s="408">
        <v>0</v>
      </c>
      <c r="BJ336" s="408">
        <v>0</v>
      </c>
      <c r="BK336" s="408">
        <v>0</v>
      </c>
      <c r="BL336" s="408">
        <v>0</v>
      </c>
      <c r="BM336" s="408"/>
      <c r="BN336" s="408"/>
      <c r="BO336" s="408"/>
      <c r="BP336" s="408"/>
      <c r="BQ336" s="408"/>
      <c r="BR336" s="408">
        <v>6206.0348987999869</v>
      </c>
      <c r="BS336" s="408"/>
      <c r="BT336" s="408"/>
      <c r="BU336" s="408"/>
      <c r="BV336" s="408">
        <v>101052.41523576023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148944.6684</v>
      </c>
      <c r="CJ336" s="408">
        <v>11370.840143999987</v>
      </c>
      <c r="CK336" s="408"/>
      <c r="CL336" s="408"/>
      <c r="CM336" s="408"/>
      <c r="CN336" s="408"/>
      <c r="CO336" s="408">
        <v>-592.82859000000292</v>
      </c>
      <c r="CP336" s="408">
        <v>12437.661209999998</v>
      </c>
      <c r="CQ336" s="408"/>
      <c r="CR336" s="408">
        <v>11839.617116189474</v>
      </c>
      <c r="CS336" s="408">
        <v>0</v>
      </c>
      <c r="CT336" s="408">
        <v>0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0</v>
      </c>
      <c r="DA336" s="408">
        <v>0</v>
      </c>
      <c r="DB336" s="408">
        <v>0</v>
      </c>
      <c r="DC336" s="408">
        <v>12124.304118428438</v>
      </c>
      <c r="DD336" s="408">
        <v>362.07341336679337</v>
      </c>
      <c r="DE336" s="408">
        <v>14.05846277621491</v>
      </c>
      <c r="DF336" s="408">
        <v>0</v>
      </c>
      <c r="DG336" s="408">
        <v>470.75833751912887</v>
      </c>
      <c r="DH336" s="408">
        <v>0</v>
      </c>
      <c r="DI336" s="408">
        <v>-912.60248467914789</v>
      </c>
      <c r="DJ336" s="408"/>
      <c r="DK336" s="408">
        <v>0</v>
      </c>
      <c r="DL336" s="408">
        <v>0</v>
      </c>
      <c r="DM336" s="408">
        <v>-52.816080775079172</v>
      </c>
      <c r="DN336" s="408">
        <v>0</v>
      </c>
      <c r="DO336" s="408">
        <v>-143.68198640626179</v>
      </c>
      <c r="DP336" s="408">
        <v>-22.476664040635114</v>
      </c>
      <c r="DQ336" s="408">
        <v>0</v>
      </c>
      <c r="DR336" s="408">
        <v>0</v>
      </c>
      <c r="DS336" s="408"/>
      <c r="DT336" s="408"/>
      <c r="DU336" s="408"/>
      <c r="DV336" s="408">
        <v>0</v>
      </c>
      <c r="DW336" s="408">
        <v>0</v>
      </c>
      <c r="DX336" s="408">
        <v>0</v>
      </c>
      <c r="DY336" s="408">
        <v>-592.82858999999735</v>
      </c>
      <c r="DZ336" s="408">
        <v>12437.661209999991</v>
      </c>
      <c r="EA336" s="408">
        <v>0</v>
      </c>
      <c r="EB336" s="408">
        <v>0</v>
      </c>
      <c r="EC336" s="408">
        <v>0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239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338</v>
      </c>
      <c r="B337" s="408" t="s">
        <v>2236</v>
      </c>
      <c r="C337" s="408" t="s">
        <v>2241</v>
      </c>
      <c r="D337" s="408" t="s">
        <v>596</v>
      </c>
      <c r="E337" s="408" t="s">
        <v>972</v>
      </c>
      <c r="F337" s="408" t="s">
        <v>1320</v>
      </c>
      <c r="G337" s="408" t="s">
        <v>1320</v>
      </c>
      <c r="H337" s="408" t="s">
        <v>1320</v>
      </c>
      <c r="I337" s="408" t="s">
        <v>2242</v>
      </c>
      <c r="J337" s="408" t="s">
        <v>2234</v>
      </c>
      <c r="K337" s="827">
        <v>44531</v>
      </c>
      <c r="L337" s="408">
        <v>0</v>
      </c>
      <c r="M337" s="408">
        <v>0</v>
      </c>
      <c r="N337" s="408">
        <v>17.408999999999999</v>
      </c>
      <c r="O337" s="408">
        <v>16.71264</v>
      </c>
      <c r="P337" s="408">
        <v>17.408999999999999</v>
      </c>
      <c r="Q337" s="408">
        <v>16.71264</v>
      </c>
      <c r="R337" s="408"/>
      <c r="S337" s="408">
        <v>70.33</v>
      </c>
      <c r="T337" s="408">
        <v>173.82</v>
      </c>
      <c r="U337" s="408"/>
      <c r="V337" s="408">
        <v>4250.4073499999995</v>
      </c>
      <c r="W337" s="408">
        <v>4250.4073499999995</v>
      </c>
      <c r="X337" s="408">
        <v>4601.7209699999994</v>
      </c>
      <c r="Y337" s="408">
        <v>0</v>
      </c>
      <c r="Z337" s="408">
        <v>926.15926150354949</v>
      </c>
      <c r="AA337" s="408">
        <v>0</v>
      </c>
      <c r="AB337" s="408">
        <v>0</v>
      </c>
      <c r="AC337" s="408">
        <v>0</v>
      </c>
      <c r="AD337" s="408">
        <v>0</v>
      </c>
      <c r="AE337" s="408">
        <v>0</v>
      </c>
      <c r="AF337" s="408">
        <v>2801.4934576409114</v>
      </c>
      <c r="AG337" s="408">
        <v>140.94092061048968</v>
      </c>
      <c r="AH337" s="408">
        <v>0</v>
      </c>
      <c r="AI337" s="408">
        <v>0</v>
      </c>
      <c r="AJ337" s="408">
        <v>0</v>
      </c>
      <c r="AK337" s="408">
        <v>0</v>
      </c>
      <c r="AL337" s="408">
        <v>164.54110531249333</v>
      </c>
      <c r="AM337" s="408"/>
      <c r="AN337" s="408">
        <v>21.63469815880153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0</v>
      </c>
      <c r="BE337" s="408">
        <v>3.2484084123386872</v>
      </c>
      <c r="BF337" s="408">
        <v>83.662228266862542</v>
      </c>
      <c r="BG337" s="408">
        <v>108.77543072226646</v>
      </c>
      <c r="BH337" s="408">
        <v>0</v>
      </c>
      <c r="BI337" s="408">
        <v>0</v>
      </c>
      <c r="BJ337" s="408">
        <v>0</v>
      </c>
      <c r="BK337" s="408">
        <v>0</v>
      </c>
      <c r="BL337" s="408">
        <v>0</v>
      </c>
      <c r="BM337" s="408"/>
      <c r="BN337" s="408"/>
      <c r="BO337" s="408"/>
      <c r="BP337" s="408"/>
      <c r="BQ337" s="408"/>
      <c r="BR337" s="408">
        <v>184.06883879999961</v>
      </c>
      <c r="BS337" s="408"/>
      <c r="BT337" s="408"/>
      <c r="BU337" s="408"/>
      <c r="BV337" s="408">
        <v>2997.1795250423793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4416.9542999999994</v>
      </c>
      <c r="CJ337" s="408">
        <v>336.53324399999929</v>
      </c>
      <c r="CK337" s="408"/>
      <c r="CL337" s="408"/>
      <c r="CM337" s="408"/>
      <c r="CN337" s="408"/>
      <c r="CO337" s="408">
        <v>-17.583090000000087</v>
      </c>
      <c r="CP337" s="408">
        <v>368.89670999999993</v>
      </c>
      <c r="CQ337" s="408"/>
      <c r="CR337" s="408">
        <v>351.1589299691168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0</v>
      </c>
      <c r="DA337" s="408">
        <v>0</v>
      </c>
      <c r="DB337" s="408">
        <v>0</v>
      </c>
      <c r="DC337" s="408">
        <v>359.60264754049376</v>
      </c>
      <c r="DD337" s="408">
        <v>10.738971637375869</v>
      </c>
      <c r="DE337" s="408">
        <v>0.41696912130340547</v>
      </c>
      <c r="DF337" s="408">
        <v>0</v>
      </c>
      <c r="DG337" s="408">
        <v>13.962528724954424</v>
      </c>
      <c r="DH337" s="408">
        <v>0</v>
      </c>
      <c r="DI337" s="408">
        <v>-27.067472610146979</v>
      </c>
      <c r="DJ337" s="408"/>
      <c r="DK337" s="408">
        <v>0</v>
      </c>
      <c r="DL337" s="408">
        <v>0</v>
      </c>
      <c r="DM337" s="408">
        <v>-1.56650660474304</v>
      </c>
      <c r="DN337" s="408">
        <v>0</v>
      </c>
      <c r="DO337" s="408">
        <v>-4.2615577942353866</v>
      </c>
      <c r="DP337" s="408">
        <v>-0.66665004588636734</v>
      </c>
      <c r="DQ337" s="408">
        <v>0</v>
      </c>
      <c r="DR337" s="408">
        <v>0</v>
      </c>
      <c r="DS337" s="408"/>
      <c r="DT337" s="408"/>
      <c r="DU337" s="408"/>
      <c r="DV337" s="408">
        <v>0</v>
      </c>
      <c r="DW337" s="408">
        <v>0</v>
      </c>
      <c r="DX337" s="408">
        <v>0</v>
      </c>
      <c r="DY337" s="408">
        <v>-17.583090000000084</v>
      </c>
      <c r="DZ337" s="408">
        <v>368.89670999999998</v>
      </c>
      <c r="EA337" s="408">
        <v>0</v>
      </c>
      <c r="EB337" s="408">
        <v>0</v>
      </c>
      <c r="EC337" s="408">
        <v>0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239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339</v>
      </c>
      <c r="B338" s="408" t="s">
        <v>1034</v>
      </c>
      <c r="C338" s="408" t="s">
        <v>2241</v>
      </c>
      <c r="D338" s="408" t="s">
        <v>596</v>
      </c>
      <c r="E338" s="408" t="s">
        <v>972</v>
      </c>
      <c r="F338" s="408" t="s">
        <v>1320</v>
      </c>
      <c r="G338" s="408" t="s">
        <v>1320</v>
      </c>
      <c r="H338" s="408" t="s">
        <v>1320</v>
      </c>
      <c r="I338" s="408" t="s">
        <v>1320</v>
      </c>
      <c r="J338" s="408" t="s">
        <v>2234</v>
      </c>
      <c r="K338" s="827">
        <v>44531</v>
      </c>
      <c r="L338" s="408">
        <v>2349</v>
      </c>
      <c r="M338" s="408">
        <v>2255.04</v>
      </c>
      <c r="N338" s="408">
        <v>0</v>
      </c>
      <c r="O338" s="408">
        <v>0</v>
      </c>
      <c r="P338" s="408">
        <v>0</v>
      </c>
      <c r="Q338" s="408">
        <v>0</v>
      </c>
      <c r="R338" s="408">
        <v>59.12</v>
      </c>
      <c r="S338" s="408"/>
      <c r="T338" s="408"/>
      <c r="U338" s="408">
        <v>138872.88</v>
      </c>
      <c r="V338" s="408"/>
      <c r="W338" s="408">
        <v>138872.88</v>
      </c>
      <c r="X338" s="408">
        <v>79936.47</v>
      </c>
      <c r="Y338" s="408">
        <v>0</v>
      </c>
      <c r="Z338" s="408">
        <v>0</v>
      </c>
      <c r="AA338" s="408">
        <v>0</v>
      </c>
      <c r="AB338" s="408">
        <v>0</v>
      </c>
      <c r="AC338" s="408">
        <v>1343.7697934708192</v>
      </c>
      <c r="AD338" s="408">
        <v>12019.886206530546</v>
      </c>
      <c r="AE338" s="408">
        <v>113132.06292050669</v>
      </c>
      <c r="AF338" s="408"/>
      <c r="AG338" s="408"/>
      <c r="AH338" s="408"/>
      <c r="AI338" s="408">
        <v>0</v>
      </c>
      <c r="AJ338" s="408">
        <v>0</v>
      </c>
      <c r="AK338" s="408">
        <v>0</v>
      </c>
      <c r="AL338" s="408">
        <v>0</v>
      </c>
      <c r="AM338" s="408"/>
      <c r="AN338" s="408">
        <v>0</v>
      </c>
      <c r="AO338" s="408">
        <v>2837.7613997559511</v>
      </c>
      <c r="AP338" s="408">
        <v>9539.2604925828382</v>
      </c>
      <c r="AQ338" s="408">
        <v>0</v>
      </c>
      <c r="AR338" s="408">
        <v>0</v>
      </c>
      <c r="AS338" s="408"/>
      <c r="AT338" s="408"/>
      <c r="AU338" s="408">
        <v>0</v>
      </c>
      <c r="AV338" s="408">
        <v>0</v>
      </c>
      <c r="AW338" s="408">
        <v>0</v>
      </c>
      <c r="AX338" s="408"/>
      <c r="AY338" s="408"/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/>
      <c r="BG338" s="408">
        <v>0</v>
      </c>
      <c r="BH338" s="408">
        <v>0</v>
      </c>
      <c r="BI338" s="408">
        <v>578.19000000000005</v>
      </c>
      <c r="BJ338" s="408">
        <v>2385.23</v>
      </c>
      <c r="BK338" s="408">
        <v>9922.84</v>
      </c>
      <c r="BL338" s="408">
        <v>15</v>
      </c>
      <c r="BM338" s="408"/>
      <c r="BN338" s="408"/>
      <c r="BO338" s="408"/>
      <c r="BP338" s="408"/>
      <c r="BQ338" s="408"/>
      <c r="BR338" s="408">
        <v>3197.4588000000012</v>
      </c>
      <c r="BS338" s="408"/>
      <c r="BT338" s="408"/>
      <c r="BU338" s="408"/>
      <c r="BV338" s="408">
        <v>0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76739.011200000008</v>
      </c>
      <c r="CJ338" s="408">
        <v>-56578.983600000007</v>
      </c>
      <c r="CK338" s="408"/>
      <c r="CL338" s="408"/>
      <c r="CM338" s="408"/>
      <c r="CN338" s="408"/>
      <c r="CO338" s="408">
        <v>-58936.409999999989</v>
      </c>
      <c r="CP338" s="408">
        <v>0</v>
      </c>
      <c r="CQ338" s="408"/>
      <c r="CR338" s="408">
        <v>971.25883349078867</v>
      </c>
      <c r="CS338" s="408">
        <v>275.52870374029953</v>
      </c>
      <c r="CT338" s="408">
        <v>926.20192747299006</v>
      </c>
      <c r="CU338" s="408">
        <v>0</v>
      </c>
      <c r="CV338" s="408">
        <v>0</v>
      </c>
      <c r="CW338" s="408"/>
      <c r="CX338" s="408"/>
      <c r="CY338" s="408"/>
      <c r="CZ338" s="408">
        <v>-230.47179772250092</v>
      </c>
      <c r="DA338" s="408">
        <v>0</v>
      </c>
      <c r="DB338" s="408">
        <v>0</v>
      </c>
      <c r="DC338" s="408"/>
      <c r="DD338" s="408"/>
      <c r="DE338" s="408">
        <v>0</v>
      </c>
      <c r="DF338" s="408">
        <v>0</v>
      </c>
      <c r="DG338" s="408">
        <v>0</v>
      </c>
      <c r="DH338" s="408">
        <v>0</v>
      </c>
      <c r="DI338" s="408">
        <v>0</v>
      </c>
      <c r="DJ338" s="408"/>
      <c r="DK338" s="408">
        <v>0</v>
      </c>
      <c r="DL338" s="408">
        <v>0</v>
      </c>
      <c r="DM338" s="408"/>
      <c r="DN338" s="408">
        <v>0</v>
      </c>
      <c r="DO338" s="408">
        <v>0</v>
      </c>
      <c r="DP338" s="408">
        <v>0</v>
      </c>
      <c r="DQ338" s="408">
        <v>0</v>
      </c>
      <c r="DR338" s="408">
        <v>0</v>
      </c>
      <c r="DS338" s="408"/>
      <c r="DT338" s="408"/>
      <c r="DU338" s="408">
        <v>113132.06292050669</v>
      </c>
      <c r="DV338" s="408"/>
      <c r="DW338" s="408">
        <v>0</v>
      </c>
      <c r="DX338" s="408">
        <v>0</v>
      </c>
      <c r="DY338" s="408">
        <v>-58936.41</v>
      </c>
      <c r="DZ338" s="408"/>
      <c r="EA338" s="408">
        <v>0</v>
      </c>
      <c r="EB338" s="408"/>
      <c r="EC338" s="408">
        <v>-59897.429566481573</v>
      </c>
      <c r="ED338" s="408"/>
      <c r="EE338" s="408">
        <v>0</v>
      </c>
      <c r="EF338" s="408">
        <v>0</v>
      </c>
      <c r="EG338" s="408"/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/>
      <c r="EN338" s="408"/>
      <c r="EO338" s="408">
        <v>0</v>
      </c>
      <c r="EP338" s="408">
        <v>0</v>
      </c>
      <c r="EQ338" s="408"/>
      <c r="ER338" s="408">
        <v>0</v>
      </c>
      <c r="ES338" s="408"/>
      <c r="ET338" s="408">
        <v>0</v>
      </c>
      <c r="EU338" s="408"/>
      <c r="EV338" s="408">
        <v>239</v>
      </c>
      <c r="EW338" s="408"/>
      <c r="EX338" s="408"/>
      <c r="EY338" s="408"/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340</v>
      </c>
      <c r="B339" s="408" t="s">
        <v>2236</v>
      </c>
      <c r="C339" s="408" t="s">
        <v>2241</v>
      </c>
      <c r="D339" s="408" t="s">
        <v>596</v>
      </c>
      <c r="E339" s="408" t="s">
        <v>972</v>
      </c>
      <c r="F339" s="408" t="s">
        <v>1320</v>
      </c>
      <c r="G339" s="408" t="s">
        <v>1320</v>
      </c>
      <c r="H339" s="408" t="s">
        <v>1320</v>
      </c>
      <c r="I339" s="408" t="s">
        <v>1320</v>
      </c>
      <c r="J339" s="408" t="s">
        <v>2234</v>
      </c>
      <c r="K339" s="827">
        <v>44531</v>
      </c>
      <c r="L339" s="408">
        <v>170</v>
      </c>
      <c r="M339" s="408">
        <v>163.19999999999999</v>
      </c>
      <c r="N339" s="408">
        <v>0</v>
      </c>
      <c r="O339" s="408">
        <v>0</v>
      </c>
      <c r="P339" s="408">
        <v>0</v>
      </c>
      <c r="Q339" s="408">
        <v>0</v>
      </c>
      <c r="R339" s="408">
        <v>59.12</v>
      </c>
      <c r="S339" s="408"/>
      <c r="T339" s="408"/>
      <c r="U339" s="408">
        <v>10050.4</v>
      </c>
      <c r="V339" s="408"/>
      <c r="W339" s="408">
        <v>10050.4</v>
      </c>
      <c r="X339" s="408">
        <v>5785.1</v>
      </c>
      <c r="Y339" s="408">
        <v>0</v>
      </c>
      <c r="Z339" s="408">
        <v>0</v>
      </c>
      <c r="AA339" s="408">
        <v>0</v>
      </c>
      <c r="AB339" s="408">
        <v>0</v>
      </c>
      <c r="AC339" s="408">
        <v>97.250261766725941</v>
      </c>
      <c r="AD339" s="408">
        <v>869.89385062162319</v>
      </c>
      <c r="AE339" s="408">
        <v>8187.5056179166195</v>
      </c>
      <c r="AF339" s="408"/>
      <c r="AG339" s="408"/>
      <c r="AH339" s="408"/>
      <c r="AI339" s="408">
        <v>0</v>
      </c>
      <c r="AJ339" s="408">
        <v>0</v>
      </c>
      <c r="AK339" s="408">
        <v>0</v>
      </c>
      <c r="AL339" s="408">
        <v>0</v>
      </c>
      <c r="AM339" s="408"/>
      <c r="AN339" s="408">
        <v>0</v>
      </c>
      <c r="AO339" s="408">
        <v>205.3722596673102</v>
      </c>
      <c r="AP339" s="408">
        <v>690.3679368833898</v>
      </c>
      <c r="AQ339" s="408">
        <v>0</v>
      </c>
      <c r="AR339" s="408">
        <v>0</v>
      </c>
      <c r="AS339" s="408"/>
      <c r="AT339" s="408"/>
      <c r="AU339" s="408">
        <v>0</v>
      </c>
      <c r="AV339" s="408">
        <v>0</v>
      </c>
      <c r="AW339" s="408">
        <v>0</v>
      </c>
      <c r="AX339" s="408"/>
      <c r="AY339" s="408"/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/>
      <c r="BG339" s="408">
        <v>0</v>
      </c>
      <c r="BH339" s="408">
        <v>0</v>
      </c>
      <c r="BI339" s="408">
        <v>29.57</v>
      </c>
      <c r="BJ339" s="408">
        <v>121.97</v>
      </c>
      <c r="BK339" s="408">
        <v>8.33</v>
      </c>
      <c r="BL339" s="408">
        <v>1</v>
      </c>
      <c r="BM339" s="408"/>
      <c r="BN339" s="408"/>
      <c r="BO339" s="408"/>
      <c r="BP339" s="408"/>
      <c r="BQ339" s="408"/>
      <c r="BR339" s="408">
        <v>231.40400000000039</v>
      </c>
      <c r="BS339" s="408"/>
      <c r="BT339" s="408"/>
      <c r="BU339" s="408"/>
      <c r="BV339" s="408">
        <v>0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5553.6959999999999</v>
      </c>
      <c r="CJ339" s="408">
        <v>-4094.7179999999989</v>
      </c>
      <c r="CK339" s="408"/>
      <c r="CL339" s="408"/>
      <c r="CM339" s="408"/>
      <c r="CN339" s="408"/>
      <c r="CO339" s="408">
        <v>-4265.2999999999993</v>
      </c>
      <c r="CP339" s="408">
        <v>0</v>
      </c>
      <c r="CQ339" s="408"/>
      <c r="CR339" s="408">
        <v>70.291188460380681</v>
      </c>
      <c r="CS339" s="408">
        <v>19.940348929693897</v>
      </c>
      <c r="CT339" s="408">
        <v>67.030365121501973</v>
      </c>
      <c r="CU339" s="408">
        <v>0</v>
      </c>
      <c r="CV339" s="408">
        <v>0</v>
      </c>
      <c r="CW339" s="408"/>
      <c r="CX339" s="408"/>
      <c r="CY339" s="408"/>
      <c r="CZ339" s="408">
        <v>-16.679525590815274</v>
      </c>
      <c r="DA339" s="408">
        <v>0</v>
      </c>
      <c r="DB339" s="408">
        <v>0</v>
      </c>
      <c r="DC339" s="408"/>
      <c r="DD339" s="408"/>
      <c r="DE339" s="408">
        <v>0</v>
      </c>
      <c r="DF339" s="408">
        <v>0</v>
      </c>
      <c r="DG339" s="408">
        <v>0</v>
      </c>
      <c r="DH339" s="408">
        <v>0</v>
      </c>
      <c r="DI339" s="408">
        <v>0</v>
      </c>
      <c r="DJ339" s="408"/>
      <c r="DK339" s="408">
        <v>0</v>
      </c>
      <c r="DL339" s="408">
        <v>0</v>
      </c>
      <c r="DM339" s="408"/>
      <c r="DN339" s="408">
        <v>0</v>
      </c>
      <c r="DO339" s="408">
        <v>0</v>
      </c>
      <c r="DP339" s="408">
        <v>0</v>
      </c>
      <c r="DQ339" s="408">
        <v>0</v>
      </c>
      <c r="DR339" s="408">
        <v>0</v>
      </c>
      <c r="DS339" s="408"/>
      <c r="DT339" s="408"/>
      <c r="DU339" s="408">
        <v>8187.5056179166195</v>
      </c>
      <c r="DV339" s="408"/>
      <c r="DW339" s="408">
        <v>0</v>
      </c>
      <c r="DX339" s="408">
        <v>0</v>
      </c>
      <c r="DY339" s="408">
        <v>-4265.2999999999993</v>
      </c>
      <c r="DZ339" s="408"/>
      <c r="EA339" s="408">
        <v>0</v>
      </c>
      <c r="EB339" s="408"/>
      <c r="EC339" s="408">
        <v>-4334.8501601966236</v>
      </c>
      <c r="ED339" s="408"/>
      <c r="EE339" s="408">
        <v>0</v>
      </c>
      <c r="EF339" s="408">
        <v>0</v>
      </c>
      <c r="EG339" s="408"/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/>
      <c r="EN339" s="408"/>
      <c r="EO339" s="408">
        <v>0</v>
      </c>
      <c r="EP339" s="408">
        <v>0</v>
      </c>
      <c r="EQ339" s="408"/>
      <c r="ER339" s="408">
        <v>0</v>
      </c>
      <c r="ES339" s="408"/>
      <c r="ET339" s="408">
        <v>0</v>
      </c>
      <c r="EU339" s="408"/>
      <c r="EV339" s="408">
        <v>239</v>
      </c>
      <c r="EW339" s="408"/>
      <c r="EX339" s="408"/>
      <c r="EY339" s="408"/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341</v>
      </c>
      <c r="B340" s="408" t="s">
        <v>1034</v>
      </c>
      <c r="C340" s="408" t="s">
        <v>2233</v>
      </c>
      <c r="D340" s="408" t="s">
        <v>1956</v>
      </c>
      <c r="E340" s="408" t="s">
        <v>2244</v>
      </c>
      <c r="F340" s="408" t="s">
        <v>1320</v>
      </c>
      <c r="G340" s="408" t="s">
        <v>1320</v>
      </c>
      <c r="H340" s="408" t="s">
        <v>1320</v>
      </c>
      <c r="I340" s="408" t="s">
        <v>1320</v>
      </c>
      <c r="J340" s="408" t="s">
        <v>2234</v>
      </c>
      <c r="K340" s="827">
        <v>44531</v>
      </c>
      <c r="L340" s="408">
        <v>0</v>
      </c>
      <c r="M340" s="408">
        <v>0</v>
      </c>
      <c r="N340" s="408">
        <v>217.24600000000001</v>
      </c>
      <c r="O340" s="408">
        <v>217.24600000000001</v>
      </c>
      <c r="P340" s="408">
        <v>217.24600000000001</v>
      </c>
      <c r="Q340" s="408">
        <v>217.24600000000001</v>
      </c>
      <c r="R340" s="408"/>
      <c r="S340" s="408">
        <v>516.83000000000004</v>
      </c>
      <c r="T340" s="408">
        <v>173.82</v>
      </c>
      <c r="U340" s="408"/>
      <c r="V340" s="408">
        <v>150040.94990000001</v>
      </c>
      <c r="W340" s="408">
        <v>150040.94990000001</v>
      </c>
      <c r="X340" s="408">
        <v>113282.92670000001</v>
      </c>
      <c r="Y340" s="408">
        <v>0</v>
      </c>
      <c r="Z340" s="408">
        <v>13284.474665607617</v>
      </c>
      <c r="AA340" s="408">
        <v>0</v>
      </c>
      <c r="AB340" s="408">
        <v>0</v>
      </c>
      <c r="AC340" s="408">
        <v>590.57110116787305</v>
      </c>
      <c r="AD340" s="408">
        <v>7479.0436467227501</v>
      </c>
      <c r="AE340" s="408">
        <v>78994.0770367847</v>
      </c>
      <c r="AF340" s="408">
        <v>34959.690257835457</v>
      </c>
      <c r="AG340" s="408">
        <v>1758.7943729649287</v>
      </c>
      <c r="AH340" s="408">
        <v>0</v>
      </c>
      <c r="AI340" s="408">
        <v>0</v>
      </c>
      <c r="AJ340" s="408">
        <v>0</v>
      </c>
      <c r="AK340" s="408">
        <v>0</v>
      </c>
      <c r="AL340" s="408">
        <v>2053.2998428811493</v>
      </c>
      <c r="AM340" s="408"/>
      <c r="AN340" s="408">
        <v>337.06628786819573</v>
      </c>
      <c r="AO340" s="408">
        <v>1259.7017520020579</v>
      </c>
      <c r="AP340" s="408">
        <v>4125.3529114986277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120.53082180410183</v>
      </c>
      <c r="BF340" s="408">
        <v>1044.0165685601023</v>
      </c>
      <c r="BG340" s="408">
        <v>4036.0664032423292</v>
      </c>
      <c r="BH340" s="408">
        <v>0</v>
      </c>
      <c r="BI340" s="408">
        <v>197.53</v>
      </c>
      <c r="BJ340" s="408">
        <v>820.3</v>
      </c>
      <c r="BK340" s="408">
        <v>59164.18</v>
      </c>
      <c r="BL340" s="408">
        <v>257</v>
      </c>
      <c r="BM340" s="408"/>
      <c r="BN340" s="408"/>
      <c r="BO340" s="408"/>
      <c r="BP340" s="408"/>
      <c r="BQ340" s="408"/>
      <c r="BR340" s="408"/>
      <c r="BS340" s="408"/>
      <c r="BT340" s="408"/>
      <c r="BU340" s="408"/>
      <c r="BV340" s="408">
        <v>40160.304051441992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113285.0125</v>
      </c>
      <c r="CJ340" s="408">
        <v>-36755.967400000009</v>
      </c>
      <c r="CK340" s="408"/>
      <c r="CL340" s="408"/>
      <c r="CM340" s="408"/>
      <c r="CN340" s="408"/>
      <c r="CO340" s="408">
        <v>-41361.465940000009</v>
      </c>
      <c r="CP340" s="408">
        <v>4603.4427399999995</v>
      </c>
      <c r="CQ340" s="408"/>
      <c r="CR340" s="408">
        <v>5063.1089922772226</v>
      </c>
      <c r="CS340" s="408">
        <v>122.30908167908979</v>
      </c>
      <c r="CT340" s="408">
        <v>400.54570489054913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-143.40473818867486</v>
      </c>
      <c r="DA340" s="408">
        <v>0</v>
      </c>
      <c r="DB340" s="408">
        <v>0</v>
      </c>
      <c r="DC340" s="408">
        <v>4487.462620919192</v>
      </c>
      <c r="DD340" s="408">
        <v>134.01106510042837</v>
      </c>
      <c r="DE340" s="408">
        <v>15.471463091505171</v>
      </c>
      <c r="DF340" s="408">
        <v>0</v>
      </c>
      <c r="DG340" s="408">
        <v>518.07372967321044</v>
      </c>
      <c r="DH340" s="408">
        <v>0</v>
      </c>
      <c r="DI340" s="408">
        <v>-388.24548767970191</v>
      </c>
      <c r="DJ340" s="408"/>
      <c r="DK340" s="408">
        <v>0</v>
      </c>
      <c r="DL340" s="408">
        <v>0</v>
      </c>
      <c r="DM340" s="408">
        <v>-19.548353946464658</v>
      </c>
      <c r="DN340" s="408">
        <v>0</v>
      </c>
      <c r="DO340" s="408">
        <v>-53.179756710118909</v>
      </c>
      <c r="DP340" s="408">
        <v>-10.386336551806039</v>
      </c>
      <c r="DQ340" s="408">
        <v>0</v>
      </c>
      <c r="DR340" s="408">
        <v>0</v>
      </c>
      <c r="DS340" s="408"/>
      <c r="DT340" s="408"/>
      <c r="DU340" s="408"/>
      <c r="DV340" s="408">
        <v>78994.0770367847</v>
      </c>
      <c r="DW340" s="408">
        <v>0</v>
      </c>
      <c r="DX340" s="408">
        <v>0</v>
      </c>
      <c r="DY340" s="408">
        <v>-41361.465940000009</v>
      </c>
      <c r="DZ340" s="408">
        <v>4603.4427400000059</v>
      </c>
      <c r="EA340" s="408">
        <v>0</v>
      </c>
      <c r="EB340" s="408">
        <v>0</v>
      </c>
      <c r="EC340" s="408">
        <v>-41823.175882549658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0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239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342</v>
      </c>
      <c r="B341" s="408" t="s">
        <v>2236</v>
      </c>
      <c r="C341" s="408" t="s">
        <v>2233</v>
      </c>
      <c r="D341" s="408" t="s">
        <v>1956</v>
      </c>
      <c r="E341" s="408" t="s">
        <v>2244</v>
      </c>
      <c r="F341" s="408" t="s">
        <v>1320</v>
      </c>
      <c r="G341" s="408" t="s">
        <v>1320</v>
      </c>
      <c r="H341" s="408" t="s">
        <v>1320</v>
      </c>
      <c r="I341" s="408" t="s">
        <v>1320</v>
      </c>
      <c r="J341" s="408" t="s">
        <v>2234</v>
      </c>
      <c r="K341" s="827">
        <v>44531</v>
      </c>
      <c r="L341" s="408">
        <v>0</v>
      </c>
      <c r="M341" s="408">
        <v>0</v>
      </c>
      <c r="N341" s="408">
        <v>0.1</v>
      </c>
      <c r="O341" s="408">
        <v>0.1</v>
      </c>
      <c r="P341" s="408">
        <v>0.1</v>
      </c>
      <c r="Q341" s="408">
        <v>0.1</v>
      </c>
      <c r="R341" s="408"/>
      <c r="S341" s="408">
        <v>516.83000000000004</v>
      </c>
      <c r="T341" s="408">
        <v>173.82</v>
      </c>
      <c r="U341" s="408"/>
      <c r="V341" s="408">
        <v>69.065000000000012</v>
      </c>
      <c r="W341" s="408">
        <v>69.065000000000012</v>
      </c>
      <c r="X341" s="408">
        <v>52.144999999999996</v>
      </c>
      <c r="Y341" s="408">
        <v>0</v>
      </c>
      <c r="Z341" s="408">
        <v>6.1149455758023699</v>
      </c>
      <c r="AA341" s="408">
        <v>0</v>
      </c>
      <c r="AB341" s="408">
        <v>0</v>
      </c>
      <c r="AC341" s="408">
        <v>0.27184440733908705</v>
      </c>
      <c r="AD341" s="408">
        <v>3.4426611522066</v>
      </c>
      <c r="AE341" s="408">
        <v>36.361579516669899</v>
      </c>
      <c r="AF341" s="408">
        <v>16.0922135541439</v>
      </c>
      <c r="AG341" s="408">
        <v>0.80958653920667301</v>
      </c>
      <c r="AH341" s="408">
        <v>0</v>
      </c>
      <c r="AI341" s="408">
        <v>0</v>
      </c>
      <c r="AJ341" s="408">
        <v>0</v>
      </c>
      <c r="AK341" s="408">
        <v>0</v>
      </c>
      <c r="AL341" s="408">
        <v>0.94514966576192405</v>
      </c>
      <c r="AM341" s="408"/>
      <c r="AN341" s="408">
        <v>0.155154197484969</v>
      </c>
      <c r="AO341" s="408">
        <v>0.57985037791354399</v>
      </c>
      <c r="AP341" s="408">
        <v>1.8989315851608901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5.5481261705210609E-2</v>
      </c>
      <c r="BF341" s="408">
        <v>0.48056883374612297</v>
      </c>
      <c r="BG341" s="408">
        <v>1.8578323206145702</v>
      </c>
      <c r="BH341" s="408">
        <v>0</v>
      </c>
      <c r="BI341" s="408">
        <v>0.09</v>
      </c>
      <c r="BJ341" s="408">
        <v>0.37</v>
      </c>
      <c r="BK341" s="408">
        <v>121.37</v>
      </c>
      <c r="BL341" s="408">
        <v>1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18.486095970209803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52.144999999999996</v>
      </c>
      <c r="CJ341" s="408">
        <v>-16.950000000000017</v>
      </c>
      <c r="CK341" s="408"/>
      <c r="CL341" s="408"/>
      <c r="CM341" s="408"/>
      <c r="CN341" s="408"/>
      <c r="CO341" s="408">
        <v>-19.039000000000005</v>
      </c>
      <c r="CP341" s="408">
        <v>2.1189999999999998</v>
      </c>
      <c r="CQ341" s="408"/>
      <c r="CR341" s="408">
        <v>2.3305879014008113</v>
      </c>
      <c r="CS341" s="408">
        <v>5.6299808364292048E-2</v>
      </c>
      <c r="CT341" s="408">
        <v>0.1843742600050402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-6.6010300851879755E-2</v>
      </c>
      <c r="DA341" s="408">
        <v>0</v>
      </c>
      <c r="DB341" s="408">
        <v>0</v>
      </c>
      <c r="DC341" s="408">
        <v>2.0656134616606003</v>
      </c>
      <c r="DD341" s="408">
        <v>6.1686321083209095E-2</v>
      </c>
      <c r="DE341" s="408">
        <v>7.1216331216709047E-3</v>
      </c>
      <c r="DF341" s="408">
        <v>0</v>
      </c>
      <c r="DG341" s="408">
        <v>0.23847331121088988</v>
      </c>
      <c r="DH341" s="408">
        <v>0</v>
      </c>
      <c r="DI341" s="408">
        <v>-0.17871237568456966</v>
      </c>
      <c r="DJ341" s="408"/>
      <c r="DK341" s="408">
        <v>0</v>
      </c>
      <c r="DL341" s="408">
        <v>0</v>
      </c>
      <c r="DM341" s="408">
        <v>-8.9982572505200586E-3</v>
      </c>
      <c r="DN341" s="408">
        <v>0</v>
      </c>
      <c r="DO341" s="408">
        <v>-2.4479049883597059E-2</v>
      </c>
      <c r="DP341" s="408">
        <v>-4.780910374324987E-3</v>
      </c>
      <c r="DQ341" s="408">
        <v>0</v>
      </c>
      <c r="DR341" s="408">
        <v>0</v>
      </c>
      <c r="DS341" s="408"/>
      <c r="DT341" s="408"/>
      <c r="DU341" s="408"/>
      <c r="DV341" s="408">
        <v>36.361579516669899</v>
      </c>
      <c r="DW341" s="408">
        <v>0</v>
      </c>
      <c r="DX341" s="408">
        <v>0</v>
      </c>
      <c r="DY341" s="408">
        <v>-19.039000000000009</v>
      </c>
      <c r="DZ341" s="408">
        <v>2.1189999999999998</v>
      </c>
      <c r="EA341" s="408">
        <v>0</v>
      </c>
      <c r="EB341" s="408">
        <v>0</v>
      </c>
      <c r="EC341" s="408">
        <v>-19.251528627707597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239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343</v>
      </c>
      <c r="B342" s="408" t="s">
        <v>1034</v>
      </c>
      <c r="C342" s="408" t="s">
        <v>2245</v>
      </c>
      <c r="D342" s="408" t="s">
        <v>596</v>
      </c>
      <c r="E342" s="408" t="s">
        <v>2244</v>
      </c>
      <c r="F342" s="408" t="s">
        <v>1320</v>
      </c>
      <c r="G342" s="408" t="s">
        <v>1320</v>
      </c>
      <c r="H342" s="408" t="s">
        <v>1320</v>
      </c>
      <c r="I342" s="408" t="s">
        <v>971</v>
      </c>
      <c r="J342" s="408" t="s">
        <v>2234</v>
      </c>
      <c r="K342" s="827">
        <v>44531</v>
      </c>
      <c r="L342" s="408">
        <v>440</v>
      </c>
      <c r="M342" s="408">
        <v>440</v>
      </c>
      <c r="N342" s="408">
        <v>24.675000000000001</v>
      </c>
      <c r="O342" s="408">
        <v>24.675000000000001</v>
      </c>
      <c r="P342" s="408">
        <v>24.675000000000001</v>
      </c>
      <c r="Q342" s="408">
        <v>24.675000000000001</v>
      </c>
      <c r="R342" s="408">
        <v>67.099999999999994</v>
      </c>
      <c r="S342" s="408">
        <v>70.33</v>
      </c>
      <c r="T342" s="408">
        <v>173.82</v>
      </c>
      <c r="U342" s="408">
        <v>29523.999999999996</v>
      </c>
      <c r="V342" s="408">
        <v>6024.4012499999999</v>
      </c>
      <c r="W342" s="408">
        <v>35548.401249999995</v>
      </c>
      <c r="X342" s="408">
        <v>25019.942750000002</v>
      </c>
      <c r="Y342" s="408">
        <v>0</v>
      </c>
      <c r="Z342" s="408">
        <v>1312.7106541214364</v>
      </c>
      <c r="AA342" s="408">
        <v>0</v>
      </c>
      <c r="AB342" s="408">
        <v>0</v>
      </c>
      <c r="AC342" s="408">
        <v>329.30395789898023</v>
      </c>
      <c r="AD342" s="408">
        <v>5023.5825818795756</v>
      </c>
      <c r="AE342" s="408">
        <v>21191.19101107831</v>
      </c>
      <c r="AF342" s="408">
        <v>3970.7536944850071</v>
      </c>
      <c r="AG342" s="408">
        <v>199.76547854924655</v>
      </c>
      <c r="AH342" s="408">
        <v>0</v>
      </c>
      <c r="AI342" s="408">
        <v>0</v>
      </c>
      <c r="AJ342" s="408">
        <v>0</v>
      </c>
      <c r="AK342" s="408">
        <v>0</v>
      </c>
      <c r="AL342" s="408">
        <v>233.21568002675474</v>
      </c>
      <c r="AM342" s="408"/>
      <c r="AN342" s="408">
        <v>30.664379175623402</v>
      </c>
      <c r="AO342" s="408">
        <v>707.21213380757717</v>
      </c>
      <c r="AP342" s="408">
        <v>2274.0507542624432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0</v>
      </c>
      <c r="BE342" s="408">
        <v>4.604197689382338</v>
      </c>
      <c r="BF342" s="408">
        <v>118.58035972685585</v>
      </c>
      <c r="BG342" s="408">
        <v>154.17506767028118</v>
      </c>
      <c r="BH342" s="408">
        <v>0</v>
      </c>
      <c r="BI342" s="408">
        <v>0</v>
      </c>
      <c r="BJ342" s="408">
        <v>0</v>
      </c>
      <c r="BK342" s="408">
        <v>0</v>
      </c>
      <c r="BL342" s="408">
        <v>0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4248.1133195715265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25021.264399999996</v>
      </c>
      <c r="CJ342" s="408">
        <v>-10527.166849999998</v>
      </c>
      <c r="CK342" s="408"/>
      <c r="CL342" s="408"/>
      <c r="CM342" s="408"/>
      <c r="CN342" s="408"/>
      <c r="CO342" s="408">
        <v>-11051.321749999997</v>
      </c>
      <c r="CP342" s="408">
        <v>522.86324999999999</v>
      </c>
      <c r="CQ342" s="408"/>
      <c r="CR342" s="408">
        <v>690.86082148889363</v>
      </c>
      <c r="CS342" s="408">
        <v>68.665830225955688</v>
      </c>
      <c r="CT342" s="408">
        <v>220.79596142772107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-96.323217105324147</v>
      </c>
      <c r="DA342" s="408">
        <v>0</v>
      </c>
      <c r="DB342" s="408">
        <v>0</v>
      </c>
      <c r="DC342" s="408">
        <v>509.69012166475295</v>
      </c>
      <c r="DD342" s="408">
        <v>15.221099727281853</v>
      </c>
      <c r="DE342" s="408">
        <v>0.59099965926598408</v>
      </c>
      <c r="DF342" s="408">
        <v>0</v>
      </c>
      <c r="DG342" s="408">
        <v>19.790073886394993</v>
      </c>
      <c r="DH342" s="408">
        <v>0</v>
      </c>
      <c r="DI342" s="408">
        <v>-38.364632469146954</v>
      </c>
      <c r="DJ342" s="408"/>
      <c r="DK342" s="408">
        <v>0</v>
      </c>
      <c r="DL342" s="408">
        <v>0</v>
      </c>
      <c r="DM342" s="408">
        <v>-2.2203199765658042</v>
      </c>
      <c r="DN342" s="408">
        <v>0</v>
      </c>
      <c r="DO342" s="408">
        <v>-6.0402055587775578</v>
      </c>
      <c r="DP342" s="408">
        <v>-0.94488999266161855</v>
      </c>
      <c r="DQ342" s="408">
        <v>0</v>
      </c>
      <c r="DR342" s="408">
        <v>0</v>
      </c>
      <c r="DS342" s="408"/>
      <c r="DT342" s="408"/>
      <c r="DU342" s="408">
        <v>21191.19101107831</v>
      </c>
      <c r="DV342" s="408">
        <v>0</v>
      </c>
      <c r="DW342" s="408">
        <v>0</v>
      </c>
      <c r="DX342" s="408">
        <v>0</v>
      </c>
      <c r="DY342" s="408">
        <v>-11051.321749999996</v>
      </c>
      <c r="DZ342" s="408">
        <v>522.86325000000033</v>
      </c>
      <c r="EA342" s="408">
        <v>0</v>
      </c>
      <c r="EB342" s="408">
        <v>0</v>
      </c>
      <c r="EC342" s="408">
        <v>-11219.612179332438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239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344</v>
      </c>
      <c r="B343" s="408" t="s">
        <v>1034</v>
      </c>
      <c r="C343" s="408" t="s">
        <v>2245</v>
      </c>
      <c r="D343" s="408" t="s">
        <v>596</v>
      </c>
      <c r="E343" s="408" t="s">
        <v>2244</v>
      </c>
      <c r="F343" s="408" t="s">
        <v>1320</v>
      </c>
      <c r="G343" s="408" t="s">
        <v>1320</v>
      </c>
      <c r="H343" s="408" t="s">
        <v>1320</v>
      </c>
      <c r="I343" s="408" t="s">
        <v>2242</v>
      </c>
      <c r="J343" s="408" t="s">
        <v>2234</v>
      </c>
      <c r="K343" s="827">
        <v>44531</v>
      </c>
      <c r="L343" s="408">
        <v>510</v>
      </c>
      <c r="M343" s="408">
        <v>510</v>
      </c>
      <c r="N343" s="408">
        <v>162.86099999999999</v>
      </c>
      <c r="O343" s="408">
        <v>162.86099999999999</v>
      </c>
      <c r="P343" s="408">
        <v>162.86099999999999</v>
      </c>
      <c r="Q343" s="408">
        <v>162.86099999999999</v>
      </c>
      <c r="R343" s="408">
        <v>59.12</v>
      </c>
      <c r="S343" s="408">
        <v>70.33</v>
      </c>
      <c r="T343" s="408">
        <v>173.82</v>
      </c>
      <c r="U343" s="408">
        <v>30151.199999999997</v>
      </c>
      <c r="V343" s="408">
        <v>39762.513149999999</v>
      </c>
      <c r="W343" s="408">
        <v>69913.713149999996</v>
      </c>
      <c r="X343" s="408">
        <v>60404.348129999998</v>
      </c>
      <c r="Y343" s="408">
        <v>0</v>
      </c>
      <c r="Z343" s="408">
        <v>8664.2095173605358</v>
      </c>
      <c r="AA343" s="408">
        <v>0</v>
      </c>
      <c r="AB343" s="408">
        <v>0</v>
      </c>
      <c r="AC343" s="408">
        <v>291.75078530017782</v>
      </c>
      <c r="AD343" s="408">
        <v>2609.6815518648696</v>
      </c>
      <c r="AE343" s="408">
        <v>24562.516853749858</v>
      </c>
      <c r="AF343" s="408">
        <v>26207.939916414292</v>
      </c>
      <c r="AG343" s="408">
        <v>1318.5007336173794</v>
      </c>
      <c r="AH343" s="408">
        <v>0</v>
      </c>
      <c r="AI343" s="408">
        <v>0</v>
      </c>
      <c r="AJ343" s="408">
        <v>0</v>
      </c>
      <c r="AK343" s="408">
        <v>0</v>
      </c>
      <c r="AL343" s="408">
        <v>1539.2801971565268</v>
      </c>
      <c r="AM343" s="408"/>
      <c r="AN343" s="408">
        <v>202.39235894310852</v>
      </c>
      <c r="AO343" s="408">
        <v>616.11677900193058</v>
      </c>
      <c r="AP343" s="408">
        <v>2071.1038106501692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0</v>
      </c>
      <c r="BE343" s="408">
        <v>30.388824311671602</v>
      </c>
      <c r="BF343" s="408">
        <v>782.65920832727329</v>
      </c>
      <c r="BG343" s="408">
        <v>1017.5929360020126</v>
      </c>
      <c r="BH343" s="408">
        <v>0</v>
      </c>
      <c r="BI343" s="408">
        <v>0</v>
      </c>
      <c r="BJ343" s="408">
        <v>0</v>
      </c>
      <c r="BK343" s="408">
        <v>0</v>
      </c>
      <c r="BL343" s="408">
        <v>0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>
        <v>28038.580885055249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60404.0838</v>
      </c>
      <c r="CJ343" s="408">
        <v>-9509.6593499999799</v>
      </c>
      <c r="CK343" s="408"/>
      <c r="CL343" s="408"/>
      <c r="CM343" s="408"/>
      <c r="CN343" s="408"/>
      <c r="CO343" s="408">
        <v>-12960.389609999998</v>
      </c>
      <c r="CP343" s="408">
        <v>3451.0245899999995</v>
      </c>
      <c r="CQ343" s="408"/>
      <c r="CR343" s="408">
        <v>3495.9614218749339</v>
      </c>
      <c r="CS343" s="408">
        <v>59.82104678908172</v>
      </c>
      <c r="CT343" s="408">
        <v>201.09109536450615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-50.038576772446049</v>
      </c>
      <c r="DA343" s="408">
        <v>0</v>
      </c>
      <c r="DB343" s="408">
        <v>0</v>
      </c>
      <c r="DC343" s="408">
        <v>3364.0787397950735</v>
      </c>
      <c r="DD343" s="408">
        <v>100.46295937932507</v>
      </c>
      <c r="DE343" s="408">
        <v>3.9007414592793346</v>
      </c>
      <c r="DF343" s="408">
        <v>0</v>
      </c>
      <c r="DG343" s="408">
        <v>130.61929982622803</v>
      </c>
      <c r="DH343" s="408">
        <v>0</v>
      </c>
      <c r="DI343" s="408">
        <v>-253.21590308238046</v>
      </c>
      <c r="DJ343" s="408"/>
      <c r="DK343" s="408">
        <v>0</v>
      </c>
      <c r="DL343" s="408">
        <v>0</v>
      </c>
      <c r="DM343" s="408">
        <v>-14.654651740769168</v>
      </c>
      <c r="DN343" s="408">
        <v>0</v>
      </c>
      <c r="DO343" s="408">
        <v>-39.866825430924791</v>
      </c>
      <c r="DP343" s="408">
        <v>-6.2365037120512454</v>
      </c>
      <c r="DQ343" s="408">
        <v>0</v>
      </c>
      <c r="DR343" s="408">
        <v>0</v>
      </c>
      <c r="DS343" s="408"/>
      <c r="DT343" s="408"/>
      <c r="DU343" s="408">
        <v>24562.516853749858</v>
      </c>
      <c r="DV343" s="408">
        <v>0</v>
      </c>
      <c r="DW343" s="408">
        <v>0</v>
      </c>
      <c r="DX343" s="408">
        <v>0</v>
      </c>
      <c r="DY343" s="408">
        <v>-12960.389609999995</v>
      </c>
      <c r="DZ343" s="408">
        <v>3451.0245900000009</v>
      </c>
      <c r="EA343" s="408">
        <v>0</v>
      </c>
      <c r="EB343" s="408">
        <v>0</v>
      </c>
      <c r="EC343" s="408">
        <v>-13004.550480589869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239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345</v>
      </c>
      <c r="B344" s="408" t="s">
        <v>1034</v>
      </c>
      <c r="C344" s="408" t="s">
        <v>2245</v>
      </c>
      <c r="D344" s="408" t="s">
        <v>596</v>
      </c>
      <c r="E344" s="408" t="s">
        <v>2244</v>
      </c>
      <c r="F344" s="408" t="s">
        <v>1320</v>
      </c>
      <c r="G344" s="408" t="s">
        <v>1320</v>
      </c>
      <c r="H344" s="408" t="s">
        <v>1320</v>
      </c>
      <c r="I344" s="408" t="s">
        <v>1320</v>
      </c>
      <c r="J344" s="408" t="s">
        <v>2234</v>
      </c>
      <c r="K344" s="827">
        <v>44531</v>
      </c>
      <c r="L344" s="408">
        <v>0</v>
      </c>
      <c r="M344" s="408">
        <v>0</v>
      </c>
      <c r="N344" s="408">
        <v>0</v>
      </c>
      <c r="O344" s="408">
        <v>0</v>
      </c>
      <c r="P344" s="408">
        <v>0</v>
      </c>
      <c r="Q344" s="408">
        <v>0</v>
      </c>
      <c r="R344" s="408"/>
      <c r="S344" s="408"/>
      <c r="T344" s="408"/>
      <c r="U344" s="408"/>
      <c r="V344" s="408"/>
      <c r="W344" s="408"/>
      <c r="X344" s="408"/>
      <c r="Y344" s="408"/>
      <c r="Z344" s="408"/>
      <c r="AA344" s="408">
        <v>0</v>
      </c>
      <c r="AB344" s="408"/>
      <c r="AC344" s="408"/>
      <c r="AD344" s="408"/>
      <c r="AE344" s="408"/>
      <c r="AF344" s="408"/>
      <c r="AG344" s="408"/>
      <c r="AH344" s="408"/>
      <c r="AI344" s="408"/>
      <c r="AJ344" s="408"/>
      <c r="AK344" s="408"/>
      <c r="AL344" s="408"/>
      <c r="AM344" s="408"/>
      <c r="AN344" s="408"/>
      <c r="AO344" s="408"/>
      <c r="AP344" s="408"/>
      <c r="AQ344" s="408"/>
      <c r="AR344" s="408"/>
      <c r="AS344" s="408"/>
      <c r="AT344" s="408"/>
      <c r="AU344" s="408"/>
      <c r="AV344" s="408"/>
      <c r="AW344" s="408"/>
      <c r="AX344" s="408"/>
      <c r="AY344" s="408"/>
      <c r="AZ344" s="408">
        <v>0</v>
      </c>
      <c r="BA344" s="408"/>
      <c r="BB344" s="408"/>
      <c r="BC344" s="408"/>
      <c r="BD344" s="408"/>
      <c r="BE344" s="408"/>
      <c r="BF344" s="408"/>
      <c r="BG344" s="408"/>
      <c r="BH344" s="408"/>
      <c r="BI344" s="408">
        <v>161.63999999999999</v>
      </c>
      <c r="BJ344" s="408">
        <v>666.74</v>
      </c>
      <c r="BK344" s="408">
        <v>0</v>
      </c>
      <c r="BL344" s="408">
        <v>1</v>
      </c>
      <c r="BM344" s="408"/>
      <c r="BN344" s="408"/>
      <c r="BO344" s="408"/>
      <c r="BP344" s="408"/>
      <c r="BQ344" s="408"/>
      <c r="BR344" s="408"/>
      <c r="BS344" s="408"/>
      <c r="BT344" s="408"/>
      <c r="BU344" s="408"/>
      <c r="BV344" s="408"/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/>
      <c r="CJ344" s="408">
        <v>-0.03</v>
      </c>
      <c r="CK344" s="408"/>
      <c r="CL344" s="408"/>
      <c r="CM344" s="408"/>
      <c r="CN344" s="408"/>
      <c r="CO344" s="408">
        <v>0</v>
      </c>
      <c r="CP344" s="408">
        <v>0</v>
      </c>
      <c r="CQ344" s="408"/>
      <c r="CR344" s="408"/>
      <c r="CS344" s="408"/>
      <c r="CT344" s="408"/>
      <c r="CU344" s="408"/>
      <c r="CV344" s="408"/>
      <c r="CW344" s="408"/>
      <c r="CX344" s="408"/>
      <c r="CY344" s="408"/>
      <c r="CZ344" s="408"/>
      <c r="DA344" s="408"/>
      <c r="DB344" s="408"/>
      <c r="DC344" s="408"/>
      <c r="DD344" s="408"/>
      <c r="DE344" s="408"/>
      <c r="DF344" s="408"/>
      <c r="DG344" s="408"/>
      <c r="DH344" s="408"/>
      <c r="DI344" s="408"/>
      <c r="DJ344" s="408"/>
      <c r="DK344" s="408">
        <v>0</v>
      </c>
      <c r="DL344" s="408"/>
      <c r="DM344" s="408"/>
      <c r="DN344" s="408"/>
      <c r="DO344" s="408"/>
      <c r="DP344" s="408"/>
      <c r="DQ344" s="408"/>
      <c r="DR344" s="408"/>
      <c r="DS344" s="408"/>
      <c r="DT344" s="408"/>
      <c r="DU344" s="408"/>
      <c r="DV344" s="408"/>
      <c r="DW344" s="408"/>
      <c r="DX344" s="408"/>
      <c r="DY344" s="408"/>
      <c r="DZ344" s="408"/>
      <c r="EA344" s="408"/>
      <c r="EB344" s="408"/>
      <c r="EC344" s="408"/>
      <c r="ED344" s="408"/>
      <c r="EE344" s="408"/>
      <c r="EF344" s="408"/>
      <c r="EG344" s="408"/>
      <c r="EH344" s="408"/>
      <c r="EI344" s="408"/>
      <c r="EJ344" s="408"/>
      <c r="EK344" s="408"/>
      <c r="EL344" s="408"/>
      <c r="EM344" s="408"/>
      <c r="EN344" s="408"/>
      <c r="EO344" s="408"/>
      <c r="EP344" s="408"/>
      <c r="EQ344" s="408"/>
      <c r="ER344" s="408"/>
      <c r="ES344" s="408"/>
      <c r="ET344" s="408"/>
      <c r="EU344" s="408"/>
      <c r="EV344" s="408">
        <v>239</v>
      </c>
      <c r="EW344" s="408"/>
      <c r="EX344" s="408"/>
      <c r="EY344" s="408"/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346</v>
      </c>
      <c r="B345" s="408" t="s">
        <v>1034</v>
      </c>
      <c r="C345" s="408" t="s">
        <v>2233</v>
      </c>
      <c r="D345" s="408" t="s">
        <v>2246</v>
      </c>
      <c r="E345" s="408" t="s">
        <v>2247</v>
      </c>
      <c r="F345" s="408" t="s">
        <v>2248</v>
      </c>
      <c r="G345" s="408" t="s">
        <v>1320</v>
      </c>
      <c r="H345" s="408" t="s">
        <v>1320</v>
      </c>
      <c r="I345" s="408" t="s">
        <v>1320</v>
      </c>
      <c r="J345" s="408" t="s">
        <v>2234</v>
      </c>
      <c r="K345" s="827">
        <v>44531</v>
      </c>
      <c r="L345" s="408">
        <v>0</v>
      </c>
      <c r="M345" s="408">
        <v>0</v>
      </c>
      <c r="N345" s="408">
        <v>298.56299999999999</v>
      </c>
      <c r="O345" s="408">
        <v>298.56299999999999</v>
      </c>
      <c r="P345" s="408">
        <v>298.56299999999999</v>
      </c>
      <c r="Q345" s="408">
        <v>298.56299999999999</v>
      </c>
      <c r="R345" s="408"/>
      <c r="S345" s="408">
        <v>284.26</v>
      </c>
      <c r="T345" s="408">
        <v>95.6</v>
      </c>
      <c r="U345" s="408"/>
      <c r="V345" s="408">
        <v>113412.14117999999</v>
      </c>
      <c r="W345" s="408">
        <v>113412.14117999999</v>
      </c>
      <c r="X345" s="408">
        <v>85624.882769999997</v>
      </c>
      <c r="Y345" s="408">
        <v>0</v>
      </c>
      <c r="Z345" s="408">
        <v>10041.330727715576</v>
      </c>
      <c r="AA345" s="408">
        <v>0</v>
      </c>
      <c r="AB345" s="408">
        <v>0</v>
      </c>
      <c r="AC345" s="408">
        <v>446.39474983608949</v>
      </c>
      <c r="AD345" s="408">
        <v>5653.181828724425</v>
      </c>
      <c r="AE345" s="408">
        <v>59709.222458795201</v>
      </c>
      <c r="AF345" s="408">
        <v>26424.967554512303</v>
      </c>
      <c r="AG345" s="408">
        <v>1329.4192224783901</v>
      </c>
      <c r="AH345" s="408">
        <v>0</v>
      </c>
      <c r="AI345" s="408">
        <v>0</v>
      </c>
      <c r="AJ345" s="408">
        <v>0</v>
      </c>
      <c r="AK345" s="408">
        <v>0</v>
      </c>
      <c r="AL345" s="408">
        <v>1552.0269581238247</v>
      </c>
      <c r="AM345" s="408"/>
      <c r="AN345" s="408">
        <v>254.77816465037714</v>
      </c>
      <c r="AO345" s="408">
        <v>952.17027609550723</v>
      </c>
      <c r="AP345" s="408">
        <v>3118.2289097321504</v>
      </c>
      <c r="AQ345" s="408">
        <v>0</v>
      </c>
      <c r="AR345" s="408">
        <v>0</v>
      </c>
      <c r="AS345" s="408">
        <v>0</v>
      </c>
      <c r="AT345" s="408">
        <v>0</v>
      </c>
      <c r="AU345" s="408">
        <v>0</v>
      </c>
      <c r="AV345" s="408">
        <v>0</v>
      </c>
      <c r="AW345" s="408">
        <v>0</v>
      </c>
      <c r="AX345" s="408">
        <v>0</v>
      </c>
      <c r="AY345" s="408">
        <v>0</v>
      </c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91.105585661710265</v>
      </c>
      <c r="BF345" s="408">
        <v>789.14039990359151</v>
      </c>
      <c r="BG345" s="408">
        <v>3050.7399512680527</v>
      </c>
      <c r="BH345" s="408">
        <v>0</v>
      </c>
      <c r="BI345" s="408">
        <v>176.54</v>
      </c>
      <c r="BJ345" s="408">
        <v>728.56</v>
      </c>
      <c r="BK345" s="408">
        <v>32231.37</v>
      </c>
      <c r="BL345" s="408">
        <v>15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>
        <v>30355.953491345655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85624.022400000002</v>
      </c>
      <c r="CJ345" s="408">
        <v>-27788.148779999974</v>
      </c>
      <c r="CK345" s="408"/>
      <c r="CL345" s="408"/>
      <c r="CM345" s="408"/>
      <c r="CN345" s="408"/>
      <c r="CO345" s="408">
        <v>-31265.517359999998</v>
      </c>
      <c r="CP345" s="408">
        <v>3478.2589500000017</v>
      </c>
      <c r="CQ345" s="408"/>
      <c r="CR345" s="408">
        <v>3827.0502358324957</v>
      </c>
      <c r="CS345" s="408">
        <v>92.449718265675983</v>
      </c>
      <c r="CT345" s="408">
        <v>302.76032704436057</v>
      </c>
      <c r="CU345" s="408">
        <v>0</v>
      </c>
      <c r="CV345" s="408">
        <v>0</v>
      </c>
      <c r="CW345" s="408">
        <v>0</v>
      </c>
      <c r="CX345" s="408">
        <v>0</v>
      </c>
      <c r="CY345" s="408">
        <v>0</v>
      </c>
      <c r="CZ345" s="408">
        <v>-108.39528399280789</v>
      </c>
      <c r="DA345" s="408">
        <v>0</v>
      </c>
      <c r="DB345" s="408">
        <v>0</v>
      </c>
      <c r="DC345" s="408">
        <v>3391.9366357456347</v>
      </c>
      <c r="DD345" s="408">
        <v>101.29489194861378</v>
      </c>
      <c r="DE345" s="408">
        <v>11.694408823379874</v>
      </c>
      <c r="DF345" s="408">
        <v>0</v>
      </c>
      <c r="DG345" s="408">
        <v>391.59618968281484</v>
      </c>
      <c r="DH345" s="408">
        <v>0</v>
      </c>
      <c r="DI345" s="408">
        <v>-293.4629666183373</v>
      </c>
      <c r="DJ345" s="408"/>
      <c r="DK345" s="408">
        <v>0</v>
      </c>
      <c r="DL345" s="408">
        <v>0</v>
      </c>
      <c r="DM345" s="408">
        <v>-14.776006737178704</v>
      </c>
      <c r="DN345" s="408">
        <v>0</v>
      </c>
      <c r="DO345" s="408">
        <v>-40.196962137179071</v>
      </c>
      <c r="DP345" s="408">
        <v>-7.8507161924932234</v>
      </c>
      <c r="DQ345" s="408">
        <v>0</v>
      </c>
      <c r="DR345" s="408">
        <v>0</v>
      </c>
      <c r="DS345" s="408"/>
      <c r="DT345" s="408"/>
      <c r="DU345" s="408"/>
      <c r="DV345" s="408">
        <v>59709.222458795201</v>
      </c>
      <c r="DW345" s="408">
        <v>0</v>
      </c>
      <c r="DX345" s="408">
        <v>0</v>
      </c>
      <c r="DY345" s="408">
        <v>-31265.517359999998</v>
      </c>
      <c r="DZ345" s="408">
        <v>3478.2589500000031</v>
      </c>
      <c r="EA345" s="408">
        <v>0</v>
      </c>
      <c r="EB345" s="408">
        <v>0</v>
      </c>
      <c r="EC345" s="408">
        <v>-31612.867779208365</v>
      </c>
      <c r="ED345" s="408">
        <v>0</v>
      </c>
      <c r="EE345" s="408">
        <v>0</v>
      </c>
      <c r="EF345" s="408">
        <v>0</v>
      </c>
      <c r="EG345" s="408">
        <v>0</v>
      </c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>
        <v>0</v>
      </c>
      <c r="EN345" s="408">
        <v>0</v>
      </c>
      <c r="EO345" s="408">
        <v>0</v>
      </c>
      <c r="EP345" s="408">
        <v>0</v>
      </c>
      <c r="EQ345" s="408">
        <v>0</v>
      </c>
      <c r="ER345" s="408">
        <v>0</v>
      </c>
      <c r="ES345" s="408">
        <v>0</v>
      </c>
      <c r="ET345" s="408">
        <v>0</v>
      </c>
      <c r="EU345" s="408">
        <v>0</v>
      </c>
      <c r="EV345" s="408">
        <v>239</v>
      </c>
      <c r="EW345" s="408">
        <v>0</v>
      </c>
      <c r="EX345" s="408">
        <v>0</v>
      </c>
      <c r="EY345" s="408">
        <v>0</v>
      </c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347</v>
      </c>
      <c r="B346" s="408" t="s">
        <v>1034</v>
      </c>
      <c r="C346" s="408" t="s">
        <v>2233</v>
      </c>
      <c r="D346" s="408" t="s">
        <v>1956</v>
      </c>
      <c r="E346" s="408" t="s">
        <v>999</v>
      </c>
      <c r="F346" s="408" t="s">
        <v>2249</v>
      </c>
      <c r="G346" s="408" t="s">
        <v>1320</v>
      </c>
      <c r="H346" s="408" t="s">
        <v>1320</v>
      </c>
      <c r="I346" s="408" t="s">
        <v>1320</v>
      </c>
      <c r="J346" s="408" t="s">
        <v>2234</v>
      </c>
      <c r="K346" s="827">
        <v>44531</v>
      </c>
      <c r="L346" s="408">
        <v>0</v>
      </c>
      <c r="M346" s="408">
        <v>0</v>
      </c>
      <c r="N346" s="408">
        <v>11.035</v>
      </c>
      <c r="O346" s="408">
        <v>10.3729</v>
      </c>
      <c r="P346" s="408">
        <v>11.035</v>
      </c>
      <c r="Q346" s="408">
        <v>10.3729</v>
      </c>
      <c r="R346" s="408"/>
      <c r="S346" s="408">
        <v>516.83000000000004</v>
      </c>
      <c r="T346" s="408">
        <v>173.82</v>
      </c>
      <c r="U346" s="408"/>
      <c r="V346" s="408">
        <v>7621.3227500000003</v>
      </c>
      <c r="W346" s="408">
        <v>7621.3227500000003</v>
      </c>
      <c r="X346" s="408">
        <v>5754.20075</v>
      </c>
      <c r="Y346" s="408">
        <v>0</v>
      </c>
      <c r="Z346" s="408">
        <v>674.78424428979156</v>
      </c>
      <c r="AA346" s="408">
        <v>0</v>
      </c>
      <c r="AB346" s="408">
        <v>0</v>
      </c>
      <c r="AC346" s="408">
        <v>29.998030349868252</v>
      </c>
      <c r="AD346" s="408">
        <v>379.89765814599826</v>
      </c>
      <c r="AE346" s="408">
        <v>4012.5002996645235</v>
      </c>
      <c r="AF346" s="408">
        <v>1775.7757656997792</v>
      </c>
      <c r="AG346" s="408">
        <v>89.337874601456363</v>
      </c>
      <c r="AH346" s="408">
        <v>0</v>
      </c>
      <c r="AI346" s="408">
        <v>0</v>
      </c>
      <c r="AJ346" s="408">
        <v>0</v>
      </c>
      <c r="AK346" s="408">
        <v>0</v>
      </c>
      <c r="AL346" s="408">
        <v>104.29726561682831</v>
      </c>
      <c r="AM346" s="408"/>
      <c r="AN346" s="408">
        <v>17.121265692466327</v>
      </c>
      <c r="AO346" s="408">
        <v>63.986489202759579</v>
      </c>
      <c r="AP346" s="408">
        <v>209.54710042250423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6.1223572291699906</v>
      </c>
      <c r="BF346" s="408">
        <v>53.030770803884671</v>
      </c>
      <c r="BG346" s="408">
        <v>205.0117965798178</v>
      </c>
      <c r="BH346" s="408">
        <v>0</v>
      </c>
      <c r="BI346" s="408">
        <v>10.039999999999999</v>
      </c>
      <c r="BJ346" s="408">
        <v>41.59</v>
      </c>
      <c r="BK346" s="408">
        <v>3152.01</v>
      </c>
      <c r="BL346" s="408">
        <v>7</v>
      </c>
      <c r="BM346" s="408"/>
      <c r="BN346" s="408"/>
      <c r="BO346" s="408"/>
      <c r="BP346" s="408"/>
      <c r="BQ346" s="408">
        <v>345.25204500000029</v>
      </c>
      <c r="BR346" s="408"/>
      <c r="BS346" s="408"/>
      <c r="BT346" s="408"/>
      <c r="BU346" s="408"/>
      <c r="BV346" s="408">
        <v>2039.9406903126517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5407.4364999999998</v>
      </c>
      <c r="CJ346" s="408">
        <v>-1756.6368850000008</v>
      </c>
      <c r="CK346" s="408"/>
      <c r="CL346" s="408"/>
      <c r="CM346" s="408"/>
      <c r="CN346" s="408"/>
      <c r="CO346" s="408">
        <v>-2100.9536500000004</v>
      </c>
      <c r="CP346" s="408">
        <v>233.83164999999997</v>
      </c>
      <c r="CQ346" s="408"/>
      <c r="CR346" s="408">
        <v>257.18037491958057</v>
      </c>
      <c r="CS346" s="408">
        <v>6.2126838529996249</v>
      </c>
      <c r="CT346" s="408">
        <v>20.345699591556155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-7.2842366990049072</v>
      </c>
      <c r="DA346" s="408">
        <v>0</v>
      </c>
      <c r="DB346" s="408">
        <v>0</v>
      </c>
      <c r="DC346" s="408">
        <v>227.94044549424734</v>
      </c>
      <c r="DD346" s="408">
        <v>6.8070855315321239</v>
      </c>
      <c r="DE346" s="408">
        <v>0.78587221497638371</v>
      </c>
      <c r="DF346" s="408">
        <v>0</v>
      </c>
      <c r="DG346" s="408">
        <v>26.315529892121731</v>
      </c>
      <c r="DH346" s="408">
        <v>0</v>
      </c>
      <c r="DI346" s="408">
        <v>-19.720910656792398</v>
      </c>
      <c r="DJ346" s="408"/>
      <c r="DK346" s="408">
        <v>0</v>
      </c>
      <c r="DL346" s="408">
        <v>0</v>
      </c>
      <c r="DM346" s="408">
        <v>-0.99295768759488112</v>
      </c>
      <c r="DN346" s="408">
        <v>0</v>
      </c>
      <c r="DO346" s="408">
        <v>-2.7012631546549244</v>
      </c>
      <c r="DP346" s="408">
        <v>-0.52757345980676362</v>
      </c>
      <c r="DQ346" s="408">
        <v>0</v>
      </c>
      <c r="DR346" s="408">
        <v>0</v>
      </c>
      <c r="DS346" s="408"/>
      <c r="DT346" s="408"/>
      <c r="DU346" s="408"/>
      <c r="DV346" s="408">
        <v>4012.5002996645235</v>
      </c>
      <c r="DW346" s="408">
        <v>0</v>
      </c>
      <c r="DX346" s="408">
        <v>0</v>
      </c>
      <c r="DY346" s="408">
        <v>-2100.9536500000004</v>
      </c>
      <c r="DZ346" s="408">
        <v>233.83164999999985</v>
      </c>
      <c r="EA346" s="408">
        <v>0</v>
      </c>
      <c r="EB346" s="408">
        <v>0</v>
      </c>
      <c r="EC346" s="408">
        <v>-2124.4061840675336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239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348</v>
      </c>
      <c r="B347" s="408" t="s">
        <v>1034</v>
      </c>
      <c r="C347" s="408" t="s">
        <v>2245</v>
      </c>
      <c r="D347" s="408" t="s">
        <v>596</v>
      </c>
      <c r="E347" s="408" t="s">
        <v>999</v>
      </c>
      <c r="F347" s="408" t="s">
        <v>2249</v>
      </c>
      <c r="G347" s="408" t="s">
        <v>1320</v>
      </c>
      <c r="H347" s="408" t="s">
        <v>1320</v>
      </c>
      <c r="I347" s="408" t="s">
        <v>971</v>
      </c>
      <c r="J347" s="408" t="s">
        <v>2234</v>
      </c>
      <c r="K347" s="827">
        <v>44531</v>
      </c>
      <c r="L347" s="408">
        <v>100</v>
      </c>
      <c r="M347" s="408">
        <v>94</v>
      </c>
      <c r="N347" s="408">
        <v>4.7370000000000001</v>
      </c>
      <c r="O347" s="408">
        <v>4.4527799999999997</v>
      </c>
      <c r="P347" s="408">
        <v>4.7370000000000001</v>
      </c>
      <c r="Q347" s="408">
        <v>4.4527799999999997</v>
      </c>
      <c r="R347" s="408">
        <v>67.099999999999994</v>
      </c>
      <c r="S347" s="408">
        <v>70.33</v>
      </c>
      <c r="T347" s="408">
        <v>173.82</v>
      </c>
      <c r="U347" s="408">
        <v>6709.9999999999991</v>
      </c>
      <c r="V347" s="408">
        <v>1156.53855</v>
      </c>
      <c r="W347" s="408">
        <v>7866.5385499999993</v>
      </c>
      <c r="X347" s="408">
        <v>5456.1312100000005</v>
      </c>
      <c r="Y347" s="408">
        <v>0</v>
      </c>
      <c r="Z347" s="408">
        <v>252.00852557541009</v>
      </c>
      <c r="AA347" s="408">
        <v>0</v>
      </c>
      <c r="AB347" s="408">
        <v>0</v>
      </c>
      <c r="AC347" s="408">
        <v>74.841808613404609</v>
      </c>
      <c r="AD347" s="408">
        <v>1141.7233140635399</v>
      </c>
      <c r="AE347" s="408">
        <v>4816.1797752450702</v>
      </c>
      <c r="AF347" s="408">
        <v>762.28815605979651</v>
      </c>
      <c r="AG347" s="408">
        <v>38.350114362220097</v>
      </c>
      <c r="AH347" s="408">
        <v>0</v>
      </c>
      <c r="AI347" s="408">
        <v>0</v>
      </c>
      <c r="AJ347" s="408">
        <v>0</v>
      </c>
      <c r="AK347" s="408">
        <v>0</v>
      </c>
      <c r="AL347" s="408">
        <v>44.771739667142342</v>
      </c>
      <c r="AM347" s="408"/>
      <c r="AN347" s="408">
        <v>5.8868151633202865</v>
      </c>
      <c r="AO347" s="408">
        <v>160.73003041081299</v>
      </c>
      <c r="AP347" s="408">
        <v>516.82971687782799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0.88389400018659103</v>
      </c>
      <c r="BF347" s="408">
        <v>22.764545654553846</v>
      </c>
      <c r="BG347" s="408">
        <v>29.597864054878297</v>
      </c>
      <c r="BH347" s="408">
        <v>0</v>
      </c>
      <c r="BI347" s="408">
        <v>0</v>
      </c>
      <c r="BJ347" s="408">
        <v>0</v>
      </c>
      <c r="BK347" s="408">
        <v>0</v>
      </c>
      <c r="BL347" s="408">
        <v>0</v>
      </c>
      <c r="BM347" s="408"/>
      <c r="BN347" s="408"/>
      <c r="BO347" s="408"/>
      <c r="BP347" s="408"/>
      <c r="BQ347" s="408">
        <v>327.36787260000011</v>
      </c>
      <c r="BR347" s="408"/>
      <c r="BS347" s="408"/>
      <c r="BT347" s="408"/>
      <c r="BU347" s="408"/>
      <c r="BV347" s="408">
        <v>815.53445976941532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5128.0284999999994</v>
      </c>
      <c r="CJ347" s="408">
        <v>-2266.5477370000008</v>
      </c>
      <c r="CK347" s="408"/>
      <c r="CL347" s="408"/>
      <c r="CM347" s="408"/>
      <c r="CN347" s="408"/>
      <c r="CO347" s="408">
        <v>-2510.7843699999994</v>
      </c>
      <c r="CP347" s="408">
        <v>100.37702999999999</v>
      </c>
      <c r="CQ347" s="408"/>
      <c r="CR347" s="408">
        <v>139.44569932313652</v>
      </c>
      <c r="CS347" s="408">
        <v>15.60587050589902</v>
      </c>
      <c r="CT347" s="408">
        <v>50.180900324482081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-21.891640251209992</v>
      </c>
      <c r="DA347" s="408">
        <v>0</v>
      </c>
      <c r="DB347" s="408">
        <v>0</v>
      </c>
      <c r="DC347" s="408">
        <v>97.84810967886267</v>
      </c>
      <c r="DD347" s="408">
        <v>2.9220810297116131</v>
      </c>
      <c r="DE347" s="408">
        <v>0.1134575637666857</v>
      </c>
      <c r="DF347" s="408">
        <v>0</v>
      </c>
      <c r="DG347" s="408">
        <v>3.7992129685857385</v>
      </c>
      <c r="DH347" s="408">
        <v>0</v>
      </c>
      <c r="DI347" s="408">
        <v>-7.3650765554751274</v>
      </c>
      <c r="DJ347" s="408"/>
      <c r="DK347" s="408">
        <v>0</v>
      </c>
      <c r="DL347" s="408">
        <v>0</v>
      </c>
      <c r="DM347" s="408">
        <v>-0.42624744595713082</v>
      </c>
      <c r="DN347" s="408">
        <v>0</v>
      </c>
      <c r="DO347" s="408">
        <v>-1.1595725929859952</v>
      </c>
      <c r="DP347" s="408">
        <v>-0.18139590254257776</v>
      </c>
      <c r="DQ347" s="408">
        <v>0</v>
      </c>
      <c r="DR347" s="408">
        <v>0</v>
      </c>
      <c r="DS347" s="408"/>
      <c r="DT347" s="408"/>
      <c r="DU347" s="408">
        <v>4816.1797752450702</v>
      </c>
      <c r="DV347" s="408">
        <v>0</v>
      </c>
      <c r="DW347" s="408">
        <v>0</v>
      </c>
      <c r="DX347" s="408">
        <v>0</v>
      </c>
      <c r="DY347" s="408">
        <v>-2510.7843699999994</v>
      </c>
      <c r="DZ347" s="408">
        <v>100.3770300000001</v>
      </c>
      <c r="EA347" s="408">
        <v>0</v>
      </c>
      <c r="EB347" s="408">
        <v>0</v>
      </c>
      <c r="EC347" s="408">
        <v>-2549.9118589391901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239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349</v>
      </c>
      <c r="B348" s="408" t="s">
        <v>1034</v>
      </c>
      <c r="C348" s="408" t="s">
        <v>2245</v>
      </c>
      <c r="D348" s="408" t="s">
        <v>596</v>
      </c>
      <c r="E348" s="408" t="s">
        <v>999</v>
      </c>
      <c r="F348" s="408" t="s">
        <v>2249</v>
      </c>
      <c r="G348" s="408" t="s">
        <v>1320</v>
      </c>
      <c r="H348" s="408" t="s">
        <v>1320</v>
      </c>
      <c r="I348" s="408" t="s">
        <v>2242</v>
      </c>
      <c r="J348" s="408" t="s">
        <v>2234</v>
      </c>
      <c r="K348" s="827">
        <v>44531</v>
      </c>
      <c r="L348" s="408">
        <v>100</v>
      </c>
      <c r="M348" s="408">
        <v>94</v>
      </c>
      <c r="N348" s="408">
        <v>37.594999999999999</v>
      </c>
      <c r="O348" s="408">
        <v>35.339300000000001</v>
      </c>
      <c r="P348" s="408">
        <v>37.594999999999999</v>
      </c>
      <c r="Q348" s="408">
        <v>35.339300000000001</v>
      </c>
      <c r="R348" s="408">
        <v>59.12</v>
      </c>
      <c r="S348" s="408">
        <v>70.33</v>
      </c>
      <c r="T348" s="408">
        <v>173.82</v>
      </c>
      <c r="U348" s="408">
        <v>5912</v>
      </c>
      <c r="V348" s="408">
        <v>9178.8192500000005</v>
      </c>
      <c r="W348" s="408">
        <v>15090.819249999999</v>
      </c>
      <c r="X348" s="408">
        <v>13340.486349999999</v>
      </c>
      <c r="Y348" s="408">
        <v>0</v>
      </c>
      <c r="Z348" s="408">
        <v>2000.0549966239269</v>
      </c>
      <c r="AA348" s="408">
        <v>0</v>
      </c>
      <c r="AB348" s="408">
        <v>0</v>
      </c>
      <c r="AC348" s="408">
        <v>57.206036333368203</v>
      </c>
      <c r="AD348" s="408">
        <v>511.70226507154302</v>
      </c>
      <c r="AE348" s="408">
        <v>4816.1797752450702</v>
      </c>
      <c r="AF348" s="408">
        <v>6049.8676856803986</v>
      </c>
      <c r="AG348" s="408">
        <v>304.36405941474868</v>
      </c>
      <c r="AH348" s="408">
        <v>0</v>
      </c>
      <c r="AI348" s="408">
        <v>0</v>
      </c>
      <c r="AJ348" s="408">
        <v>0</v>
      </c>
      <c r="AK348" s="408">
        <v>0</v>
      </c>
      <c r="AL348" s="408">
        <v>355.32901684319529</v>
      </c>
      <c r="AM348" s="408"/>
      <c r="AN348" s="408">
        <v>46.720459376192984</v>
      </c>
      <c r="AO348" s="408">
        <v>120.807211569006</v>
      </c>
      <c r="AP348" s="408">
        <v>406.098786401994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7.0149873204591273</v>
      </c>
      <c r="BF348" s="408">
        <v>180.66985304685491</v>
      </c>
      <c r="BG348" s="408">
        <v>234.90219530148818</v>
      </c>
      <c r="BH348" s="408">
        <v>0</v>
      </c>
      <c r="BI348" s="408">
        <v>0</v>
      </c>
      <c r="BJ348" s="408">
        <v>0</v>
      </c>
      <c r="BK348" s="408">
        <v>0</v>
      </c>
      <c r="BL348" s="408">
        <v>0</v>
      </c>
      <c r="BM348" s="408"/>
      <c r="BN348" s="408"/>
      <c r="BO348" s="408"/>
      <c r="BP348" s="408"/>
      <c r="BQ348" s="408">
        <v>800.42918099999929</v>
      </c>
      <c r="BR348" s="408"/>
      <c r="BS348" s="408"/>
      <c r="BT348" s="408"/>
      <c r="BU348" s="408"/>
      <c r="BV348" s="408">
        <v>6472.4547213492006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12540.242200000001</v>
      </c>
      <c r="CJ348" s="408">
        <v>-1645.1578949999985</v>
      </c>
      <c r="CK348" s="408"/>
      <c r="CL348" s="408"/>
      <c r="CM348" s="408"/>
      <c r="CN348" s="408"/>
      <c r="CO348" s="408">
        <v>-2546.9709499999999</v>
      </c>
      <c r="CP348" s="408">
        <v>796.63804999999991</v>
      </c>
      <c r="CQ348" s="408"/>
      <c r="CR348" s="408">
        <v>799.68080244592238</v>
      </c>
      <c r="CS348" s="408">
        <v>11.729617017467007</v>
      </c>
      <c r="CT348" s="408">
        <v>39.429626542059964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-9.8114856416560201</v>
      </c>
      <c r="DA348" s="408">
        <v>0</v>
      </c>
      <c r="DB348" s="408">
        <v>0</v>
      </c>
      <c r="DC348" s="408">
        <v>776.56738091130319</v>
      </c>
      <c r="DD348" s="408">
        <v>23.190972411232451</v>
      </c>
      <c r="DE348" s="408">
        <v>0.90045115258782982</v>
      </c>
      <c r="DF348" s="408">
        <v>0</v>
      </c>
      <c r="DG348" s="408">
        <v>30.152292918298656</v>
      </c>
      <c r="DH348" s="408">
        <v>0</v>
      </c>
      <c r="DI348" s="408">
        <v>-58.452618345595738</v>
      </c>
      <c r="DJ348" s="408"/>
      <c r="DK348" s="408">
        <v>0</v>
      </c>
      <c r="DL348" s="408">
        <v>0</v>
      </c>
      <c r="DM348" s="408">
        <v>-3.3828948133329959</v>
      </c>
      <c r="DN348" s="408">
        <v>0</v>
      </c>
      <c r="DO348" s="408">
        <v>-9.2028988037382646</v>
      </c>
      <c r="DP348" s="408">
        <v>-1.4396409026996437</v>
      </c>
      <c r="DQ348" s="408">
        <v>0</v>
      </c>
      <c r="DR348" s="408">
        <v>0</v>
      </c>
      <c r="DS348" s="408"/>
      <c r="DT348" s="408"/>
      <c r="DU348" s="408">
        <v>4816.1797752450702</v>
      </c>
      <c r="DV348" s="408">
        <v>0</v>
      </c>
      <c r="DW348" s="408">
        <v>0</v>
      </c>
      <c r="DX348" s="408">
        <v>0</v>
      </c>
      <c r="DY348" s="408">
        <v>-2546.970949999999</v>
      </c>
      <c r="DZ348" s="408">
        <v>796.63804999999957</v>
      </c>
      <c r="EA348" s="408">
        <v>0</v>
      </c>
      <c r="EB348" s="408">
        <v>0</v>
      </c>
      <c r="EC348" s="408">
        <v>-2549.9118589391901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239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350</v>
      </c>
      <c r="B349" s="408" t="s">
        <v>1034</v>
      </c>
      <c r="C349" s="408" t="s">
        <v>2245</v>
      </c>
      <c r="D349" s="408" t="s">
        <v>596</v>
      </c>
      <c r="E349" s="408" t="s">
        <v>999</v>
      </c>
      <c r="F349" s="408" t="s">
        <v>2249</v>
      </c>
      <c r="G349" s="408" t="s">
        <v>1320</v>
      </c>
      <c r="H349" s="408" t="s">
        <v>1320</v>
      </c>
      <c r="I349" s="408" t="s">
        <v>1320</v>
      </c>
      <c r="J349" s="408" t="s">
        <v>2234</v>
      </c>
      <c r="K349" s="827">
        <v>44531</v>
      </c>
      <c r="L349" s="408">
        <v>0</v>
      </c>
      <c r="M349" s="408">
        <v>0</v>
      </c>
      <c r="N349" s="408">
        <v>0</v>
      </c>
      <c r="O349" s="408">
        <v>0</v>
      </c>
      <c r="P349" s="408">
        <v>0</v>
      </c>
      <c r="Q349" s="408">
        <v>0</v>
      </c>
      <c r="R349" s="408"/>
      <c r="S349" s="408"/>
      <c r="T349" s="408"/>
      <c r="U349" s="408"/>
      <c r="V349" s="408"/>
      <c r="W349" s="408"/>
      <c r="X349" s="408"/>
      <c r="Y349" s="408"/>
      <c r="Z349" s="408"/>
      <c r="AA349" s="408">
        <v>0</v>
      </c>
      <c r="AB349" s="408"/>
      <c r="AC349" s="408"/>
      <c r="AD349" s="408"/>
      <c r="AE349" s="408"/>
      <c r="AF349" s="408"/>
      <c r="AG349" s="408"/>
      <c r="AH349" s="408"/>
      <c r="AI349" s="408"/>
      <c r="AJ349" s="408"/>
      <c r="AK349" s="408"/>
      <c r="AL349" s="408"/>
      <c r="AM349" s="408"/>
      <c r="AN349" s="408"/>
      <c r="AO349" s="408"/>
      <c r="AP349" s="408"/>
      <c r="AQ349" s="408"/>
      <c r="AR349" s="408"/>
      <c r="AS349" s="408"/>
      <c r="AT349" s="408"/>
      <c r="AU349" s="408"/>
      <c r="AV349" s="408"/>
      <c r="AW349" s="408"/>
      <c r="AX349" s="408"/>
      <c r="AY349" s="408"/>
      <c r="AZ349" s="408">
        <v>0</v>
      </c>
      <c r="BA349" s="408"/>
      <c r="BB349" s="408"/>
      <c r="BC349" s="408"/>
      <c r="BD349" s="408"/>
      <c r="BE349" s="408"/>
      <c r="BF349" s="408"/>
      <c r="BG349" s="408"/>
      <c r="BH349" s="408"/>
      <c r="BI349" s="408">
        <v>34.22</v>
      </c>
      <c r="BJ349" s="408">
        <v>141.18</v>
      </c>
      <c r="BK349" s="408">
        <v>10408.11</v>
      </c>
      <c r="BL349" s="408">
        <v>1</v>
      </c>
      <c r="BM349" s="408"/>
      <c r="BN349" s="408"/>
      <c r="BO349" s="408"/>
      <c r="BP349" s="408"/>
      <c r="BQ349" s="408"/>
      <c r="BR349" s="408"/>
      <c r="BS349" s="408"/>
      <c r="BT349" s="408"/>
      <c r="BU349" s="408"/>
      <c r="BV349" s="408"/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/>
      <c r="CJ349" s="408">
        <v>-0.03</v>
      </c>
      <c r="CK349" s="408"/>
      <c r="CL349" s="408"/>
      <c r="CM349" s="408"/>
      <c r="CN349" s="408"/>
      <c r="CO349" s="408">
        <v>0</v>
      </c>
      <c r="CP349" s="408">
        <v>0</v>
      </c>
      <c r="CQ349" s="408"/>
      <c r="CR349" s="408"/>
      <c r="CS349" s="408"/>
      <c r="CT349" s="408"/>
      <c r="CU349" s="408"/>
      <c r="CV349" s="408"/>
      <c r="CW349" s="408"/>
      <c r="CX349" s="408"/>
      <c r="CY349" s="408"/>
      <c r="CZ349" s="408"/>
      <c r="DA349" s="408"/>
      <c r="DB349" s="408"/>
      <c r="DC349" s="408"/>
      <c r="DD349" s="408"/>
      <c r="DE349" s="408"/>
      <c r="DF349" s="408"/>
      <c r="DG349" s="408"/>
      <c r="DH349" s="408"/>
      <c r="DI349" s="408"/>
      <c r="DJ349" s="408"/>
      <c r="DK349" s="408">
        <v>0</v>
      </c>
      <c r="DL349" s="408"/>
      <c r="DM349" s="408"/>
      <c r="DN349" s="408"/>
      <c r="DO349" s="408"/>
      <c r="DP349" s="408"/>
      <c r="DQ349" s="408"/>
      <c r="DR349" s="408"/>
      <c r="DS349" s="408"/>
      <c r="DT349" s="408"/>
      <c r="DU349" s="408"/>
      <c r="DV349" s="408"/>
      <c r="DW349" s="408"/>
      <c r="DX349" s="408"/>
      <c r="DY349" s="408"/>
      <c r="DZ349" s="408"/>
      <c r="EA349" s="408"/>
      <c r="EB349" s="408"/>
      <c r="EC349" s="408"/>
      <c r="ED349" s="408"/>
      <c r="EE349" s="408"/>
      <c r="EF349" s="408"/>
      <c r="EG349" s="408"/>
      <c r="EH349" s="408"/>
      <c r="EI349" s="408"/>
      <c r="EJ349" s="408"/>
      <c r="EK349" s="408"/>
      <c r="EL349" s="408"/>
      <c r="EM349" s="408"/>
      <c r="EN349" s="408"/>
      <c r="EO349" s="408"/>
      <c r="EP349" s="408"/>
      <c r="EQ349" s="408"/>
      <c r="ER349" s="408"/>
      <c r="ES349" s="408"/>
      <c r="ET349" s="408"/>
      <c r="EU349" s="408"/>
      <c r="EV349" s="408">
        <v>239</v>
      </c>
      <c r="EW349" s="408"/>
      <c r="EX349" s="408"/>
      <c r="EY349" s="408"/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351</v>
      </c>
      <c r="B350" s="408" t="s">
        <v>1034</v>
      </c>
      <c r="C350" s="408" t="s">
        <v>2233</v>
      </c>
      <c r="D350" s="408" t="s">
        <v>1956</v>
      </c>
      <c r="E350" s="408" t="s">
        <v>2250</v>
      </c>
      <c r="F350" s="408" t="s">
        <v>1320</v>
      </c>
      <c r="G350" s="408" t="s">
        <v>1320</v>
      </c>
      <c r="H350" s="408" t="s">
        <v>1320</v>
      </c>
      <c r="I350" s="408" t="s">
        <v>1320</v>
      </c>
      <c r="J350" s="408" t="s">
        <v>2234</v>
      </c>
      <c r="K350" s="827">
        <v>44531</v>
      </c>
      <c r="L350" s="408">
        <v>0</v>
      </c>
      <c r="M350" s="408">
        <v>0</v>
      </c>
      <c r="N350" s="408">
        <v>1.016</v>
      </c>
      <c r="O350" s="408">
        <v>1.016</v>
      </c>
      <c r="P350" s="408">
        <v>1.016</v>
      </c>
      <c r="Q350" s="408">
        <v>1.016</v>
      </c>
      <c r="R350" s="408"/>
      <c r="S350" s="408">
        <v>516.83000000000004</v>
      </c>
      <c r="T350" s="408">
        <v>173.82</v>
      </c>
      <c r="U350" s="408"/>
      <c r="V350" s="408">
        <v>701.70040000000006</v>
      </c>
      <c r="W350" s="408">
        <v>701.70040000000006</v>
      </c>
      <c r="X350" s="408">
        <v>529.79320000000007</v>
      </c>
      <c r="Y350" s="408">
        <v>0</v>
      </c>
      <c r="Z350" s="408">
        <v>62.127847050152077</v>
      </c>
      <c r="AA350" s="408">
        <v>0</v>
      </c>
      <c r="AB350" s="408">
        <v>0</v>
      </c>
      <c r="AC350" s="408">
        <v>2.7619391785651239</v>
      </c>
      <c r="AD350" s="408">
        <v>34.977437306419056</v>
      </c>
      <c r="AE350" s="408">
        <v>369.43364788936617</v>
      </c>
      <c r="AF350" s="408">
        <v>163.49688971010201</v>
      </c>
      <c r="AG350" s="408">
        <v>8.2253992383397971</v>
      </c>
      <c r="AH350" s="408">
        <v>0</v>
      </c>
      <c r="AI350" s="408">
        <v>0</v>
      </c>
      <c r="AJ350" s="408">
        <v>0</v>
      </c>
      <c r="AK350" s="408">
        <v>0</v>
      </c>
      <c r="AL350" s="408">
        <v>9.6027206041411475</v>
      </c>
      <c r="AM350" s="408"/>
      <c r="AN350" s="408">
        <v>1.576366646447285</v>
      </c>
      <c r="AO350" s="408">
        <v>5.8912798396016068</v>
      </c>
      <c r="AP350" s="408">
        <v>19.293144905234644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0.56368961892493974</v>
      </c>
      <c r="BF350" s="408">
        <v>4.8825793508606097</v>
      </c>
      <c r="BG350" s="408">
        <v>18.87557637744403</v>
      </c>
      <c r="BH350" s="408">
        <v>0</v>
      </c>
      <c r="BI350" s="408">
        <v>0.9</v>
      </c>
      <c r="BJ350" s="408">
        <v>3.83</v>
      </c>
      <c r="BK350" s="408">
        <v>290.81</v>
      </c>
      <c r="BL350" s="408">
        <v>7</v>
      </c>
      <c r="BM350" s="408"/>
      <c r="BN350" s="408"/>
      <c r="BO350" s="408"/>
      <c r="BP350" s="408"/>
      <c r="BQ350" s="408"/>
      <c r="BR350" s="408"/>
      <c r="BS350" s="408"/>
      <c r="BT350" s="408"/>
      <c r="BU350" s="408"/>
      <c r="BV350" s="408">
        <v>187.81873505733159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531.87900000000002</v>
      </c>
      <c r="CJ350" s="408">
        <v>-169.85140000000001</v>
      </c>
      <c r="CK350" s="408"/>
      <c r="CL350" s="408"/>
      <c r="CM350" s="408"/>
      <c r="CN350" s="408"/>
      <c r="CO350" s="408">
        <v>-193.43624000000005</v>
      </c>
      <c r="CP350" s="408">
        <v>21.529039999999998</v>
      </c>
      <c r="CQ350" s="408"/>
      <c r="CR350" s="408">
        <v>23.678773078232155</v>
      </c>
      <c r="CS350" s="408">
        <v>0.57200605298120699</v>
      </c>
      <c r="CT350" s="408">
        <v>1.8732424816512072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-0.67066465665509867</v>
      </c>
      <c r="DA350" s="408">
        <v>0</v>
      </c>
      <c r="DB350" s="408">
        <v>0</v>
      </c>
      <c r="DC350" s="408">
        <v>20.986632770471715</v>
      </c>
      <c r="DD350" s="408">
        <v>0.62673302220540439</v>
      </c>
      <c r="DE350" s="408">
        <v>7.2355792516176409E-2</v>
      </c>
      <c r="DF350" s="408">
        <v>0</v>
      </c>
      <c r="DG350" s="408">
        <v>2.422888841902644</v>
      </c>
      <c r="DH350" s="408">
        <v>0</v>
      </c>
      <c r="DI350" s="408">
        <v>-1.8157177369552286</v>
      </c>
      <c r="DJ350" s="408"/>
      <c r="DK350" s="408">
        <v>0</v>
      </c>
      <c r="DL350" s="408">
        <v>0</v>
      </c>
      <c r="DM350" s="408">
        <v>-9.142229366528376E-2</v>
      </c>
      <c r="DN350" s="408">
        <v>0</v>
      </c>
      <c r="DO350" s="408">
        <v>-0.2487071468173454</v>
      </c>
      <c r="DP350" s="408">
        <v>-4.8574049403141917E-2</v>
      </c>
      <c r="DQ350" s="408">
        <v>0</v>
      </c>
      <c r="DR350" s="408">
        <v>0</v>
      </c>
      <c r="DS350" s="408"/>
      <c r="DT350" s="408"/>
      <c r="DU350" s="408"/>
      <c r="DV350" s="408">
        <v>369.43364788936617</v>
      </c>
      <c r="DW350" s="408">
        <v>0</v>
      </c>
      <c r="DX350" s="408">
        <v>0</v>
      </c>
      <c r="DY350" s="408">
        <v>-193.43624</v>
      </c>
      <c r="DZ350" s="408">
        <v>21.529039999999981</v>
      </c>
      <c r="EA350" s="408">
        <v>0</v>
      </c>
      <c r="EB350" s="408">
        <v>0</v>
      </c>
      <c r="EC350" s="408">
        <v>-195.5955308575092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239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352</v>
      </c>
      <c r="B351" s="408" t="s">
        <v>1034</v>
      </c>
      <c r="C351" s="408" t="s">
        <v>2233</v>
      </c>
      <c r="D351" s="408" t="s">
        <v>2243</v>
      </c>
      <c r="E351" s="408" t="s">
        <v>972</v>
      </c>
      <c r="F351" s="408" t="s">
        <v>2251</v>
      </c>
      <c r="G351" s="408" t="s">
        <v>2252</v>
      </c>
      <c r="H351" s="408" t="s">
        <v>1320</v>
      </c>
      <c r="I351" s="408" t="s">
        <v>1320</v>
      </c>
      <c r="J351" s="408" t="s">
        <v>2234</v>
      </c>
      <c r="K351" s="827">
        <v>44531</v>
      </c>
      <c r="L351" s="408">
        <v>0</v>
      </c>
      <c r="M351" s="408">
        <v>0</v>
      </c>
      <c r="N351" s="408">
        <v>0</v>
      </c>
      <c r="O351" s="408">
        <v>0</v>
      </c>
      <c r="P351" s="408">
        <v>0</v>
      </c>
      <c r="Q351" s="408">
        <v>0</v>
      </c>
      <c r="R351" s="408"/>
      <c r="S351" s="408"/>
      <c r="T351" s="408"/>
      <c r="U351" s="408"/>
      <c r="V351" s="408"/>
      <c r="W351" s="408"/>
      <c r="X351" s="408"/>
      <c r="Y351" s="408"/>
      <c r="Z351" s="408"/>
      <c r="AA351" s="408">
        <v>0</v>
      </c>
      <c r="AB351" s="408"/>
      <c r="AC351" s="408"/>
      <c r="AD351" s="408"/>
      <c r="AE351" s="408"/>
      <c r="AF351" s="408"/>
      <c r="AG351" s="408"/>
      <c r="AH351" s="408"/>
      <c r="AI351" s="408"/>
      <c r="AJ351" s="408"/>
      <c r="AK351" s="408"/>
      <c r="AL351" s="408"/>
      <c r="AM351" s="408"/>
      <c r="AN351" s="408"/>
      <c r="AO351" s="408"/>
      <c r="AP351" s="408"/>
      <c r="AQ351" s="408"/>
      <c r="AR351" s="408"/>
      <c r="AS351" s="408"/>
      <c r="AT351" s="408"/>
      <c r="AU351" s="408"/>
      <c r="AV351" s="408"/>
      <c r="AW351" s="408"/>
      <c r="AX351" s="408"/>
      <c r="AY351" s="408"/>
      <c r="AZ351" s="408">
        <v>0</v>
      </c>
      <c r="BA351" s="408"/>
      <c r="BB351" s="408"/>
      <c r="BC351" s="408"/>
      <c r="BD351" s="408"/>
      <c r="BE351" s="408"/>
      <c r="BF351" s="408"/>
      <c r="BG351" s="408"/>
      <c r="BH351" s="408"/>
      <c r="BI351" s="408">
        <v>609.61</v>
      </c>
      <c r="BJ351" s="408">
        <v>2516.17</v>
      </c>
      <c r="BK351" s="408">
        <v>627.9</v>
      </c>
      <c r="BL351" s="408">
        <v>71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/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/>
      <c r="CJ351" s="408">
        <v>-0.03</v>
      </c>
      <c r="CK351" s="408"/>
      <c r="CL351" s="408"/>
      <c r="CM351" s="408"/>
      <c r="CN351" s="408"/>
      <c r="CO351" s="408">
        <v>0</v>
      </c>
      <c r="CP351" s="408">
        <v>0</v>
      </c>
      <c r="CQ351" s="408"/>
      <c r="CR351" s="408"/>
      <c r="CS351" s="408"/>
      <c r="CT351" s="408"/>
      <c r="CU351" s="408"/>
      <c r="CV351" s="408"/>
      <c r="CW351" s="408"/>
      <c r="CX351" s="408"/>
      <c r="CY351" s="408"/>
      <c r="CZ351" s="408"/>
      <c r="DA351" s="408"/>
      <c r="DB351" s="408"/>
      <c r="DC351" s="408"/>
      <c r="DD351" s="408"/>
      <c r="DE351" s="408"/>
      <c r="DF351" s="408"/>
      <c r="DG351" s="408"/>
      <c r="DH351" s="408"/>
      <c r="DI351" s="408"/>
      <c r="DJ351" s="408"/>
      <c r="DK351" s="408">
        <v>0</v>
      </c>
      <c r="DL351" s="408"/>
      <c r="DM351" s="408"/>
      <c r="DN351" s="408"/>
      <c r="DO351" s="408"/>
      <c r="DP351" s="408"/>
      <c r="DQ351" s="408"/>
      <c r="DR351" s="408"/>
      <c r="DS351" s="408"/>
      <c r="DT351" s="408"/>
      <c r="DU351" s="408"/>
      <c r="DV351" s="408"/>
      <c r="DW351" s="408"/>
      <c r="DX351" s="408"/>
      <c r="DY351" s="408"/>
      <c r="DZ351" s="408"/>
      <c r="EA351" s="408"/>
      <c r="EB351" s="408"/>
      <c r="EC351" s="408"/>
      <c r="ED351" s="408"/>
      <c r="EE351" s="408"/>
      <c r="EF351" s="408"/>
      <c r="EG351" s="408"/>
      <c r="EH351" s="408"/>
      <c r="EI351" s="408"/>
      <c r="EJ351" s="408"/>
      <c r="EK351" s="408"/>
      <c r="EL351" s="408"/>
      <c r="EM351" s="408"/>
      <c r="EN351" s="408"/>
      <c r="EO351" s="408"/>
      <c r="EP351" s="408"/>
      <c r="EQ351" s="408"/>
      <c r="ER351" s="408"/>
      <c r="ES351" s="408"/>
      <c r="ET351" s="408"/>
      <c r="EU351" s="408"/>
      <c r="EV351" s="408">
        <v>239</v>
      </c>
      <c r="EW351" s="408"/>
      <c r="EX351" s="408"/>
      <c r="EY351" s="408"/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353</v>
      </c>
      <c r="B352" s="408" t="s">
        <v>2236</v>
      </c>
      <c r="C352" s="408" t="s">
        <v>2233</v>
      </c>
      <c r="D352" s="408" t="s">
        <v>2243</v>
      </c>
      <c r="E352" s="408" t="s">
        <v>972</v>
      </c>
      <c r="F352" s="408" t="s">
        <v>2251</v>
      </c>
      <c r="G352" s="408" t="s">
        <v>2252</v>
      </c>
      <c r="H352" s="408" t="s">
        <v>1320</v>
      </c>
      <c r="I352" s="408" t="s">
        <v>1320</v>
      </c>
      <c r="J352" s="408" t="s">
        <v>2234</v>
      </c>
      <c r="K352" s="827">
        <v>44531</v>
      </c>
      <c r="L352" s="408">
        <v>0</v>
      </c>
      <c r="M352" s="408">
        <v>0</v>
      </c>
      <c r="N352" s="408">
        <v>0</v>
      </c>
      <c r="O352" s="408">
        <v>0</v>
      </c>
      <c r="P352" s="408">
        <v>0</v>
      </c>
      <c r="Q352" s="408">
        <v>0</v>
      </c>
      <c r="R352" s="408"/>
      <c r="S352" s="408"/>
      <c r="T352" s="408"/>
      <c r="U352" s="408"/>
      <c r="V352" s="408"/>
      <c r="W352" s="408"/>
      <c r="X352" s="408"/>
      <c r="Y352" s="408"/>
      <c r="Z352" s="408"/>
      <c r="AA352" s="408">
        <v>0</v>
      </c>
      <c r="AB352" s="408"/>
      <c r="AC352" s="408"/>
      <c r="AD352" s="408"/>
      <c r="AE352" s="408"/>
      <c r="AF352" s="408"/>
      <c r="AG352" s="408"/>
      <c r="AH352" s="408"/>
      <c r="AI352" s="408"/>
      <c r="AJ352" s="408"/>
      <c r="AK352" s="408"/>
      <c r="AL352" s="408"/>
      <c r="AM352" s="408"/>
      <c r="AN352" s="408"/>
      <c r="AO352" s="408"/>
      <c r="AP352" s="408"/>
      <c r="AQ352" s="408"/>
      <c r="AR352" s="408"/>
      <c r="AS352" s="408"/>
      <c r="AT352" s="408"/>
      <c r="AU352" s="408"/>
      <c r="AV352" s="408"/>
      <c r="AW352" s="408"/>
      <c r="AX352" s="408"/>
      <c r="AY352" s="408"/>
      <c r="AZ352" s="408">
        <v>0</v>
      </c>
      <c r="BA352" s="408"/>
      <c r="BB352" s="408"/>
      <c r="BC352" s="408"/>
      <c r="BD352" s="408"/>
      <c r="BE352" s="408"/>
      <c r="BF352" s="408"/>
      <c r="BG352" s="408"/>
      <c r="BH352" s="408"/>
      <c r="BI352" s="408">
        <v>0.4</v>
      </c>
      <c r="BJ352" s="408">
        <v>1.67</v>
      </c>
      <c r="BK352" s="408">
        <v>40.74</v>
      </c>
      <c r="BL352" s="408">
        <v>5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/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/>
      <c r="CJ352" s="408">
        <v>-0.03</v>
      </c>
      <c r="CK352" s="408"/>
      <c r="CL352" s="408"/>
      <c r="CM352" s="408"/>
      <c r="CN352" s="408"/>
      <c r="CO352" s="408">
        <v>0</v>
      </c>
      <c r="CP352" s="408">
        <v>0</v>
      </c>
      <c r="CQ352" s="408"/>
      <c r="CR352" s="408"/>
      <c r="CS352" s="408"/>
      <c r="CT352" s="408"/>
      <c r="CU352" s="408"/>
      <c r="CV352" s="408"/>
      <c r="CW352" s="408"/>
      <c r="CX352" s="408"/>
      <c r="CY352" s="408"/>
      <c r="CZ352" s="408"/>
      <c r="DA352" s="408"/>
      <c r="DB352" s="408"/>
      <c r="DC352" s="408"/>
      <c r="DD352" s="408"/>
      <c r="DE352" s="408"/>
      <c r="DF352" s="408"/>
      <c r="DG352" s="408"/>
      <c r="DH352" s="408"/>
      <c r="DI352" s="408"/>
      <c r="DJ352" s="408"/>
      <c r="DK352" s="408">
        <v>0</v>
      </c>
      <c r="DL352" s="408"/>
      <c r="DM352" s="408"/>
      <c r="DN352" s="408"/>
      <c r="DO352" s="408"/>
      <c r="DP352" s="408"/>
      <c r="DQ352" s="408"/>
      <c r="DR352" s="408"/>
      <c r="DS352" s="408"/>
      <c r="DT352" s="408"/>
      <c r="DU352" s="408"/>
      <c r="DV352" s="408"/>
      <c r="DW352" s="408"/>
      <c r="DX352" s="408"/>
      <c r="DY352" s="408"/>
      <c r="DZ352" s="408"/>
      <c r="EA352" s="408"/>
      <c r="EB352" s="408"/>
      <c r="EC352" s="408"/>
      <c r="ED352" s="408"/>
      <c r="EE352" s="408"/>
      <c r="EF352" s="408"/>
      <c r="EG352" s="408"/>
      <c r="EH352" s="408"/>
      <c r="EI352" s="408"/>
      <c r="EJ352" s="408"/>
      <c r="EK352" s="408"/>
      <c r="EL352" s="408"/>
      <c r="EM352" s="408"/>
      <c r="EN352" s="408"/>
      <c r="EO352" s="408"/>
      <c r="EP352" s="408"/>
      <c r="EQ352" s="408"/>
      <c r="ER352" s="408"/>
      <c r="ES352" s="408"/>
      <c r="ET352" s="408"/>
      <c r="EU352" s="408"/>
      <c r="EV352" s="408">
        <v>239</v>
      </c>
      <c r="EW352" s="408"/>
      <c r="EX352" s="408"/>
      <c r="EY352" s="408"/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354</v>
      </c>
      <c r="B353" s="408" t="s">
        <v>1034</v>
      </c>
      <c r="C353" s="408" t="s">
        <v>2233</v>
      </c>
      <c r="D353" s="408" t="s">
        <v>2243</v>
      </c>
      <c r="E353" s="408" t="s">
        <v>972</v>
      </c>
      <c r="F353" s="408" t="s">
        <v>2251</v>
      </c>
      <c r="G353" s="408" t="s">
        <v>2252</v>
      </c>
      <c r="H353" s="408" t="s">
        <v>1320</v>
      </c>
      <c r="I353" s="408" t="s">
        <v>1320</v>
      </c>
      <c r="J353" s="408" t="s">
        <v>2234</v>
      </c>
      <c r="K353" s="827">
        <v>44531</v>
      </c>
      <c r="L353" s="408">
        <v>0</v>
      </c>
      <c r="M353" s="408">
        <v>0</v>
      </c>
      <c r="N353" s="408">
        <v>434.57799999999997</v>
      </c>
      <c r="O353" s="408">
        <v>434.57799999999997</v>
      </c>
      <c r="P353" s="408">
        <v>434.57799999999997</v>
      </c>
      <c r="Q353" s="408">
        <v>434.57799999999997</v>
      </c>
      <c r="R353" s="408"/>
      <c r="S353" s="408">
        <v>516.83000000000004</v>
      </c>
      <c r="T353" s="408">
        <v>173.82</v>
      </c>
      <c r="U353" s="408"/>
      <c r="V353" s="408">
        <v>300141.29570000002</v>
      </c>
      <c r="W353" s="408">
        <v>300141.29570000002</v>
      </c>
      <c r="X353" s="408">
        <v>226610.69809999998</v>
      </c>
      <c r="Y353" s="408">
        <v>0</v>
      </c>
      <c r="Z353" s="408">
        <v>26574.208184410421</v>
      </c>
      <c r="AA353" s="408">
        <v>0</v>
      </c>
      <c r="AB353" s="408">
        <v>0</v>
      </c>
      <c r="AC353" s="408">
        <v>1181.3759885260574</v>
      </c>
      <c r="AD353" s="408">
        <v>14961.047982036396</v>
      </c>
      <c r="AE353" s="408">
        <v>158019.42503195369</v>
      </c>
      <c r="AF353" s="408">
        <v>69933.219819327467</v>
      </c>
      <c r="AG353" s="408">
        <v>3518.2849903535748</v>
      </c>
      <c r="AH353" s="408">
        <v>0</v>
      </c>
      <c r="AI353" s="408">
        <v>0</v>
      </c>
      <c r="AJ353" s="408">
        <v>0</v>
      </c>
      <c r="AK353" s="408">
        <v>0</v>
      </c>
      <c r="AL353" s="408">
        <v>4107.4125144748541</v>
      </c>
      <c r="AM353" s="408"/>
      <c r="AN353" s="408">
        <v>674.26600834622855</v>
      </c>
      <c r="AO353" s="408">
        <v>2519.9021753291208</v>
      </c>
      <c r="AP353" s="408">
        <v>8252.3389041604914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241.10935749327012</v>
      </c>
      <c r="BF353" s="408">
        <v>2088.4464263172263</v>
      </c>
      <c r="BG353" s="408">
        <v>8073.7305422803856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>
        <v>27191.545459999994</v>
      </c>
      <c r="BS353" s="408"/>
      <c r="BT353" s="408"/>
      <c r="BU353" s="408"/>
      <c r="BV353" s="408">
        <v>80336.50614541836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199420.0704</v>
      </c>
      <c r="CJ353" s="408">
        <v>-64703.430660000042</v>
      </c>
      <c r="CK353" s="408"/>
      <c r="CL353" s="408"/>
      <c r="CM353" s="408"/>
      <c r="CN353" s="408"/>
      <c r="CO353" s="408">
        <v>-82739.305420000019</v>
      </c>
      <c r="CP353" s="408">
        <v>9208.7078199999978</v>
      </c>
      <c r="CQ353" s="408"/>
      <c r="CR353" s="408">
        <v>10128.222290149657</v>
      </c>
      <c r="CS353" s="408">
        <v>244.66658119337308</v>
      </c>
      <c r="CT353" s="408">
        <v>801.24997164470369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-286.86624523608225</v>
      </c>
      <c r="DA353" s="408">
        <v>0</v>
      </c>
      <c r="DB353" s="408">
        <v>0</v>
      </c>
      <c r="DC353" s="408">
        <v>8976.7016694154154</v>
      </c>
      <c r="DD353" s="408">
        <v>268.07518043698838</v>
      </c>
      <c r="DE353" s="408">
        <v>30.949050787494969</v>
      </c>
      <c r="DF353" s="408">
        <v>0</v>
      </c>
      <c r="DG353" s="408">
        <v>1036.3525463940623</v>
      </c>
      <c r="DH353" s="408">
        <v>0</v>
      </c>
      <c r="DI353" s="408">
        <v>-776.64466800249284</v>
      </c>
      <c r="DJ353" s="408"/>
      <c r="DK353" s="408">
        <v>0</v>
      </c>
      <c r="DL353" s="408">
        <v>0</v>
      </c>
      <c r="DM353" s="408">
        <v>-39.104446394164825</v>
      </c>
      <c r="DN353" s="408">
        <v>0</v>
      </c>
      <c r="DO353" s="408">
        <v>-106.38056540313846</v>
      </c>
      <c r="DP353" s="408">
        <v>-20.776784686534143</v>
      </c>
      <c r="DQ353" s="408">
        <v>0</v>
      </c>
      <c r="DR353" s="408">
        <v>0</v>
      </c>
      <c r="DS353" s="408"/>
      <c r="DT353" s="408"/>
      <c r="DU353" s="408"/>
      <c r="DV353" s="408">
        <v>158019.42503195369</v>
      </c>
      <c r="DW353" s="408">
        <v>0</v>
      </c>
      <c r="DX353" s="408">
        <v>0</v>
      </c>
      <c r="DY353" s="408">
        <v>-82739.305420000019</v>
      </c>
      <c r="DZ353" s="408">
        <v>9208.707819999996</v>
      </c>
      <c r="EA353" s="408">
        <v>0</v>
      </c>
      <c r="EB353" s="408">
        <v>0</v>
      </c>
      <c r="EC353" s="408">
        <v>-83662.908079719113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239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355</v>
      </c>
      <c r="B354" s="408" t="s">
        <v>2236</v>
      </c>
      <c r="C354" s="408" t="s">
        <v>2233</v>
      </c>
      <c r="D354" s="408" t="s">
        <v>2243</v>
      </c>
      <c r="E354" s="408" t="s">
        <v>972</v>
      </c>
      <c r="F354" s="408" t="s">
        <v>2251</v>
      </c>
      <c r="G354" s="408" t="s">
        <v>2252</v>
      </c>
      <c r="H354" s="408" t="s">
        <v>1320</v>
      </c>
      <c r="I354" s="408" t="s">
        <v>1320</v>
      </c>
      <c r="J354" s="408" t="s">
        <v>2234</v>
      </c>
      <c r="K354" s="827">
        <v>44531</v>
      </c>
      <c r="L354" s="408">
        <v>0</v>
      </c>
      <c r="M354" s="408">
        <v>0</v>
      </c>
      <c r="N354" s="408">
        <v>0.4</v>
      </c>
      <c r="O354" s="408">
        <v>0.4</v>
      </c>
      <c r="P354" s="408">
        <v>0.4</v>
      </c>
      <c r="Q354" s="408">
        <v>0.4</v>
      </c>
      <c r="R354" s="408"/>
      <c r="S354" s="408">
        <v>516.83000000000004</v>
      </c>
      <c r="T354" s="408">
        <v>173.82</v>
      </c>
      <c r="U354" s="408"/>
      <c r="V354" s="408">
        <v>276.26000000000005</v>
      </c>
      <c r="W354" s="408">
        <v>276.26000000000005</v>
      </c>
      <c r="X354" s="408">
        <v>208.57999999999998</v>
      </c>
      <c r="Y354" s="408">
        <v>0</v>
      </c>
      <c r="Z354" s="408">
        <v>24.459782303209479</v>
      </c>
      <c r="AA354" s="408">
        <v>0</v>
      </c>
      <c r="AB354" s="408">
        <v>0</v>
      </c>
      <c r="AC354" s="408">
        <v>1.0873776293563482</v>
      </c>
      <c r="AD354" s="408">
        <v>13.7706446088264</v>
      </c>
      <c r="AE354" s="408">
        <v>145.44631806667959</v>
      </c>
      <c r="AF354" s="408">
        <v>64.368854216575599</v>
      </c>
      <c r="AG354" s="408">
        <v>3.238346156826692</v>
      </c>
      <c r="AH354" s="408">
        <v>0</v>
      </c>
      <c r="AI354" s="408">
        <v>0</v>
      </c>
      <c r="AJ354" s="408">
        <v>0</v>
      </c>
      <c r="AK354" s="408">
        <v>0</v>
      </c>
      <c r="AL354" s="408">
        <v>3.7805986630476962</v>
      </c>
      <c r="AM354" s="408"/>
      <c r="AN354" s="408">
        <v>0.62061678993987601</v>
      </c>
      <c r="AO354" s="408">
        <v>2.319401511654176</v>
      </c>
      <c r="AP354" s="408">
        <v>7.5957263406435604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0.22192504682084244</v>
      </c>
      <c r="BF354" s="408">
        <v>1.9222753349844919</v>
      </c>
      <c r="BG354" s="408">
        <v>7.4313292824582806</v>
      </c>
      <c r="BH354" s="408">
        <v>0</v>
      </c>
      <c r="BI354" s="408">
        <v>0</v>
      </c>
      <c r="BJ354" s="408">
        <v>0</v>
      </c>
      <c r="BK354" s="408">
        <v>0</v>
      </c>
      <c r="BL354" s="408">
        <v>0</v>
      </c>
      <c r="BM354" s="408"/>
      <c r="BN354" s="408"/>
      <c r="BO354" s="408"/>
      <c r="BP354" s="408"/>
      <c r="BQ354" s="408"/>
      <c r="BR354" s="408">
        <v>25.027999999999999</v>
      </c>
      <c r="BS354" s="408"/>
      <c r="BT354" s="408"/>
      <c r="BU354" s="408"/>
      <c r="BV354" s="408">
        <v>73.944383880839212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183.55200000000002</v>
      </c>
      <c r="CJ354" s="408">
        <v>-59.585999999999956</v>
      </c>
      <c r="CK354" s="408"/>
      <c r="CL354" s="408"/>
      <c r="CM354" s="408"/>
      <c r="CN354" s="408"/>
      <c r="CO354" s="408">
        <v>-76.15600000000002</v>
      </c>
      <c r="CP354" s="408">
        <v>8.4759999999999991</v>
      </c>
      <c r="CQ354" s="408"/>
      <c r="CR354" s="408">
        <v>9.3223516056032452</v>
      </c>
      <c r="CS354" s="408">
        <v>0.22519923345716819</v>
      </c>
      <c r="CT354" s="408">
        <v>0.73749704002016081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-0.26404120340751902</v>
      </c>
      <c r="DA354" s="408">
        <v>0</v>
      </c>
      <c r="DB354" s="408">
        <v>0</v>
      </c>
      <c r="DC354" s="408">
        <v>8.2624538466424013</v>
      </c>
      <c r="DD354" s="408">
        <v>0.24674528433283638</v>
      </c>
      <c r="DE354" s="408">
        <v>2.8486532486683619E-2</v>
      </c>
      <c r="DF354" s="408">
        <v>0</v>
      </c>
      <c r="DG354" s="408">
        <v>0.95389324484355953</v>
      </c>
      <c r="DH354" s="408">
        <v>0</v>
      </c>
      <c r="DI354" s="408">
        <v>-0.71484950273827863</v>
      </c>
      <c r="DJ354" s="408"/>
      <c r="DK354" s="408">
        <v>0</v>
      </c>
      <c r="DL354" s="408">
        <v>0</v>
      </c>
      <c r="DM354" s="408">
        <v>-3.5993029002080235E-2</v>
      </c>
      <c r="DN354" s="408">
        <v>0</v>
      </c>
      <c r="DO354" s="408">
        <v>-9.7916199534388237E-2</v>
      </c>
      <c r="DP354" s="408">
        <v>-1.9123641497299948E-2</v>
      </c>
      <c r="DQ354" s="408">
        <v>0</v>
      </c>
      <c r="DR354" s="408">
        <v>0</v>
      </c>
      <c r="DS354" s="408"/>
      <c r="DT354" s="408"/>
      <c r="DU354" s="408"/>
      <c r="DV354" s="408">
        <v>145.44631806667959</v>
      </c>
      <c r="DW354" s="408">
        <v>0</v>
      </c>
      <c r="DX354" s="408">
        <v>0</v>
      </c>
      <c r="DY354" s="408">
        <v>-76.156000000000034</v>
      </c>
      <c r="DZ354" s="408">
        <v>8.4759999999999991</v>
      </c>
      <c r="EA354" s="408">
        <v>0</v>
      </c>
      <c r="EB354" s="408">
        <v>0</v>
      </c>
      <c r="EC354" s="408">
        <v>-77.006114510830386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239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356</v>
      </c>
      <c r="B355" s="408" t="s">
        <v>1034</v>
      </c>
      <c r="C355" s="408" t="s">
        <v>2233</v>
      </c>
      <c r="D355" s="408" t="s">
        <v>2243</v>
      </c>
      <c r="E355" s="408" t="s">
        <v>972</v>
      </c>
      <c r="F355" s="408" t="s">
        <v>2251</v>
      </c>
      <c r="G355" s="408" t="s">
        <v>2253</v>
      </c>
      <c r="H355" s="408" t="s">
        <v>1320</v>
      </c>
      <c r="I355" s="408" t="s">
        <v>1320</v>
      </c>
      <c r="J355" s="408" t="s">
        <v>2234</v>
      </c>
      <c r="K355" s="827">
        <v>44531</v>
      </c>
      <c r="L355" s="408">
        <v>0</v>
      </c>
      <c r="M355" s="408">
        <v>0</v>
      </c>
      <c r="N355" s="408">
        <v>231.83799999999999</v>
      </c>
      <c r="O355" s="408">
        <v>92.735200000000006</v>
      </c>
      <c r="P355" s="408">
        <v>231.83799999999999</v>
      </c>
      <c r="Q355" s="408">
        <v>92.735200000000006</v>
      </c>
      <c r="R355" s="408"/>
      <c r="S355" s="408">
        <v>516.83000000000004</v>
      </c>
      <c r="T355" s="408">
        <v>173.82</v>
      </c>
      <c r="U355" s="408"/>
      <c r="V355" s="408">
        <v>160118.91469999999</v>
      </c>
      <c r="W355" s="408">
        <v>160118.91469999999</v>
      </c>
      <c r="X355" s="408">
        <v>120891.92509999999</v>
      </c>
      <c r="Y355" s="408">
        <v>0</v>
      </c>
      <c r="Z355" s="408">
        <v>14176.767524028697</v>
      </c>
      <c r="AA355" s="408">
        <v>0</v>
      </c>
      <c r="AB355" s="408">
        <v>0</v>
      </c>
      <c r="AC355" s="408">
        <v>630.23863708679255</v>
      </c>
      <c r="AD355" s="408">
        <v>7981.3967620527364</v>
      </c>
      <c r="AE355" s="408">
        <v>84299.958719857168</v>
      </c>
      <c r="AF355" s="408">
        <v>37307.866059656131</v>
      </c>
      <c r="AG355" s="408">
        <v>1876.9292407659664</v>
      </c>
      <c r="AH355" s="408">
        <v>0</v>
      </c>
      <c r="AI355" s="408">
        <v>0</v>
      </c>
      <c r="AJ355" s="408">
        <v>0</v>
      </c>
      <c r="AK355" s="408">
        <v>0</v>
      </c>
      <c r="AL355" s="408">
        <v>2191.2160821091293</v>
      </c>
      <c r="AM355" s="408"/>
      <c r="AN355" s="408">
        <v>359.70638836520243</v>
      </c>
      <c r="AO355" s="408">
        <v>1344.313519147202</v>
      </c>
      <c r="AP355" s="408">
        <v>4402.4450084053042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128.62664751212617</v>
      </c>
      <c r="BF355" s="408">
        <v>1114.1411727803365</v>
      </c>
      <c r="BG355" s="408">
        <v>4307.161295466407</v>
      </c>
      <c r="BH355" s="408">
        <v>0</v>
      </c>
      <c r="BI355" s="408">
        <v>0</v>
      </c>
      <c r="BJ355" s="408">
        <v>0</v>
      </c>
      <c r="BK355" s="408">
        <v>0</v>
      </c>
      <c r="BL355" s="408">
        <v>0</v>
      </c>
      <c r="BM355" s="408"/>
      <c r="BN355" s="408"/>
      <c r="BO355" s="408"/>
      <c r="BP355" s="408"/>
      <c r="BQ355" s="408"/>
      <c r="BR355" s="408"/>
      <c r="BS355" s="408">
        <v>78337.596524000008</v>
      </c>
      <c r="BT355" s="408"/>
      <c r="BU355" s="408"/>
      <c r="BV355" s="408">
        <v>42857.795175414998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42556.531199999998</v>
      </c>
      <c r="CJ355" s="408">
        <v>-13805.17130400001</v>
      </c>
      <c r="CK355" s="408"/>
      <c r="CL355" s="408"/>
      <c r="CM355" s="408"/>
      <c r="CN355" s="408"/>
      <c r="CO355" s="408">
        <v>-44139.636820000007</v>
      </c>
      <c r="CP355" s="408">
        <v>4912.6472199999989</v>
      </c>
      <c r="CQ355" s="408"/>
      <c r="CR355" s="408">
        <v>5403.1883788496198</v>
      </c>
      <c r="CS355" s="408">
        <v>130.52434971560751</v>
      </c>
      <c r="CT355" s="408">
        <v>427.44959691048462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-153.03696128898082</v>
      </c>
      <c r="DA355" s="408">
        <v>0</v>
      </c>
      <c r="DB355" s="408">
        <v>0</v>
      </c>
      <c r="DC355" s="408">
        <v>4788.8769372447059</v>
      </c>
      <c r="DD355" s="408">
        <v>143.01233307289021</v>
      </c>
      <c r="DE355" s="408">
        <v>16.510651796619385</v>
      </c>
      <c r="DF355" s="408">
        <v>0</v>
      </c>
      <c r="DG355" s="408">
        <v>552.87175524510349</v>
      </c>
      <c r="DH355" s="408">
        <v>0</v>
      </c>
      <c r="DI355" s="408">
        <v>-414.32319753959382</v>
      </c>
      <c r="DJ355" s="408"/>
      <c r="DK355" s="408">
        <v>0</v>
      </c>
      <c r="DL355" s="408">
        <v>0</v>
      </c>
      <c r="DM355" s="408">
        <v>-20.861379644460612</v>
      </c>
      <c r="DN355" s="408">
        <v>0</v>
      </c>
      <c r="DO355" s="408">
        <v>-56.751739669133713</v>
      </c>
      <c r="DP355" s="408">
        <v>-11.083966993627598</v>
      </c>
      <c r="DQ355" s="408">
        <v>0</v>
      </c>
      <c r="DR355" s="408">
        <v>0</v>
      </c>
      <c r="DS355" s="408"/>
      <c r="DT355" s="408"/>
      <c r="DU355" s="408"/>
      <c r="DV355" s="408">
        <v>84299.958719857168</v>
      </c>
      <c r="DW355" s="408">
        <v>0</v>
      </c>
      <c r="DX355" s="408">
        <v>0</v>
      </c>
      <c r="DY355" s="408">
        <v>-44139.636820000014</v>
      </c>
      <c r="DZ355" s="408">
        <v>4912.6472199999989</v>
      </c>
      <c r="EA355" s="408">
        <v>0</v>
      </c>
      <c r="EB355" s="408">
        <v>0</v>
      </c>
      <c r="EC355" s="408">
        <v>-44632.358939904749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0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239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357</v>
      </c>
      <c r="B356" s="408" t="s">
        <v>2236</v>
      </c>
      <c r="C356" s="408" t="s">
        <v>2233</v>
      </c>
      <c r="D356" s="408" t="s">
        <v>2243</v>
      </c>
      <c r="E356" s="408" t="s">
        <v>972</v>
      </c>
      <c r="F356" s="408" t="s">
        <v>2251</v>
      </c>
      <c r="G356" s="408" t="s">
        <v>2253</v>
      </c>
      <c r="H356" s="408" t="s">
        <v>1320</v>
      </c>
      <c r="I356" s="408" t="s">
        <v>1320</v>
      </c>
      <c r="J356" s="408" t="s">
        <v>2234</v>
      </c>
      <c r="K356" s="827">
        <v>44531</v>
      </c>
      <c r="L356" s="408">
        <v>0</v>
      </c>
      <c r="M356" s="408">
        <v>0</v>
      </c>
      <c r="N356" s="408">
        <v>0.05</v>
      </c>
      <c r="O356" s="408">
        <v>0.02</v>
      </c>
      <c r="P356" s="408">
        <v>0.05</v>
      </c>
      <c r="Q356" s="408">
        <v>0.02</v>
      </c>
      <c r="R356" s="408"/>
      <c r="S356" s="408">
        <v>516.83000000000004</v>
      </c>
      <c r="T356" s="408">
        <v>173.82</v>
      </c>
      <c r="U356" s="408"/>
      <c r="V356" s="408">
        <v>34.532500000000006</v>
      </c>
      <c r="W356" s="408">
        <v>34.532500000000006</v>
      </c>
      <c r="X356" s="408">
        <v>26.072499999999998</v>
      </c>
      <c r="Y356" s="408">
        <v>0</v>
      </c>
      <c r="Z356" s="408">
        <v>3.0574727879011849</v>
      </c>
      <c r="AA356" s="408">
        <v>0</v>
      </c>
      <c r="AB356" s="408">
        <v>0</v>
      </c>
      <c r="AC356" s="408">
        <v>0.13592220366954352</v>
      </c>
      <c r="AD356" s="408">
        <v>1.7213305761033</v>
      </c>
      <c r="AE356" s="408">
        <v>18.180789758334949</v>
      </c>
      <c r="AF356" s="408">
        <v>8.0461067770719499</v>
      </c>
      <c r="AG356" s="408">
        <v>0.4047932696033365</v>
      </c>
      <c r="AH356" s="408">
        <v>0</v>
      </c>
      <c r="AI356" s="408">
        <v>0</v>
      </c>
      <c r="AJ356" s="408">
        <v>0</v>
      </c>
      <c r="AK356" s="408">
        <v>0</v>
      </c>
      <c r="AL356" s="408">
        <v>0.47257483288096203</v>
      </c>
      <c r="AM356" s="408"/>
      <c r="AN356" s="408">
        <v>7.7577098742484502E-2</v>
      </c>
      <c r="AO356" s="408">
        <v>0.289925188956772</v>
      </c>
      <c r="AP356" s="408">
        <v>0.94946579258044506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2.7740630852605305E-2</v>
      </c>
      <c r="BF356" s="408">
        <v>0.24028441687306148</v>
      </c>
      <c r="BG356" s="408">
        <v>0.92891616030728508</v>
      </c>
      <c r="BH356" s="408">
        <v>0</v>
      </c>
      <c r="BI356" s="408">
        <v>0</v>
      </c>
      <c r="BJ356" s="408">
        <v>0</v>
      </c>
      <c r="BK356" s="408">
        <v>0</v>
      </c>
      <c r="BL356" s="408">
        <v>0</v>
      </c>
      <c r="BM356" s="408"/>
      <c r="BN356" s="408"/>
      <c r="BO356" s="408"/>
      <c r="BP356" s="408"/>
      <c r="BQ356" s="408"/>
      <c r="BR356" s="408"/>
      <c r="BS356" s="408">
        <v>16.8949</v>
      </c>
      <c r="BT356" s="408"/>
      <c r="BU356" s="408"/>
      <c r="BV356" s="408">
        <v>9.2430479851049014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9.1776</v>
      </c>
      <c r="CJ356" s="408">
        <v>-3.0077999999999996</v>
      </c>
      <c r="CK356" s="408"/>
      <c r="CL356" s="408"/>
      <c r="CM356" s="408"/>
      <c r="CN356" s="408"/>
      <c r="CO356" s="408">
        <v>-9.5195000000000025</v>
      </c>
      <c r="CP356" s="408">
        <v>1.0594999999999999</v>
      </c>
      <c r="CQ356" s="408"/>
      <c r="CR356" s="408">
        <v>1.1652939507004056</v>
      </c>
      <c r="CS356" s="408">
        <v>2.8149904182146024E-2</v>
      </c>
      <c r="CT356" s="408">
        <v>9.2187130002520101E-2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-3.3005150425939878E-2</v>
      </c>
      <c r="DA356" s="408">
        <v>0</v>
      </c>
      <c r="DB356" s="408">
        <v>0</v>
      </c>
      <c r="DC356" s="408">
        <v>1.0328067308303002</v>
      </c>
      <c r="DD356" s="408">
        <v>3.0843160541604547E-2</v>
      </c>
      <c r="DE356" s="408">
        <v>3.5608165608354524E-3</v>
      </c>
      <c r="DF356" s="408">
        <v>0</v>
      </c>
      <c r="DG356" s="408">
        <v>0.11923665560544494</v>
      </c>
      <c r="DH356" s="408">
        <v>0</v>
      </c>
      <c r="DI356" s="408">
        <v>-8.9356187842284829E-2</v>
      </c>
      <c r="DJ356" s="408"/>
      <c r="DK356" s="408">
        <v>0</v>
      </c>
      <c r="DL356" s="408">
        <v>0</v>
      </c>
      <c r="DM356" s="408">
        <v>-4.4991286252600293E-3</v>
      </c>
      <c r="DN356" s="408">
        <v>0</v>
      </c>
      <c r="DO356" s="408">
        <v>-1.223952494179853E-2</v>
      </c>
      <c r="DP356" s="408">
        <v>-2.3904551871624935E-3</v>
      </c>
      <c r="DQ356" s="408">
        <v>0</v>
      </c>
      <c r="DR356" s="408">
        <v>0</v>
      </c>
      <c r="DS356" s="408"/>
      <c r="DT356" s="408"/>
      <c r="DU356" s="408"/>
      <c r="DV356" s="408">
        <v>18.180789758334949</v>
      </c>
      <c r="DW356" s="408">
        <v>0</v>
      </c>
      <c r="DX356" s="408">
        <v>0</v>
      </c>
      <c r="DY356" s="408">
        <v>-9.5195000000000043</v>
      </c>
      <c r="DZ356" s="408">
        <v>1.0594999999999999</v>
      </c>
      <c r="EA356" s="408">
        <v>0</v>
      </c>
      <c r="EB356" s="408">
        <v>0</v>
      </c>
      <c r="EC356" s="408">
        <v>-9.6257643138537983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239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358</v>
      </c>
      <c r="B357" s="408" t="s">
        <v>1034</v>
      </c>
      <c r="C357" s="408" t="s">
        <v>2241</v>
      </c>
      <c r="D357" s="408" t="s">
        <v>596</v>
      </c>
      <c r="E357" s="408" t="s">
        <v>972</v>
      </c>
      <c r="F357" s="408" t="s">
        <v>2251</v>
      </c>
      <c r="G357" s="408" t="s">
        <v>1320</v>
      </c>
      <c r="H357" s="408" t="s">
        <v>1320</v>
      </c>
      <c r="I357" s="408" t="s">
        <v>971</v>
      </c>
      <c r="J357" s="408" t="s">
        <v>2234</v>
      </c>
      <c r="K357" s="827">
        <v>44531</v>
      </c>
      <c r="L357" s="408">
        <v>0</v>
      </c>
      <c r="M357" s="408">
        <v>0</v>
      </c>
      <c r="N357" s="408">
        <v>0.46200000000000002</v>
      </c>
      <c r="O357" s="408">
        <v>0.44352000000000003</v>
      </c>
      <c r="P357" s="408">
        <v>0.46200000000000002</v>
      </c>
      <c r="Q357" s="408">
        <v>0.44352000000000003</v>
      </c>
      <c r="R357" s="408"/>
      <c r="S357" s="408">
        <v>1684.16</v>
      </c>
      <c r="T357" s="408">
        <v>173.82</v>
      </c>
      <c r="U357" s="408"/>
      <c r="V357" s="408">
        <v>858.38676000000009</v>
      </c>
      <c r="W357" s="408">
        <v>858.38676000000009</v>
      </c>
      <c r="X357" s="408">
        <v>589.26251999999999</v>
      </c>
      <c r="Y357" s="408">
        <v>0</v>
      </c>
      <c r="Z357" s="408">
        <v>24.578412247380086</v>
      </c>
      <c r="AA357" s="408">
        <v>0</v>
      </c>
      <c r="AB357" s="408">
        <v>0</v>
      </c>
      <c r="AC357" s="408">
        <v>8.3157227351977561</v>
      </c>
      <c r="AD357" s="408">
        <v>126.85869928117431</v>
      </c>
      <c r="AE357" s="408">
        <v>535.13111443899038</v>
      </c>
      <c r="AF357" s="408">
        <v>74.346026620144812</v>
      </c>
      <c r="AG357" s="408">
        <v>3.7402898111348288</v>
      </c>
      <c r="AH357" s="408">
        <v>0</v>
      </c>
      <c r="AI357" s="408">
        <v>0</v>
      </c>
      <c r="AJ357" s="408">
        <v>0</v>
      </c>
      <c r="AK357" s="408">
        <v>0</v>
      </c>
      <c r="AL357" s="408">
        <v>4.3665914558200889</v>
      </c>
      <c r="AM357" s="408"/>
      <c r="AN357" s="408">
        <v>0.57414156754358714</v>
      </c>
      <c r="AO357" s="408">
        <v>17.859138356632375</v>
      </c>
      <c r="AP357" s="408">
        <v>57.425986006052668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0</v>
      </c>
      <c r="BE357" s="408">
        <v>8.620625460971186E-2</v>
      </c>
      <c r="BF357" s="408">
        <v>2.2202280119070883</v>
      </c>
      <c r="BG357" s="408">
        <v>2.8866821180818607</v>
      </c>
      <c r="BH357" s="408">
        <v>0</v>
      </c>
      <c r="BI357" s="408">
        <v>0</v>
      </c>
      <c r="BJ357" s="408">
        <v>0</v>
      </c>
      <c r="BK357" s="408">
        <v>0</v>
      </c>
      <c r="BL357" s="408">
        <v>0</v>
      </c>
      <c r="BM357" s="408"/>
      <c r="BN357" s="408"/>
      <c r="BO357" s="408"/>
      <c r="BP357" s="408"/>
      <c r="BQ357" s="408"/>
      <c r="BR357" s="408">
        <v>23.570500799999998</v>
      </c>
      <c r="BS357" s="408"/>
      <c r="BT357" s="408"/>
      <c r="BU357" s="408"/>
      <c r="BV357" s="408">
        <v>79.539143004743465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561.20240000000001</v>
      </c>
      <c r="CJ357" s="408">
        <v>-262.87888960000009</v>
      </c>
      <c r="CK357" s="408"/>
      <c r="CL357" s="408"/>
      <c r="CM357" s="408"/>
      <c r="CN357" s="408"/>
      <c r="CO357" s="408">
        <v>-278.91402000000005</v>
      </c>
      <c r="CP357" s="408">
        <v>9.7897799999999986</v>
      </c>
      <c r="CQ357" s="408"/>
      <c r="CR357" s="408">
        <v>14.196349700821543</v>
      </c>
      <c r="CS357" s="408">
        <v>1.7340095054308478</v>
      </c>
      <c r="CT357" s="408">
        <v>5.5757004400075445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-2.4324150809504346</v>
      </c>
      <c r="DA357" s="408">
        <v>0</v>
      </c>
      <c r="DB357" s="408">
        <v>0</v>
      </c>
      <c r="DC357" s="408">
        <v>9.5431341928719888</v>
      </c>
      <c r="DD357" s="408">
        <v>0.28499080340442573</v>
      </c>
      <c r="DE357" s="408">
        <v>1.1065525535192897E-2</v>
      </c>
      <c r="DF357" s="408">
        <v>0</v>
      </c>
      <c r="DG357" s="408">
        <v>0.37053755361760832</v>
      </c>
      <c r="DH357" s="408">
        <v>0</v>
      </c>
      <c r="DI357" s="408">
        <v>-0.71831652282657998</v>
      </c>
      <c r="DJ357" s="408"/>
      <c r="DK357" s="408">
        <v>0</v>
      </c>
      <c r="DL357" s="408">
        <v>0</v>
      </c>
      <c r="DM357" s="408">
        <v>-4.15719484974022E-2</v>
      </c>
      <c r="DN357" s="408">
        <v>0</v>
      </c>
      <c r="DO357" s="408">
        <v>-0.11309321046221843</v>
      </c>
      <c r="DP357" s="408">
        <v>-1.7691557309409078E-2</v>
      </c>
      <c r="DQ357" s="408">
        <v>0</v>
      </c>
      <c r="DR357" s="408">
        <v>0</v>
      </c>
      <c r="DS357" s="408"/>
      <c r="DT357" s="408"/>
      <c r="DU357" s="408"/>
      <c r="DV357" s="408">
        <v>535.13111443899038</v>
      </c>
      <c r="DW357" s="408">
        <v>0</v>
      </c>
      <c r="DX357" s="408">
        <v>0</v>
      </c>
      <c r="DY357" s="408">
        <v>-278.91402000000005</v>
      </c>
      <c r="DZ357" s="408">
        <v>9.7897800000000075</v>
      </c>
      <c r="EA357" s="408">
        <v>0</v>
      </c>
      <c r="EB357" s="408">
        <v>0</v>
      </c>
      <c r="EC357" s="408">
        <v>-283.32355486582509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0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239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359</v>
      </c>
      <c r="B358" s="408" t="s">
        <v>1034</v>
      </c>
      <c r="C358" s="408" t="s">
        <v>2241</v>
      </c>
      <c r="D358" s="408" t="s">
        <v>596</v>
      </c>
      <c r="E358" s="408" t="s">
        <v>972</v>
      </c>
      <c r="F358" s="408" t="s">
        <v>2251</v>
      </c>
      <c r="G358" s="408" t="s">
        <v>1320</v>
      </c>
      <c r="H358" s="408" t="s">
        <v>1320</v>
      </c>
      <c r="I358" s="408" t="s">
        <v>2242</v>
      </c>
      <c r="J358" s="408" t="s">
        <v>2234</v>
      </c>
      <c r="K358" s="827">
        <v>44531</v>
      </c>
      <c r="L358" s="408">
        <v>0</v>
      </c>
      <c r="M358" s="408">
        <v>0</v>
      </c>
      <c r="N358" s="408">
        <v>329.82400000000001</v>
      </c>
      <c r="O358" s="408">
        <v>316.63103999999998</v>
      </c>
      <c r="P358" s="408">
        <v>329.82400000000001</v>
      </c>
      <c r="Q358" s="408">
        <v>316.63103999999998</v>
      </c>
      <c r="R358" s="408"/>
      <c r="S358" s="408">
        <v>70.33</v>
      </c>
      <c r="T358" s="408">
        <v>173.82</v>
      </c>
      <c r="U358" s="408"/>
      <c r="V358" s="408">
        <v>80526.529600000009</v>
      </c>
      <c r="W358" s="408">
        <v>80526.529600000009</v>
      </c>
      <c r="X358" s="408">
        <v>87182.377919999999</v>
      </c>
      <c r="Y358" s="408">
        <v>0</v>
      </c>
      <c r="Z358" s="408">
        <v>17546.645543462964</v>
      </c>
      <c r="AA358" s="408">
        <v>0</v>
      </c>
      <c r="AB358" s="408">
        <v>0</v>
      </c>
      <c r="AC358" s="408">
        <v>0</v>
      </c>
      <c r="AD358" s="408">
        <v>0</v>
      </c>
      <c r="AE358" s="408">
        <v>0</v>
      </c>
      <c r="AF358" s="408">
        <v>53075.982432819575</v>
      </c>
      <c r="AG358" s="408">
        <v>2670.2107070730171</v>
      </c>
      <c r="AH358" s="408">
        <v>0</v>
      </c>
      <c r="AI358" s="408">
        <v>0</v>
      </c>
      <c r="AJ358" s="408">
        <v>0</v>
      </c>
      <c r="AK358" s="408">
        <v>0</v>
      </c>
      <c r="AL358" s="408">
        <v>3117.3304336026081</v>
      </c>
      <c r="AM358" s="408"/>
      <c r="AN358" s="408">
        <v>409.88239907683135</v>
      </c>
      <c r="AO358" s="408">
        <v>0</v>
      </c>
      <c r="AP358" s="408">
        <v>0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61.543055671847625</v>
      </c>
      <c r="BF358" s="408">
        <v>1585.0313502148126</v>
      </c>
      <c r="BG358" s="408">
        <v>2060.8161102039644</v>
      </c>
      <c r="BH358" s="408">
        <v>0</v>
      </c>
      <c r="BI358" s="408">
        <v>0</v>
      </c>
      <c r="BJ358" s="408">
        <v>0</v>
      </c>
      <c r="BK358" s="408">
        <v>0</v>
      </c>
      <c r="BL358" s="408">
        <v>0</v>
      </c>
      <c r="BM358" s="408"/>
      <c r="BN358" s="408"/>
      <c r="BO358" s="408"/>
      <c r="BP358" s="408"/>
      <c r="BQ358" s="408"/>
      <c r="BR358" s="408">
        <v>3487.2951168000072</v>
      </c>
      <c r="BS358" s="408"/>
      <c r="BT358" s="408"/>
      <c r="BU358" s="408"/>
      <c r="BV358" s="408">
        <v>56783.372948910204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83694.807899999985</v>
      </c>
      <c r="CJ358" s="408">
        <v>6389.3094839999976</v>
      </c>
      <c r="CK358" s="408"/>
      <c r="CL358" s="408"/>
      <c r="CM358" s="408"/>
      <c r="CN358" s="408"/>
      <c r="CO358" s="408">
        <v>-333.12224000000168</v>
      </c>
      <c r="CP358" s="408">
        <v>6988.9705599999998</v>
      </c>
      <c r="CQ358" s="408"/>
      <c r="CR358" s="408">
        <v>6652.9176241101668</v>
      </c>
      <c r="CS358" s="408">
        <v>0</v>
      </c>
      <c r="CT358" s="408">
        <v>0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0</v>
      </c>
      <c r="DA358" s="408">
        <v>0</v>
      </c>
      <c r="DB358" s="408">
        <v>0</v>
      </c>
      <c r="DC358" s="408">
        <v>6812.8889437874604</v>
      </c>
      <c r="DD358" s="408">
        <v>203.45629164948355</v>
      </c>
      <c r="DE358" s="408">
        <v>7.8997313725529494</v>
      </c>
      <c r="DF358" s="408">
        <v>0</v>
      </c>
      <c r="DG358" s="408">
        <v>264.5285239921518</v>
      </c>
      <c r="DH358" s="408">
        <v>0</v>
      </c>
      <c r="DI358" s="408">
        <v>-512.8095862007649</v>
      </c>
      <c r="DJ358" s="408"/>
      <c r="DK358" s="408">
        <v>0</v>
      </c>
      <c r="DL358" s="408">
        <v>0</v>
      </c>
      <c r="DM358" s="408">
        <v>-29.678411993955251</v>
      </c>
      <c r="DN358" s="408">
        <v>0</v>
      </c>
      <c r="DO358" s="408">
        <v>-80.737781488074688</v>
      </c>
      <c r="DP358" s="408">
        <v>-12.630087008698126</v>
      </c>
      <c r="DQ358" s="408">
        <v>0</v>
      </c>
      <c r="DR358" s="408">
        <v>0</v>
      </c>
      <c r="DS358" s="408"/>
      <c r="DT358" s="408"/>
      <c r="DU358" s="408"/>
      <c r="DV358" s="408">
        <v>0</v>
      </c>
      <c r="DW358" s="408">
        <v>0</v>
      </c>
      <c r="DX358" s="408">
        <v>0</v>
      </c>
      <c r="DY358" s="408">
        <v>-333.1222400000006</v>
      </c>
      <c r="DZ358" s="408">
        <v>6988.9705599999943</v>
      </c>
      <c r="EA358" s="408">
        <v>0</v>
      </c>
      <c r="EB358" s="408">
        <v>0</v>
      </c>
      <c r="EC358" s="408">
        <v>0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239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360</v>
      </c>
      <c r="B359" s="408" t="s">
        <v>1034</v>
      </c>
      <c r="C359" s="408" t="s">
        <v>2241</v>
      </c>
      <c r="D359" s="408" t="s">
        <v>596</v>
      </c>
      <c r="E359" s="408" t="s">
        <v>972</v>
      </c>
      <c r="F359" s="408" t="s">
        <v>2251</v>
      </c>
      <c r="G359" s="408" t="s">
        <v>1320</v>
      </c>
      <c r="H359" s="408" t="s">
        <v>1320</v>
      </c>
      <c r="I359" s="408" t="s">
        <v>1320</v>
      </c>
      <c r="J359" s="408" t="s">
        <v>2234</v>
      </c>
      <c r="K359" s="827">
        <v>44531</v>
      </c>
      <c r="L359" s="408">
        <v>1499</v>
      </c>
      <c r="M359" s="408">
        <v>1439.04</v>
      </c>
      <c r="N359" s="408">
        <v>0</v>
      </c>
      <c r="O359" s="408">
        <v>0</v>
      </c>
      <c r="P359" s="408">
        <v>0</v>
      </c>
      <c r="Q359" s="408">
        <v>0</v>
      </c>
      <c r="R359" s="408">
        <v>59.12</v>
      </c>
      <c r="S359" s="408"/>
      <c r="T359" s="408"/>
      <c r="U359" s="408">
        <v>88620.87999999999</v>
      </c>
      <c r="V359" s="408"/>
      <c r="W359" s="408">
        <v>88620.87999999999</v>
      </c>
      <c r="X359" s="408">
        <v>51010.97</v>
      </c>
      <c r="Y359" s="408">
        <v>0</v>
      </c>
      <c r="Z359" s="408">
        <v>0</v>
      </c>
      <c r="AA359" s="408">
        <v>0</v>
      </c>
      <c r="AB359" s="408">
        <v>0</v>
      </c>
      <c r="AC359" s="408">
        <v>857.51848463718943</v>
      </c>
      <c r="AD359" s="408">
        <v>7670.4169534224302</v>
      </c>
      <c r="AE359" s="408">
        <v>72194.5348309236</v>
      </c>
      <c r="AF359" s="408"/>
      <c r="AG359" s="408"/>
      <c r="AH359" s="408"/>
      <c r="AI359" s="408">
        <v>0</v>
      </c>
      <c r="AJ359" s="408">
        <v>0</v>
      </c>
      <c r="AK359" s="408">
        <v>0</v>
      </c>
      <c r="AL359" s="408">
        <v>0</v>
      </c>
      <c r="AM359" s="408"/>
      <c r="AN359" s="408">
        <v>0</v>
      </c>
      <c r="AO359" s="408">
        <v>1810.9001014194</v>
      </c>
      <c r="AP359" s="408">
        <v>6087.4208081658899</v>
      </c>
      <c r="AQ359" s="408">
        <v>0</v>
      </c>
      <c r="AR359" s="408">
        <v>0</v>
      </c>
      <c r="AS359" s="408"/>
      <c r="AT359" s="408"/>
      <c r="AU359" s="408">
        <v>0</v>
      </c>
      <c r="AV359" s="408">
        <v>0</v>
      </c>
      <c r="AW359" s="408">
        <v>0</v>
      </c>
      <c r="AX359" s="408"/>
      <c r="AY359" s="408"/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/>
      <c r="BG359" s="408">
        <v>0</v>
      </c>
      <c r="BH359" s="408">
        <v>0</v>
      </c>
      <c r="BI359" s="408">
        <v>405</v>
      </c>
      <c r="BJ359" s="408">
        <v>1670.72</v>
      </c>
      <c r="BK359" s="408">
        <v>44.55</v>
      </c>
      <c r="BL359" s="408">
        <v>9</v>
      </c>
      <c r="BM359" s="408"/>
      <c r="BN359" s="408"/>
      <c r="BO359" s="408"/>
      <c r="BP359" s="408"/>
      <c r="BQ359" s="408"/>
      <c r="BR359" s="408">
        <v>2040.4388000000013</v>
      </c>
      <c r="BS359" s="408"/>
      <c r="BT359" s="408"/>
      <c r="BU359" s="408"/>
      <c r="BV359" s="408">
        <v>0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48970.531199999998</v>
      </c>
      <c r="CJ359" s="408">
        <v>-36105.543599999975</v>
      </c>
      <c r="CK359" s="408"/>
      <c r="CL359" s="408"/>
      <c r="CM359" s="408"/>
      <c r="CN359" s="408"/>
      <c r="CO359" s="408">
        <v>-37609.909999999996</v>
      </c>
      <c r="CP359" s="408">
        <v>0</v>
      </c>
      <c r="CQ359" s="408"/>
      <c r="CR359" s="408">
        <v>619.80289118888322</v>
      </c>
      <c r="CS359" s="408">
        <v>175.8269590918303</v>
      </c>
      <c r="CT359" s="408">
        <v>591.05010186547952</v>
      </c>
      <c r="CU359" s="408">
        <v>0</v>
      </c>
      <c r="CV359" s="408">
        <v>0</v>
      </c>
      <c r="CW359" s="408"/>
      <c r="CX359" s="408"/>
      <c r="CY359" s="408"/>
      <c r="CZ359" s="408">
        <v>-147.07416976842433</v>
      </c>
      <c r="DA359" s="408">
        <v>0</v>
      </c>
      <c r="DB359" s="408">
        <v>0</v>
      </c>
      <c r="DC359" s="408"/>
      <c r="DD359" s="408"/>
      <c r="DE359" s="408">
        <v>0</v>
      </c>
      <c r="DF359" s="408">
        <v>0</v>
      </c>
      <c r="DG359" s="408">
        <v>0</v>
      </c>
      <c r="DH359" s="408">
        <v>0</v>
      </c>
      <c r="DI359" s="408">
        <v>0</v>
      </c>
      <c r="DJ359" s="408"/>
      <c r="DK359" s="408">
        <v>0</v>
      </c>
      <c r="DL359" s="408">
        <v>0</v>
      </c>
      <c r="DM359" s="408"/>
      <c r="DN359" s="408">
        <v>0</v>
      </c>
      <c r="DO359" s="408">
        <v>0</v>
      </c>
      <c r="DP359" s="408">
        <v>0</v>
      </c>
      <c r="DQ359" s="408">
        <v>0</v>
      </c>
      <c r="DR359" s="408">
        <v>0</v>
      </c>
      <c r="DS359" s="408"/>
      <c r="DT359" s="408"/>
      <c r="DU359" s="408">
        <v>72194.5348309236</v>
      </c>
      <c r="DV359" s="408"/>
      <c r="DW359" s="408">
        <v>0</v>
      </c>
      <c r="DX359" s="408">
        <v>0</v>
      </c>
      <c r="DY359" s="408">
        <v>-37609.909999999989</v>
      </c>
      <c r="DZ359" s="408"/>
      <c r="EA359" s="408">
        <v>0</v>
      </c>
      <c r="EB359" s="408"/>
      <c r="EC359" s="408">
        <v>-38223.178765498458</v>
      </c>
      <c r="ED359" s="408"/>
      <c r="EE359" s="408">
        <v>0</v>
      </c>
      <c r="EF359" s="408">
        <v>0</v>
      </c>
      <c r="EG359" s="408"/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/>
      <c r="EN359" s="408"/>
      <c r="EO359" s="408">
        <v>0</v>
      </c>
      <c r="EP359" s="408">
        <v>0</v>
      </c>
      <c r="EQ359" s="408"/>
      <c r="ER359" s="408">
        <v>0</v>
      </c>
      <c r="ES359" s="408"/>
      <c r="ET359" s="408">
        <v>0</v>
      </c>
      <c r="EU359" s="408"/>
      <c r="EV359" s="408">
        <v>239</v>
      </c>
      <c r="EW359" s="408"/>
      <c r="EX359" s="408"/>
      <c r="EY359" s="408"/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361</v>
      </c>
      <c r="B360" s="408" t="s">
        <v>1034</v>
      </c>
      <c r="C360" s="408" t="s">
        <v>2241</v>
      </c>
      <c r="D360" s="408" t="s">
        <v>596</v>
      </c>
      <c r="E360" s="408" t="s">
        <v>972</v>
      </c>
      <c r="F360" s="408" t="s">
        <v>2251</v>
      </c>
      <c r="G360" s="408" t="s">
        <v>2253</v>
      </c>
      <c r="H360" s="408" t="s">
        <v>1320</v>
      </c>
      <c r="I360" s="408" t="s">
        <v>2242</v>
      </c>
      <c r="J360" s="408" t="s">
        <v>2234</v>
      </c>
      <c r="K360" s="827">
        <v>44531</v>
      </c>
      <c r="L360" s="408">
        <v>0</v>
      </c>
      <c r="M360" s="408">
        <v>0</v>
      </c>
      <c r="N360" s="408">
        <v>243.91900000000001</v>
      </c>
      <c r="O360" s="408">
        <v>73.175700000000006</v>
      </c>
      <c r="P360" s="408">
        <v>243.91900000000001</v>
      </c>
      <c r="Q360" s="408">
        <v>73.175700000000006</v>
      </c>
      <c r="R360" s="408"/>
      <c r="S360" s="408">
        <v>70.33</v>
      </c>
      <c r="T360" s="408">
        <v>173.82</v>
      </c>
      <c r="U360" s="408"/>
      <c r="V360" s="408">
        <v>59552.823850000001</v>
      </c>
      <c r="W360" s="408">
        <v>59552.823850000001</v>
      </c>
      <c r="X360" s="408">
        <v>64475.109270000001</v>
      </c>
      <c r="Y360" s="408">
        <v>0</v>
      </c>
      <c r="Z360" s="408">
        <v>12976.497266166023</v>
      </c>
      <c r="AA360" s="408">
        <v>0</v>
      </c>
      <c r="AB360" s="408">
        <v>0</v>
      </c>
      <c r="AC360" s="408">
        <v>0</v>
      </c>
      <c r="AD360" s="408">
        <v>0</v>
      </c>
      <c r="AE360" s="408">
        <v>0</v>
      </c>
      <c r="AF360" s="408">
        <v>39251.96637913226</v>
      </c>
      <c r="AG360" s="408">
        <v>1974.7353905675245</v>
      </c>
      <c r="AH360" s="408">
        <v>0</v>
      </c>
      <c r="AI360" s="408">
        <v>0</v>
      </c>
      <c r="AJ360" s="408">
        <v>0</v>
      </c>
      <c r="AK360" s="408">
        <v>0</v>
      </c>
      <c r="AL360" s="408">
        <v>2305.3996132298275</v>
      </c>
      <c r="AM360" s="408"/>
      <c r="AN360" s="408">
        <v>303.1256212416975</v>
      </c>
      <c r="AO360" s="408">
        <v>0</v>
      </c>
      <c r="AP360" s="408">
        <v>0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45.513730342308023</v>
      </c>
      <c r="BF360" s="408">
        <v>1172.1986935852058</v>
      </c>
      <c r="BG360" s="408">
        <v>1524.0619384424444</v>
      </c>
      <c r="BH360" s="408">
        <v>0</v>
      </c>
      <c r="BI360" s="408">
        <v>0</v>
      </c>
      <c r="BJ360" s="408">
        <v>0</v>
      </c>
      <c r="BK360" s="408">
        <v>0</v>
      </c>
      <c r="BL360" s="408">
        <v>0</v>
      </c>
      <c r="BM360" s="408"/>
      <c r="BN360" s="408"/>
      <c r="BO360" s="408"/>
      <c r="BP360" s="408"/>
      <c r="BQ360" s="408"/>
      <c r="BR360" s="408"/>
      <c r="BS360" s="408">
        <v>45132.576488999999</v>
      </c>
      <c r="BT360" s="408"/>
      <c r="BU360" s="408"/>
      <c r="BV360" s="408">
        <v>41993.740741502217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19343.669399999999</v>
      </c>
      <c r="CJ360" s="408">
        <v>1477.7922450000005</v>
      </c>
      <c r="CK360" s="408"/>
      <c r="CL360" s="408"/>
      <c r="CM360" s="408"/>
      <c r="CN360" s="408"/>
      <c r="CO360" s="408">
        <v>-246.35819000000126</v>
      </c>
      <c r="CP360" s="408">
        <v>5168.6436100000001</v>
      </c>
      <c r="CQ360" s="408"/>
      <c r="CR360" s="408">
        <v>4920.1180446399521</v>
      </c>
      <c r="CS360" s="408">
        <v>0</v>
      </c>
      <c r="CT360" s="408">
        <v>0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0</v>
      </c>
      <c r="DA360" s="408">
        <v>0</v>
      </c>
      <c r="DB360" s="408">
        <v>0</v>
      </c>
      <c r="DC360" s="408">
        <v>5038.4236995479223</v>
      </c>
      <c r="DD360" s="408">
        <v>150.46465752295262</v>
      </c>
      <c r="DE360" s="408">
        <v>5.8421903095643231</v>
      </c>
      <c r="DF360" s="408">
        <v>0</v>
      </c>
      <c r="DG360" s="408">
        <v>195.6301938113711</v>
      </c>
      <c r="DH360" s="408">
        <v>0</v>
      </c>
      <c r="DI360" s="408">
        <v>-379.24469249206959</v>
      </c>
      <c r="DJ360" s="408"/>
      <c r="DK360" s="408">
        <v>0</v>
      </c>
      <c r="DL360" s="408">
        <v>0</v>
      </c>
      <c r="DM360" s="408">
        <v>-21.94845910289564</v>
      </c>
      <c r="DN360" s="408">
        <v>0</v>
      </c>
      <c r="DO360" s="408">
        <v>-59.709053685571234</v>
      </c>
      <c r="DP360" s="408">
        <v>-9.3404912713285171</v>
      </c>
      <c r="DQ360" s="408">
        <v>0</v>
      </c>
      <c r="DR360" s="408">
        <v>0</v>
      </c>
      <c r="DS360" s="408"/>
      <c r="DT360" s="408"/>
      <c r="DU360" s="408"/>
      <c r="DV360" s="408">
        <v>0</v>
      </c>
      <c r="DW360" s="408">
        <v>0</v>
      </c>
      <c r="DX360" s="408">
        <v>0</v>
      </c>
      <c r="DY360" s="408">
        <v>-246.35819000000265</v>
      </c>
      <c r="DZ360" s="408">
        <v>5168.6436099999992</v>
      </c>
      <c r="EA360" s="408">
        <v>0</v>
      </c>
      <c r="EB360" s="408">
        <v>0</v>
      </c>
      <c r="EC360" s="408">
        <v>0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239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362</v>
      </c>
      <c r="B361" s="408" t="s">
        <v>1034</v>
      </c>
      <c r="C361" s="408" t="s">
        <v>2233</v>
      </c>
      <c r="D361" s="408" t="s">
        <v>2243</v>
      </c>
      <c r="E361" s="408" t="s">
        <v>972</v>
      </c>
      <c r="F361" s="408" t="s">
        <v>2254</v>
      </c>
      <c r="G361" s="408" t="s">
        <v>2252</v>
      </c>
      <c r="H361" s="408" t="s">
        <v>1320</v>
      </c>
      <c r="I361" s="408" t="s">
        <v>1320</v>
      </c>
      <c r="J361" s="408" t="s">
        <v>2234</v>
      </c>
      <c r="K361" s="827">
        <v>44531</v>
      </c>
      <c r="L361" s="408">
        <v>0</v>
      </c>
      <c r="M361" s="408">
        <v>0</v>
      </c>
      <c r="N361" s="408">
        <v>0</v>
      </c>
      <c r="O361" s="408">
        <v>0</v>
      </c>
      <c r="P361" s="408">
        <v>0</v>
      </c>
      <c r="Q361" s="408">
        <v>0</v>
      </c>
      <c r="R361" s="408"/>
      <c r="S361" s="408"/>
      <c r="T361" s="408"/>
      <c r="U361" s="408"/>
      <c r="V361" s="408"/>
      <c r="W361" s="408"/>
      <c r="X361" s="408"/>
      <c r="Y361" s="408"/>
      <c r="Z361" s="408"/>
      <c r="AA361" s="408">
        <v>0</v>
      </c>
      <c r="AB361" s="408"/>
      <c r="AC361" s="408"/>
      <c r="AD361" s="408"/>
      <c r="AE361" s="408"/>
      <c r="AF361" s="408"/>
      <c r="AG361" s="408"/>
      <c r="AH361" s="408"/>
      <c r="AI361" s="408"/>
      <c r="AJ361" s="408"/>
      <c r="AK361" s="408"/>
      <c r="AL361" s="408"/>
      <c r="AM361" s="408"/>
      <c r="AN361" s="408"/>
      <c r="AO361" s="408"/>
      <c r="AP361" s="408"/>
      <c r="AQ361" s="408"/>
      <c r="AR361" s="408"/>
      <c r="AS361" s="408"/>
      <c r="AT361" s="408"/>
      <c r="AU361" s="408"/>
      <c r="AV361" s="408"/>
      <c r="AW361" s="408"/>
      <c r="AX361" s="408"/>
      <c r="AY361" s="408"/>
      <c r="AZ361" s="408">
        <v>0</v>
      </c>
      <c r="BA361" s="408"/>
      <c r="BB361" s="408"/>
      <c r="BC361" s="408"/>
      <c r="BD361" s="408"/>
      <c r="BE361" s="408"/>
      <c r="BF361" s="408"/>
      <c r="BG361" s="408"/>
      <c r="BH361" s="408"/>
      <c r="BI361" s="408">
        <v>0.04</v>
      </c>
      <c r="BJ361" s="408">
        <v>0.19</v>
      </c>
      <c r="BK361" s="408">
        <v>4.55</v>
      </c>
      <c r="BL361" s="408">
        <v>1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/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/>
      <c r="CJ361" s="408">
        <v>-0.03</v>
      </c>
      <c r="CK361" s="408"/>
      <c r="CL361" s="408"/>
      <c r="CM361" s="408"/>
      <c r="CN361" s="408"/>
      <c r="CO361" s="408">
        <v>0</v>
      </c>
      <c r="CP361" s="408">
        <v>0</v>
      </c>
      <c r="CQ361" s="408"/>
      <c r="CR361" s="408"/>
      <c r="CS361" s="408"/>
      <c r="CT361" s="408"/>
      <c r="CU361" s="408"/>
      <c r="CV361" s="408"/>
      <c r="CW361" s="408"/>
      <c r="CX361" s="408"/>
      <c r="CY361" s="408"/>
      <c r="CZ361" s="408"/>
      <c r="DA361" s="408"/>
      <c r="DB361" s="408"/>
      <c r="DC361" s="408"/>
      <c r="DD361" s="408"/>
      <c r="DE361" s="408"/>
      <c r="DF361" s="408"/>
      <c r="DG361" s="408"/>
      <c r="DH361" s="408"/>
      <c r="DI361" s="408"/>
      <c r="DJ361" s="408"/>
      <c r="DK361" s="408">
        <v>0</v>
      </c>
      <c r="DL361" s="408"/>
      <c r="DM361" s="408"/>
      <c r="DN361" s="408"/>
      <c r="DO361" s="408"/>
      <c r="DP361" s="408"/>
      <c r="DQ361" s="408"/>
      <c r="DR361" s="408"/>
      <c r="DS361" s="408"/>
      <c r="DT361" s="408"/>
      <c r="DU361" s="408"/>
      <c r="DV361" s="408"/>
      <c r="DW361" s="408"/>
      <c r="DX361" s="408"/>
      <c r="DY361" s="408"/>
      <c r="DZ361" s="408"/>
      <c r="EA361" s="408"/>
      <c r="EB361" s="408"/>
      <c r="EC361" s="408"/>
      <c r="ED361" s="408"/>
      <c r="EE361" s="408"/>
      <c r="EF361" s="408"/>
      <c r="EG361" s="408"/>
      <c r="EH361" s="408"/>
      <c r="EI361" s="408"/>
      <c r="EJ361" s="408"/>
      <c r="EK361" s="408"/>
      <c r="EL361" s="408"/>
      <c r="EM361" s="408"/>
      <c r="EN361" s="408"/>
      <c r="EO361" s="408"/>
      <c r="EP361" s="408"/>
      <c r="EQ361" s="408"/>
      <c r="ER361" s="408"/>
      <c r="ES361" s="408"/>
      <c r="ET361" s="408"/>
      <c r="EU361" s="408"/>
      <c r="EV361" s="408">
        <v>239</v>
      </c>
      <c r="EW361" s="408"/>
      <c r="EX361" s="408"/>
      <c r="EY361" s="408"/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363</v>
      </c>
      <c r="B362" s="408" t="s">
        <v>1034</v>
      </c>
      <c r="C362" s="408" t="s">
        <v>2233</v>
      </c>
      <c r="D362" s="408" t="s">
        <v>2243</v>
      </c>
      <c r="E362" s="408" t="s">
        <v>972</v>
      </c>
      <c r="F362" s="408" t="s">
        <v>2254</v>
      </c>
      <c r="G362" s="408" t="s">
        <v>2252</v>
      </c>
      <c r="H362" s="408" t="s">
        <v>1320</v>
      </c>
      <c r="I362" s="408" t="s">
        <v>1320</v>
      </c>
      <c r="J362" s="408" t="s">
        <v>2234</v>
      </c>
      <c r="K362" s="827">
        <v>44531</v>
      </c>
      <c r="L362" s="408">
        <v>0</v>
      </c>
      <c r="M362" s="408">
        <v>0</v>
      </c>
      <c r="N362" s="408">
        <v>0.05</v>
      </c>
      <c r="O362" s="408">
        <v>0.05</v>
      </c>
      <c r="P362" s="408">
        <v>0.05</v>
      </c>
      <c r="Q362" s="408">
        <v>0.05</v>
      </c>
      <c r="R362" s="408"/>
      <c r="S362" s="408">
        <v>516.83000000000004</v>
      </c>
      <c r="T362" s="408">
        <v>173.82</v>
      </c>
      <c r="U362" s="408"/>
      <c r="V362" s="408">
        <v>34.532500000000006</v>
      </c>
      <c r="W362" s="408">
        <v>34.532500000000006</v>
      </c>
      <c r="X362" s="408">
        <v>26.072499999999998</v>
      </c>
      <c r="Y362" s="408">
        <v>0</v>
      </c>
      <c r="Z362" s="408">
        <v>3.0574727879011849</v>
      </c>
      <c r="AA362" s="408">
        <v>0</v>
      </c>
      <c r="AB362" s="408">
        <v>0</v>
      </c>
      <c r="AC362" s="408">
        <v>0.13592220366954352</v>
      </c>
      <c r="AD362" s="408">
        <v>1.7213305761033</v>
      </c>
      <c r="AE362" s="408">
        <v>18.180789758334949</v>
      </c>
      <c r="AF362" s="408">
        <v>8.0461067770719499</v>
      </c>
      <c r="AG362" s="408">
        <v>0.4047932696033365</v>
      </c>
      <c r="AH362" s="408">
        <v>0</v>
      </c>
      <c r="AI362" s="408">
        <v>0</v>
      </c>
      <c r="AJ362" s="408">
        <v>0</v>
      </c>
      <c r="AK362" s="408">
        <v>0</v>
      </c>
      <c r="AL362" s="408">
        <v>0.47257483288096203</v>
      </c>
      <c r="AM362" s="408"/>
      <c r="AN362" s="408">
        <v>7.7577098742484502E-2</v>
      </c>
      <c r="AO362" s="408">
        <v>0.289925188956772</v>
      </c>
      <c r="AP362" s="408">
        <v>0.94946579258044506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0</v>
      </c>
      <c r="BE362" s="408">
        <v>2.7740630852605305E-2</v>
      </c>
      <c r="BF362" s="408">
        <v>0.24028441687306148</v>
      </c>
      <c r="BG362" s="408">
        <v>0.92891616030728508</v>
      </c>
      <c r="BH362" s="408">
        <v>0</v>
      </c>
      <c r="BI362" s="408">
        <v>0</v>
      </c>
      <c r="BJ362" s="408">
        <v>0</v>
      </c>
      <c r="BK362" s="408">
        <v>0</v>
      </c>
      <c r="BL362" s="408">
        <v>0</v>
      </c>
      <c r="BM362" s="408"/>
      <c r="BN362" s="408"/>
      <c r="BO362" s="408"/>
      <c r="BP362" s="408"/>
      <c r="BQ362" s="408"/>
      <c r="BR362" s="408">
        <v>3.1284999999999998</v>
      </c>
      <c r="BS362" s="408"/>
      <c r="BT362" s="408"/>
      <c r="BU362" s="408"/>
      <c r="BV362" s="408">
        <v>9.2430479851049014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22.944000000000003</v>
      </c>
      <c r="CJ362" s="408">
        <v>-7.4745000000000026</v>
      </c>
      <c r="CK362" s="408"/>
      <c r="CL362" s="408"/>
      <c r="CM362" s="408"/>
      <c r="CN362" s="408"/>
      <c r="CO362" s="408">
        <v>-9.5195000000000025</v>
      </c>
      <c r="CP362" s="408">
        <v>1.0594999999999999</v>
      </c>
      <c r="CQ362" s="408"/>
      <c r="CR362" s="408">
        <v>1.1652939507004056</v>
      </c>
      <c r="CS362" s="408">
        <v>2.8149904182146024E-2</v>
      </c>
      <c r="CT362" s="408">
        <v>9.2187130002520101E-2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-3.3005150425939878E-2</v>
      </c>
      <c r="DA362" s="408">
        <v>0</v>
      </c>
      <c r="DB362" s="408">
        <v>0</v>
      </c>
      <c r="DC362" s="408">
        <v>1.0328067308303002</v>
      </c>
      <c r="DD362" s="408">
        <v>3.0843160541604547E-2</v>
      </c>
      <c r="DE362" s="408">
        <v>3.5608165608354524E-3</v>
      </c>
      <c r="DF362" s="408">
        <v>0</v>
      </c>
      <c r="DG362" s="408">
        <v>0.11923665560544494</v>
      </c>
      <c r="DH362" s="408">
        <v>0</v>
      </c>
      <c r="DI362" s="408">
        <v>-8.9356187842284829E-2</v>
      </c>
      <c r="DJ362" s="408"/>
      <c r="DK362" s="408">
        <v>0</v>
      </c>
      <c r="DL362" s="408">
        <v>0</v>
      </c>
      <c r="DM362" s="408">
        <v>-4.4991286252600293E-3</v>
      </c>
      <c r="DN362" s="408">
        <v>0</v>
      </c>
      <c r="DO362" s="408">
        <v>-1.223952494179853E-2</v>
      </c>
      <c r="DP362" s="408">
        <v>-2.3904551871624935E-3</v>
      </c>
      <c r="DQ362" s="408">
        <v>0</v>
      </c>
      <c r="DR362" s="408">
        <v>0</v>
      </c>
      <c r="DS362" s="408"/>
      <c r="DT362" s="408"/>
      <c r="DU362" s="408"/>
      <c r="DV362" s="408">
        <v>18.180789758334949</v>
      </c>
      <c r="DW362" s="408">
        <v>0</v>
      </c>
      <c r="DX362" s="408">
        <v>0</v>
      </c>
      <c r="DY362" s="408">
        <v>-9.5195000000000043</v>
      </c>
      <c r="DZ362" s="408">
        <v>1.0594999999999999</v>
      </c>
      <c r="EA362" s="408">
        <v>0</v>
      </c>
      <c r="EB362" s="408">
        <v>0</v>
      </c>
      <c r="EC362" s="408">
        <v>-9.6257643138537983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239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365</v>
      </c>
      <c r="B363" s="408" t="s">
        <v>1034</v>
      </c>
      <c r="C363" s="408" t="s">
        <v>2233</v>
      </c>
      <c r="D363" s="408" t="s">
        <v>1953</v>
      </c>
      <c r="E363" s="408" t="s">
        <v>967</v>
      </c>
      <c r="F363" s="408" t="s">
        <v>967</v>
      </c>
      <c r="G363" s="408" t="s">
        <v>1320</v>
      </c>
      <c r="H363" s="408" t="s">
        <v>1320</v>
      </c>
      <c r="I363" s="408" t="s">
        <v>1320</v>
      </c>
      <c r="J363" s="408" t="s">
        <v>2234</v>
      </c>
      <c r="K363" s="827">
        <v>44562</v>
      </c>
      <c r="L363" s="408">
        <v>0</v>
      </c>
      <c r="M363" s="408">
        <v>0</v>
      </c>
      <c r="N363" s="408">
        <v>2580.3539999999998</v>
      </c>
      <c r="O363" s="408">
        <v>2580.3539999999998</v>
      </c>
      <c r="P363" s="408">
        <v>2580.3539999999998</v>
      </c>
      <c r="Q363" s="408">
        <v>2580.3539999999998</v>
      </c>
      <c r="R363" s="408"/>
      <c r="S363" s="408">
        <v>516.83000000000004</v>
      </c>
      <c r="T363" s="408">
        <v>173.82</v>
      </c>
      <c r="U363" s="408"/>
      <c r="V363" s="408">
        <v>1782121.4901000001</v>
      </c>
      <c r="W363" s="408">
        <v>1782121.4901000001</v>
      </c>
      <c r="X363" s="408">
        <v>1345525.5932999998</v>
      </c>
      <c r="Y363" s="408">
        <v>0</v>
      </c>
      <c r="Z363" s="408">
        <v>157787.24276303948</v>
      </c>
      <c r="AA363" s="408">
        <v>0</v>
      </c>
      <c r="AB363" s="408">
        <v>0</v>
      </c>
      <c r="AC363" s="408">
        <v>7014.5480385504252</v>
      </c>
      <c r="AD363" s="408">
        <v>88832.844747409079</v>
      </c>
      <c r="AE363" s="408">
        <v>938257.47152157233</v>
      </c>
      <c r="AF363" s="408">
        <v>415236.07613289426</v>
      </c>
      <c r="AG363" s="408">
        <v>20890.198647880952</v>
      </c>
      <c r="AH363" s="408">
        <v>0</v>
      </c>
      <c r="AI363" s="408">
        <v>0</v>
      </c>
      <c r="AJ363" s="408">
        <v>0</v>
      </c>
      <c r="AK363" s="408">
        <v>0</v>
      </c>
      <c r="AL363" s="408">
        <v>24388.207206474435</v>
      </c>
      <c r="AM363" s="408"/>
      <c r="AN363" s="408">
        <v>4003.5275409712963</v>
      </c>
      <c r="AO363" s="408">
        <v>14962.192420507248</v>
      </c>
      <c r="AP363" s="408">
        <v>48999.157114962429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1431.6129556608701</v>
      </c>
      <c r="BF363" s="408">
        <v>12400.377124321432</v>
      </c>
      <c r="BG363" s="408">
        <v>47938.650598270877</v>
      </c>
      <c r="BH363" s="408">
        <v>0</v>
      </c>
      <c r="BI363" s="408">
        <v>0</v>
      </c>
      <c r="BJ363" s="408">
        <v>0</v>
      </c>
      <c r="BK363" s="408">
        <v>559583.73</v>
      </c>
      <c r="BL363" s="408">
        <v>12982</v>
      </c>
      <c r="BM363" s="408"/>
      <c r="BN363" s="408"/>
      <c r="BO363" s="408"/>
      <c r="BP363" s="408"/>
      <c r="BQ363" s="408"/>
      <c r="BR363" s="408"/>
      <c r="BS363" s="408"/>
      <c r="BT363" s="408"/>
      <c r="BU363" s="408"/>
      <c r="BV363" s="408">
        <v>477006.7168111474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1345523.5074999998</v>
      </c>
      <c r="CJ363" s="408">
        <v>-436598.01260000025</v>
      </c>
      <c r="CK363" s="408"/>
      <c r="CL363" s="408"/>
      <c r="CM363" s="408"/>
      <c r="CN363" s="408"/>
      <c r="CO363" s="408">
        <v>-491273.59806000005</v>
      </c>
      <c r="CP363" s="408">
        <v>54677.701259999987</v>
      </c>
      <c r="CQ363" s="408">
        <v>31</v>
      </c>
      <c r="CR363" s="408">
        <v>60137.418137311819</v>
      </c>
      <c r="CS363" s="408">
        <v>1452.7343571203437</v>
      </c>
      <c r="CT363" s="408">
        <v>4757.5085930104542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-1703.2994384435151</v>
      </c>
      <c r="DA363" s="408">
        <v>0</v>
      </c>
      <c r="DB363" s="408">
        <v>0</v>
      </c>
      <c r="DC363" s="408">
        <v>53300.139582497766</v>
      </c>
      <c r="DD363" s="408">
        <v>1591.7254535234297</v>
      </c>
      <c r="DE363" s="408">
        <v>183.76334512035987</v>
      </c>
      <c r="DF363" s="408">
        <v>0</v>
      </c>
      <c r="DG363" s="408">
        <v>6153.4556247626533</v>
      </c>
      <c r="DH363" s="408">
        <v>0</v>
      </c>
      <c r="DI363" s="408">
        <v>-4611.4119344718347</v>
      </c>
      <c r="DJ363" s="408"/>
      <c r="DK363" s="408">
        <v>0</v>
      </c>
      <c r="DL363" s="408">
        <v>0</v>
      </c>
      <c r="DM363" s="408">
        <v>-232.18689089408144</v>
      </c>
      <c r="DN363" s="408">
        <v>0</v>
      </c>
      <c r="DO363" s="408">
        <v>-631.64614283339324</v>
      </c>
      <c r="DP363" s="408">
        <v>-123.36441208030965</v>
      </c>
      <c r="DQ363" s="408">
        <v>0</v>
      </c>
      <c r="DR363" s="408">
        <v>0</v>
      </c>
      <c r="DS363" s="408"/>
      <c r="DT363" s="408"/>
      <c r="DU363" s="408"/>
      <c r="DV363" s="408">
        <v>938257.47152157233</v>
      </c>
      <c r="DW363" s="408">
        <v>0</v>
      </c>
      <c r="DX363" s="408">
        <v>0</v>
      </c>
      <c r="DY363" s="408">
        <v>-491273.59806000011</v>
      </c>
      <c r="DZ363" s="408">
        <v>54677.701260000002</v>
      </c>
      <c r="EA363" s="408">
        <v>0</v>
      </c>
      <c r="EB363" s="408">
        <v>0</v>
      </c>
      <c r="EC363" s="408">
        <v>-496757.5890061981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239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366</v>
      </c>
      <c r="B364" s="408" t="s">
        <v>2235</v>
      </c>
      <c r="C364" s="408" t="s">
        <v>2233</v>
      </c>
      <c r="D364" s="408" t="s">
        <v>1953</v>
      </c>
      <c r="E364" s="408" t="s">
        <v>967</v>
      </c>
      <c r="F364" s="408" t="s">
        <v>967</v>
      </c>
      <c r="G364" s="408" t="s">
        <v>1320</v>
      </c>
      <c r="H364" s="408" t="s">
        <v>1320</v>
      </c>
      <c r="I364" s="408" t="s">
        <v>1320</v>
      </c>
      <c r="J364" s="408" t="s">
        <v>2234</v>
      </c>
      <c r="K364" s="827">
        <v>44562</v>
      </c>
      <c r="L364" s="408">
        <v>0</v>
      </c>
      <c r="M364" s="408">
        <v>0</v>
      </c>
      <c r="N364" s="408">
        <v>-0.40300000000000002</v>
      </c>
      <c r="O364" s="408">
        <v>-0.40300000000000002</v>
      </c>
      <c r="P364" s="408">
        <v>-0.40300000000000002</v>
      </c>
      <c r="Q364" s="408">
        <v>-0.40300000000000002</v>
      </c>
      <c r="R364" s="408"/>
      <c r="S364" s="408">
        <v>516.83000000000004</v>
      </c>
      <c r="T364" s="408">
        <v>173.82</v>
      </c>
      <c r="U364" s="408"/>
      <c r="V364" s="408">
        <v>-278.33195000000001</v>
      </c>
      <c r="W364" s="408">
        <v>-278.33195000000001</v>
      </c>
      <c r="X364" s="408">
        <v>-210.14435</v>
      </c>
      <c r="Y364" s="408">
        <v>0</v>
      </c>
      <c r="Z364" s="408">
        <v>-24.64323067048355</v>
      </c>
      <c r="AA364" s="408">
        <v>0</v>
      </c>
      <c r="AB364" s="408">
        <v>0</v>
      </c>
      <c r="AC364" s="408">
        <v>-1.0955329615765208</v>
      </c>
      <c r="AD364" s="408">
        <v>-13.873924443392598</v>
      </c>
      <c r="AE364" s="408">
        <v>-146.53716545217969</v>
      </c>
      <c r="AF364" s="408">
        <v>-64.851620623199921</v>
      </c>
      <c r="AG364" s="408">
        <v>-3.2626337530028922</v>
      </c>
      <c r="AH364" s="408">
        <v>0</v>
      </c>
      <c r="AI364" s="408">
        <v>0</v>
      </c>
      <c r="AJ364" s="408">
        <v>0</v>
      </c>
      <c r="AK364" s="408">
        <v>0</v>
      </c>
      <c r="AL364" s="408">
        <v>-3.8089531530205538</v>
      </c>
      <c r="AM364" s="408"/>
      <c r="AN364" s="408">
        <v>-0.62527141586442503</v>
      </c>
      <c r="AO364" s="408">
        <v>-2.3367970229915822</v>
      </c>
      <c r="AP364" s="408">
        <v>-7.6526942881983873</v>
      </c>
      <c r="AQ364" s="408">
        <v>0</v>
      </c>
      <c r="AR364" s="408">
        <v>0</v>
      </c>
      <c r="AS364" s="408">
        <v>0</v>
      </c>
      <c r="AT364" s="408">
        <v>0</v>
      </c>
      <c r="AU364" s="408">
        <v>0</v>
      </c>
      <c r="AV364" s="408">
        <v>0</v>
      </c>
      <c r="AW364" s="408">
        <v>0</v>
      </c>
      <c r="AX364" s="408">
        <v>0</v>
      </c>
      <c r="AY364" s="408">
        <v>0</v>
      </c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-0.22358948467199874</v>
      </c>
      <c r="BF364" s="408">
        <v>-1.9366923999968757</v>
      </c>
      <c r="BG364" s="408">
        <v>-7.4870642520767179</v>
      </c>
      <c r="BH364" s="408">
        <v>0</v>
      </c>
      <c r="BI364" s="408">
        <v>-0.37</v>
      </c>
      <c r="BJ364" s="408">
        <v>-1.52</v>
      </c>
      <c r="BK364" s="408">
        <v>-136.19</v>
      </c>
      <c r="BL364" s="408">
        <v>0</v>
      </c>
      <c r="BM364" s="408"/>
      <c r="BN364" s="408"/>
      <c r="BO364" s="408"/>
      <c r="BP364" s="408"/>
      <c r="BQ364" s="408"/>
      <c r="BR364" s="408"/>
      <c r="BS364" s="408"/>
      <c r="BT364" s="408"/>
      <c r="BU364" s="408"/>
      <c r="BV364" s="408">
        <v>-74.498966759945517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-208.57999999999998</v>
      </c>
      <c r="CJ364" s="408">
        <v>69.721950000000049</v>
      </c>
      <c r="CK364" s="408"/>
      <c r="CL364" s="408"/>
      <c r="CM364" s="408"/>
      <c r="CN364" s="408"/>
      <c r="CO364" s="408">
        <v>76.727170000000015</v>
      </c>
      <c r="CP364" s="408">
        <v>-8.5395699999999994</v>
      </c>
      <c r="CQ364" s="408">
        <v>31</v>
      </c>
      <c r="CR364" s="408">
        <v>-9.3922692426453125</v>
      </c>
      <c r="CS364" s="408">
        <v>-0.22688822770809702</v>
      </c>
      <c r="CT364" s="408">
        <v>-0.74302826782031151</v>
      </c>
      <c r="CU364" s="408">
        <v>0</v>
      </c>
      <c r="CV364" s="408">
        <v>0</v>
      </c>
      <c r="CW364" s="408">
        <v>0</v>
      </c>
      <c r="CX364" s="408">
        <v>0</v>
      </c>
      <c r="CY364" s="408">
        <v>0</v>
      </c>
      <c r="CZ364" s="408">
        <v>0.26602151243307581</v>
      </c>
      <c r="DA364" s="408">
        <v>0</v>
      </c>
      <c r="DB364" s="408">
        <v>0</v>
      </c>
      <c r="DC364" s="408">
        <v>-8.3244222504922192</v>
      </c>
      <c r="DD364" s="408">
        <v>-0.24859587396533267</v>
      </c>
      <c r="DE364" s="408">
        <v>-2.8700181480333764E-2</v>
      </c>
      <c r="DF364" s="408">
        <v>0</v>
      </c>
      <c r="DG364" s="408">
        <v>-0.9610474441798873</v>
      </c>
      <c r="DH364" s="408">
        <v>0</v>
      </c>
      <c r="DI364" s="408">
        <v>0.72021087400881711</v>
      </c>
      <c r="DJ364" s="408"/>
      <c r="DK364" s="408">
        <v>0</v>
      </c>
      <c r="DL364" s="408">
        <v>0</v>
      </c>
      <c r="DM364" s="408">
        <v>3.6262976719595663E-2</v>
      </c>
      <c r="DN364" s="408">
        <v>0</v>
      </c>
      <c r="DO364" s="408">
        <v>9.8650571030896028E-2</v>
      </c>
      <c r="DP364" s="408">
        <v>1.9267068808529686E-2</v>
      </c>
      <c r="DQ364" s="408">
        <v>0</v>
      </c>
      <c r="DR364" s="408">
        <v>0</v>
      </c>
      <c r="DS364" s="408"/>
      <c r="DT364" s="408"/>
      <c r="DU364" s="408"/>
      <c r="DV364" s="408">
        <v>-146.53716545217969</v>
      </c>
      <c r="DW364" s="408">
        <v>0</v>
      </c>
      <c r="DX364" s="408">
        <v>0</v>
      </c>
      <c r="DY364" s="408">
        <v>76.727170000000029</v>
      </c>
      <c r="DZ364" s="408">
        <v>-8.5395700000000119</v>
      </c>
      <c r="EA364" s="408">
        <v>0</v>
      </c>
      <c r="EB364" s="408">
        <v>0</v>
      </c>
      <c r="EC364" s="408">
        <v>77.583660369661615</v>
      </c>
      <c r="ED364" s="408">
        <v>0</v>
      </c>
      <c r="EE364" s="408">
        <v>0</v>
      </c>
      <c r="EF364" s="408">
        <v>0</v>
      </c>
      <c r="EG364" s="408">
        <v>0</v>
      </c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>
        <v>0</v>
      </c>
      <c r="EN364" s="408">
        <v>0</v>
      </c>
      <c r="EO364" s="408">
        <v>0</v>
      </c>
      <c r="EP364" s="408">
        <v>0</v>
      </c>
      <c r="EQ364" s="408">
        <v>0</v>
      </c>
      <c r="ER364" s="408">
        <v>0</v>
      </c>
      <c r="ES364" s="408">
        <v>0</v>
      </c>
      <c r="ET364" s="408">
        <v>0</v>
      </c>
      <c r="EU364" s="408">
        <v>0</v>
      </c>
      <c r="EV364" s="408">
        <v>239</v>
      </c>
      <c r="EW364" s="408">
        <v>0</v>
      </c>
      <c r="EX364" s="408">
        <v>0</v>
      </c>
      <c r="EY364" s="408">
        <v>0</v>
      </c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367</v>
      </c>
      <c r="B365" s="408" t="s">
        <v>2236</v>
      </c>
      <c r="C365" s="408" t="s">
        <v>2233</v>
      </c>
      <c r="D365" s="408" t="s">
        <v>1953</v>
      </c>
      <c r="E365" s="408" t="s">
        <v>967</v>
      </c>
      <c r="F365" s="408" t="s">
        <v>967</v>
      </c>
      <c r="G365" s="408" t="s">
        <v>1320</v>
      </c>
      <c r="H365" s="408" t="s">
        <v>1320</v>
      </c>
      <c r="I365" s="408" t="s">
        <v>1320</v>
      </c>
      <c r="J365" s="408" t="s">
        <v>2234</v>
      </c>
      <c r="K365" s="827">
        <v>44562</v>
      </c>
      <c r="L365" s="408">
        <v>0</v>
      </c>
      <c r="M365" s="408">
        <v>0</v>
      </c>
      <c r="N365" s="408">
        <v>22.936</v>
      </c>
      <c r="O365" s="408">
        <v>22.936</v>
      </c>
      <c r="P365" s="408">
        <v>22.936</v>
      </c>
      <c r="Q365" s="408">
        <v>22.936</v>
      </c>
      <c r="R365" s="408"/>
      <c r="S365" s="408">
        <v>516.83000000000004</v>
      </c>
      <c r="T365" s="408">
        <v>173.82</v>
      </c>
      <c r="U365" s="408"/>
      <c r="V365" s="408">
        <v>15840.7484</v>
      </c>
      <c r="W365" s="408">
        <v>15840.7484</v>
      </c>
      <c r="X365" s="408">
        <v>11959.977199999999</v>
      </c>
      <c r="Y365" s="408">
        <v>0</v>
      </c>
      <c r="Z365" s="408">
        <v>1402.5239172660315</v>
      </c>
      <c r="AA365" s="408">
        <v>0</v>
      </c>
      <c r="AB365" s="408">
        <v>0</v>
      </c>
      <c r="AC365" s="408">
        <v>62.350233267293</v>
      </c>
      <c r="AD365" s="408">
        <v>789.6087618701057</v>
      </c>
      <c r="AE365" s="408">
        <v>8339.891877943408</v>
      </c>
      <c r="AF365" s="408">
        <v>3690.9101007784448</v>
      </c>
      <c r="AG365" s="408">
        <v>185.68676863244249</v>
      </c>
      <c r="AH365" s="408">
        <v>0</v>
      </c>
      <c r="AI365" s="408">
        <v>0</v>
      </c>
      <c r="AJ365" s="408">
        <v>0</v>
      </c>
      <c r="AK365" s="408">
        <v>0</v>
      </c>
      <c r="AL365" s="408">
        <v>216.77952733915487</v>
      </c>
      <c r="AM365" s="408"/>
      <c r="AN365" s="408">
        <v>35.586166735152489</v>
      </c>
      <c r="AO365" s="408">
        <v>132.99448267825045</v>
      </c>
      <c r="AP365" s="408">
        <v>435.53894837250175</v>
      </c>
      <c r="AQ365" s="408">
        <v>0</v>
      </c>
      <c r="AR365" s="408">
        <v>0</v>
      </c>
      <c r="AS365" s="408">
        <v>0</v>
      </c>
      <c r="AT365" s="408">
        <v>0</v>
      </c>
      <c r="AU365" s="408">
        <v>0</v>
      </c>
      <c r="AV365" s="408">
        <v>0</v>
      </c>
      <c r="AW365" s="408">
        <v>0</v>
      </c>
      <c r="AX365" s="408">
        <v>0</v>
      </c>
      <c r="AY365" s="408">
        <v>0</v>
      </c>
      <c r="AZ365" s="408">
        <v>0</v>
      </c>
      <c r="BA365" s="408"/>
      <c r="BB365" s="408">
        <v>0</v>
      </c>
      <c r="BC365" s="408">
        <v>0</v>
      </c>
      <c r="BD365" s="408">
        <v>0</v>
      </c>
      <c r="BE365" s="408">
        <v>12.725182184707105</v>
      </c>
      <c r="BF365" s="408">
        <v>110.22326770801077</v>
      </c>
      <c r="BG365" s="408">
        <v>426.11242105615781</v>
      </c>
      <c r="BH365" s="408">
        <v>0</v>
      </c>
      <c r="BI365" s="408">
        <v>0</v>
      </c>
      <c r="BJ365" s="408">
        <v>0</v>
      </c>
      <c r="BK365" s="408">
        <v>18833.72</v>
      </c>
      <c r="BL365" s="408">
        <v>303</v>
      </c>
      <c r="BM365" s="408"/>
      <c r="BN365" s="408"/>
      <c r="BO365" s="408"/>
      <c r="BP365" s="408"/>
      <c r="BQ365" s="408"/>
      <c r="BR365" s="408"/>
      <c r="BS365" s="408"/>
      <c r="BT365" s="408"/>
      <c r="BU365" s="408"/>
      <c r="BV365" s="408">
        <v>4239.9709717273199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11962.063000000002</v>
      </c>
      <c r="CJ365" s="408">
        <v>-3878.7153999999991</v>
      </c>
      <c r="CK365" s="408"/>
      <c r="CL365" s="408"/>
      <c r="CM365" s="408"/>
      <c r="CN365" s="408"/>
      <c r="CO365" s="408">
        <v>-4366.7850400000007</v>
      </c>
      <c r="CP365" s="408">
        <v>486.01383999999996</v>
      </c>
      <c r="CQ365" s="408">
        <v>31</v>
      </c>
      <c r="CR365" s="408">
        <v>534.54364106529192</v>
      </c>
      <c r="CS365" s="408">
        <v>12.912924046434028</v>
      </c>
      <c r="CT365" s="408">
        <v>42.288080274755998</v>
      </c>
      <c r="CU365" s="408">
        <v>0</v>
      </c>
      <c r="CV365" s="408">
        <v>0</v>
      </c>
      <c r="CW365" s="408">
        <v>0</v>
      </c>
      <c r="CX365" s="408">
        <v>0</v>
      </c>
      <c r="CY365" s="408">
        <v>0</v>
      </c>
      <c r="CZ365" s="408">
        <v>-15.140122603387113</v>
      </c>
      <c r="DA365" s="408">
        <v>0</v>
      </c>
      <c r="DB365" s="408">
        <v>0</v>
      </c>
      <c r="DC365" s="408">
        <v>473.76910356647568</v>
      </c>
      <c r="DD365" s="408">
        <v>14.148374603644825</v>
      </c>
      <c r="DE365" s="408">
        <v>1.6334177727864372</v>
      </c>
      <c r="DF365" s="408">
        <v>0</v>
      </c>
      <c r="DG365" s="408">
        <v>54.696238659329708</v>
      </c>
      <c r="DH365" s="408">
        <v>0</v>
      </c>
      <c r="DI365" s="408">
        <v>-40.989470487013023</v>
      </c>
      <c r="DJ365" s="408"/>
      <c r="DK365" s="408">
        <v>0</v>
      </c>
      <c r="DL365" s="408">
        <v>0</v>
      </c>
      <c r="DM365" s="408">
        <v>-2.0638402829792426</v>
      </c>
      <c r="DN365" s="408">
        <v>0</v>
      </c>
      <c r="DO365" s="408">
        <v>-5.6145148813018011</v>
      </c>
      <c r="DP365" s="408">
        <v>-1.0965496034551805</v>
      </c>
      <c r="DQ365" s="408">
        <v>0</v>
      </c>
      <c r="DR365" s="408">
        <v>0</v>
      </c>
      <c r="DS365" s="408"/>
      <c r="DT365" s="408"/>
      <c r="DU365" s="408"/>
      <c r="DV365" s="408">
        <v>8339.891877943408</v>
      </c>
      <c r="DW365" s="408">
        <v>0</v>
      </c>
      <c r="DX365" s="408">
        <v>0</v>
      </c>
      <c r="DY365" s="408">
        <v>-4366.7850400000007</v>
      </c>
      <c r="DZ365" s="408">
        <v>486.01384000000007</v>
      </c>
      <c r="EA365" s="408">
        <v>0</v>
      </c>
      <c r="EB365" s="408">
        <v>0</v>
      </c>
      <c r="EC365" s="408">
        <v>-4415.5306060510147</v>
      </c>
      <c r="ED365" s="408">
        <v>0</v>
      </c>
      <c r="EE365" s="408">
        <v>0</v>
      </c>
      <c r="EF365" s="408">
        <v>0</v>
      </c>
      <c r="EG365" s="408">
        <v>0</v>
      </c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>
        <v>0</v>
      </c>
      <c r="EN365" s="408">
        <v>0</v>
      </c>
      <c r="EO365" s="408">
        <v>0</v>
      </c>
      <c r="EP365" s="408">
        <v>0</v>
      </c>
      <c r="EQ365" s="408">
        <v>0</v>
      </c>
      <c r="ER365" s="408">
        <v>0</v>
      </c>
      <c r="ES365" s="408">
        <v>0</v>
      </c>
      <c r="ET365" s="408">
        <v>0</v>
      </c>
      <c r="EU365" s="408">
        <v>0</v>
      </c>
      <c r="EV365" s="408">
        <v>239</v>
      </c>
      <c r="EW365" s="408">
        <v>0</v>
      </c>
      <c r="EX365" s="408">
        <v>0</v>
      </c>
      <c r="EY365" s="408">
        <v>0</v>
      </c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368</v>
      </c>
      <c r="B366" s="408" t="s">
        <v>1034</v>
      </c>
      <c r="C366" s="408" t="s">
        <v>2233</v>
      </c>
      <c r="D366" s="408" t="s">
        <v>1953</v>
      </c>
      <c r="E366" s="408" t="s">
        <v>967</v>
      </c>
      <c r="F366" s="408" t="s">
        <v>2237</v>
      </c>
      <c r="G366" s="408" t="s">
        <v>1320</v>
      </c>
      <c r="H366" s="408" t="s">
        <v>1320</v>
      </c>
      <c r="I366" s="408" t="s">
        <v>1320</v>
      </c>
      <c r="J366" s="408" t="s">
        <v>2234</v>
      </c>
      <c r="K366" s="827">
        <v>44562</v>
      </c>
      <c r="L366" s="408">
        <v>0</v>
      </c>
      <c r="M366" s="408">
        <v>0</v>
      </c>
      <c r="N366" s="408">
        <v>25.65</v>
      </c>
      <c r="O366" s="408">
        <v>25.65</v>
      </c>
      <c r="P366" s="408">
        <v>25.65</v>
      </c>
      <c r="Q366" s="408">
        <v>25.65</v>
      </c>
      <c r="R366" s="408"/>
      <c r="S366" s="408">
        <v>446.23</v>
      </c>
      <c r="T366" s="408">
        <v>173.82</v>
      </c>
      <c r="U366" s="408"/>
      <c r="V366" s="408">
        <v>15904.282499999998</v>
      </c>
      <c r="W366" s="408">
        <v>15904.282499999998</v>
      </c>
      <c r="X366" s="408">
        <v>11616.371999999999</v>
      </c>
      <c r="Y366" s="408">
        <v>0</v>
      </c>
      <c r="Z366" s="408">
        <v>0</v>
      </c>
      <c r="AA366" s="408">
        <v>0</v>
      </c>
      <c r="AB366" s="408">
        <v>0</v>
      </c>
      <c r="AC366" s="408">
        <v>69.728090482475821</v>
      </c>
      <c r="AD366" s="408">
        <v>883.04258554099272</v>
      </c>
      <c r="AE366" s="408">
        <v>9326.7451460258289</v>
      </c>
      <c r="AF366" s="408">
        <v>4127.6527766379095</v>
      </c>
      <c r="AG366" s="408">
        <v>207.65894730651158</v>
      </c>
      <c r="AH366" s="408">
        <v>0</v>
      </c>
      <c r="AI366" s="408">
        <v>0</v>
      </c>
      <c r="AJ366" s="408">
        <v>0</v>
      </c>
      <c r="AK366" s="408">
        <v>0</v>
      </c>
      <c r="AL366" s="408">
        <v>0</v>
      </c>
      <c r="AM366" s="408"/>
      <c r="AN366" s="408">
        <v>39.797051654894545</v>
      </c>
      <c r="AO366" s="408">
        <v>148.73162193482403</v>
      </c>
      <c r="AP366" s="408">
        <v>487.07595159376825</v>
      </c>
      <c r="AQ366" s="408">
        <v>0</v>
      </c>
      <c r="AR366" s="408">
        <v>0</v>
      </c>
      <c r="AS366" s="408">
        <v>0</v>
      </c>
      <c r="AT366" s="408">
        <v>0</v>
      </c>
      <c r="AU366" s="408">
        <v>0</v>
      </c>
      <c r="AV366" s="408">
        <v>0</v>
      </c>
      <c r="AW366" s="408">
        <v>0</v>
      </c>
      <c r="AX366" s="408">
        <v>0</v>
      </c>
      <c r="AY366" s="408">
        <v>0</v>
      </c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14.23094362738652</v>
      </c>
      <c r="BF366" s="408">
        <v>123.26590585588053</v>
      </c>
      <c r="BG366" s="408">
        <v>476.53399023763717</v>
      </c>
      <c r="BH366" s="408">
        <v>0</v>
      </c>
      <c r="BI366" s="408">
        <v>0</v>
      </c>
      <c r="BJ366" s="408">
        <v>0</v>
      </c>
      <c r="BK366" s="408">
        <v>1298.18</v>
      </c>
      <c r="BL366" s="408">
        <v>32</v>
      </c>
      <c r="BM366" s="408"/>
      <c r="BN366" s="408"/>
      <c r="BO366" s="408"/>
      <c r="BP366" s="408"/>
      <c r="BQ366" s="408"/>
      <c r="BR366" s="408"/>
      <c r="BS366" s="408"/>
      <c r="BT366" s="408">
        <v>7550.5905000000002</v>
      </c>
      <c r="BU366" s="408"/>
      <c r="BV366" s="408">
        <v>4741.6836163588132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4065.7815000000001</v>
      </c>
      <c r="CJ366" s="408">
        <v>-1500.8115000000007</v>
      </c>
      <c r="CK366" s="408"/>
      <c r="CL366" s="408"/>
      <c r="CM366" s="408"/>
      <c r="CN366" s="408"/>
      <c r="CO366" s="408">
        <v>-4831.4340000000002</v>
      </c>
      <c r="CP366" s="408">
        <v>543.5234999999999</v>
      </c>
      <c r="CQ366" s="408">
        <v>31</v>
      </c>
      <c r="CR366" s="408">
        <v>649.91439736754546</v>
      </c>
      <c r="CS366" s="408">
        <v>14.440900845440893</v>
      </c>
      <c r="CT366" s="408">
        <v>47.291997691292806</v>
      </c>
      <c r="CU366" s="408">
        <v>0</v>
      </c>
      <c r="CV366" s="408">
        <v>0</v>
      </c>
      <c r="CW366" s="408">
        <v>0</v>
      </c>
      <c r="CX366" s="408">
        <v>0</v>
      </c>
      <c r="CY366" s="408">
        <v>0</v>
      </c>
      <c r="CZ366" s="408">
        <v>-16.931642168507096</v>
      </c>
      <c r="DA366" s="408">
        <v>0</v>
      </c>
      <c r="DB366" s="408">
        <v>0</v>
      </c>
      <c r="DC366" s="408">
        <v>529.82985291594468</v>
      </c>
      <c r="DD366" s="408">
        <v>15.822541357843136</v>
      </c>
      <c r="DE366" s="408">
        <v>1.826698895708585</v>
      </c>
      <c r="DF366" s="408">
        <v>0</v>
      </c>
      <c r="DG366" s="408">
        <v>61.168404325593372</v>
      </c>
      <c r="DH366" s="408">
        <v>0</v>
      </c>
      <c r="DI366" s="408">
        <v>0</v>
      </c>
      <c r="DJ366" s="408"/>
      <c r="DK366" s="408">
        <v>0</v>
      </c>
      <c r="DL366" s="408">
        <v>0</v>
      </c>
      <c r="DM366" s="408">
        <v>-2.3080529847583477</v>
      </c>
      <c r="DN366" s="408">
        <v>0</v>
      </c>
      <c r="DO366" s="408">
        <v>0</v>
      </c>
      <c r="DP366" s="408">
        <v>-1.2263035110143647</v>
      </c>
      <c r="DQ366" s="408">
        <v>0</v>
      </c>
      <c r="DR366" s="408">
        <v>0</v>
      </c>
      <c r="DS366" s="408"/>
      <c r="DT366" s="408"/>
      <c r="DU366" s="408"/>
      <c r="DV366" s="408">
        <v>9326.7451460258289</v>
      </c>
      <c r="DW366" s="408">
        <v>0</v>
      </c>
      <c r="DX366" s="408">
        <v>0</v>
      </c>
      <c r="DY366" s="408">
        <v>-4831.4339999999993</v>
      </c>
      <c r="DZ366" s="408">
        <v>543.52350000000024</v>
      </c>
      <c r="EA366" s="408">
        <v>0</v>
      </c>
      <c r="EB366" s="408">
        <v>0</v>
      </c>
      <c r="EC366" s="408">
        <v>-4938.0170930069989</v>
      </c>
      <c r="ED366" s="408">
        <v>0</v>
      </c>
      <c r="EE366" s="408">
        <v>0</v>
      </c>
      <c r="EF366" s="408">
        <v>0</v>
      </c>
      <c r="EG366" s="408">
        <v>0</v>
      </c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>
        <v>0</v>
      </c>
      <c r="EN366" s="408">
        <v>0</v>
      </c>
      <c r="EO366" s="408">
        <v>0</v>
      </c>
      <c r="EP366" s="408">
        <v>0</v>
      </c>
      <c r="EQ366" s="408">
        <v>0</v>
      </c>
      <c r="ER366" s="408">
        <v>0</v>
      </c>
      <c r="ES366" s="408">
        <v>0</v>
      </c>
      <c r="ET366" s="408">
        <v>0</v>
      </c>
      <c r="EU366" s="408">
        <v>0</v>
      </c>
      <c r="EV366" s="408">
        <v>239</v>
      </c>
      <c r="EW366" s="408">
        <v>0</v>
      </c>
      <c r="EX366" s="408">
        <v>0</v>
      </c>
      <c r="EY366" s="408">
        <v>0</v>
      </c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369</v>
      </c>
      <c r="B367" s="408" t="s">
        <v>2236</v>
      </c>
      <c r="C367" s="408" t="s">
        <v>2233</v>
      </c>
      <c r="D367" s="408" t="s">
        <v>1953</v>
      </c>
      <c r="E367" s="408" t="s">
        <v>967</v>
      </c>
      <c r="F367" s="408" t="s">
        <v>2237</v>
      </c>
      <c r="G367" s="408" t="s">
        <v>1320</v>
      </c>
      <c r="H367" s="408" t="s">
        <v>1320</v>
      </c>
      <c r="I367" s="408" t="s">
        <v>1320</v>
      </c>
      <c r="J367" s="408" t="s">
        <v>2234</v>
      </c>
      <c r="K367" s="827">
        <v>44562</v>
      </c>
      <c r="L367" s="408">
        <v>0</v>
      </c>
      <c r="M367" s="408">
        <v>0</v>
      </c>
      <c r="N367" s="408">
        <v>0.03</v>
      </c>
      <c r="O367" s="408">
        <v>-2.8500000000000001E-2</v>
      </c>
      <c r="P367" s="408">
        <v>0.03</v>
      </c>
      <c r="Q367" s="408">
        <v>-2.8500000000000001E-2</v>
      </c>
      <c r="R367" s="408"/>
      <c r="S367" s="408">
        <v>446.23</v>
      </c>
      <c r="T367" s="408">
        <v>173.82</v>
      </c>
      <c r="U367" s="408"/>
      <c r="V367" s="408">
        <v>18.601500000000001</v>
      </c>
      <c r="W367" s="408">
        <v>18.601500000000001</v>
      </c>
      <c r="X367" s="408">
        <v>13.586399999999999</v>
      </c>
      <c r="Y367" s="408">
        <v>0</v>
      </c>
      <c r="Z367" s="408">
        <v>0</v>
      </c>
      <c r="AA367" s="408">
        <v>0</v>
      </c>
      <c r="AB367" s="408">
        <v>0</v>
      </c>
      <c r="AC367" s="408">
        <v>8.1553322201726106E-2</v>
      </c>
      <c r="AD367" s="408">
        <v>1.0327983456619798</v>
      </c>
      <c r="AE367" s="408">
        <v>10.90847385500097</v>
      </c>
      <c r="AF367" s="408">
        <v>4.8276640662431696</v>
      </c>
      <c r="AG367" s="408">
        <v>0.24287596176200188</v>
      </c>
      <c r="AH367" s="408">
        <v>0</v>
      </c>
      <c r="AI367" s="408">
        <v>0</v>
      </c>
      <c r="AJ367" s="408">
        <v>0</v>
      </c>
      <c r="AK367" s="408">
        <v>0</v>
      </c>
      <c r="AL367" s="408">
        <v>0</v>
      </c>
      <c r="AM367" s="408"/>
      <c r="AN367" s="408">
        <v>4.6546259245490697E-2</v>
      </c>
      <c r="AO367" s="408">
        <v>0.17395511337406319</v>
      </c>
      <c r="AP367" s="408">
        <v>0.56967947554826703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1.6644378511563182E-2</v>
      </c>
      <c r="BF367" s="408">
        <v>0.14417065012383687</v>
      </c>
      <c r="BG367" s="408">
        <v>0.55734969618437102</v>
      </c>
      <c r="BH367" s="408">
        <v>0</v>
      </c>
      <c r="BI367" s="408">
        <v>0</v>
      </c>
      <c r="BJ367" s="408">
        <v>0</v>
      </c>
      <c r="BK367" s="408">
        <v>3.38</v>
      </c>
      <c r="BL367" s="408">
        <v>0</v>
      </c>
      <c r="BM367" s="408"/>
      <c r="BN367" s="408"/>
      <c r="BO367" s="408"/>
      <c r="BP367" s="408"/>
      <c r="BQ367" s="408"/>
      <c r="BR367" s="408"/>
      <c r="BS367" s="408"/>
      <c r="BT367" s="408">
        <v>18.103935</v>
      </c>
      <c r="BU367" s="408"/>
      <c r="BV367" s="408">
        <v>5.5458287910629398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-4.7553000000000001</v>
      </c>
      <c r="CJ367" s="408">
        <v>1.3997700000000011</v>
      </c>
      <c r="CK367" s="408"/>
      <c r="CL367" s="408"/>
      <c r="CM367" s="408"/>
      <c r="CN367" s="408"/>
      <c r="CO367" s="408">
        <v>-5.6508000000000003</v>
      </c>
      <c r="CP367" s="408">
        <v>0.63569999999999993</v>
      </c>
      <c r="CQ367" s="408">
        <v>31</v>
      </c>
      <c r="CR367" s="408">
        <v>0.7601337980906937</v>
      </c>
      <c r="CS367" s="408">
        <v>1.6889942509287603E-2</v>
      </c>
      <c r="CT367" s="408">
        <v>5.531227800151195E-2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-1.9803090255563705E-2</v>
      </c>
      <c r="DA367" s="408">
        <v>0</v>
      </c>
      <c r="DB367" s="408">
        <v>0</v>
      </c>
      <c r="DC367" s="408">
        <v>0.6196840384981801</v>
      </c>
      <c r="DD367" s="408">
        <v>1.8505896324962745E-2</v>
      </c>
      <c r="DE367" s="408">
        <v>2.1364899365012673E-3</v>
      </c>
      <c r="DF367" s="408">
        <v>0</v>
      </c>
      <c r="DG367" s="408">
        <v>7.1541993363266942E-2</v>
      </c>
      <c r="DH367" s="408">
        <v>0</v>
      </c>
      <c r="DI367" s="408">
        <v>0</v>
      </c>
      <c r="DJ367" s="408"/>
      <c r="DK367" s="408">
        <v>0</v>
      </c>
      <c r="DL367" s="408">
        <v>0</v>
      </c>
      <c r="DM367" s="408">
        <v>-2.6994771751560065E-3</v>
      </c>
      <c r="DN367" s="408">
        <v>0</v>
      </c>
      <c r="DO367" s="408">
        <v>0</v>
      </c>
      <c r="DP367" s="408">
        <v>-1.4342731122974975E-3</v>
      </c>
      <c r="DQ367" s="408">
        <v>0</v>
      </c>
      <c r="DR367" s="408">
        <v>0</v>
      </c>
      <c r="DS367" s="408"/>
      <c r="DT367" s="408"/>
      <c r="DU367" s="408"/>
      <c r="DV367" s="408">
        <v>10.90847385500097</v>
      </c>
      <c r="DW367" s="408">
        <v>0</v>
      </c>
      <c r="DX367" s="408">
        <v>0</v>
      </c>
      <c r="DY367" s="408">
        <v>-5.6508000000000012</v>
      </c>
      <c r="DZ367" s="408">
        <v>0.63569999999999993</v>
      </c>
      <c r="EA367" s="408">
        <v>0</v>
      </c>
      <c r="EB367" s="408">
        <v>0</v>
      </c>
      <c r="EC367" s="408">
        <v>-5.7754585883122802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239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370</v>
      </c>
      <c r="B368" s="408" t="s">
        <v>1034</v>
      </c>
      <c r="C368" s="408" t="s">
        <v>2233</v>
      </c>
      <c r="D368" s="408" t="s">
        <v>1953</v>
      </c>
      <c r="E368" s="408" t="s">
        <v>967</v>
      </c>
      <c r="F368" s="408" t="s">
        <v>2238</v>
      </c>
      <c r="G368" s="408" t="s">
        <v>1320</v>
      </c>
      <c r="H368" s="408" t="s">
        <v>1320</v>
      </c>
      <c r="I368" s="408" t="s">
        <v>1320</v>
      </c>
      <c r="J368" s="408" t="s">
        <v>2234</v>
      </c>
      <c r="K368" s="827">
        <v>44562</v>
      </c>
      <c r="L368" s="408">
        <v>0</v>
      </c>
      <c r="M368" s="408">
        <v>0</v>
      </c>
      <c r="N368" s="408">
        <v>54.88</v>
      </c>
      <c r="O368" s="408">
        <v>54.88</v>
      </c>
      <c r="P368" s="408">
        <v>54.88</v>
      </c>
      <c r="Q368" s="408">
        <v>54.88</v>
      </c>
      <c r="R368" s="408"/>
      <c r="S368" s="408">
        <v>446.23</v>
      </c>
      <c r="T368" s="408">
        <v>173.82</v>
      </c>
      <c r="U368" s="408"/>
      <c r="V368" s="408">
        <v>34028.344000000005</v>
      </c>
      <c r="W368" s="408">
        <v>34028.344000000005</v>
      </c>
      <c r="X368" s="408">
        <v>24854.054400000001</v>
      </c>
      <c r="Y368" s="408">
        <v>0</v>
      </c>
      <c r="Z368" s="408">
        <v>0</v>
      </c>
      <c r="AA368" s="408">
        <v>0</v>
      </c>
      <c r="AB368" s="408">
        <v>0</v>
      </c>
      <c r="AC368" s="408">
        <v>149.18821074769096</v>
      </c>
      <c r="AD368" s="408">
        <v>1889.3324403309821</v>
      </c>
      <c r="AE368" s="408">
        <v>19955.234838748442</v>
      </c>
      <c r="AF368" s="408">
        <v>8831.4067985141719</v>
      </c>
      <c r="AG368" s="408">
        <v>444.30109271662212</v>
      </c>
      <c r="AH368" s="408">
        <v>0</v>
      </c>
      <c r="AI368" s="408">
        <v>0</v>
      </c>
      <c r="AJ368" s="408">
        <v>0</v>
      </c>
      <c r="AK368" s="408">
        <v>0</v>
      </c>
      <c r="AL368" s="408">
        <v>0</v>
      </c>
      <c r="AM368" s="408"/>
      <c r="AN368" s="408">
        <v>85.148623579750989</v>
      </c>
      <c r="AO368" s="408">
        <v>318.22188739895296</v>
      </c>
      <c r="AP368" s="408">
        <v>1042.1336539362965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30.448116423819581</v>
      </c>
      <c r="BF368" s="408">
        <v>263.7361759598723</v>
      </c>
      <c r="BG368" s="408">
        <v>1019.5783775532761</v>
      </c>
      <c r="BH368" s="408">
        <v>0</v>
      </c>
      <c r="BI368" s="408">
        <v>0</v>
      </c>
      <c r="BJ368" s="408">
        <v>0</v>
      </c>
      <c r="BK368" s="408">
        <v>4950.45</v>
      </c>
      <c r="BL368" s="408">
        <v>95</v>
      </c>
      <c r="BM368" s="408"/>
      <c r="BN368" s="408"/>
      <c r="BO368" s="408"/>
      <c r="BP368" s="408"/>
      <c r="BQ368" s="408"/>
      <c r="BR368" s="408"/>
      <c r="BS368" s="408"/>
      <c r="BT368" s="408">
        <v>9942.0607999999993</v>
      </c>
      <c r="BU368" s="408"/>
      <c r="BV368" s="408">
        <v>10145.16946845114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14911.993600000002</v>
      </c>
      <c r="CJ368" s="408">
        <v>-5505.0427999999993</v>
      </c>
      <c r="CK368" s="408"/>
      <c r="CL368" s="408"/>
      <c r="CM368" s="408"/>
      <c r="CN368" s="408"/>
      <c r="CO368" s="408">
        <v>-10337.196800000002</v>
      </c>
      <c r="CP368" s="408">
        <v>1162.9071999999999</v>
      </c>
      <c r="CQ368" s="408">
        <v>31</v>
      </c>
      <c r="CR368" s="408">
        <v>1390.5380946405767</v>
      </c>
      <c r="CS368" s="408">
        <v>30.897334830323473</v>
      </c>
      <c r="CT368" s="408">
        <v>101.18459389076611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-36.226453107511588</v>
      </c>
      <c r="DA368" s="408">
        <v>0</v>
      </c>
      <c r="DB368" s="408">
        <v>0</v>
      </c>
      <c r="DC368" s="408">
        <v>1133.6086677593375</v>
      </c>
      <c r="DD368" s="408">
        <v>33.853453010465159</v>
      </c>
      <c r="DE368" s="408">
        <v>3.9083522571729894</v>
      </c>
      <c r="DF368" s="408">
        <v>0</v>
      </c>
      <c r="DG368" s="408">
        <v>130.87415319253637</v>
      </c>
      <c r="DH368" s="408">
        <v>0</v>
      </c>
      <c r="DI368" s="408">
        <v>0</v>
      </c>
      <c r="DJ368" s="408"/>
      <c r="DK368" s="408">
        <v>0</v>
      </c>
      <c r="DL368" s="408">
        <v>0</v>
      </c>
      <c r="DM368" s="408">
        <v>-4.9382435790853378</v>
      </c>
      <c r="DN368" s="408">
        <v>0</v>
      </c>
      <c r="DO368" s="408">
        <v>0</v>
      </c>
      <c r="DP368" s="408">
        <v>-2.6237636134295599</v>
      </c>
      <c r="DQ368" s="408">
        <v>0</v>
      </c>
      <c r="DR368" s="408">
        <v>0</v>
      </c>
      <c r="DS368" s="408"/>
      <c r="DT368" s="408"/>
      <c r="DU368" s="408"/>
      <c r="DV368" s="408">
        <v>19955.234838748442</v>
      </c>
      <c r="DW368" s="408">
        <v>0</v>
      </c>
      <c r="DX368" s="408">
        <v>0</v>
      </c>
      <c r="DY368" s="408">
        <v>-10337.196800000003</v>
      </c>
      <c r="DZ368" s="408">
        <v>1162.9072000000015</v>
      </c>
      <c r="EA368" s="408">
        <v>0</v>
      </c>
      <c r="EB368" s="408">
        <v>0</v>
      </c>
      <c r="EC368" s="408">
        <v>-10565.238910885932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239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371</v>
      </c>
      <c r="B369" s="408" t="s">
        <v>2236</v>
      </c>
      <c r="C369" s="408" t="s">
        <v>2233</v>
      </c>
      <c r="D369" s="408" t="s">
        <v>1953</v>
      </c>
      <c r="E369" s="408" t="s">
        <v>967</v>
      </c>
      <c r="F369" s="408" t="s">
        <v>2238</v>
      </c>
      <c r="G369" s="408" t="s">
        <v>1320</v>
      </c>
      <c r="H369" s="408" t="s">
        <v>1320</v>
      </c>
      <c r="I369" s="408" t="s">
        <v>1320</v>
      </c>
      <c r="J369" s="408" t="s">
        <v>2234</v>
      </c>
      <c r="K369" s="827">
        <v>44562</v>
      </c>
      <c r="L369" s="408">
        <v>0</v>
      </c>
      <c r="M369" s="408">
        <v>0</v>
      </c>
      <c r="N369" s="408">
        <v>0</v>
      </c>
      <c r="O369" s="408">
        <v>0</v>
      </c>
      <c r="P369" s="408">
        <v>0</v>
      </c>
      <c r="Q369" s="408">
        <v>0</v>
      </c>
      <c r="R369" s="408"/>
      <c r="S369" s="408"/>
      <c r="T369" s="408"/>
      <c r="U369" s="408"/>
      <c r="V369" s="408"/>
      <c r="W369" s="408"/>
      <c r="X369" s="408"/>
      <c r="Y369" s="408"/>
      <c r="Z369" s="408"/>
      <c r="AA369" s="408">
        <v>0</v>
      </c>
      <c r="AB369" s="408"/>
      <c r="AC369" s="408"/>
      <c r="AD369" s="408"/>
      <c r="AE369" s="408"/>
      <c r="AF369" s="408"/>
      <c r="AG369" s="408"/>
      <c r="AH369" s="408"/>
      <c r="AI369" s="408"/>
      <c r="AJ369" s="408"/>
      <c r="AK369" s="408"/>
      <c r="AL369" s="408"/>
      <c r="AM369" s="408"/>
      <c r="AN369" s="408"/>
      <c r="AO369" s="408"/>
      <c r="AP369" s="408"/>
      <c r="AQ369" s="408"/>
      <c r="AR369" s="408"/>
      <c r="AS369" s="408"/>
      <c r="AT369" s="408"/>
      <c r="AU369" s="408"/>
      <c r="AV369" s="408"/>
      <c r="AW369" s="408"/>
      <c r="AX369" s="408"/>
      <c r="AY369" s="408"/>
      <c r="AZ369" s="408">
        <v>0</v>
      </c>
      <c r="BA369" s="408"/>
      <c r="BB369" s="408"/>
      <c r="BC369" s="408"/>
      <c r="BD369" s="408"/>
      <c r="BE369" s="408"/>
      <c r="BF369" s="408"/>
      <c r="BG369" s="408"/>
      <c r="BH369" s="408"/>
      <c r="BI369" s="408">
        <v>0</v>
      </c>
      <c r="BJ369" s="408">
        <v>0</v>
      </c>
      <c r="BK369" s="408">
        <v>10.18</v>
      </c>
      <c r="BL369" s="408">
        <v>0</v>
      </c>
      <c r="BM369" s="408"/>
      <c r="BN369" s="408"/>
      <c r="BO369" s="408"/>
      <c r="BP369" s="408"/>
      <c r="BQ369" s="408"/>
      <c r="BR369" s="408"/>
      <c r="BS369" s="408"/>
      <c r="BT369" s="408"/>
      <c r="BU369" s="408"/>
      <c r="BV369" s="408"/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/>
      <c r="CJ369" s="408">
        <v>-0.03</v>
      </c>
      <c r="CK369" s="408"/>
      <c r="CL369" s="408"/>
      <c r="CM369" s="408"/>
      <c r="CN369" s="408"/>
      <c r="CO369" s="408">
        <v>0</v>
      </c>
      <c r="CP369" s="408">
        <v>0</v>
      </c>
      <c r="CQ369" s="408">
        <v>31</v>
      </c>
      <c r="CR369" s="408"/>
      <c r="CS369" s="408"/>
      <c r="CT369" s="408"/>
      <c r="CU369" s="408"/>
      <c r="CV369" s="408"/>
      <c r="CW369" s="408"/>
      <c r="CX369" s="408"/>
      <c r="CY369" s="408"/>
      <c r="CZ369" s="408"/>
      <c r="DA369" s="408"/>
      <c r="DB369" s="408"/>
      <c r="DC369" s="408"/>
      <c r="DD369" s="408"/>
      <c r="DE369" s="408"/>
      <c r="DF369" s="408"/>
      <c r="DG369" s="408"/>
      <c r="DH369" s="408"/>
      <c r="DI369" s="408"/>
      <c r="DJ369" s="408"/>
      <c r="DK369" s="408">
        <v>0</v>
      </c>
      <c r="DL369" s="408"/>
      <c r="DM369" s="408"/>
      <c r="DN369" s="408"/>
      <c r="DO369" s="408"/>
      <c r="DP369" s="408"/>
      <c r="DQ369" s="408"/>
      <c r="DR369" s="408"/>
      <c r="DS369" s="408"/>
      <c r="DT369" s="408"/>
      <c r="DU369" s="408"/>
      <c r="DV369" s="408"/>
      <c r="DW369" s="408"/>
      <c r="DX369" s="408"/>
      <c r="DY369" s="408"/>
      <c r="DZ369" s="408"/>
      <c r="EA369" s="408"/>
      <c r="EB369" s="408"/>
      <c r="EC369" s="408"/>
      <c r="ED369" s="408"/>
      <c r="EE369" s="408"/>
      <c r="EF369" s="408"/>
      <c r="EG369" s="408"/>
      <c r="EH369" s="408"/>
      <c r="EI369" s="408"/>
      <c r="EJ369" s="408"/>
      <c r="EK369" s="408"/>
      <c r="EL369" s="408"/>
      <c r="EM369" s="408"/>
      <c r="EN369" s="408"/>
      <c r="EO369" s="408"/>
      <c r="EP369" s="408"/>
      <c r="EQ369" s="408"/>
      <c r="ER369" s="408"/>
      <c r="ES369" s="408"/>
      <c r="ET369" s="408"/>
      <c r="EU369" s="408"/>
      <c r="EV369" s="408">
        <v>239</v>
      </c>
      <c r="EW369" s="408"/>
      <c r="EX369" s="408"/>
      <c r="EY369" s="408"/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372</v>
      </c>
      <c r="B370" s="408" t="s">
        <v>1034</v>
      </c>
      <c r="C370" s="408" t="s">
        <v>2233</v>
      </c>
      <c r="D370" s="408" t="s">
        <v>1953</v>
      </c>
      <c r="E370" s="408" t="s">
        <v>967</v>
      </c>
      <c r="F370" s="408" t="s">
        <v>2239</v>
      </c>
      <c r="G370" s="408" t="s">
        <v>1320</v>
      </c>
      <c r="H370" s="408" t="s">
        <v>1320</v>
      </c>
      <c r="I370" s="408" t="s">
        <v>1320</v>
      </c>
      <c r="J370" s="408" t="s">
        <v>2234</v>
      </c>
      <c r="K370" s="827">
        <v>44562</v>
      </c>
      <c r="L370" s="408">
        <v>0</v>
      </c>
      <c r="M370" s="408">
        <v>0</v>
      </c>
      <c r="N370" s="408">
        <v>65.17</v>
      </c>
      <c r="O370" s="408">
        <v>65.17</v>
      </c>
      <c r="P370" s="408">
        <v>65.17</v>
      </c>
      <c r="Q370" s="408">
        <v>65.17</v>
      </c>
      <c r="R370" s="408"/>
      <c r="S370" s="408">
        <v>446.23</v>
      </c>
      <c r="T370" s="408">
        <v>173.82</v>
      </c>
      <c r="U370" s="408"/>
      <c r="V370" s="408">
        <v>40408.658500000005</v>
      </c>
      <c r="W370" s="408">
        <v>40408.658500000005</v>
      </c>
      <c r="X370" s="408">
        <v>29514.189600000002</v>
      </c>
      <c r="Y370" s="408">
        <v>0</v>
      </c>
      <c r="Z370" s="408">
        <v>0</v>
      </c>
      <c r="AA370" s="408">
        <v>0</v>
      </c>
      <c r="AB370" s="408">
        <v>0</v>
      </c>
      <c r="AC370" s="408">
        <v>177.16100026288302</v>
      </c>
      <c r="AD370" s="408">
        <v>2243.5822728930411</v>
      </c>
      <c r="AE370" s="408">
        <v>23696.841371013776</v>
      </c>
      <c r="AF370" s="408">
        <v>10487.295573235579</v>
      </c>
      <c r="AG370" s="408">
        <v>527.60754760098871</v>
      </c>
      <c r="AH370" s="408">
        <v>0</v>
      </c>
      <c r="AI370" s="408">
        <v>0</v>
      </c>
      <c r="AJ370" s="408">
        <v>0</v>
      </c>
      <c r="AK370" s="408">
        <v>0</v>
      </c>
      <c r="AL370" s="408">
        <v>0</v>
      </c>
      <c r="AM370" s="408"/>
      <c r="AN370" s="408">
        <v>101.1139905009543</v>
      </c>
      <c r="AO370" s="408">
        <v>377.88849128625662</v>
      </c>
      <c r="AP370" s="408">
        <v>1237.5337140493521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36.157138253285751</v>
      </c>
      <c r="BF370" s="408">
        <v>313.18670895234834</v>
      </c>
      <c r="BG370" s="408">
        <v>1210.7493233445152</v>
      </c>
      <c r="BH370" s="408">
        <v>0</v>
      </c>
      <c r="BI370" s="408">
        <v>0</v>
      </c>
      <c r="BJ370" s="408">
        <v>0</v>
      </c>
      <c r="BK370" s="408">
        <v>8851.27</v>
      </c>
      <c r="BL370" s="408">
        <v>400</v>
      </c>
      <c r="BM370" s="408"/>
      <c r="BN370" s="408"/>
      <c r="BO370" s="408"/>
      <c r="BP370" s="408"/>
      <c r="BQ370" s="408"/>
      <c r="BR370" s="408"/>
      <c r="BS370" s="408"/>
      <c r="BT370" s="408">
        <v>2950.8976000000002</v>
      </c>
      <c r="BU370" s="408"/>
      <c r="BV370" s="408">
        <v>12047.388743785727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26563.292000000001</v>
      </c>
      <c r="CJ370" s="408">
        <v>-9804.8565000000017</v>
      </c>
      <c r="CK370" s="408"/>
      <c r="CL370" s="408"/>
      <c r="CM370" s="408"/>
      <c r="CN370" s="408"/>
      <c r="CO370" s="408">
        <v>-12275.421200000001</v>
      </c>
      <c r="CP370" s="408">
        <v>1380.9522999999999</v>
      </c>
      <c r="CQ370" s="408">
        <v>31</v>
      </c>
      <c r="CR370" s="408">
        <v>1651.2639873856861</v>
      </c>
      <c r="CS370" s="408">
        <v>36.690585111009113</v>
      </c>
      <c r="CT370" s="408">
        <v>120.15670524528468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-43.018913065170182</v>
      </c>
      <c r="DA370" s="408">
        <v>0</v>
      </c>
      <c r="DB370" s="408">
        <v>0</v>
      </c>
      <c r="DC370" s="408">
        <v>1346.160292964214</v>
      </c>
      <c r="DD370" s="408">
        <v>40.200975449927341</v>
      </c>
      <c r="DE370" s="408">
        <v>4.6411683053929238</v>
      </c>
      <c r="DF370" s="408">
        <v>0</v>
      </c>
      <c r="DG370" s="408">
        <v>155.41305691613707</v>
      </c>
      <c r="DH370" s="408">
        <v>0</v>
      </c>
      <c r="DI370" s="408">
        <v>0</v>
      </c>
      <c r="DJ370" s="408"/>
      <c r="DK370" s="408">
        <v>0</v>
      </c>
      <c r="DL370" s="408">
        <v>0</v>
      </c>
      <c r="DM370" s="408">
        <v>-5.8641642501638671</v>
      </c>
      <c r="DN370" s="408">
        <v>0</v>
      </c>
      <c r="DO370" s="408">
        <v>0</v>
      </c>
      <c r="DP370" s="408">
        <v>-3.1157192909476095</v>
      </c>
      <c r="DQ370" s="408">
        <v>0</v>
      </c>
      <c r="DR370" s="408">
        <v>0</v>
      </c>
      <c r="DS370" s="408"/>
      <c r="DT370" s="408"/>
      <c r="DU370" s="408"/>
      <c r="DV370" s="408">
        <v>23696.841371013776</v>
      </c>
      <c r="DW370" s="408">
        <v>0</v>
      </c>
      <c r="DX370" s="408">
        <v>0</v>
      </c>
      <c r="DY370" s="408">
        <v>-12275.421200000001</v>
      </c>
      <c r="DZ370" s="408">
        <v>1380.9523000000008</v>
      </c>
      <c r="EA370" s="408">
        <v>0</v>
      </c>
      <c r="EB370" s="408">
        <v>0</v>
      </c>
      <c r="EC370" s="408">
        <v>-12546.221206677044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239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373</v>
      </c>
      <c r="B371" s="408" t="s">
        <v>2236</v>
      </c>
      <c r="C371" s="408" t="s">
        <v>2233</v>
      </c>
      <c r="D371" s="408" t="s">
        <v>1953</v>
      </c>
      <c r="E371" s="408" t="s">
        <v>967</v>
      </c>
      <c r="F371" s="408" t="s">
        <v>2239</v>
      </c>
      <c r="G371" s="408" t="s">
        <v>1320</v>
      </c>
      <c r="H371" s="408" t="s">
        <v>1320</v>
      </c>
      <c r="I371" s="408" t="s">
        <v>1320</v>
      </c>
      <c r="J371" s="408" t="s">
        <v>2234</v>
      </c>
      <c r="K371" s="827">
        <v>44562</v>
      </c>
      <c r="L371" s="408">
        <v>0</v>
      </c>
      <c r="M371" s="408">
        <v>0</v>
      </c>
      <c r="N371" s="408">
        <v>0</v>
      </c>
      <c r="O371" s="408">
        <v>0</v>
      </c>
      <c r="P371" s="408">
        <v>0</v>
      </c>
      <c r="Q371" s="408">
        <v>0</v>
      </c>
      <c r="R371" s="408"/>
      <c r="S371" s="408"/>
      <c r="T371" s="408"/>
      <c r="U371" s="408"/>
      <c r="V371" s="408"/>
      <c r="W371" s="408"/>
      <c r="X371" s="408"/>
      <c r="Y371" s="408"/>
      <c r="Z371" s="408"/>
      <c r="AA371" s="408">
        <v>0</v>
      </c>
      <c r="AB371" s="408"/>
      <c r="AC371" s="408"/>
      <c r="AD371" s="408"/>
      <c r="AE371" s="408"/>
      <c r="AF371" s="408"/>
      <c r="AG371" s="408"/>
      <c r="AH371" s="408"/>
      <c r="AI371" s="408"/>
      <c r="AJ371" s="408"/>
      <c r="AK371" s="408"/>
      <c r="AL371" s="408"/>
      <c r="AM371" s="408"/>
      <c r="AN371" s="408"/>
      <c r="AO371" s="408"/>
      <c r="AP371" s="408"/>
      <c r="AQ371" s="408"/>
      <c r="AR371" s="408"/>
      <c r="AS371" s="408"/>
      <c r="AT371" s="408"/>
      <c r="AU371" s="408"/>
      <c r="AV371" s="408"/>
      <c r="AW371" s="408"/>
      <c r="AX371" s="408"/>
      <c r="AY371" s="408"/>
      <c r="AZ371" s="408">
        <v>0</v>
      </c>
      <c r="BA371" s="408"/>
      <c r="BB371" s="408"/>
      <c r="BC371" s="408"/>
      <c r="BD371" s="408"/>
      <c r="BE371" s="408"/>
      <c r="BF371" s="408"/>
      <c r="BG371" s="408"/>
      <c r="BH371" s="408"/>
      <c r="BI371" s="408">
        <v>0</v>
      </c>
      <c r="BJ371" s="408">
        <v>0</v>
      </c>
      <c r="BK371" s="408">
        <v>27.61</v>
      </c>
      <c r="BL371" s="408">
        <v>1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/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/>
      <c r="CJ371" s="408">
        <v>-0.03</v>
      </c>
      <c r="CK371" s="408"/>
      <c r="CL371" s="408"/>
      <c r="CM371" s="408"/>
      <c r="CN371" s="408"/>
      <c r="CO371" s="408">
        <v>0</v>
      </c>
      <c r="CP371" s="408">
        <v>0</v>
      </c>
      <c r="CQ371" s="408">
        <v>31</v>
      </c>
      <c r="CR371" s="408"/>
      <c r="CS371" s="408"/>
      <c r="CT371" s="408"/>
      <c r="CU371" s="408"/>
      <c r="CV371" s="408"/>
      <c r="CW371" s="408"/>
      <c r="CX371" s="408"/>
      <c r="CY371" s="408"/>
      <c r="CZ371" s="408"/>
      <c r="DA371" s="408"/>
      <c r="DB371" s="408"/>
      <c r="DC371" s="408"/>
      <c r="DD371" s="408"/>
      <c r="DE371" s="408"/>
      <c r="DF371" s="408"/>
      <c r="DG371" s="408"/>
      <c r="DH371" s="408"/>
      <c r="DI371" s="408"/>
      <c r="DJ371" s="408"/>
      <c r="DK371" s="408">
        <v>0</v>
      </c>
      <c r="DL371" s="408"/>
      <c r="DM371" s="408"/>
      <c r="DN371" s="408"/>
      <c r="DO371" s="408"/>
      <c r="DP371" s="408"/>
      <c r="DQ371" s="408"/>
      <c r="DR371" s="408"/>
      <c r="DS371" s="408"/>
      <c r="DT371" s="408"/>
      <c r="DU371" s="408"/>
      <c r="DV371" s="408"/>
      <c r="DW371" s="408"/>
      <c r="DX371" s="408"/>
      <c r="DY371" s="408"/>
      <c r="DZ371" s="408"/>
      <c r="EA371" s="408"/>
      <c r="EB371" s="408"/>
      <c r="EC371" s="408"/>
      <c r="ED371" s="408"/>
      <c r="EE371" s="408"/>
      <c r="EF371" s="408"/>
      <c r="EG371" s="408"/>
      <c r="EH371" s="408"/>
      <c r="EI371" s="408"/>
      <c r="EJ371" s="408"/>
      <c r="EK371" s="408"/>
      <c r="EL371" s="408"/>
      <c r="EM371" s="408"/>
      <c r="EN371" s="408"/>
      <c r="EO371" s="408"/>
      <c r="EP371" s="408"/>
      <c r="EQ371" s="408"/>
      <c r="ER371" s="408"/>
      <c r="ES371" s="408"/>
      <c r="ET371" s="408"/>
      <c r="EU371" s="408"/>
      <c r="EV371" s="408">
        <v>239</v>
      </c>
      <c r="EW371" s="408"/>
      <c r="EX371" s="408"/>
      <c r="EY371" s="408"/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374</v>
      </c>
      <c r="B372" s="408" t="s">
        <v>1034</v>
      </c>
      <c r="C372" s="408" t="s">
        <v>2233</v>
      </c>
      <c r="D372" s="408" t="s">
        <v>1953</v>
      </c>
      <c r="E372" s="408" t="s">
        <v>967</v>
      </c>
      <c r="F372" s="408" t="s">
        <v>2240</v>
      </c>
      <c r="G372" s="408" t="s">
        <v>1320</v>
      </c>
      <c r="H372" s="408" t="s">
        <v>1320</v>
      </c>
      <c r="I372" s="408" t="s">
        <v>1320</v>
      </c>
      <c r="J372" s="408" t="s">
        <v>2234</v>
      </c>
      <c r="K372" s="827">
        <v>44562</v>
      </c>
      <c r="L372" s="408">
        <v>0</v>
      </c>
      <c r="M372" s="408">
        <v>0</v>
      </c>
      <c r="N372" s="408">
        <v>32.783000000000001</v>
      </c>
      <c r="O372" s="408">
        <v>32.783000000000001</v>
      </c>
      <c r="P372" s="408">
        <v>32.783000000000001</v>
      </c>
      <c r="Q372" s="408">
        <v>32.783000000000001</v>
      </c>
      <c r="R372" s="408"/>
      <c r="S372" s="408">
        <v>446.23</v>
      </c>
      <c r="T372" s="408">
        <v>173.82</v>
      </c>
      <c r="U372" s="408"/>
      <c r="V372" s="408">
        <v>20327.099150000002</v>
      </c>
      <c r="W372" s="408">
        <v>20327.099150000002</v>
      </c>
      <c r="X372" s="408">
        <v>14846.76504</v>
      </c>
      <c r="Y372" s="408">
        <v>0</v>
      </c>
      <c r="Z372" s="408">
        <v>0</v>
      </c>
      <c r="AA372" s="408">
        <v>0</v>
      </c>
      <c r="AB372" s="408">
        <v>0</v>
      </c>
      <c r="AC372" s="408">
        <v>89.118752057972898</v>
      </c>
      <c r="AD372" s="408">
        <v>1128.6076055278895</v>
      </c>
      <c r="AE372" s="408">
        <v>11920.416612949894</v>
      </c>
      <c r="AF372" s="408">
        <v>5275.5103694549944</v>
      </c>
      <c r="AG372" s="408">
        <v>265.40675514812358</v>
      </c>
      <c r="AH372" s="408">
        <v>0</v>
      </c>
      <c r="AI372" s="408">
        <v>0</v>
      </c>
      <c r="AJ372" s="408">
        <v>0</v>
      </c>
      <c r="AK372" s="408">
        <v>0</v>
      </c>
      <c r="AL372" s="408">
        <v>0</v>
      </c>
      <c r="AM372" s="408"/>
      <c r="AN372" s="408">
        <v>50.864200561497384</v>
      </c>
      <c r="AO372" s="408">
        <v>190.09234939139714</v>
      </c>
      <c r="AP372" s="408">
        <v>622.52674156329465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18.188422024819193</v>
      </c>
      <c r="BF372" s="408">
        <v>157.5448807669915</v>
      </c>
      <c r="BG372" s="408">
        <v>609.05316966707449</v>
      </c>
      <c r="BH372" s="408">
        <v>0</v>
      </c>
      <c r="BI372" s="408">
        <v>0</v>
      </c>
      <c r="BJ372" s="408">
        <v>0</v>
      </c>
      <c r="BK372" s="408">
        <v>4948.45</v>
      </c>
      <c r="BL372" s="408">
        <v>328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6060.2968419138797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14845.4064</v>
      </c>
      <c r="CJ372" s="408">
        <v>-5481.7227500000008</v>
      </c>
      <c r="CK372" s="408"/>
      <c r="CL372" s="408"/>
      <c r="CM372" s="408"/>
      <c r="CN372" s="408"/>
      <c r="CO372" s="408">
        <v>-6175.0058800000006</v>
      </c>
      <c r="CP372" s="408">
        <v>694.67176999999992</v>
      </c>
      <c r="CQ372" s="408">
        <v>31</v>
      </c>
      <c r="CR372" s="408">
        <v>830.64887676023682</v>
      </c>
      <c r="CS372" s="408">
        <v>18.456766176065855</v>
      </c>
      <c r="CT372" s="408">
        <v>60.443413657452197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-21.640156928271608</v>
      </c>
      <c r="DA372" s="408">
        <v>0</v>
      </c>
      <c r="DB372" s="408">
        <v>0</v>
      </c>
      <c r="DC372" s="408">
        <v>677.17006113619482</v>
      </c>
      <c r="DD372" s="408">
        <v>20.222626640708427</v>
      </c>
      <c r="DE372" s="408">
        <v>2.3346849862773702</v>
      </c>
      <c r="DF372" s="408">
        <v>0</v>
      </c>
      <c r="DG372" s="408">
        <v>78.178705614266164</v>
      </c>
      <c r="DH372" s="408">
        <v>0</v>
      </c>
      <c r="DI372" s="408">
        <v>0</v>
      </c>
      <c r="DJ372" s="408"/>
      <c r="DK372" s="408">
        <v>0</v>
      </c>
      <c r="DL372" s="408">
        <v>0</v>
      </c>
      <c r="DM372" s="408">
        <v>-2.9498986744379749</v>
      </c>
      <c r="DN372" s="408">
        <v>0</v>
      </c>
      <c r="DO372" s="408">
        <v>0</v>
      </c>
      <c r="DP372" s="408">
        <v>-1.5673258480149599</v>
      </c>
      <c r="DQ372" s="408">
        <v>0</v>
      </c>
      <c r="DR372" s="408">
        <v>0</v>
      </c>
      <c r="DS372" s="408"/>
      <c r="DT372" s="408"/>
      <c r="DU372" s="408"/>
      <c r="DV372" s="408">
        <v>11920.416612949894</v>
      </c>
      <c r="DW372" s="408">
        <v>0</v>
      </c>
      <c r="DX372" s="408">
        <v>0</v>
      </c>
      <c r="DY372" s="408">
        <v>-6175.0058800000006</v>
      </c>
      <c r="DZ372" s="408">
        <v>694.67176999999992</v>
      </c>
      <c r="EA372" s="408">
        <v>0</v>
      </c>
      <c r="EB372" s="408">
        <v>0</v>
      </c>
      <c r="EC372" s="408">
        <v>-6311.2286300213827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0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239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375</v>
      </c>
      <c r="B373" s="408" t="s">
        <v>2236</v>
      </c>
      <c r="C373" s="408" t="s">
        <v>2233</v>
      </c>
      <c r="D373" s="408" t="s">
        <v>1953</v>
      </c>
      <c r="E373" s="408" t="s">
        <v>967</v>
      </c>
      <c r="F373" s="408" t="s">
        <v>2240</v>
      </c>
      <c r="G373" s="408" t="s">
        <v>1320</v>
      </c>
      <c r="H373" s="408" t="s">
        <v>1320</v>
      </c>
      <c r="I373" s="408" t="s">
        <v>1320</v>
      </c>
      <c r="J373" s="408" t="s">
        <v>2234</v>
      </c>
      <c r="K373" s="827">
        <v>44562</v>
      </c>
      <c r="L373" s="408">
        <v>0</v>
      </c>
      <c r="M373" s="408">
        <v>0</v>
      </c>
      <c r="N373" s="408">
        <v>0</v>
      </c>
      <c r="O373" s="408">
        <v>0</v>
      </c>
      <c r="P373" s="408">
        <v>0</v>
      </c>
      <c r="Q373" s="408">
        <v>0</v>
      </c>
      <c r="R373" s="408"/>
      <c r="S373" s="408"/>
      <c r="T373" s="408"/>
      <c r="U373" s="408"/>
      <c r="V373" s="408"/>
      <c r="W373" s="408"/>
      <c r="X373" s="408"/>
      <c r="Y373" s="408"/>
      <c r="Z373" s="408"/>
      <c r="AA373" s="408">
        <v>0</v>
      </c>
      <c r="AB373" s="408"/>
      <c r="AC373" s="408"/>
      <c r="AD373" s="408"/>
      <c r="AE373" s="408"/>
      <c r="AF373" s="408"/>
      <c r="AG373" s="408"/>
      <c r="AH373" s="408"/>
      <c r="AI373" s="408"/>
      <c r="AJ373" s="408"/>
      <c r="AK373" s="408"/>
      <c r="AL373" s="408"/>
      <c r="AM373" s="408"/>
      <c r="AN373" s="408"/>
      <c r="AO373" s="408"/>
      <c r="AP373" s="408"/>
      <c r="AQ373" s="408"/>
      <c r="AR373" s="408"/>
      <c r="AS373" s="408"/>
      <c r="AT373" s="408"/>
      <c r="AU373" s="408"/>
      <c r="AV373" s="408"/>
      <c r="AW373" s="408"/>
      <c r="AX373" s="408"/>
      <c r="AY373" s="408"/>
      <c r="AZ373" s="408">
        <v>0</v>
      </c>
      <c r="BA373" s="408"/>
      <c r="BB373" s="408"/>
      <c r="BC373" s="408"/>
      <c r="BD373" s="408"/>
      <c r="BE373" s="408"/>
      <c r="BF373" s="408"/>
      <c r="BG373" s="408"/>
      <c r="BH373" s="408"/>
      <c r="BI373" s="408">
        <v>0</v>
      </c>
      <c r="BJ373" s="408">
        <v>0</v>
      </c>
      <c r="BK373" s="408">
        <v>21.48</v>
      </c>
      <c r="BL373" s="408">
        <v>2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/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/>
      <c r="CJ373" s="408">
        <v>-0.03</v>
      </c>
      <c r="CK373" s="408"/>
      <c r="CL373" s="408"/>
      <c r="CM373" s="408"/>
      <c r="CN373" s="408"/>
      <c r="CO373" s="408">
        <v>0</v>
      </c>
      <c r="CP373" s="408">
        <v>0</v>
      </c>
      <c r="CQ373" s="408">
        <v>31</v>
      </c>
      <c r="CR373" s="408"/>
      <c r="CS373" s="408"/>
      <c r="CT373" s="408"/>
      <c r="CU373" s="408"/>
      <c r="CV373" s="408"/>
      <c r="CW373" s="408"/>
      <c r="CX373" s="408"/>
      <c r="CY373" s="408"/>
      <c r="CZ373" s="408"/>
      <c r="DA373" s="408"/>
      <c r="DB373" s="408"/>
      <c r="DC373" s="408"/>
      <c r="DD373" s="408"/>
      <c r="DE373" s="408"/>
      <c r="DF373" s="408"/>
      <c r="DG373" s="408"/>
      <c r="DH373" s="408"/>
      <c r="DI373" s="408"/>
      <c r="DJ373" s="408"/>
      <c r="DK373" s="408">
        <v>0</v>
      </c>
      <c r="DL373" s="408"/>
      <c r="DM373" s="408"/>
      <c r="DN373" s="408"/>
      <c r="DO373" s="408"/>
      <c r="DP373" s="408"/>
      <c r="DQ373" s="408"/>
      <c r="DR373" s="408"/>
      <c r="DS373" s="408"/>
      <c r="DT373" s="408"/>
      <c r="DU373" s="408"/>
      <c r="DV373" s="408"/>
      <c r="DW373" s="408"/>
      <c r="DX373" s="408"/>
      <c r="DY373" s="408"/>
      <c r="DZ373" s="408"/>
      <c r="EA373" s="408"/>
      <c r="EB373" s="408"/>
      <c r="EC373" s="408"/>
      <c r="ED373" s="408"/>
      <c r="EE373" s="408"/>
      <c r="EF373" s="408"/>
      <c r="EG373" s="408"/>
      <c r="EH373" s="408"/>
      <c r="EI373" s="408"/>
      <c r="EJ373" s="408"/>
      <c r="EK373" s="408"/>
      <c r="EL373" s="408"/>
      <c r="EM373" s="408"/>
      <c r="EN373" s="408"/>
      <c r="EO373" s="408"/>
      <c r="EP373" s="408"/>
      <c r="EQ373" s="408"/>
      <c r="ER373" s="408"/>
      <c r="ES373" s="408"/>
      <c r="ET373" s="408"/>
      <c r="EU373" s="408"/>
      <c r="EV373" s="408">
        <v>239</v>
      </c>
      <c r="EW373" s="408"/>
      <c r="EX373" s="408"/>
      <c r="EY373" s="408"/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376</v>
      </c>
      <c r="B374" s="408" t="s">
        <v>1034</v>
      </c>
      <c r="C374" s="408" t="s">
        <v>2233</v>
      </c>
      <c r="D374" s="408" t="s">
        <v>1956</v>
      </c>
      <c r="E374" s="408" t="s">
        <v>968</v>
      </c>
      <c r="F374" s="408" t="s">
        <v>1320</v>
      </c>
      <c r="G374" s="408" t="s">
        <v>1320</v>
      </c>
      <c r="H374" s="408" t="s">
        <v>1320</v>
      </c>
      <c r="I374" s="408" t="s">
        <v>1320</v>
      </c>
      <c r="J374" s="408" t="s">
        <v>2234</v>
      </c>
      <c r="K374" s="827">
        <v>44562</v>
      </c>
      <c r="L374" s="408">
        <v>0</v>
      </c>
      <c r="M374" s="408">
        <v>0</v>
      </c>
      <c r="N374" s="408">
        <v>68.349000000000004</v>
      </c>
      <c r="O374" s="408">
        <v>68.349000000000004</v>
      </c>
      <c r="P374" s="408">
        <v>68.349000000000004</v>
      </c>
      <c r="Q374" s="408">
        <v>68.349000000000004</v>
      </c>
      <c r="R374" s="408"/>
      <c r="S374" s="408">
        <v>516.83000000000004</v>
      </c>
      <c r="T374" s="408">
        <v>173.82</v>
      </c>
      <c r="U374" s="408"/>
      <c r="V374" s="408">
        <v>47205.236850000001</v>
      </c>
      <c r="W374" s="408">
        <v>47205.236850000001</v>
      </c>
      <c r="X374" s="408">
        <v>35640.586049999998</v>
      </c>
      <c r="Y374" s="408">
        <v>0</v>
      </c>
      <c r="Z374" s="408">
        <v>4179.5041516051624</v>
      </c>
      <c r="AA374" s="408">
        <v>0</v>
      </c>
      <c r="AB374" s="408">
        <v>0</v>
      </c>
      <c r="AC374" s="408">
        <v>185.80293397219259</v>
      </c>
      <c r="AD374" s="408">
        <v>2353.024470921689</v>
      </c>
      <c r="AE374" s="408">
        <v>24852.775983848711</v>
      </c>
      <c r="AF374" s="408">
        <v>10998.867042121814</v>
      </c>
      <c r="AG374" s="408">
        <v>553.34430368236895</v>
      </c>
      <c r="AH374" s="408">
        <v>0</v>
      </c>
      <c r="AI374" s="408">
        <v>0</v>
      </c>
      <c r="AJ374" s="408">
        <v>0</v>
      </c>
      <c r="AK374" s="408">
        <v>0</v>
      </c>
      <c r="AL374" s="408">
        <v>646.0003450516175</v>
      </c>
      <c r="AM374" s="408"/>
      <c r="AN374" s="408">
        <v>106.04634243900146</v>
      </c>
      <c r="AO374" s="408">
        <v>396.32193480012819</v>
      </c>
      <c r="AP374" s="408">
        <v>1297.9007491416169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37.9208875628944</v>
      </c>
      <c r="BF374" s="408">
        <v>328.46399217713758</v>
      </c>
      <c r="BG374" s="408">
        <v>1269.8098128168526</v>
      </c>
      <c r="BH374" s="408">
        <v>0</v>
      </c>
      <c r="BI374" s="408">
        <v>0</v>
      </c>
      <c r="BJ374" s="408">
        <v>0</v>
      </c>
      <c r="BK374" s="408">
        <v>9287.4500000000007</v>
      </c>
      <c r="BL374" s="408">
        <v>36</v>
      </c>
      <c r="BM374" s="408"/>
      <c r="BN374" s="408"/>
      <c r="BO374" s="408"/>
      <c r="BP374" s="408"/>
      <c r="BQ374" s="408"/>
      <c r="BR374" s="408"/>
      <c r="BS374" s="408"/>
      <c r="BT374" s="408"/>
      <c r="BU374" s="408"/>
      <c r="BV374" s="408">
        <v>12635.061734678698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35641.107499999998</v>
      </c>
      <c r="CJ374" s="408">
        <v>-11564.159350000009</v>
      </c>
      <c r="CK374" s="408"/>
      <c r="CL374" s="408"/>
      <c r="CM374" s="408"/>
      <c r="CN374" s="408"/>
      <c r="CO374" s="408">
        <v>-13012.966110000003</v>
      </c>
      <c r="CP374" s="408">
        <v>1448.31531</v>
      </c>
      <c r="CQ374" s="408">
        <v>31</v>
      </c>
      <c r="CR374" s="408">
        <v>1592.9335247284362</v>
      </c>
      <c r="CS374" s="408">
        <v>38.480356018910015</v>
      </c>
      <c r="CT374" s="408">
        <v>126.01796297084479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-45.117380529251477</v>
      </c>
      <c r="DA374" s="408">
        <v>0</v>
      </c>
      <c r="DB374" s="408">
        <v>0</v>
      </c>
      <c r="DC374" s="408">
        <v>1411.8261449104048</v>
      </c>
      <c r="DD374" s="408">
        <v>42.161983597162589</v>
      </c>
      <c r="DE374" s="408">
        <v>4.8675650223308438</v>
      </c>
      <c r="DF374" s="408">
        <v>0</v>
      </c>
      <c r="DG374" s="408">
        <v>162.99412347953125</v>
      </c>
      <c r="DH374" s="408">
        <v>0</v>
      </c>
      <c r="DI374" s="408">
        <v>-122.14812165664716</v>
      </c>
      <c r="DJ374" s="408"/>
      <c r="DK374" s="408">
        <v>0</v>
      </c>
      <c r="DL374" s="408">
        <v>0</v>
      </c>
      <c r="DM374" s="408">
        <v>-6.1502188481579196</v>
      </c>
      <c r="DN374" s="408">
        <v>0</v>
      </c>
      <c r="DO374" s="408">
        <v>-16.731185804939742</v>
      </c>
      <c r="DP374" s="408">
        <v>-3.26770443174739</v>
      </c>
      <c r="DQ374" s="408">
        <v>0</v>
      </c>
      <c r="DR374" s="408">
        <v>0</v>
      </c>
      <c r="DS374" s="408"/>
      <c r="DT374" s="408"/>
      <c r="DU374" s="408"/>
      <c r="DV374" s="408">
        <v>24852.775983848711</v>
      </c>
      <c r="DW374" s="408">
        <v>0</v>
      </c>
      <c r="DX374" s="408">
        <v>0</v>
      </c>
      <c r="DY374" s="408">
        <v>-13012.966110000001</v>
      </c>
      <c r="DZ374" s="408">
        <v>1448.31531</v>
      </c>
      <c r="EA374" s="408">
        <v>0</v>
      </c>
      <c r="EB374" s="408">
        <v>0</v>
      </c>
      <c r="EC374" s="408">
        <v>-13158.227301751867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239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377</v>
      </c>
      <c r="B375" s="408" t="s">
        <v>2236</v>
      </c>
      <c r="C375" s="408" t="s">
        <v>2233</v>
      </c>
      <c r="D375" s="408" t="s">
        <v>1956</v>
      </c>
      <c r="E375" s="408" t="s">
        <v>968</v>
      </c>
      <c r="F375" s="408" t="s">
        <v>1320</v>
      </c>
      <c r="G375" s="408" t="s">
        <v>1320</v>
      </c>
      <c r="H375" s="408" t="s">
        <v>1320</v>
      </c>
      <c r="I375" s="408" t="s">
        <v>1320</v>
      </c>
      <c r="J375" s="408" t="s">
        <v>2234</v>
      </c>
      <c r="K375" s="827">
        <v>44562</v>
      </c>
      <c r="L375" s="408">
        <v>0</v>
      </c>
      <c r="M375" s="408">
        <v>0</v>
      </c>
      <c r="N375" s="408">
        <v>1.663</v>
      </c>
      <c r="O375" s="408">
        <v>1.663</v>
      </c>
      <c r="P375" s="408">
        <v>1.663</v>
      </c>
      <c r="Q375" s="408">
        <v>1.663</v>
      </c>
      <c r="R375" s="408"/>
      <c r="S375" s="408">
        <v>516.83000000000004</v>
      </c>
      <c r="T375" s="408">
        <v>173.82</v>
      </c>
      <c r="U375" s="408"/>
      <c r="V375" s="408">
        <v>1148.5509500000001</v>
      </c>
      <c r="W375" s="408">
        <v>1148.5509500000001</v>
      </c>
      <c r="X375" s="408">
        <v>867.17135000000007</v>
      </c>
      <c r="Y375" s="408">
        <v>0</v>
      </c>
      <c r="Z375" s="408">
        <v>101.69154492559342</v>
      </c>
      <c r="AA375" s="408">
        <v>0</v>
      </c>
      <c r="AB375" s="408">
        <v>0</v>
      </c>
      <c r="AC375" s="408">
        <v>4.5207724940490168</v>
      </c>
      <c r="AD375" s="408">
        <v>57.251454961195755</v>
      </c>
      <c r="AE375" s="408">
        <v>604.6930673622204</v>
      </c>
      <c r="AF375" s="408">
        <v>267.61351140541302</v>
      </c>
      <c r="AG375" s="408">
        <v>13.463424147006972</v>
      </c>
      <c r="AH375" s="408">
        <v>0</v>
      </c>
      <c r="AI375" s="408">
        <v>0</v>
      </c>
      <c r="AJ375" s="408">
        <v>0</v>
      </c>
      <c r="AK375" s="408">
        <v>0</v>
      </c>
      <c r="AL375" s="408">
        <v>15.717838941620796</v>
      </c>
      <c r="AM375" s="408"/>
      <c r="AN375" s="408">
        <v>2.5802143041750343</v>
      </c>
      <c r="AO375" s="408">
        <v>9.6429117847022372</v>
      </c>
      <c r="AP375" s="408">
        <v>31.579232261225602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0</v>
      </c>
      <c r="BE375" s="408">
        <v>0.92265338215765236</v>
      </c>
      <c r="BF375" s="408">
        <v>7.9918597051980251</v>
      </c>
      <c r="BG375" s="408">
        <v>30.895751491820302</v>
      </c>
      <c r="BH375" s="408">
        <v>0</v>
      </c>
      <c r="BI375" s="408">
        <v>0</v>
      </c>
      <c r="BJ375" s="408">
        <v>0</v>
      </c>
      <c r="BK375" s="408">
        <v>476.67</v>
      </c>
      <c r="BL375" s="408">
        <v>6</v>
      </c>
      <c r="BM375" s="408"/>
      <c r="BN375" s="408"/>
      <c r="BO375" s="408"/>
      <c r="BP375" s="408"/>
      <c r="BQ375" s="408"/>
      <c r="BR375" s="408"/>
      <c r="BS375" s="408"/>
      <c r="BT375" s="408"/>
      <c r="BU375" s="408"/>
      <c r="BV375" s="408">
        <v>307.42377598458899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865.60699999999997</v>
      </c>
      <c r="CJ375" s="408">
        <v>-282.97395000000006</v>
      </c>
      <c r="CK375" s="408"/>
      <c r="CL375" s="408"/>
      <c r="CM375" s="408"/>
      <c r="CN375" s="408"/>
      <c r="CO375" s="408">
        <v>-316.61857000000009</v>
      </c>
      <c r="CP375" s="408">
        <v>35.238969999999995</v>
      </c>
      <c r="CQ375" s="408">
        <v>31</v>
      </c>
      <c r="CR375" s="408">
        <v>38.757676800295485</v>
      </c>
      <c r="CS375" s="408">
        <v>0.93626581309817603</v>
      </c>
      <c r="CT375" s="408">
        <v>3.0661439438838194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-1.0977513031667598</v>
      </c>
      <c r="DA375" s="408">
        <v>0</v>
      </c>
      <c r="DB375" s="408">
        <v>0</v>
      </c>
      <c r="DC375" s="408">
        <v>34.351151867415808</v>
      </c>
      <c r="DD375" s="408">
        <v>1.0258435196137663</v>
      </c>
      <c r="DE375" s="408">
        <v>0.11843275881338711</v>
      </c>
      <c r="DF375" s="408">
        <v>0</v>
      </c>
      <c r="DG375" s="408">
        <v>3.9658111654370991</v>
      </c>
      <c r="DH375" s="408">
        <v>0</v>
      </c>
      <c r="DI375" s="408">
        <v>-2.9719868076344085</v>
      </c>
      <c r="DJ375" s="408"/>
      <c r="DK375" s="408">
        <v>0</v>
      </c>
      <c r="DL375" s="408">
        <v>0</v>
      </c>
      <c r="DM375" s="408">
        <v>-0.1496410180761476</v>
      </c>
      <c r="DN375" s="408">
        <v>0</v>
      </c>
      <c r="DO375" s="408">
        <v>-0.40708659956421833</v>
      </c>
      <c r="DP375" s="408">
        <v>-7.9506539525024511E-2</v>
      </c>
      <c r="DQ375" s="408">
        <v>0</v>
      </c>
      <c r="DR375" s="408">
        <v>0</v>
      </c>
      <c r="DS375" s="408"/>
      <c r="DT375" s="408"/>
      <c r="DU375" s="408"/>
      <c r="DV375" s="408">
        <v>604.6930673622204</v>
      </c>
      <c r="DW375" s="408">
        <v>0</v>
      </c>
      <c r="DX375" s="408">
        <v>0</v>
      </c>
      <c r="DY375" s="408">
        <v>-316.61857000000009</v>
      </c>
      <c r="DZ375" s="408">
        <v>35.238969999999995</v>
      </c>
      <c r="EA375" s="408">
        <v>0</v>
      </c>
      <c r="EB375" s="408">
        <v>0</v>
      </c>
      <c r="EC375" s="408">
        <v>-320.15292107877735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0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239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378</v>
      </c>
      <c r="B376" s="408" t="s">
        <v>1034</v>
      </c>
      <c r="C376" s="408" t="s">
        <v>2245</v>
      </c>
      <c r="D376" s="408" t="s">
        <v>596</v>
      </c>
      <c r="E376" s="408" t="s">
        <v>968</v>
      </c>
      <c r="F376" s="408" t="s">
        <v>1320</v>
      </c>
      <c r="G376" s="408" t="s">
        <v>1320</v>
      </c>
      <c r="H376" s="408" t="s">
        <v>1320</v>
      </c>
      <c r="I376" s="408" t="s">
        <v>971</v>
      </c>
      <c r="J376" s="408" t="s">
        <v>2234</v>
      </c>
      <c r="K376" s="827">
        <v>44562</v>
      </c>
      <c r="L376" s="408">
        <v>1200</v>
      </c>
      <c r="M376" s="408">
        <v>1200</v>
      </c>
      <c r="N376" s="408">
        <v>55.338000000000001</v>
      </c>
      <c r="O376" s="408">
        <v>55.338000000000001</v>
      </c>
      <c r="P376" s="408">
        <v>55.338000000000001</v>
      </c>
      <c r="Q376" s="408">
        <v>55.338000000000001</v>
      </c>
      <c r="R376" s="408">
        <v>67.099999999999994</v>
      </c>
      <c r="S376" s="408">
        <v>70.33</v>
      </c>
      <c r="T376" s="408">
        <v>173.82</v>
      </c>
      <c r="U376" s="408">
        <v>80520</v>
      </c>
      <c r="V376" s="408">
        <v>13510.7727</v>
      </c>
      <c r="W376" s="408">
        <v>94030.772700000001</v>
      </c>
      <c r="X376" s="408">
        <v>65075.493540000003</v>
      </c>
      <c r="Y376" s="408">
        <v>0</v>
      </c>
      <c r="Z376" s="408">
        <v>2943.9830669816429</v>
      </c>
      <c r="AA376" s="408">
        <v>0</v>
      </c>
      <c r="AB376" s="408">
        <v>0</v>
      </c>
      <c r="AC376" s="408">
        <v>898.10170336085525</v>
      </c>
      <c r="AD376" s="408">
        <v>13700.67976876248</v>
      </c>
      <c r="AE376" s="408">
        <v>57794.157302940846</v>
      </c>
      <c r="AF376" s="408">
        <v>8905.1091365921511</v>
      </c>
      <c r="AG376" s="408">
        <v>448.00899906618866</v>
      </c>
      <c r="AH376" s="408">
        <v>0</v>
      </c>
      <c r="AI376" s="408">
        <v>0</v>
      </c>
      <c r="AJ376" s="408">
        <v>0</v>
      </c>
      <c r="AK376" s="408">
        <v>0</v>
      </c>
      <c r="AL376" s="408">
        <v>523.0269220393335</v>
      </c>
      <c r="AM376" s="408"/>
      <c r="AN376" s="408">
        <v>68.770229577331222</v>
      </c>
      <c r="AO376" s="408">
        <v>1928.760364929756</v>
      </c>
      <c r="AP376" s="408">
        <v>6201.9566025339363</v>
      </c>
      <c r="AQ376" s="408">
        <v>0</v>
      </c>
      <c r="AR376" s="408">
        <v>0</v>
      </c>
      <c r="AS376" s="408">
        <v>0</v>
      </c>
      <c r="AT376" s="408">
        <v>0</v>
      </c>
      <c r="AU376" s="408">
        <v>0</v>
      </c>
      <c r="AV376" s="408">
        <v>0</v>
      </c>
      <c r="AW376" s="408">
        <v>0</v>
      </c>
      <c r="AX376" s="408">
        <v>0</v>
      </c>
      <c r="AY376" s="408">
        <v>0</v>
      </c>
      <c r="AZ376" s="408">
        <v>0</v>
      </c>
      <c r="BA376" s="408"/>
      <c r="BB376" s="408">
        <v>0</v>
      </c>
      <c r="BC376" s="408">
        <v>0</v>
      </c>
      <c r="BD376" s="408">
        <v>0</v>
      </c>
      <c r="BE376" s="408">
        <v>10.325718003446395</v>
      </c>
      <c r="BF376" s="408">
        <v>265.93718121842954</v>
      </c>
      <c r="BG376" s="408">
        <v>345.76453474115584</v>
      </c>
      <c r="BH376" s="408">
        <v>0</v>
      </c>
      <c r="BI376" s="408">
        <v>0</v>
      </c>
      <c r="BJ376" s="408">
        <v>0</v>
      </c>
      <c r="BK376" s="408">
        <v>0</v>
      </c>
      <c r="BL376" s="408">
        <v>0</v>
      </c>
      <c r="BM376" s="408"/>
      <c r="BN376" s="408"/>
      <c r="BO376" s="408"/>
      <c r="BP376" s="408"/>
      <c r="BQ376" s="408"/>
      <c r="BR376" s="408"/>
      <c r="BS376" s="408"/>
      <c r="BT376" s="408"/>
      <c r="BU376" s="408"/>
      <c r="BV376" s="408">
        <v>9527.1365705551834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65076.022199999999</v>
      </c>
      <c r="CJ376" s="408">
        <v>-28954.780499999986</v>
      </c>
      <c r="CK376" s="408"/>
      <c r="CL376" s="408"/>
      <c r="CM376" s="408"/>
      <c r="CN376" s="408"/>
      <c r="CO376" s="408">
        <v>-30127.891379999994</v>
      </c>
      <c r="CP376" s="408">
        <v>1172.61222</v>
      </c>
      <c r="CQ376" s="408">
        <v>31</v>
      </c>
      <c r="CR376" s="408">
        <v>1642.970693644922</v>
      </c>
      <c r="CS376" s="408">
        <v>187.27044607078801</v>
      </c>
      <c r="CT376" s="408">
        <v>602.17080389378407</v>
      </c>
      <c r="CU376" s="408">
        <v>0</v>
      </c>
      <c r="CV376" s="408">
        <v>0</v>
      </c>
      <c r="CW376" s="408">
        <v>0</v>
      </c>
      <c r="CX376" s="408">
        <v>0</v>
      </c>
      <c r="CY376" s="408">
        <v>0</v>
      </c>
      <c r="CZ376" s="408">
        <v>-262.69968301452172</v>
      </c>
      <c r="DA376" s="408">
        <v>0</v>
      </c>
      <c r="DB376" s="408">
        <v>0</v>
      </c>
      <c r="DC376" s="408">
        <v>1143.0691774137431</v>
      </c>
      <c r="DD376" s="408">
        <v>34.135976361026223</v>
      </c>
      <c r="DE376" s="408">
        <v>1.3254200261179765</v>
      </c>
      <c r="DF376" s="408">
        <v>0</v>
      </c>
      <c r="DG376" s="408">
        <v>44.382699441755847</v>
      </c>
      <c r="DH376" s="408">
        <v>0</v>
      </c>
      <c r="DI376" s="408">
        <v>-86.039393377006945</v>
      </c>
      <c r="DJ376" s="408"/>
      <c r="DK376" s="408">
        <v>0</v>
      </c>
      <c r="DL376" s="408">
        <v>0</v>
      </c>
      <c r="DM376" s="408">
        <v>-4.9794555972927128</v>
      </c>
      <c r="DN376" s="408">
        <v>0</v>
      </c>
      <c r="DO376" s="408">
        <v>-13.546216624584929</v>
      </c>
      <c r="DP376" s="408">
        <v>-2.1190809488919484</v>
      </c>
      <c r="DQ376" s="408">
        <v>0</v>
      </c>
      <c r="DR376" s="408">
        <v>0</v>
      </c>
      <c r="DS376" s="408"/>
      <c r="DT376" s="408"/>
      <c r="DU376" s="408">
        <v>57794.157302940846</v>
      </c>
      <c r="DV376" s="408">
        <v>0</v>
      </c>
      <c r="DW376" s="408">
        <v>0</v>
      </c>
      <c r="DX376" s="408">
        <v>0</v>
      </c>
      <c r="DY376" s="408">
        <v>-30127.891379999994</v>
      </c>
      <c r="DZ376" s="408">
        <v>1172.6122199999991</v>
      </c>
      <c r="EA376" s="408">
        <v>0</v>
      </c>
      <c r="EB376" s="408">
        <v>0</v>
      </c>
      <c r="EC376" s="408">
        <v>-30598.942307270285</v>
      </c>
      <c r="ED376" s="408">
        <v>0</v>
      </c>
      <c r="EE376" s="408">
        <v>0</v>
      </c>
      <c r="EF376" s="408">
        <v>0</v>
      </c>
      <c r="EG376" s="408">
        <v>0</v>
      </c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>
        <v>0</v>
      </c>
      <c r="EN376" s="408">
        <v>0</v>
      </c>
      <c r="EO376" s="408">
        <v>0</v>
      </c>
      <c r="EP376" s="408">
        <v>0</v>
      </c>
      <c r="EQ376" s="408">
        <v>0</v>
      </c>
      <c r="ER376" s="408">
        <v>0</v>
      </c>
      <c r="ES376" s="408">
        <v>0</v>
      </c>
      <c r="ET376" s="408">
        <v>0</v>
      </c>
      <c r="EU376" s="408">
        <v>0</v>
      </c>
      <c r="EV376" s="408">
        <v>239</v>
      </c>
      <c r="EW376" s="408">
        <v>0</v>
      </c>
      <c r="EX376" s="408">
        <v>0</v>
      </c>
      <c r="EY376" s="408">
        <v>0</v>
      </c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379</v>
      </c>
      <c r="B377" s="408" t="s">
        <v>1034</v>
      </c>
      <c r="C377" s="408" t="s">
        <v>2245</v>
      </c>
      <c r="D377" s="408" t="s">
        <v>596</v>
      </c>
      <c r="E377" s="408" t="s">
        <v>968</v>
      </c>
      <c r="F377" s="408" t="s">
        <v>1320</v>
      </c>
      <c r="G377" s="408" t="s">
        <v>1320</v>
      </c>
      <c r="H377" s="408" t="s">
        <v>1320</v>
      </c>
      <c r="I377" s="408" t="s">
        <v>2242</v>
      </c>
      <c r="J377" s="408" t="s">
        <v>2234</v>
      </c>
      <c r="K377" s="827">
        <v>44562</v>
      </c>
      <c r="L377" s="408">
        <v>1248</v>
      </c>
      <c r="M377" s="408">
        <v>1248</v>
      </c>
      <c r="N377" s="408">
        <v>575.31700000000001</v>
      </c>
      <c r="O377" s="408">
        <v>575.31700000000001</v>
      </c>
      <c r="P377" s="408">
        <v>575.31700000000001</v>
      </c>
      <c r="Q377" s="408">
        <v>575.31700000000001</v>
      </c>
      <c r="R377" s="408">
        <v>59.12</v>
      </c>
      <c r="S377" s="408">
        <v>70.33</v>
      </c>
      <c r="T377" s="408">
        <v>173.82</v>
      </c>
      <c r="U377" s="408">
        <v>73781.759999999995</v>
      </c>
      <c r="V377" s="408">
        <v>140463.64555000002</v>
      </c>
      <c r="W377" s="408">
        <v>214245.40555</v>
      </c>
      <c r="X377" s="408">
        <v>194542.98261000001</v>
      </c>
      <c r="Y377" s="408">
        <v>0</v>
      </c>
      <c r="Z377" s="408">
        <v>30606.87965135491</v>
      </c>
      <c r="AA377" s="408">
        <v>0</v>
      </c>
      <c r="AB377" s="408">
        <v>0</v>
      </c>
      <c r="AC377" s="408">
        <v>713.9313334404352</v>
      </c>
      <c r="AD377" s="408">
        <v>6386.0442680928572</v>
      </c>
      <c r="AE377" s="408">
        <v>60105.923595058477</v>
      </c>
      <c r="AF377" s="408">
        <v>92581.240253294061</v>
      </c>
      <c r="AG377" s="408">
        <v>4657.6889897676547</v>
      </c>
      <c r="AH377" s="408">
        <v>0</v>
      </c>
      <c r="AI377" s="408">
        <v>0</v>
      </c>
      <c r="AJ377" s="408">
        <v>0</v>
      </c>
      <c r="AK377" s="408">
        <v>0</v>
      </c>
      <c r="AL377" s="408">
        <v>5437.6067025715283</v>
      </c>
      <c r="AM377" s="408"/>
      <c r="AN377" s="408">
        <v>714.96407838630716</v>
      </c>
      <c r="AO377" s="408">
        <v>1507.6740003811949</v>
      </c>
      <c r="AP377" s="408">
        <v>5068.1128542968854</v>
      </c>
      <c r="AQ377" s="408">
        <v>0</v>
      </c>
      <c r="AR377" s="408">
        <v>0</v>
      </c>
      <c r="AS377" s="408">
        <v>0</v>
      </c>
      <c r="AT377" s="408">
        <v>0</v>
      </c>
      <c r="AU377" s="408">
        <v>0</v>
      </c>
      <c r="AV377" s="408">
        <v>0</v>
      </c>
      <c r="AW377" s="408">
        <v>0</v>
      </c>
      <c r="AX377" s="408">
        <v>0</v>
      </c>
      <c r="AY377" s="408">
        <v>0</v>
      </c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107.35048437942768</v>
      </c>
      <c r="BF377" s="408">
        <v>2764.7941972431822</v>
      </c>
      <c r="BG377" s="408">
        <v>3594.712762182904</v>
      </c>
      <c r="BH377" s="408">
        <v>0</v>
      </c>
      <c r="BI377" s="408">
        <v>0</v>
      </c>
      <c r="BJ377" s="408">
        <v>0</v>
      </c>
      <c r="BK377" s="408">
        <v>0</v>
      </c>
      <c r="BL377" s="408">
        <v>0</v>
      </c>
      <c r="BM377" s="408"/>
      <c r="BN377" s="408"/>
      <c r="BO377" s="408"/>
      <c r="BP377" s="408"/>
      <c r="BQ377" s="408"/>
      <c r="BR377" s="408"/>
      <c r="BS377" s="408"/>
      <c r="BT377" s="408"/>
      <c r="BU377" s="408"/>
      <c r="BV377" s="408">
        <v>99048.097697099569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194543.77559999999</v>
      </c>
      <c r="CJ377" s="408">
        <v>-19701.659950000001</v>
      </c>
      <c r="CK377" s="408"/>
      <c r="CL377" s="408"/>
      <c r="CM377" s="408"/>
      <c r="CN377" s="408"/>
      <c r="CO377" s="408">
        <v>-31893.390169999999</v>
      </c>
      <c r="CP377" s="408">
        <v>12190.967229999998</v>
      </c>
      <c r="CQ377" s="408">
        <v>31</v>
      </c>
      <c r="CR377" s="408">
        <v>12120.805021574546</v>
      </c>
      <c r="CS377" s="408">
        <v>146.38562037798806</v>
      </c>
      <c r="CT377" s="408">
        <v>492.08173924490802</v>
      </c>
      <c r="CU377" s="408">
        <v>0</v>
      </c>
      <c r="CV377" s="408">
        <v>0</v>
      </c>
      <c r="CW377" s="408">
        <v>0</v>
      </c>
      <c r="CX377" s="408">
        <v>0</v>
      </c>
      <c r="CY377" s="408">
        <v>0</v>
      </c>
      <c r="CZ377" s="408">
        <v>-122.44734080786748</v>
      </c>
      <c r="DA377" s="408">
        <v>0</v>
      </c>
      <c r="DB377" s="408">
        <v>0</v>
      </c>
      <c r="DC377" s="408">
        <v>11883.825399221911</v>
      </c>
      <c r="DD377" s="408">
        <v>354.89189186628619</v>
      </c>
      <c r="DE377" s="408">
        <v>13.779621113269656</v>
      </c>
      <c r="DF377" s="408">
        <v>0</v>
      </c>
      <c r="DG377" s="408">
        <v>461.42111197970053</v>
      </c>
      <c r="DH377" s="408">
        <v>0</v>
      </c>
      <c r="DI377" s="408">
        <v>-894.501530222984</v>
      </c>
      <c r="DJ377" s="408"/>
      <c r="DK377" s="408">
        <v>0</v>
      </c>
      <c r="DL377" s="408">
        <v>0</v>
      </c>
      <c r="DM377" s="408">
        <v>-51.768503665974094</v>
      </c>
      <c r="DN377" s="408">
        <v>0</v>
      </c>
      <c r="DO377" s="408">
        <v>-140.83213541881378</v>
      </c>
      <c r="DP377" s="408">
        <v>-22.030852113803689</v>
      </c>
      <c r="DQ377" s="408">
        <v>0</v>
      </c>
      <c r="DR377" s="408">
        <v>0</v>
      </c>
      <c r="DS377" s="408"/>
      <c r="DT377" s="408"/>
      <c r="DU377" s="408">
        <v>60105.923595058477</v>
      </c>
      <c r="DV377" s="408">
        <v>0</v>
      </c>
      <c r="DW377" s="408">
        <v>0</v>
      </c>
      <c r="DX377" s="408">
        <v>0</v>
      </c>
      <c r="DY377" s="408">
        <v>-31893.390169999999</v>
      </c>
      <c r="DZ377" s="408">
        <v>12190.967229999995</v>
      </c>
      <c r="EA377" s="408">
        <v>0</v>
      </c>
      <c r="EB377" s="408">
        <v>0</v>
      </c>
      <c r="EC377" s="408">
        <v>-31822.899999561094</v>
      </c>
      <c r="ED377" s="408">
        <v>0</v>
      </c>
      <c r="EE377" s="408">
        <v>0</v>
      </c>
      <c r="EF377" s="408">
        <v>0</v>
      </c>
      <c r="EG377" s="408">
        <v>0</v>
      </c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>
        <v>0</v>
      </c>
      <c r="EN377" s="408">
        <v>0</v>
      </c>
      <c r="EO377" s="408">
        <v>0</v>
      </c>
      <c r="EP377" s="408">
        <v>0</v>
      </c>
      <c r="EQ377" s="408">
        <v>0</v>
      </c>
      <c r="ER377" s="408">
        <v>0</v>
      </c>
      <c r="ES377" s="408">
        <v>0</v>
      </c>
      <c r="ET377" s="408">
        <v>0</v>
      </c>
      <c r="EU377" s="408">
        <v>0</v>
      </c>
      <c r="EV377" s="408">
        <v>239</v>
      </c>
      <c r="EW377" s="408">
        <v>0</v>
      </c>
      <c r="EX377" s="408">
        <v>0</v>
      </c>
      <c r="EY377" s="408">
        <v>0</v>
      </c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380</v>
      </c>
      <c r="B378" s="408" t="s">
        <v>1034</v>
      </c>
      <c r="C378" s="408" t="s">
        <v>2245</v>
      </c>
      <c r="D378" s="408" t="s">
        <v>596</v>
      </c>
      <c r="E378" s="408" t="s">
        <v>968</v>
      </c>
      <c r="F378" s="408" t="s">
        <v>1320</v>
      </c>
      <c r="G378" s="408" t="s">
        <v>1320</v>
      </c>
      <c r="H378" s="408" t="s">
        <v>1320</v>
      </c>
      <c r="I378" s="408" t="s">
        <v>1320</v>
      </c>
      <c r="J378" s="408" t="s">
        <v>2234</v>
      </c>
      <c r="K378" s="827">
        <v>44562</v>
      </c>
      <c r="L378" s="408">
        <v>0</v>
      </c>
      <c r="M378" s="408">
        <v>0</v>
      </c>
      <c r="N378" s="408">
        <v>0</v>
      </c>
      <c r="O378" s="408">
        <v>0</v>
      </c>
      <c r="P378" s="408">
        <v>0</v>
      </c>
      <c r="Q378" s="408">
        <v>0</v>
      </c>
      <c r="R378" s="408"/>
      <c r="S378" s="408"/>
      <c r="T378" s="408"/>
      <c r="U378" s="408"/>
      <c r="V378" s="408"/>
      <c r="W378" s="408"/>
      <c r="X378" s="408"/>
      <c r="Y378" s="408"/>
      <c r="Z378" s="408"/>
      <c r="AA378" s="408">
        <v>0</v>
      </c>
      <c r="AB378" s="408"/>
      <c r="AC378" s="408"/>
      <c r="AD378" s="408"/>
      <c r="AE378" s="408"/>
      <c r="AF378" s="408"/>
      <c r="AG378" s="408"/>
      <c r="AH378" s="408"/>
      <c r="AI378" s="408"/>
      <c r="AJ378" s="408"/>
      <c r="AK378" s="408"/>
      <c r="AL378" s="408"/>
      <c r="AM378" s="408"/>
      <c r="AN378" s="408"/>
      <c r="AO378" s="408"/>
      <c r="AP378" s="408"/>
      <c r="AQ378" s="408"/>
      <c r="AR378" s="408"/>
      <c r="AS378" s="408"/>
      <c r="AT378" s="408"/>
      <c r="AU378" s="408"/>
      <c r="AV378" s="408"/>
      <c r="AW378" s="408"/>
      <c r="AX378" s="408"/>
      <c r="AY378" s="408"/>
      <c r="AZ378" s="408">
        <v>0</v>
      </c>
      <c r="BA378" s="408"/>
      <c r="BB378" s="408"/>
      <c r="BC378" s="408"/>
      <c r="BD378" s="408"/>
      <c r="BE378" s="408"/>
      <c r="BF378" s="408"/>
      <c r="BG378" s="408"/>
      <c r="BH378" s="408"/>
      <c r="BI378" s="408">
        <v>0</v>
      </c>
      <c r="BJ378" s="408">
        <v>0</v>
      </c>
      <c r="BK378" s="408">
        <v>70724.86</v>
      </c>
      <c r="BL378" s="408">
        <v>1</v>
      </c>
      <c r="BM378" s="408"/>
      <c r="BN378" s="408"/>
      <c r="BO378" s="408"/>
      <c r="BP378" s="408"/>
      <c r="BQ378" s="408"/>
      <c r="BR378" s="408"/>
      <c r="BS378" s="408"/>
      <c r="BT378" s="408"/>
      <c r="BU378" s="408"/>
      <c r="BV378" s="408"/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/>
      <c r="CJ378" s="408">
        <v>-0.03</v>
      </c>
      <c r="CK378" s="408"/>
      <c r="CL378" s="408"/>
      <c r="CM378" s="408"/>
      <c r="CN378" s="408"/>
      <c r="CO378" s="408">
        <v>0</v>
      </c>
      <c r="CP378" s="408">
        <v>0</v>
      </c>
      <c r="CQ378" s="408">
        <v>31</v>
      </c>
      <c r="CR378" s="408"/>
      <c r="CS378" s="408"/>
      <c r="CT378" s="408"/>
      <c r="CU378" s="408"/>
      <c r="CV378" s="408"/>
      <c r="CW378" s="408"/>
      <c r="CX378" s="408"/>
      <c r="CY378" s="408"/>
      <c r="CZ378" s="408"/>
      <c r="DA378" s="408"/>
      <c r="DB378" s="408"/>
      <c r="DC378" s="408"/>
      <c r="DD378" s="408"/>
      <c r="DE378" s="408"/>
      <c r="DF378" s="408"/>
      <c r="DG378" s="408"/>
      <c r="DH378" s="408"/>
      <c r="DI378" s="408"/>
      <c r="DJ378" s="408"/>
      <c r="DK378" s="408">
        <v>0</v>
      </c>
      <c r="DL378" s="408"/>
      <c r="DM378" s="408"/>
      <c r="DN378" s="408"/>
      <c r="DO378" s="408"/>
      <c r="DP378" s="408"/>
      <c r="DQ378" s="408"/>
      <c r="DR378" s="408"/>
      <c r="DS378" s="408"/>
      <c r="DT378" s="408"/>
      <c r="DU378" s="408"/>
      <c r="DV378" s="408"/>
      <c r="DW378" s="408"/>
      <c r="DX378" s="408"/>
      <c r="DY378" s="408"/>
      <c r="DZ378" s="408"/>
      <c r="EA378" s="408"/>
      <c r="EB378" s="408"/>
      <c r="EC378" s="408"/>
      <c r="ED378" s="408"/>
      <c r="EE378" s="408"/>
      <c r="EF378" s="408"/>
      <c r="EG378" s="408"/>
      <c r="EH378" s="408"/>
      <c r="EI378" s="408"/>
      <c r="EJ378" s="408"/>
      <c r="EK378" s="408"/>
      <c r="EL378" s="408"/>
      <c r="EM378" s="408"/>
      <c r="EN378" s="408"/>
      <c r="EO378" s="408"/>
      <c r="EP378" s="408"/>
      <c r="EQ378" s="408"/>
      <c r="ER378" s="408"/>
      <c r="ES378" s="408"/>
      <c r="ET378" s="408"/>
      <c r="EU378" s="408"/>
      <c r="EV378" s="408">
        <v>239</v>
      </c>
      <c r="EW378" s="408"/>
      <c r="EX378" s="408"/>
      <c r="EY378" s="408"/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381</v>
      </c>
      <c r="B379" s="408" t="s">
        <v>2235</v>
      </c>
      <c r="C379" s="408" t="s">
        <v>2245</v>
      </c>
      <c r="D379" s="408" t="s">
        <v>596</v>
      </c>
      <c r="E379" s="408" t="s">
        <v>968</v>
      </c>
      <c r="F379" s="408" t="s">
        <v>1320</v>
      </c>
      <c r="G379" s="408" t="s">
        <v>1320</v>
      </c>
      <c r="H379" s="408" t="s">
        <v>1320</v>
      </c>
      <c r="I379" s="408" t="s">
        <v>1320</v>
      </c>
      <c r="J379" s="408" t="s">
        <v>2234</v>
      </c>
      <c r="K379" s="827">
        <v>44562</v>
      </c>
      <c r="L379" s="408">
        <v>0</v>
      </c>
      <c r="M379" s="408">
        <v>0</v>
      </c>
      <c r="N379" s="408">
        <v>0</v>
      </c>
      <c r="O379" s="408">
        <v>0</v>
      </c>
      <c r="P379" s="408">
        <v>0</v>
      </c>
      <c r="Q379" s="408">
        <v>0</v>
      </c>
      <c r="R379" s="408"/>
      <c r="S379" s="408"/>
      <c r="T379" s="408"/>
      <c r="U379" s="408"/>
      <c r="V379" s="408"/>
      <c r="W379" s="408"/>
      <c r="X379" s="408"/>
      <c r="Y379" s="408"/>
      <c r="Z379" s="408"/>
      <c r="AA379" s="408">
        <v>0</v>
      </c>
      <c r="AB379" s="408"/>
      <c r="AC379" s="408"/>
      <c r="AD379" s="408"/>
      <c r="AE379" s="408"/>
      <c r="AF379" s="408"/>
      <c r="AG379" s="408"/>
      <c r="AH379" s="408"/>
      <c r="AI379" s="408"/>
      <c r="AJ379" s="408"/>
      <c r="AK379" s="408"/>
      <c r="AL379" s="408"/>
      <c r="AM379" s="408"/>
      <c r="AN379" s="408"/>
      <c r="AO379" s="408"/>
      <c r="AP379" s="408"/>
      <c r="AQ379" s="408"/>
      <c r="AR379" s="408"/>
      <c r="AS379" s="408"/>
      <c r="AT379" s="408"/>
      <c r="AU379" s="408"/>
      <c r="AV379" s="408"/>
      <c r="AW379" s="408"/>
      <c r="AX379" s="408"/>
      <c r="AY379" s="408"/>
      <c r="AZ379" s="408">
        <v>0</v>
      </c>
      <c r="BA379" s="408"/>
      <c r="BB379" s="408"/>
      <c r="BC379" s="408"/>
      <c r="BD379" s="408"/>
      <c r="BE379" s="408"/>
      <c r="BF379" s="408"/>
      <c r="BG379" s="408"/>
      <c r="BH379" s="408"/>
      <c r="BI379" s="408">
        <v>0</v>
      </c>
      <c r="BJ379" s="408">
        <v>0</v>
      </c>
      <c r="BK379" s="408">
        <v>2495.1</v>
      </c>
      <c r="BL379" s="408">
        <v>0</v>
      </c>
      <c r="BM379" s="408"/>
      <c r="BN379" s="408"/>
      <c r="BO379" s="408"/>
      <c r="BP379" s="408"/>
      <c r="BQ379" s="408"/>
      <c r="BR379" s="408"/>
      <c r="BS379" s="408"/>
      <c r="BT379" s="408"/>
      <c r="BU379" s="408"/>
      <c r="BV379" s="408"/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/>
      <c r="CJ379" s="408">
        <v>-0.03</v>
      </c>
      <c r="CK379" s="408"/>
      <c r="CL379" s="408"/>
      <c r="CM379" s="408"/>
      <c r="CN379" s="408"/>
      <c r="CO379" s="408">
        <v>0</v>
      </c>
      <c r="CP379" s="408">
        <v>0</v>
      </c>
      <c r="CQ379" s="408">
        <v>31</v>
      </c>
      <c r="CR379" s="408"/>
      <c r="CS379" s="408"/>
      <c r="CT379" s="408"/>
      <c r="CU379" s="408"/>
      <c r="CV379" s="408"/>
      <c r="CW379" s="408"/>
      <c r="CX379" s="408"/>
      <c r="CY379" s="408"/>
      <c r="CZ379" s="408"/>
      <c r="DA379" s="408"/>
      <c r="DB379" s="408"/>
      <c r="DC379" s="408"/>
      <c r="DD379" s="408"/>
      <c r="DE379" s="408"/>
      <c r="DF379" s="408"/>
      <c r="DG379" s="408"/>
      <c r="DH379" s="408"/>
      <c r="DI379" s="408"/>
      <c r="DJ379" s="408"/>
      <c r="DK379" s="408">
        <v>0</v>
      </c>
      <c r="DL379" s="408"/>
      <c r="DM379" s="408"/>
      <c r="DN379" s="408"/>
      <c r="DO379" s="408"/>
      <c r="DP379" s="408"/>
      <c r="DQ379" s="408"/>
      <c r="DR379" s="408"/>
      <c r="DS379" s="408"/>
      <c r="DT379" s="408"/>
      <c r="DU379" s="408"/>
      <c r="DV379" s="408"/>
      <c r="DW379" s="408"/>
      <c r="DX379" s="408"/>
      <c r="DY379" s="408"/>
      <c r="DZ379" s="408"/>
      <c r="EA379" s="408"/>
      <c r="EB379" s="408"/>
      <c r="EC379" s="408"/>
      <c r="ED379" s="408"/>
      <c r="EE379" s="408"/>
      <c r="EF379" s="408"/>
      <c r="EG379" s="408"/>
      <c r="EH379" s="408"/>
      <c r="EI379" s="408"/>
      <c r="EJ379" s="408"/>
      <c r="EK379" s="408"/>
      <c r="EL379" s="408"/>
      <c r="EM379" s="408"/>
      <c r="EN379" s="408"/>
      <c r="EO379" s="408"/>
      <c r="EP379" s="408"/>
      <c r="EQ379" s="408"/>
      <c r="ER379" s="408"/>
      <c r="ES379" s="408"/>
      <c r="ET379" s="408"/>
      <c r="EU379" s="408"/>
      <c r="EV379" s="408">
        <v>239</v>
      </c>
      <c r="EW379" s="408"/>
      <c r="EX379" s="408"/>
      <c r="EY379" s="408"/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382</v>
      </c>
      <c r="B380" s="408" t="s">
        <v>1034</v>
      </c>
      <c r="C380" s="408" t="s">
        <v>2241</v>
      </c>
      <c r="D380" s="408" t="s">
        <v>596</v>
      </c>
      <c r="E380" s="408" t="s">
        <v>968</v>
      </c>
      <c r="F380" s="408" t="s">
        <v>1320</v>
      </c>
      <c r="G380" s="408" t="s">
        <v>1320</v>
      </c>
      <c r="H380" s="408" t="s">
        <v>1320</v>
      </c>
      <c r="I380" s="408" t="s">
        <v>971</v>
      </c>
      <c r="J380" s="408" t="s">
        <v>2234</v>
      </c>
      <c r="K380" s="827">
        <v>44562</v>
      </c>
      <c r="L380" s="408">
        <v>0</v>
      </c>
      <c r="M380" s="408">
        <v>0</v>
      </c>
      <c r="N380" s="408">
        <v>28.67</v>
      </c>
      <c r="O380" s="408">
        <v>28.67</v>
      </c>
      <c r="P380" s="408">
        <v>28.67</v>
      </c>
      <c r="Q380" s="408">
        <v>28.67</v>
      </c>
      <c r="R380" s="408"/>
      <c r="S380" s="408">
        <v>1684.16</v>
      </c>
      <c r="T380" s="408">
        <v>173.82</v>
      </c>
      <c r="U380" s="408"/>
      <c r="V380" s="408">
        <v>53268.286600000007</v>
      </c>
      <c r="W380" s="408">
        <v>53268.286600000007</v>
      </c>
      <c r="X380" s="408">
        <v>36567.438200000004</v>
      </c>
      <c r="Y380" s="408">
        <v>0</v>
      </c>
      <c r="Z380" s="408">
        <v>1525.2447600268117</v>
      </c>
      <c r="AA380" s="408">
        <v>0</v>
      </c>
      <c r="AB380" s="408">
        <v>0</v>
      </c>
      <c r="AC380" s="408">
        <v>516.04279397861399</v>
      </c>
      <c r="AD380" s="408">
        <v>7872.3785895914889</v>
      </c>
      <c r="AE380" s="408">
        <v>33208.244699060291</v>
      </c>
      <c r="AF380" s="408">
        <v>4613.6376259730559</v>
      </c>
      <c r="AG380" s="408">
        <v>232.10846079055315</v>
      </c>
      <c r="AH380" s="408">
        <v>0</v>
      </c>
      <c r="AI380" s="408">
        <v>0</v>
      </c>
      <c r="AJ380" s="408">
        <v>0</v>
      </c>
      <c r="AK380" s="408">
        <v>0</v>
      </c>
      <c r="AL380" s="408">
        <v>270.97440917394363</v>
      </c>
      <c r="AM380" s="408"/>
      <c r="AN380" s="408">
        <v>35.629088185010055</v>
      </c>
      <c r="AO380" s="408">
        <v>1108.2716378455632</v>
      </c>
      <c r="AP380" s="408">
        <v>3563.6428978214935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5.3496392200442404</v>
      </c>
      <c r="BF380" s="408">
        <v>137.77908463501345</v>
      </c>
      <c r="BG380" s="408">
        <v>179.13674529308864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>
        <v>4935.9030951212026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36567.438200000004</v>
      </c>
      <c r="CJ380" s="408">
        <v>-16700.878400000009</v>
      </c>
      <c r="CK380" s="408"/>
      <c r="CL380" s="408"/>
      <c r="CM380" s="408"/>
      <c r="CN380" s="408"/>
      <c r="CO380" s="408">
        <v>-17308.365700000002</v>
      </c>
      <c r="CP380" s="408">
        <v>607.51729999999998</v>
      </c>
      <c r="CQ380" s="408">
        <v>31</v>
      </c>
      <c r="CR380" s="408">
        <v>880.97261022197927</v>
      </c>
      <c r="CS380" s="408">
        <v>107.60617428723458</v>
      </c>
      <c r="CT380" s="408">
        <v>346.00721128791383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-150.94662417932796</v>
      </c>
      <c r="DA380" s="408">
        <v>0</v>
      </c>
      <c r="DB380" s="408">
        <v>0</v>
      </c>
      <c r="DC380" s="408">
        <v>592.2113794580946</v>
      </c>
      <c r="DD380" s="408">
        <v>17.685468254556071</v>
      </c>
      <c r="DE380" s="408">
        <v>0.68668531838523883</v>
      </c>
      <c r="DF380" s="408">
        <v>0</v>
      </c>
      <c r="DG380" s="408">
        <v>22.994181087049412</v>
      </c>
      <c r="DH380" s="408">
        <v>0</v>
      </c>
      <c r="DI380" s="408">
        <v>-44.576049154627754</v>
      </c>
      <c r="DJ380" s="408"/>
      <c r="DK380" s="408">
        <v>0</v>
      </c>
      <c r="DL380" s="408">
        <v>0</v>
      </c>
      <c r="DM380" s="408">
        <v>-2.5798003537240959</v>
      </c>
      <c r="DN380" s="408">
        <v>0</v>
      </c>
      <c r="DO380" s="408">
        <v>-7.0181436016272869</v>
      </c>
      <c r="DP380" s="408">
        <v>-1.0978721819496968</v>
      </c>
      <c r="DQ380" s="408">
        <v>0</v>
      </c>
      <c r="DR380" s="408">
        <v>0</v>
      </c>
      <c r="DS380" s="408"/>
      <c r="DT380" s="408"/>
      <c r="DU380" s="408"/>
      <c r="DV380" s="408">
        <v>33208.244699060291</v>
      </c>
      <c r="DW380" s="408">
        <v>0</v>
      </c>
      <c r="DX380" s="408">
        <v>0</v>
      </c>
      <c r="DY380" s="408">
        <v>-17308.365700000006</v>
      </c>
      <c r="DZ380" s="408">
        <v>607.51730000000043</v>
      </c>
      <c r="EA380" s="408">
        <v>0</v>
      </c>
      <c r="EB380" s="408">
        <v>0</v>
      </c>
      <c r="EC380" s="408">
        <v>-17582.005017322954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239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383</v>
      </c>
      <c r="B381" s="408" t="s">
        <v>1034</v>
      </c>
      <c r="C381" s="408" t="s">
        <v>2241</v>
      </c>
      <c r="D381" s="408" t="s">
        <v>596</v>
      </c>
      <c r="E381" s="408" t="s">
        <v>968</v>
      </c>
      <c r="F381" s="408" t="s">
        <v>1320</v>
      </c>
      <c r="G381" s="408" t="s">
        <v>1320</v>
      </c>
      <c r="H381" s="408" t="s">
        <v>1320</v>
      </c>
      <c r="I381" s="408" t="s">
        <v>2242</v>
      </c>
      <c r="J381" s="408" t="s">
        <v>2234</v>
      </c>
      <c r="K381" s="827">
        <v>44562</v>
      </c>
      <c r="L381" s="408">
        <v>0</v>
      </c>
      <c r="M381" s="408">
        <v>0</v>
      </c>
      <c r="N381" s="408">
        <v>619.80899999999997</v>
      </c>
      <c r="O381" s="408">
        <v>619.80899999999997</v>
      </c>
      <c r="P381" s="408">
        <v>619.80899999999997</v>
      </c>
      <c r="Q381" s="408">
        <v>619.80899999999997</v>
      </c>
      <c r="R381" s="408"/>
      <c r="S381" s="408">
        <v>70.33</v>
      </c>
      <c r="T381" s="408">
        <v>173.82</v>
      </c>
      <c r="U381" s="408"/>
      <c r="V381" s="408">
        <v>151326.36734999999</v>
      </c>
      <c r="W381" s="408">
        <v>151326.36734999999</v>
      </c>
      <c r="X381" s="408">
        <v>163834.11296999999</v>
      </c>
      <c r="Y381" s="408">
        <v>0</v>
      </c>
      <c r="Z381" s="408">
        <v>32973.855230814719</v>
      </c>
      <c r="AA381" s="408">
        <v>0</v>
      </c>
      <c r="AB381" s="408">
        <v>0</v>
      </c>
      <c r="AC381" s="408">
        <v>0</v>
      </c>
      <c r="AD381" s="408">
        <v>0</v>
      </c>
      <c r="AE381" s="408">
        <v>0</v>
      </c>
      <c r="AF381" s="408">
        <v>99740.987907803748</v>
      </c>
      <c r="AG381" s="408">
        <v>5017.8902327914875</v>
      </c>
      <c r="AH381" s="408">
        <v>0</v>
      </c>
      <c r="AI381" s="408">
        <v>0</v>
      </c>
      <c r="AJ381" s="408">
        <v>0</v>
      </c>
      <c r="AK381" s="408">
        <v>0</v>
      </c>
      <c r="AL381" s="408">
        <v>5858.1226918623233</v>
      </c>
      <c r="AM381" s="408"/>
      <c r="AN381" s="408">
        <v>770.25565116368648</v>
      </c>
      <c r="AO381" s="408">
        <v>0</v>
      </c>
      <c r="AP381" s="408">
        <v>0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115.65240792941751</v>
      </c>
      <c r="BF381" s="408">
        <v>2978.6088827535073</v>
      </c>
      <c r="BG381" s="408">
        <v>3872.708997675757</v>
      </c>
      <c r="BH381" s="408">
        <v>0</v>
      </c>
      <c r="BI381" s="408">
        <v>0</v>
      </c>
      <c r="BJ381" s="408">
        <v>0</v>
      </c>
      <c r="BK381" s="408">
        <v>0</v>
      </c>
      <c r="BL381" s="408">
        <v>0</v>
      </c>
      <c r="BM381" s="408"/>
      <c r="BN381" s="408"/>
      <c r="BO381" s="408"/>
      <c r="BP381" s="408"/>
      <c r="BQ381" s="408"/>
      <c r="BR381" s="408"/>
      <c r="BS381" s="408"/>
      <c r="BT381" s="408"/>
      <c r="BU381" s="408"/>
      <c r="BV381" s="408">
        <v>106707.95819616244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163834.37729999996</v>
      </c>
      <c r="CJ381" s="408">
        <v>12507.97994999995</v>
      </c>
      <c r="CK381" s="408"/>
      <c r="CL381" s="408"/>
      <c r="CM381" s="408"/>
      <c r="CN381" s="408"/>
      <c r="CO381" s="408">
        <v>-626.00709000000313</v>
      </c>
      <c r="CP381" s="408">
        <v>13133.752709999999</v>
      </c>
      <c r="CQ381" s="408">
        <v>31</v>
      </c>
      <c r="CR381" s="408">
        <v>12502.238223058637</v>
      </c>
      <c r="CS381" s="408">
        <v>0</v>
      </c>
      <c r="CT381" s="408">
        <v>0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0</v>
      </c>
      <c r="DA381" s="408">
        <v>0</v>
      </c>
      <c r="DB381" s="408">
        <v>0</v>
      </c>
      <c r="DC381" s="408">
        <v>12802.858140583965</v>
      </c>
      <c r="DD381" s="408">
        <v>382.33736984262714</v>
      </c>
      <c r="DE381" s="408">
        <v>14.845264754204294</v>
      </c>
      <c r="DF381" s="408">
        <v>0</v>
      </c>
      <c r="DG381" s="408">
        <v>497.10500123414749</v>
      </c>
      <c r="DH381" s="408">
        <v>0</v>
      </c>
      <c r="DI381" s="408">
        <v>-963.67758808791768</v>
      </c>
      <c r="DJ381" s="408"/>
      <c r="DK381" s="408">
        <v>0</v>
      </c>
      <c r="DL381" s="408">
        <v>0</v>
      </c>
      <c r="DM381" s="408">
        <v>-55.772008281875969</v>
      </c>
      <c r="DN381" s="408">
        <v>0</v>
      </c>
      <c r="DO381" s="408">
        <v>-151.72335429302439</v>
      </c>
      <c r="DP381" s="408">
        <v>-23.734602693479474</v>
      </c>
      <c r="DQ381" s="408">
        <v>0</v>
      </c>
      <c r="DR381" s="408">
        <v>0</v>
      </c>
      <c r="DS381" s="408"/>
      <c r="DT381" s="408"/>
      <c r="DU381" s="408"/>
      <c r="DV381" s="408">
        <v>0</v>
      </c>
      <c r="DW381" s="408">
        <v>0</v>
      </c>
      <c r="DX381" s="408">
        <v>0</v>
      </c>
      <c r="DY381" s="408">
        <v>-626.00709000000643</v>
      </c>
      <c r="DZ381" s="408">
        <v>13133.752710000001</v>
      </c>
      <c r="EA381" s="408">
        <v>0</v>
      </c>
      <c r="EB381" s="408">
        <v>0</v>
      </c>
      <c r="EC381" s="408">
        <v>0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0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239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384</v>
      </c>
      <c r="B382" s="408" t="s">
        <v>1034</v>
      </c>
      <c r="C382" s="408" t="s">
        <v>2241</v>
      </c>
      <c r="D382" s="408" t="s">
        <v>596</v>
      </c>
      <c r="E382" s="408" t="s">
        <v>968</v>
      </c>
      <c r="F382" s="408" t="s">
        <v>1320</v>
      </c>
      <c r="G382" s="408" t="s">
        <v>1320</v>
      </c>
      <c r="H382" s="408" t="s">
        <v>1320</v>
      </c>
      <c r="I382" s="408" t="s">
        <v>1320</v>
      </c>
      <c r="J382" s="408" t="s">
        <v>2234</v>
      </c>
      <c r="K382" s="827">
        <v>44562</v>
      </c>
      <c r="L382" s="408">
        <v>4274</v>
      </c>
      <c r="M382" s="408">
        <v>4274</v>
      </c>
      <c r="N382" s="408">
        <v>0</v>
      </c>
      <c r="O382" s="408">
        <v>0</v>
      </c>
      <c r="P382" s="408">
        <v>0</v>
      </c>
      <c r="Q382" s="408">
        <v>0</v>
      </c>
      <c r="R382" s="408">
        <v>59.12</v>
      </c>
      <c r="S382" s="408"/>
      <c r="T382" s="408"/>
      <c r="U382" s="408">
        <v>252678.87999999998</v>
      </c>
      <c r="V382" s="408"/>
      <c r="W382" s="408">
        <v>252678.87999999998</v>
      </c>
      <c r="X382" s="408">
        <v>145444.22</v>
      </c>
      <c r="Y382" s="408">
        <v>0</v>
      </c>
      <c r="Z382" s="408">
        <v>0</v>
      </c>
      <c r="AA382" s="408">
        <v>0</v>
      </c>
      <c r="AB382" s="408">
        <v>0</v>
      </c>
      <c r="AC382" s="408">
        <v>2444.9859928881569</v>
      </c>
      <c r="AD382" s="408">
        <v>21870.15480915775</v>
      </c>
      <c r="AE382" s="408">
        <v>205843.5235939743</v>
      </c>
      <c r="AF382" s="408"/>
      <c r="AG382" s="408"/>
      <c r="AH382" s="408"/>
      <c r="AI382" s="408">
        <v>0</v>
      </c>
      <c r="AJ382" s="408">
        <v>0</v>
      </c>
      <c r="AK382" s="408">
        <v>0</v>
      </c>
      <c r="AL382" s="408">
        <v>0</v>
      </c>
      <c r="AM382" s="408"/>
      <c r="AN382" s="408">
        <v>0</v>
      </c>
      <c r="AO382" s="408">
        <v>5163.3002224593165</v>
      </c>
      <c r="AP382" s="408">
        <v>17356.662130821223</v>
      </c>
      <c r="AQ382" s="408">
        <v>0</v>
      </c>
      <c r="AR382" s="408">
        <v>0</v>
      </c>
      <c r="AS382" s="408"/>
      <c r="AT382" s="408"/>
      <c r="AU382" s="408">
        <v>0</v>
      </c>
      <c r="AV382" s="408">
        <v>0</v>
      </c>
      <c r="AW382" s="408">
        <v>0</v>
      </c>
      <c r="AX382" s="408"/>
      <c r="AY382" s="408"/>
      <c r="AZ382" s="408">
        <v>0</v>
      </c>
      <c r="BA382" s="408"/>
      <c r="BB382" s="408">
        <v>0</v>
      </c>
      <c r="BC382" s="408">
        <v>0</v>
      </c>
      <c r="BD382" s="408">
        <v>0</v>
      </c>
      <c r="BE382" s="408">
        <v>0</v>
      </c>
      <c r="BF382" s="408"/>
      <c r="BG382" s="408">
        <v>0</v>
      </c>
      <c r="BH382" s="408">
        <v>0</v>
      </c>
      <c r="BI382" s="408">
        <v>0</v>
      </c>
      <c r="BJ382" s="408">
        <v>0</v>
      </c>
      <c r="BK382" s="408">
        <v>89933.18</v>
      </c>
      <c r="BL382" s="408">
        <v>26</v>
      </c>
      <c r="BM382" s="408"/>
      <c r="BN382" s="408"/>
      <c r="BO382" s="408"/>
      <c r="BP382" s="408"/>
      <c r="BQ382" s="408"/>
      <c r="BR382" s="408"/>
      <c r="BS382" s="408"/>
      <c r="BT382" s="408"/>
      <c r="BU382" s="408"/>
      <c r="BV382" s="408">
        <v>0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145444.22</v>
      </c>
      <c r="CJ382" s="408">
        <v>-107234.69</v>
      </c>
      <c r="CK382" s="408"/>
      <c r="CL382" s="408"/>
      <c r="CM382" s="408"/>
      <c r="CN382" s="408"/>
      <c r="CO382" s="408">
        <v>-107234.65999999999</v>
      </c>
      <c r="CP382" s="408">
        <v>0</v>
      </c>
      <c r="CQ382" s="408">
        <v>31</v>
      </c>
      <c r="CR382" s="408">
        <v>1767.2031734097982</v>
      </c>
      <c r="CS382" s="408">
        <v>501.32383132653922</v>
      </c>
      <c r="CT382" s="408">
        <v>1685.2222384076449</v>
      </c>
      <c r="CU382" s="408">
        <v>0</v>
      </c>
      <c r="CV382" s="408">
        <v>0</v>
      </c>
      <c r="CW382" s="408"/>
      <c r="CX382" s="408"/>
      <c r="CY382" s="408"/>
      <c r="CZ382" s="408">
        <v>-419.34289632437867</v>
      </c>
      <c r="DA382" s="408">
        <v>0</v>
      </c>
      <c r="DB382" s="408">
        <v>0</v>
      </c>
      <c r="DC382" s="408"/>
      <c r="DD382" s="408"/>
      <c r="DE382" s="408">
        <v>0</v>
      </c>
      <c r="DF382" s="408">
        <v>0</v>
      </c>
      <c r="DG382" s="408">
        <v>0</v>
      </c>
      <c r="DH382" s="408">
        <v>0</v>
      </c>
      <c r="DI382" s="408">
        <v>0</v>
      </c>
      <c r="DJ382" s="408"/>
      <c r="DK382" s="408">
        <v>0</v>
      </c>
      <c r="DL382" s="408">
        <v>0</v>
      </c>
      <c r="DM382" s="408"/>
      <c r="DN382" s="408">
        <v>0</v>
      </c>
      <c r="DO382" s="408">
        <v>0</v>
      </c>
      <c r="DP382" s="408">
        <v>0</v>
      </c>
      <c r="DQ382" s="408">
        <v>0</v>
      </c>
      <c r="DR382" s="408">
        <v>0</v>
      </c>
      <c r="DS382" s="408"/>
      <c r="DT382" s="408"/>
      <c r="DU382" s="408">
        <v>205843.5235939743</v>
      </c>
      <c r="DV382" s="408"/>
      <c r="DW382" s="408">
        <v>0</v>
      </c>
      <c r="DX382" s="408">
        <v>0</v>
      </c>
      <c r="DY382" s="408">
        <v>-107234.65999999997</v>
      </c>
      <c r="DZ382" s="408"/>
      <c r="EA382" s="408">
        <v>0</v>
      </c>
      <c r="EB382" s="408"/>
      <c r="EC382" s="408">
        <v>-108983.23285106098</v>
      </c>
      <c r="ED382" s="408"/>
      <c r="EE382" s="408">
        <v>0</v>
      </c>
      <c r="EF382" s="408">
        <v>0</v>
      </c>
      <c r="EG382" s="408"/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/>
      <c r="EN382" s="408"/>
      <c r="EO382" s="408">
        <v>0</v>
      </c>
      <c r="EP382" s="408">
        <v>0</v>
      </c>
      <c r="EQ382" s="408"/>
      <c r="ER382" s="408">
        <v>0</v>
      </c>
      <c r="ES382" s="408"/>
      <c r="ET382" s="408">
        <v>0</v>
      </c>
      <c r="EU382" s="408"/>
      <c r="EV382" s="408">
        <v>239</v>
      </c>
      <c r="EW382" s="408"/>
      <c r="EX382" s="408"/>
      <c r="EY382" s="408"/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385</v>
      </c>
      <c r="B383" s="408" t="s">
        <v>2235</v>
      </c>
      <c r="C383" s="408" t="s">
        <v>2241</v>
      </c>
      <c r="D383" s="408" t="s">
        <v>596</v>
      </c>
      <c r="E383" s="408" t="s">
        <v>968</v>
      </c>
      <c r="F383" s="408" t="s">
        <v>1320</v>
      </c>
      <c r="G383" s="408" t="s">
        <v>1320</v>
      </c>
      <c r="H383" s="408" t="s">
        <v>1320</v>
      </c>
      <c r="I383" s="408" t="s">
        <v>1320</v>
      </c>
      <c r="J383" s="408" t="s">
        <v>2234</v>
      </c>
      <c r="K383" s="827">
        <v>44562</v>
      </c>
      <c r="L383" s="408">
        <v>0</v>
      </c>
      <c r="M383" s="408">
        <v>0</v>
      </c>
      <c r="N383" s="408">
        <v>0</v>
      </c>
      <c r="O383" s="408">
        <v>0</v>
      </c>
      <c r="P383" s="408">
        <v>0</v>
      </c>
      <c r="Q383" s="408">
        <v>0</v>
      </c>
      <c r="R383" s="408"/>
      <c r="S383" s="408"/>
      <c r="T383" s="408"/>
      <c r="U383" s="408"/>
      <c r="V383" s="408"/>
      <c r="W383" s="408"/>
      <c r="X383" s="408"/>
      <c r="Y383" s="408"/>
      <c r="Z383" s="408"/>
      <c r="AA383" s="408">
        <v>0</v>
      </c>
      <c r="AB383" s="408"/>
      <c r="AC383" s="408"/>
      <c r="AD383" s="408"/>
      <c r="AE383" s="408"/>
      <c r="AF383" s="408"/>
      <c r="AG383" s="408"/>
      <c r="AH383" s="408"/>
      <c r="AI383" s="408"/>
      <c r="AJ383" s="408"/>
      <c r="AK383" s="408"/>
      <c r="AL383" s="408"/>
      <c r="AM383" s="408"/>
      <c r="AN383" s="408"/>
      <c r="AO383" s="408"/>
      <c r="AP383" s="408"/>
      <c r="AQ383" s="408"/>
      <c r="AR383" s="408"/>
      <c r="AS383" s="408"/>
      <c r="AT383" s="408"/>
      <c r="AU383" s="408"/>
      <c r="AV383" s="408"/>
      <c r="AW383" s="408"/>
      <c r="AX383" s="408"/>
      <c r="AY383" s="408"/>
      <c r="AZ383" s="408">
        <v>0</v>
      </c>
      <c r="BA383" s="408"/>
      <c r="BB383" s="408"/>
      <c r="BC383" s="408"/>
      <c r="BD383" s="408"/>
      <c r="BE383" s="408"/>
      <c r="BF383" s="408"/>
      <c r="BG383" s="408"/>
      <c r="BH383" s="408"/>
      <c r="BI383" s="408">
        <v>0</v>
      </c>
      <c r="BJ383" s="408">
        <v>0</v>
      </c>
      <c r="BK383" s="408">
        <v>3007.65</v>
      </c>
      <c r="BL383" s="408">
        <v>0</v>
      </c>
      <c r="BM383" s="408"/>
      <c r="BN383" s="408"/>
      <c r="BO383" s="408"/>
      <c r="BP383" s="408"/>
      <c r="BQ383" s="408"/>
      <c r="BR383" s="408"/>
      <c r="BS383" s="408"/>
      <c r="BT383" s="408"/>
      <c r="BU383" s="408"/>
      <c r="BV383" s="408"/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/>
      <c r="CJ383" s="408">
        <v>-0.03</v>
      </c>
      <c r="CK383" s="408"/>
      <c r="CL383" s="408"/>
      <c r="CM383" s="408"/>
      <c r="CN383" s="408"/>
      <c r="CO383" s="408">
        <v>0</v>
      </c>
      <c r="CP383" s="408">
        <v>0</v>
      </c>
      <c r="CQ383" s="408">
        <v>31</v>
      </c>
      <c r="CR383" s="408"/>
      <c r="CS383" s="408"/>
      <c r="CT383" s="408"/>
      <c r="CU383" s="408"/>
      <c r="CV383" s="408"/>
      <c r="CW383" s="408"/>
      <c r="CX383" s="408"/>
      <c r="CY383" s="408"/>
      <c r="CZ383" s="408"/>
      <c r="DA383" s="408"/>
      <c r="DB383" s="408"/>
      <c r="DC383" s="408"/>
      <c r="DD383" s="408"/>
      <c r="DE383" s="408"/>
      <c r="DF383" s="408"/>
      <c r="DG383" s="408"/>
      <c r="DH383" s="408"/>
      <c r="DI383" s="408"/>
      <c r="DJ383" s="408"/>
      <c r="DK383" s="408">
        <v>0</v>
      </c>
      <c r="DL383" s="408"/>
      <c r="DM383" s="408"/>
      <c r="DN383" s="408"/>
      <c r="DO383" s="408"/>
      <c r="DP383" s="408"/>
      <c r="DQ383" s="408"/>
      <c r="DR383" s="408"/>
      <c r="DS383" s="408"/>
      <c r="DT383" s="408"/>
      <c r="DU383" s="408"/>
      <c r="DV383" s="408"/>
      <c r="DW383" s="408"/>
      <c r="DX383" s="408"/>
      <c r="DY383" s="408"/>
      <c r="DZ383" s="408"/>
      <c r="EA383" s="408"/>
      <c r="EB383" s="408"/>
      <c r="EC383" s="408"/>
      <c r="ED383" s="408"/>
      <c r="EE383" s="408"/>
      <c r="EF383" s="408"/>
      <c r="EG383" s="408"/>
      <c r="EH383" s="408"/>
      <c r="EI383" s="408"/>
      <c r="EJ383" s="408"/>
      <c r="EK383" s="408"/>
      <c r="EL383" s="408"/>
      <c r="EM383" s="408"/>
      <c r="EN383" s="408"/>
      <c r="EO383" s="408"/>
      <c r="EP383" s="408"/>
      <c r="EQ383" s="408"/>
      <c r="ER383" s="408"/>
      <c r="ES383" s="408"/>
      <c r="ET383" s="408"/>
      <c r="EU383" s="408"/>
      <c r="EV383" s="408">
        <v>239</v>
      </c>
      <c r="EW383" s="408"/>
      <c r="EX383" s="408"/>
      <c r="EY383" s="408"/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386</v>
      </c>
      <c r="B384" s="408" t="s">
        <v>1034</v>
      </c>
      <c r="C384" s="408" t="s">
        <v>2233</v>
      </c>
      <c r="D384" s="408" t="s">
        <v>1956</v>
      </c>
      <c r="E384" s="408" t="s">
        <v>996</v>
      </c>
      <c r="F384" s="408" t="s">
        <v>1320</v>
      </c>
      <c r="G384" s="408" t="s">
        <v>1320</v>
      </c>
      <c r="H384" s="408" t="s">
        <v>1320</v>
      </c>
      <c r="I384" s="408" t="s">
        <v>1320</v>
      </c>
      <c r="J384" s="408" t="s">
        <v>2234</v>
      </c>
      <c r="K384" s="827">
        <v>44562</v>
      </c>
      <c r="L384" s="408">
        <v>0</v>
      </c>
      <c r="M384" s="408">
        <v>0</v>
      </c>
      <c r="N384" s="408">
        <v>423.30500000000001</v>
      </c>
      <c r="O384" s="408">
        <v>423.30500000000001</v>
      </c>
      <c r="P384" s="408">
        <v>423.30500000000001</v>
      </c>
      <c r="Q384" s="408">
        <v>423.30500000000001</v>
      </c>
      <c r="R384" s="408"/>
      <c r="S384" s="408">
        <v>516.83000000000004</v>
      </c>
      <c r="T384" s="408">
        <v>173.82</v>
      </c>
      <c r="U384" s="408"/>
      <c r="V384" s="408">
        <v>292355.59825000004</v>
      </c>
      <c r="W384" s="408">
        <v>292355.59825000004</v>
      </c>
      <c r="X384" s="408">
        <v>220732.39224999998</v>
      </c>
      <c r="Y384" s="408">
        <v>0</v>
      </c>
      <c r="Z384" s="408">
        <v>25884.870369650223</v>
      </c>
      <c r="AA384" s="408">
        <v>0</v>
      </c>
      <c r="AB384" s="408">
        <v>0</v>
      </c>
      <c r="AC384" s="408">
        <v>1150.7309684867223</v>
      </c>
      <c r="AD384" s="408">
        <v>14572.956790348147</v>
      </c>
      <c r="AE384" s="408">
        <v>153920.38417303952</v>
      </c>
      <c r="AF384" s="408">
        <v>68119.144585368835</v>
      </c>
      <c r="AG384" s="408">
        <v>3427.0202997888068</v>
      </c>
      <c r="AH384" s="408">
        <v>0</v>
      </c>
      <c r="AI384" s="408">
        <v>0</v>
      </c>
      <c r="AJ384" s="408">
        <v>0</v>
      </c>
      <c r="AK384" s="408">
        <v>0</v>
      </c>
      <c r="AL384" s="408">
        <v>4000.8657926535125</v>
      </c>
      <c r="AM384" s="408"/>
      <c r="AN384" s="408">
        <v>656.77547566374801</v>
      </c>
      <c r="AO384" s="408">
        <v>2454.5356422269274</v>
      </c>
      <c r="AP384" s="408">
        <v>8038.2723465653053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0</v>
      </c>
      <c r="BE384" s="408">
        <v>234.85495486124177</v>
      </c>
      <c r="BF384" s="408">
        <v>2034.2719016890258</v>
      </c>
      <c r="BG384" s="408">
        <v>7864.2971047775063</v>
      </c>
      <c r="BH384" s="408">
        <v>0</v>
      </c>
      <c r="BI384" s="408">
        <v>0</v>
      </c>
      <c r="BJ384" s="408">
        <v>0</v>
      </c>
      <c r="BK384" s="408">
        <v>94650.18</v>
      </c>
      <c r="BL384" s="408">
        <v>520</v>
      </c>
      <c r="BM384" s="408"/>
      <c r="BN384" s="408"/>
      <c r="BO384" s="408"/>
      <c r="BP384" s="408"/>
      <c r="BQ384" s="408"/>
      <c r="BR384" s="408"/>
      <c r="BS384" s="408"/>
      <c r="BT384" s="408"/>
      <c r="BU384" s="408"/>
      <c r="BV384" s="408">
        <v>78252.568546696595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220734.99950000001</v>
      </c>
      <c r="CJ384" s="408">
        <v>-71620.628750000062</v>
      </c>
      <c r="CK384" s="408"/>
      <c r="CL384" s="408"/>
      <c r="CM384" s="408"/>
      <c r="CN384" s="408"/>
      <c r="CO384" s="408">
        <v>-80593.038950000016</v>
      </c>
      <c r="CP384" s="408">
        <v>8969.83295</v>
      </c>
      <c r="CQ384" s="408">
        <v>31</v>
      </c>
      <c r="CR384" s="408">
        <v>9865.4951160247438</v>
      </c>
      <c r="CS384" s="408">
        <v>238.31990379646641</v>
      </c>
      <c r="CT384" s="408">
        <v>780.4654613143357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-279.42490402104886</v>
      </c>
      <c r="DA384" s="408">
        <v>0</v>
      </c>
      <c r="DB384" s="408">
        <v>0</v>
      </c>
      <c r="DC384" s="408">
        <v>8743.8450638823997</v>
      </c>
      <c r="DD384" s="408">
        <v>261.12128146127839</v>
      </c>
      <c r="DE384" s="408">
        <v>30.146229085689015</v>
      </c>
      <c r="DF384" s="408">
        <v>0</v>
      </c>
      <c r="DG384" s="408">
        <v>1009.4694500212572</v>
      </c>
      <c r="DH384" s="408">
        <v>0</v>
      </c>
      <c r="DI384" s="408">
        <v>-756.49842189157062</v>
      </c>
      <c r="DJ384" s="408"/>
      <c r="DK384" s="408">
        <v>0</v>
      </c>
      <c r="DL384" s="408">
        <v>0</v>
      </c>
      <c r="DM384" s="408">
        <v>-38.090072854313348</v>
      </c>
      <c r="DN384" s="408">
        <v>0</v>
      </c>
      <c r="DO384" s="408">
        <v>-103.62104210976031</v>
      </c>
      <c r="DP384" s="408">
        <v>-20.237832660036474</v>
      </c>
      <c r="DQ384" s="408">
        <v>0</v>
      </c>
      <c r="DR384" s="408">
        <v>0</v>
      </c>
      <c r="DS384" s="408"/>
      <c r="DT384" s="408"/>
      <c r="DU384" s="408"/>
      <c r="DV384" s="408">
        <v>153920.38417303952</v>
      </c>
      <c r="DW384" s="408">
        <v>0</v>
      </c>
      <c r="DX384" s="408">
        <v>0</v>
      </c>
      <c r="DY384" s="408">
        <v>-80593.038950000046</v>
      </c>
      <c r="DZ384" s="408">
        <v>8969.8329499999963</v>
      </c>
      <c r="EA384" s="408">
        <v>0</v>
      </c>
      <c r="EB384" s="408">
        <v>0</v>
      </c>
      <c r="EC384" s="408">
        <v>-81492.683257517652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239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387</v>
      </c>
      <c r="B385" s="408" t="s">
        <v>2235</v>
      </c>
      <c r="C385" s="408" t="s">
        <v>2233</v>
      </c>
      <c r="D385" s="408" t="s">
        <v>1956</v>
      </c>
      <c r="E385" s="408" t="s">
        <v>996</v>
      </c>
      <c r="F385" s="408" t="s">
        <v>1320</v>
      </c>
      <c r="G385" s="408" t="s">
        <v>1320</v>
      </c>
      <c r="H385" s="408" t="s">
        <v>1320</v>
      </c>
      <c r="I385" s="408" t="s">
        <v>1320</v>
      </c>
      <c r="J385" s="408" t="s">
        <v>2234</v>
      </c>
      <c r="K385" s="827">
        <v>44562</v>
      </c>
      <c r="L385" s="408">
        <v>0</v>
      </c>
      <c r="M385" s="408">
        <v>0</v>
      </c>
      <c r="N385" s="408">
        <v>-4.9000000000000002E-2</v>
      </c>
      <c r="O385" s="408">
        <v>-4.9000000000000002E-2</v>
      </c>
      <c r="P385" s="408">
        <v>-4.9000000000000002E-2</v>
      </c>
      <c r="Q385" s="408">
        <v>-4.9000000000000002E-2</v>
      </c>
      <c r="R385" s="408"/>
      <c r="S385" s="408">
        <v>516.83000000000004</v>
      </c>
      <c r="T385" s="408">
        <v>173.82</v>
      </c>
      <c r="U385" s="408"/>
      <c r="V385" s="408">
        <v>-33.841850000000008</v>
      </c>
      <c r="W385" s="408">
        <v>-33.841850000000008</v>
      </c>
      <c r="X385" s="408">
        <v>-25.551050000000004</v>
      </c>
      <c r="Y385" s="408">
        <v>0</v>
      </c>
      <c r="Z385" s="408">
        <v>-2.9963233321431613</v>
      </c>
      <c r="AA385" s="408">
        <v>0</v>
      </c>
      <c r="AB385" s="408">
        <v>0</v>
      </c>
      <c r="AC385" s="408">
        <v>-0.13320375959615263</v>
      </c>
      <c r="AD385" s="408">
        <v>-1.6869039645812338</v>
      </c>
      <c r="AE385" s="408">
        <v>-17.817173963168251</v>
      </c>
      <c r="AF385" s="408">
        <v>-7.8851846415305111</v>
      </c>
      <c r="AG385" s="408">
        <v>-0.39669740421126976</v>
      </c>
      <c r="AH385" s="408">
        <v>0</v>
      </c>
      <c r="AI385" s="408">
        <v>0</v>
      </c>
      <c r="AJ385" s="408">
        <v>0</v>
      </c>
      <c r="AK385" s="408">
        <v>0</v>
      </c>
      <c r="AL385" s="408">
        <v>-0.46312333622334279</v>
      </c>
      <c r="AM385" s="408"/>
      <c r="AN385" s="408">
        <v>-7.6025556767634811E-2</v>
      </c>
      <c r="AO385" s="408">
        <v>-0.28412668517763656</v>
      </c>
      <c r="AP385" s="408">
        <v>-0.93047647672883615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0</v>
      </c>
      <c r="BE385" s="408">
        <v>-2.7185818235553199E-2</v>
      </c>
      <c r="BF385" s="408">
        <v>-0.23547872853560026</v>
      </c>
      <c r="BG385" s="408">
        <v>-0.91033783710113936</v>
      </c>
      <c r="BH385" s="408">
        <v>0</v>
      </c>
      <c r="BI385" s="408">
        <v>-0.05</v>
      </c>
      <c r="BJ385" s="408">
        <v>-0.18</v>
      </c>
      <c r="BK385" s="408">
        <v>-15.94</v>
      </c>
      <c r="BL385" s="408">
        <v>0</v>
      </c>
      <c r="BM385" s="408"/>
      <c r="BN385" s="408"/>
      <c r="BO385" s="408"/>
      <c r="BP385" s="408"/>
      <c r="BQ385" s="408"/>
      <c r="BR385" s="408"/>
      <c r="BS385" s="408"/>
      <c r="BT385" s="408"/>
      <c r="BU385" s="408"/>
      <c r="BV385" s="408">
        <v>-9.0581870254028036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-26.072499999999998</v>
      </c>
      <c r="CJ385" s="408">
        <v>7.7393500000000017</v>
      </c>
      <c r="CK385" s="408"/>
      <c r="CL385" s="408"/>
      <c r="CM385" s="408"/>
      <c r="CN385" s="408"/>
      <c r="CO385" s="408">
        <v>9.3291100000000018</v>
      </c>
      <c r="CP385" s="408">
        <v>-1.0383099999999998</v>
      </c>
      <c r="CQ385" s="408">
        <v>31</v>
      </c>
      <c r="CR385" s="408">
        <v>-1.1419880716864022</v>
      </c>
      <c r="CS385" s="408">
        <v>-2.7586906098503117E-2</v>
      </c>
      <c r="CT385" s="408">
        <v>-9.034338740246961E-2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3.2345047417420947E-2</v>
      </c>
      <c r="DA385" s="408">
        <v>0</v>
      </c>
      <c r="DB385" s="408">
        <v>0</v>
      </c>
      <c r="DC385" s="408">
        <v>-1.0121505962136936</v>
      </c>
      <c r="DD385" s="408">
        <v>-3.0226297330772478E-2</v>
      </c>
      <c r="DE385" s="408">
        <v>-3.4896002296187396E-3</v>
      </c>
      <c r="DF385" s="408">
        <v>0</v>
      </c>
      <c r="DG385" s="408">
        <v>-0.11685192249333609</v>
      </c>
      <c r="DH385" s="408">
        <v>0</v>
      </c>
      <c r="DI385" s="408">
        <v>8.7569064085439408E-2</v>
      </c>
      <c r="DJ385" s="408"/>
      <c r="DK385" s="408">
        <v>0</v>
      </c>
      <c r="DL385" s="408">
        <v>0</v>
      </c>
      <c r="DM385" s="408">
        <v>4.4091460527547754E-3</v>
      </c>
      <c r="DN385" s="408">
        <v>0</v>
      </c>
      <c r="DO385" s="408">
        <v>1.1994734442962562E-2</v>
      </c>
      <c r="DP385" s="408">
        <v>2.3426460834192475E-3</v>
      </c>
      <c r="DQ385" s="408">
        <v>0</v>
      </c>
      <c r="DR385" s="408">
        <v>0</v>
      </c>
      <c r="DS385" s="408"/>
      <c r="DT385" s="408"/>
      <c r="DU385" s="408"/>
      <c r="DV385" s="408">
        <v>-17.817173963168251</v>
      </c>
      <c r="DW385" s="408">
        <v>0</v>
      </c>
      <c r="DX385" s="408">
        <v>0</v>
      </c>
      <c r="DY385" s="408">
        <v>9.3291100000000036</v>
      </c>
      <c r="DZ385" s="408">
        <v>-1.038310000000001</v>
      </c>
      <c r="EA385" s="408">
        <v>0</v>
      </c>
      <c r="EB385" s="408">
        <v>0</v>
      </c>
      <c r="EC385" s="408">
        <v>9.4332490275767231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239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388</v>
      </c>
      <c r="B386" s="408" t="s">
        <v>2236</v>
      </c>
      <c r="C386" s="408" t="s">
        <v>2233</v>
      </c>
      <c r="D386" s="408" t="s">
        <v>1956</v>
      </c>
      <c r="E386" s="408" t="s">
        <v>996</v>
      </c>
      <c r="F386" s="408" t="s">
        <v>1320</v>
      </c>
      <c r="G386" s="408" t="s">
        <v>1320</v>
      </c>
      <c r="H386" s="408" t="s">
        <v>1320</v>
      </c>
      <c r="I386" s="408" t="s">
        <v>1320</v>
      </c>
      <c r="J386" s="408" t="s">
        <v>2234</v>
      </c>
      <c r="K386" s="827">
        <v>44562</v>
      </c>
      <c r="L386" s="408">
        <v>0</v>
      </c>
      <c r="M386" s="408">
        <v>0</v>
      </c>
      <c r="N386" s="408">
        <v>31.021000000000001</v>
      </c>
      <c r="O386" s="408">
        <v>31.021000000000001</v>
      </c>
      <c r="P386" s="408">
        <v>31.021000000000001</v>
      </c>
      <c r="Q386" s="408">
        <v>31.021000000000001</v>
      </c>
      <c r="R386" s="408"/>
      <c r="S386" s="408">
        <v>516.83000000000004</v>
      </c>
      <c r="T386" s="408">
        <v>173.82</v>
      </c>
      <c r="U386" s="408"/>
      <c r="V386" s="408">
        <v>21424.65365</v>
      </c>
      <c r="W386" s="408">
        <v>21424.65365</v>
      </c>
      <c r="X386" s="408">
        <v>16175.900450000001</v>
      </c>
      <c r="Y386" s="408">
        <v>0</v>
      </c>
      <c r="Z386" s="408">
        <v>1896.9172670696532</v>
      </c>
      <c r="AA386" s="408">
        <v>0</v>
      </c>
      <c r="AB386" s="408">
        <v>0</v>
      </c>
      <c r="AC386" s="408">
        <v>84.328853600658178</v>
      </c>
      <c r="AD386" s="408">
        <v>1067.9479160260094</v>
      </c>
      <c r="AE386" s="408">
        <v>11279.725581866171</v>
      </c>
      <c r="AF386" s="408">
        <v>4991.9655666309791</v>
      </c>
      <c r="AG386" s="408">
        <v>251.14184032730202</v>
      </c>
      <c r="AH386" s="408">
        <v>0</v>
      </c>
      <c r="AI386" s="408">
        <v>0</v>
      </c>
      <c r="AJ386" s="408">
        <v>0</v>
      </c>
      <c r="AK386" s="408">
        <v>0</v>
      </c>
      <c r="AL386" s="408">
        <v>293.19487781600645</v>
      </c>
      <c r="AM386" s="408"/>
      <c r="AN386" s="408">
        <v>48.130383601812234</v>
      </c>
      <c r="AO386" s="408">
        <v>179.87538573256049</v>
      </c>
      <c r="AP386" s="408">
        <v>589.06756703275971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0</v>
      </c>
      <c r="BE386" s="408">
        <v>17.210842193573381</v>
      </c>
      <c r="BF386" s="408">
        <v>149.07725791638481</v>
      </c>
      <c r="BG386" s="408">
        <v>576.3181641778458</v>
      </c>
      <c r="BH386" s="408">
        <v>0</v>
      </c>
      <c r="BI386" s="408">
        <v>0</v>
      </c>
      <c r="BJ386" s="408">
        <v>0</v>
      </c>
      <c r="BK386" s="408">
        <v>14801.1</v>
      </c>
      <c r="BL386" s="408">
        <v>48</v>
      </c>
      <c r="BM386" s="408"/>
      <c r="BN386" s="408"/>
      <c r="BO386" s="408"/>
      <c r="BP386" s="408"/>
      <c r="BQ386" s="408"/>
      <c r="BR386" s="408"/>
      <c r="BS386" s="408"/>
      <c r="BT386" s="408"/>
      <c r="BU386" s="408"/>
      <c r="BV386" s="408">
        <v>5734.5718309187832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16175.378999999999</v>
      </c>
      <c r="CJ386" s="408">
        <v>-5249.3046500000037</v>
      </c>
      <c r="CK386" s="408"/>
      <c r="CL386" s="408"/>
      <c r="CM386" s="408"/>
      <c r="CN386" s="408"/>
      <c r="CO386" s="408">
        <v>-5906.0881900000013</v>
      </c>
      <c r="CP386" s="408">
        <v>657.33498999999995</v>
      </c>
      <c r="CQ386" s="408">
        <v>31</v>
      </c>
      <c r="CR386" s="408">
        <v>722.97167289354729</v>
      </c>
      <c r="CS386" s="408">
        <v>17.464763552687032</v>
      </c>
      <c r="CT386" s="408">
        <v>57.194739196163482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-20.477055427261575</v>
      </c>
      <c r="DA386" s="408">
        <v>0</v>
      </c>
      <c r="DB386" s="408">
        <v>0</v>
      </c>
      <c r="DC386" s="408">
        <v>640.77395194173459</v>
      </c>
      <c r="DD386" s="408">
        <v>19.135713663222276</v>
      </c>
      <c r="DE386" s="408">
        <v>2.2092018106735303</v>
      </c>
      <c r="DF386" s="408">
        <v>0</v>
      </c>
      <c r="DG386" s="408">
        <v>73.976805870730232</v>
      </c>
      <c r="DH386" s="408">
        <v>0</v>
      </c>
      <c r="DI386" s="408">
        <v>-55.438366061110628</v>
      </c>
      <c r="DJ386" s="408"/>
      <c r="DK386" s="408">
        <v>0</v>
      </c>
      <c r="DL386" s="408">
        <v>0</v>
      </c>
      <c r="DM386" s="408">
        <v>-2.7913493816838013</v>
      </c>
      <c r="DN386" s="408">
        <v>0</v>
      </c>
      <c r="DO386" s="408">
        <v>-7.5936460643906116</v>
      </c>
      <c r="DP386" s="408">
        <v>-1.4830862072193582</v>
      </c>
      <c r="DQ386" s="408">
        <v>0</v>
      </c>
      <c r="DR386" s="408">
        <v>0</v>
      </c>
      <c r="DS386" s="408"/>
      <c r="DT386" s="408"/>
      <c r="DU386" s="408"/>
      <c r="DV386" s="408">
        <v>11279.725581866171</v>
      </c>
      <c r="DW386" s="408">
        <v>0</v>
      </c>
      <c r="DX386" s="408">
        <v>0</v>
      </c>
      <c r="DY386" s="408">
        <v>-5906.0881900000022</v>
      </c>
      <c r="DZ386" s="408">
        <v>657.33499000000029</v>
      </c>
      <c r="EA386" s="408">
        <v>0</v>
      </c>
      <c r="EB386" s="408">
        <v>0</v>
      </c>
      <c r="EC386" s="408">
        <v>-5972.0166956011753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0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239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389</v>
      </c>
      <c r="B387" s="408" t="s">
        <v>1034</v>
      </c>
      <c r="C387" s="408" t="s">
        <v>2241</v>
      </c>
      <c r="D387" s="408" t="s">
        <v>596</v>
      </c>
      <c r="E387" s="408" t="s">
        <v>996</v>
      </c>
      <c r="F387" s="408" t="s">
        <v>1320</v>
      </c>
      <c r="G387" s="408" t="s">
        <v>1320</v>
      </c>
      <c r="H387" s="408" t="s">
        <v>1320</v>
      </c>
      <c r="I387" s="408" t="s">
        <v>971</v>
      </c>
      <c r="J387" s="408" t="s">
        <v>2234</v>
      </c>
      <c r="K387" s="827">
        <v>44562</v>
      </c>
      <c r="L387" s="408">
        <v>0</v>
      </c>
      <c r="M387" s="408">
        <v>0</v>
      </c>
      <c r="N387" s="408">
        <v>18.268000000000001</v>
      </c>
      <c r="O387" s="408">
        <v>18.268000000000001</v>
      </c>
      <c r="P387" s="408">
        <v>18.268000000000001</v>
      </c>
      <c r="Q387" s="408">
        <v>18.268000000000001</v>
      </c>
      <c r="R387" s="408"/>
      <c r="S387" s="408">
        <v>1684.16</v>
      </c>
      <c r="T387" s="408">
        <v>173.82</v>
      </c>
      <c r="U387" s="408"/>
      <c r="V387" s="408">
        <v>33941.578640000007</v>
      </c>
      <c r="W387" s="408">
        <v>33941.578640000007</v>
      </c>
      <c r="X387" s="408">
        <v>23300.103280000003</v>
      </c>
      <c r="Y387" s="408">
        <v>0</v>
      </c>
      <c r="Z387" s="408">
        <v>971.85808427519351</v>
      </c>
      <c r="AA387" s="408">
        <v>0</v>
      </c>
      <c r="AB387" s="408">
        <v>0</v>
      </c>
      <c r="AC387" s="408">
        <v>328.81303663764635</v>
      </c>
      <c r="AD387" s="408">
        <v>5016.1357542608057</v>
      </c>
      <c r="AE387" s="408">
        <v>21159.686576994536</v>
      </c>
      <c r="AF387" s="408">
        <v>2939.7255720710077</v>
      </c>
      <c r="AG387" s="408">
        <v>147.89526898227501</v>
      </c>
      <c r="AH387" s="408">
        <v>0</v>
      </c>
      <c r="AI387" s="408">
        <v>0</v>
      </c>
      <c r="AJ387" s="408">
        <v>0</v>
      </c>
      <c r="AK387" s="408">
        <v>0</v>
      </c>
      <c r="AL387" s="408">
        <v>172.65994094138827</v>
      </c>
      <c r="AM387" s="408"/>
      <c r="AN387" s="408">
        <v>22.702203800619589</v>
      </c>
      <c r="AO387" s="408">
        <v>706.17043181593112</v>
      </c>
      <c r="AP387" s="408">
        <v>2270.6881219882471</v>
      </c>
      <c r="AQ387" s="408">
        <v>0</v>
      </c>
      <c r="AR387" s="408">
        <v>0</v>
      </c>
      <c r="AS387" s="408">
        <v>0</v>
      </c>
      <c r="AT387" s="408">
        <v>0</v>
      </c>
      <c r="AU387" s="408">
        <v>0</v>
      </c>
      <c r="AV387" s="408">
        <v>0</v>
      </c>
      <c r="AW387" s="408">
        <v>0</v>
      </c>
      <c r="AX387" s="408">
        <v>0</v>
      </c>
      <c r="AY387" s="408">
        <v>0</v>
      </c>
      <c r="AZ387" s="408">
        <v>0</v>
      </c>
      <c r="BA387" s="408"/>
      <c r="BB387" s="408">
        <v>0</v>
      </c>
      <c r="BC387" s="408">
        <v>0</v>
      </c>
      <c r="BD387" s="408">
        <v>0</v>
      </c>
      <c r="BE387" s="408">
        <v>3.4086923359528489</v>
      </c>
      <c r="BF387" s="408">
        <v>87.790314548741748</v>
      </c>
      <c r="BG387" s="408">
        <v>114.14266002839703</v>
      </c>
      <c r="BH387" s="408">
        <v>0</v>
      </c>
      <c r="BI387" s="408">
        <v>0</v>
      </c>
      <c r="BJ387" s="408">
        <v>0</v>
      </c>
      <c r="BK387" s="408">
        <v>0</v>
      </c>
      <c r="BL387" s="408">
        <v>0</v>
      </c>
      <c r="BM387" s="408"/>
      <c r="BN387" s="408"/>
      <c r="BO387" s="408"/>
      <c r="BP387" s="408"/>
      <c r="BQ387" s="408"/>
      <c r="BR387" s="408"/>
      <c r="BS387" s="408"/>
      <c r="BT387" s="408"/>
      <c r="BU387" s="408"/>
      <c r="BV387" s="408">
        <v>3145.0672389840993</v>
      </c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>
        <v>23302.654200000001</v>
      </c>
      <c r="CJ387" s="408">
        <v>-10638.954440000005</v>
      </c>
      <c r="CK387" s="408"/>
      <c r="CL387" s="408"/>
      <c r="CM387" s="408"/>
      <c r="CN387" s="408"/>
      <c r="CO387" s="408">
        <v>-11028.574280000001</v>
      </c>
      <c r="CP387" s="408">
        <v>387.09891999999996</v>
      </c>
      <c r="CQ387" s="408">
        <v>31</v>
      </c>
      <c r="CR387" s="408">
        <v>561.33964574590573</v>
      </c>
      <c r="CS387" s="408">
        <v>68.564687543746231</v>
      </c>
      <c r="CT387" s="408">
        <v>220.46947107804726</v>
      </c>
      <c r="CU387" s="408">
        <v>0</v>
      </c>
      <c r="CV387" s="408">
        <v>0</v>
      </c>
      <c r="CW387" s="408">
        <v>0</v>
      </c>
      <c r="CX387" s="408">
        <v>0</v>
      </c>
      <c r="CY387" s="408">
        <v>0</v>
      </c>
      <c r="CZ387" s="408">
        <v>-96.18043008398854</v>
      </c>
      <c r="DA387" s="408">
        <v>0</v>
      </c>
      <c r="DB387" s="408">
        <v>0</v>
      </c>
      <c r="DC387" s="408">
        <v>377.34626717615856</v>
      </c>
      <c r="DD387" s="408">
        <v>11.26885713548063</v>
      </c>
      <c r="DE387" s="408">
        <v>0.43754333436559278</v>
      </c>
      <c r="DF387" s="408">
        <v>0</v>
      </c>
      <c r="DG387" s="408">
        <v>14.651471925295382</v>
      </c>
      <c r="DH387" s="408">
        <v>0</v>
      </c>
      <c r="DI387" s="408">
        <v>-28.403043807350514</v>
      </c>
      <c r="DJ387" s="408"/>
      <c r="DK387" s="408">
        <v>0</v>
      </c>
      <c r="DL387" s="408">
        <v>0</v>
      </c>
      <c r="DM387" s="408">
        <v>-1.6438016345249764</v>
      </c>
      <c r="DN387" s="408">
        <v>0</v>
      </c>
      <c r="DO387" s="408">
        <v>-4.4718328327354868</v>
      </c>
      <c r="DP387" s="408">
        <v>-0.6995440885893629</v>
      </c>
      <c r="DQ387" s="408">
        <v>0</v>
      </c>
      <c r="DR387" s="408">
        <v>0</v>
      </c>
      <c r="DS387" s="408"/>
      <c r="DT387" s="408"/>
      <c r="DU387" s="408"/>
      <c r="DV387" s="408">
        <v>21159.686576994536</v>
      </c>
      <c r="DW387" s="408">
        <v>0</v>
      </c>
      <c r="DX387" s="408">
        <v>0</v>
      </c>
      <c r="DY387" s="408">
        <v>-11028.574280000001</v>
      </c>
      <c r="DZ387" s="408">
        <v>387.09891999999991</v>
      </c>
      <c r="EA387" s="408">
        <v>0</v>
      </c>
      <c r="EB387" s="408">
        <v>0</v>
      </c>
      <c r="EC387" s="408">
        <v>-11202.932251707558</v>
      </c>
      <c r="ED387" s="408">
        <v>0</v>
      </c>
      <c r="EE387" s="408">
        <v>0</v>
      </c>
      <c r="EF387" s="408">
        <v>0</v>
      </c>
      <c r="EG387" s="408">
        <v>0</v>
      </c>
      <c r="EH387" s="408">
        <v>0</v>
      </c>
      <c r="EI387" s="408">
        <v>0</v>
      </c>
      <c r="EJ387" s="408">
        <v>0</v>
      </c>
      <c r="EK387" s="408">
        <v>0</v>
      </c>
      <c r="EL387" s="408">
        <v>0</v>
      </c>
      <c r="EM387" s="408">
        <v>0</v>
      </c>
      <c r="EN387" s="408">
        <v>0</v>
      </c>
      <c r="EO387" s="408">
        <v>0</v>
      </c>
      <c r="EP387" s="408">
        <v>0</v>
      </c>
      <c r="EQ387" s="408">
        <v>0</v>
      </c>
      <c r="ER387" s="408">
        <v>0</v>
      </c>
      <c r="ES387" s="408">
        <v>0</v>
      </c>
      <c r="ET387" s="408">
        <v>0</v>
      </c>
      <c r="EU387" s="408">
        <v>0</v>
      </c>
      <c r="EV387" s="408">
        <v>239</v>
      </c>
      <c r="EW387" s="408">
        <v>0</v>
      </c>
      <c r="EX387" s="408">
        <v>0</v>
      </c>
      <c r="EY387" s="408">
        <v>0</v>
      </c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390</v>
      </c>
      <c r="B388" s="408" t="s">
        <v>2236</v>
      </c>
      <c r="C388" s="408" t="s">
        <v>2241</v>
      </c>
      <c r="D388" s="408" t="s">
        <v>596</v>
      </c>
      <c r="E388" s="408" t="s">
        <v>996</v>
      </c>
      <c r="F388" s="408" t="s">
        <v>1320</v>
      </c>
      <c r="G388" s="408" t="s">
        <v>1320</v>
      </c>
      <c r="H388" s="408" t="s">
        <v>1320</v>
      </c>
      <c r="I388" s="408" t="s">
        <v>971</v>
      </c>
      <c r="J388" s="408" t="s">
        <v>2234</v>
      </c>
      <c r="K388" s="827">
        <v>44562</v>
      </c>
      <c r="L388" s="408">
        <v>0</v>
      </c>
      <c r="M388" s="408">
        <v>0</v>
      </c>
      <c r="N388" s="408">
        <v>4.5380000000000003</v>
      </c>
      <c r="O388" s="408">
        <v>4.5380000000000003</v>
      </c>
      <c r="P388" s="408">
        <v>4.5380000000000003</v>
      </c>
      <c r="Q388" s="408">
        <v>4.5380000000000003</v>
      </c>
      <c r="R388" s="408"/>
      <c r="S388" s="408">
        <v>1684.16</v>
      </c>
      <c r="T388" s="408">
        <v>173.82</v>
      </c>
      <c r="U388" s="408"/>
      <c r="V388" s="408">
        <v>8431.5132400000002</v>
      </c>
      <c r="W388" s="408">
        <v>8431.5132400000002</v>
      </c>
      <c r="X388" s="408">
        <v>5788.0374800000009</v>
      </c>
      <c r="Y388" s="408">
        <v>0</v>
      </c>
      <c r="Z388" s="408">
        <v>241.42172030002342</v>
      </c>
      <c r="AA388" s="408">
        <v>0</v>
      </c>
      <c r="AB388" s="408">
        <v>0</v>
      </c>
      <c r="AC388" s="408">
        <v>81.681276563479258</v>
      </c>
      <c r="AD388" s="408">
        <v>1246.0709466189805</v>
      </c>
      <c r="AE388" s="408">
        <v>5256.33116303926</v>
      </c>
      <c r="AF388" s="408">
        <v>730.2646510870502</v>
      </c>
      <c r="AG388" s="408">
        <v>36.739037149198822</v>
      </c>
      <c r="AH388" s="408">
        <v>0</v>
      </c>
      <c r="AI388" s="408">
        <v>0</v>
      </c>
      <c r="AJ388" s="408">
        <v>0</v>
      </c>
      <c r="AK388" s="408">
        <v>0</v>
      </c>
      <c r="AL388" s="408">
        <v>42.890891832276111</v>
      </c>
      <c r="AM388" s="408"/>
      <c r="AN388" s="408">
        <v>5.6395117608502137</v>
      </c>
      <c r="AO388" s="408">
        <v>175.42157978873965</v>
      </c>
      <c r="AP388" s="408">
        <v>564.06736903780734</v>
      </c>
      <c r="AQ388" s="408">
        <v>0</v>
      </c>
      <c r="AR388" s="408">
        <v>0</v>
      </c>
      <c r="AS388" s="408">
        <v>0</v>
      </c>
      <c r="AT388" s="408">
        <v>0</v>
      </c>
      <c r="AU388" s="408">
        <v>0</v>
      </c>
      <c r="AV388" s="408">
        <v>0</v>
      </c>
      <c r="AW388" s="408">
        <v>0</v>
      </c>
      <c r="AX388" s="408">
        <v>0</v>
      </c>
      <c r="AY388" s="408">
        <v>0</v>
      </c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0.84676186887201821</v>
      </c>
      <c r="BF388" s="408">
        <v>21.80821367539906</v>
      </c>
      <c r="BG388" s="408">
        <v>28.354466346007541</v>
      </c>
      <c r="BH388" s="408">
        <v>0</v>
      </c>
      <c r="BI388" s="408">
        <v>0</v>
      </c>
      <c r="BJ388" s="408">
        <v>0</v>
      </c>
      <c r="BK388" s="408">
        <v>0</v>
      </c>
      <c r="BL388" s="408">
        <v>0</v>
      </c>
      <c r="BM388" s="408"/>
      <c r="BN388" s="408"/>
      <c r="BO388" s="408"/>
      <c r="BP388" s="408"/>
      <c r="BQ388" s="408"/>
      <c r="BR388" s="408"/>
      <c r="BS388" s="408"/>
      <c r="BT388" s="408"/>
      <c r="BU388" s="408"/>
      <c r="BV388" s="408">
        <v>781.27409297732879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5790.5884000000005</v>
      </c>
      <c r="CJ388" s="408">
        <v>-2640.9548400000003</v>
      </c>
      <c r="CK388" s="408"/>
      <c r="CL388" s="408"/>
      <c r="CM388" s="408"/>
      <c r="CN388" s="408"/>
      <c r="CO388" s="408">
        <v>-2739.6359800000005</v>
      </c>
      <c r="CP388" s="408">
        <v>96.160219999999995</v>
      </c>
      <c r="CQ388" s="408">
        <v>31</v>
      </c>
      <c r="CR388" s="408">
        <v>139.44379857646891</v>
      </c>
      <c r="CS388" s="408">
        <v>17.032327133431124</v>
      </c>
      <c r="CT388" s="408">
        <v>54.767377915052521</v>
      </c>
      <c r="CU388" s="408">
        <v>0</v>
      </c>
      <c r="CV388" s="408">
        <v>0</v>
      </c>
      <c r="CW388" s="408">
        <v>0</v>
      </c>
      <c r="CX388" s="408">
        <v>0</v>
      </c>
      <c r="CY388" s="408">
        <v>0</v>
      </c>
      <c r="CZ388" s="408">
        <v>-23.892423457474251</v>
      </c>
      <c r="DA388" s="408">
        <v>0</v>
      </c>
      <c r="DB388" s="408">
        <v>0</v>
      </c>
      <c r="DC388" s="408">
        <v>93.737538890158021</v>
      </c>
      <c r="DD388" s="408">
        <v>2.7993252507560307</v>
      </c>
      <c r="DE388" s="408">
        <v>0.10869124432620214</v>
      </c>
      <c r="DF388" s="408">
        <v>0</v>
      </c>
      <c r="DG388" s="408">
        <v>3.6396091305556411</v>
      </c>
      <c r="DH388" s="408">
        <v>0</v>
      </c>
      <c r="DI388" s="408">
        <v>-7.0556718194524137</v>
      </c>
      <c r="DJ388" s="408"/>
      <c r="DK388" s="408">
        <v>0</v>
      </c>
      <c r="DL388" s="408">
        <v>0</v>
      </c>
      <c r="DM388" s="408">
        <v>-0.4083409140285994</v>
      </c>
      <c r="DN388" s="408">
        <v>0</v>
      </c>
      <c r="DO388" s="408">
        <v>-1.1108592837176303</v>
      </c>
      <c r="DP388" s="408">
        <v>-0.17377551313874129</v>
      </c>
      <c r="DQ388" s="408">
        <v>0</v>
      </c>
      <c r="DR388" s="408">
        <v>0</v>
      </c>
      <c r="DS388" s="408"/>
      <c r="DT388" s="408"/>
      <c r="DU388" s="408"/>
      <c r="DV388" s="408">
        <v>5256.33116303926</v>
      </c>
      <c r="DW388" s="408">
        <v>0</v>
      </c>
      <c r="DX388" s="408">
        <v>0</v>
      </c>
      <c r="DY388" s="408">
        <v>-2739.63598</v>
      </c>
      <c r="DZ388" s="408">
        <v>96.160219999999981</v>
      </c>
      <c r="EA388" s="408">
        <v>0</v>
      </c>
      <c r="EB388" s="408">
        <v>0</v>
      </c>
      <c r="EC388" s="408">
        <v>-2782.948683941805</v>
      </c>
      <c r="ED388" s="408">
        <v>0</v>
      </c>
      <c r="EE388" s="408">
        <v>0</v>
      </c>
      <c r="EF388" s="408">
        <v>0</v>
      </c>
      <c r="EG388" s="408">
        <v>0</v>
      </c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>
        <v>0</v>
      </c>
      <c r="EN388" s="408">
        <v>0</v>
      </c>
      <c r="EO388" s="408">
        <v>0</v>
      </c>
      <c r="EP388" s="408">
        <v>0</v>
      </c>
      <c r="EQ388" s="408">
        <v>0</v>
      </c>
      <c r="ER388" s="408">
        <v>0</v>
      </c>
      <c r="ES388" s="408">
        <v>0</v>
      </c>
      <c r="ET388" s="408">
        <v>0</v>
      </c>
      <c r="EU388" s="408">
        <v>0</v>
      </c>
      <c r="EV388" s="408">
        <v>239</v>
      </c>
      <c r="EW388" s="408">
        <v>0</v>
      </c>
      <c r="EX388" s="408">
        <v>0</v>
      </c>
      <c r="EY388" s="408">
        <v>0</v>
      </c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391</v>
      </c>
      <c r="B389" s="408" t="s">
        <v>1034</v>
      </c>
      <c r="C389" s="408" t="s">
        <v>2241</v>
      </c>
      <c r="D389" s="408" t="s">
        <v>596</v>
      </c>
      <c r="E389" s="408" t="s">
        <v>996</v>
      </c>
      <c r="F389" s="408" t="s">
        <v>1320</v>
      </c>
      <c r="G389" s="408" t="s">
        <v>1320</v>
      </c>
      <c r="H389" s="408" t="s">
        <v>1320</v>
      </c>
      <c r="I389" s="408" t="s">
        <v>2242</v>
      </c>
      <c r="J389" s="408" t="s">
        <v>2234</v>
      </c>
      <c r="K389" s="827">
        <v>44562</v>
      </c>
      <c r="L389" s="408">
        <v>0</v>
      </c>
      <c r="M389" s="408">
        <v>0</v>
      </c>
      <c r="N389" s="408">
        <v>311.577</v>
      </c>
      <c r="O389" s="408">
        <v>311.577</v>
      </c>
      <c r="P389" s="408">
        <v>311.577</v>
      </c>
      <c r="Q389" s="408">
        <v>311.577</v>
      </c>
      <c r="R389" s="408"/>
      <c r="S389" s="408">
        <v>70.33</v>
      </c>
      <c r="T389" s="408">
        <v>173.82</v>
      </c>
      <c r="U389" s="408"/>
      <c r="V389" s="408">
        <v>76071.524550000002</v>
      </c>
      <c r="W389" s="408">
        <v>76071.524550000002</v>
      </c>
      <c r="X389" s="408">
        <v>82359.148409999994</v>
      </c>
      <c r="Y389" s="408">
        <v>0</v>
      </c>
      <c r="Z389" s="408">
        <v>16575.904659744469</v>
      </c>
      <c r="AA389" s="408">
        <v>0</v>
      </c>
      <c r="AB389" s="408">
        <v>0</v>
      </c>
      <c r="AC389" s="408">
        <v>0</v>
      </c>
      <c r="AD389" s="408">
        <v>0</v>
      </c>
      <c r="AE389" s="408">
        <v>0</v>
      </c>
      <c r="AF389" s="408">
        <v>50139.636225594935</v>
      </c>
      <c r="AG389" s="408">
        <v>2522.4854512639754</v>
      </c>
      <c r="AH389" s="408">
        <v>0</v>
      </c>
      <c r="AI389" s="408">
        <v>0</v>
      </c>
      <c r="AJ389" s="408">
        <v>0</v>
      </c>
      <c r="AK389" s="408">
        <v>0</v>
      </c>
      <c r="AL389" s="408">
        <v>2944.8689740910299</v>
      </c>
      <c r="AM389" s="408"/>
      <c r="AN389" s="408">
        <v>387.20629262019099</v>
      </c>
      <c r="AO389" s="408">
        <v>0</v>
      </c>
      <c r="AP389" s="408">
        <v>0</v>
      </c>
      <c r="AQ389" s="408">
        <v>0</v>
      </c>
      <c r="AR389" s="408">
        <v>0</v>
      </c>
      <c r="AS389" s="408">
        <v>0</v>
      </c>
      <c r="AT389" s="408">
        <v>0</v>
      </c>
      <c r="AU389" s="408">
        <v>0</v>
      </c>
      <c r="AV389" s="408">
        <v>0</v>
      </c>
      <c r="AW389" s="408">
        <v>0</v>
      </c>
      <c r="AX389" s="408">
        <v>0</v>
      </c>
      <c r="AY389" s="408">
        <v>0</v>
      </c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58.138281802013395</v>
      </c>
      <c r="BF389" s="408">
        <v>1497.3419551211575</v>
      </c>
      <c r="BG389" s="408">
        <v>1946.8046629991165</v>
      </c>
      <c r="BH389" s="408">
        <v>0</v>
      </c>
      <c r="BI389" s="408">
        <v>0</v>
      </c>
      <c r="BJ389" s="408">
        <v>0</v>
      </c>
      <c r="BK389" s="408">
        <v>0</v>
      </c>
      <c r="BL389" s="408">
        <v>0</v>
      </c>
      <c r="BM389" s="408"/>
      <c r="BN389" s="408"/>
      <c r="BO389" s="408"/>
      <c r="BP389" s="408"/>
      <c r="BQ389" s="408"/>
      <c r="BR389" s="408"/>
      <c r="BS389" s="408"/>
      <c r="BT389" s="408"/>
      <c r="BU389" s="408"/>
      <c r="BV389" s="408">
        <v>53641.921125517219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82359.941399999982</v>
      </c>
      <c r="CJ389" s="408">
        <v>6288.3868499999953</v>
      </c>
      <c r="CK389" s="408"/>
      <c r="CL389" s="408"/>
      <c r="CM389" s="408"/>
      <c r="CN389" s="408"/>
      <c r="CO389" s="408">
        <v>-314.69277000000159</v>
      </c>
      <c r="CP389" s="408">
        <v>6602.3166299999993</v>
      </c>
      <c r="CQ389" s="408">
        <v>31</v>
      </c>
      <c r="CR389" s="408">
        <v>6284.8553003037086</v>
      </c>
      <c r="CS389" s="408">
        <v>0</v>
      </c>
      <c r="CT389" s="408">
        <v>0</v>
      </c>
      <c r="CU389" s="408">
        <v>0</v>
      </c>
      <c r="CV389" s="408">
        <v>0</v>
      </c>
      <c r="CW389" s="408">
        <v>0</v>
      </c>
      <c r="CX389" s="408">
        <v>0</v>
      </c>
      <c r="CY389" s="408">
        <v>0</v>
      </c>
      <c r="CZ389" s="408">
        <v>0</v>
      </c>
      <c r="DA389" s="408">
        <v>0</v>
      </c>
      <c r="DB389" s="408">
        <v>0</v>
      </c>
      <c r="DC389" s="408">
        <v>6435.9764554382491</v>
      </c>
      <c r="DD389" s="408">
        <v>192.20038864143044</v>
      </c>
      <c r="DE389" s="408">
        <v>7.4626910166207807</v>
      </c>
      <c r="DF389" s="408">
        <v>0</v>
      </c>
      <c r="DG389" s="408">
        <v>249.89389468292961</v>
      </c>
      <c r="DH389" s="408">
        <v>0</v>
      </c>
      <c r="DI389" s="408">
        <v>-484.43919314445338</v>
      </c>
      <c r="DJ389" s="408"/>
      <c r="DK389" s="408">
        <v>0</v>
      </c>
      <c r="DL389" s="408">
        <v>0</v>
      </c>
      <c r="DM389" s="408">
        <v>-28.036499993452708</v>
      </c>
      <c r="DN389" s="408">
        <v>0</v>
      </c>
      <c r="DO389" s="408">
        <v>-76.271089255815241</v>
      </c>
      <c r="DP389" s="408">
        <v>-11.931347081804631</v>
      </c>
      <c r="DQ389" s="408">
        <v>0</v>
      </c>
      <c r="DR389" s="408">
        <v>0</v>
      </c>
      <c r="DS389" s="408"/>
      <c r="DT389" s="408"/>
      <c r="DU389" s="408"/>
      <c r="DV389" s="408">
        <v>0</v>
      </c>
      <c r="DW389" s="408">
        <v>0</v>
      </c>
      <c r="DX389" s="408">
        <v>0</v>
      </c>
      <c r="DY389" s="408">
        <v>-314.69277000000147</v>
      </c>
      <c r="DZ389" s="408">
        <v>6602.3166300000012</v>
      </c>
      <c r="EA389" s="408">
        <v>0</v>
      </c>
      <c r="EB389" s="408">
        <v>0</v>
      </c>
      <c r="EC389" s="408">
        <v>0</v>
      </c>
      <c r="ED389" s="408">
        <v>0</v>
      </c>
      <c r="EE389" s="408">
        <v>0</v>
      </c>
      <c r="EF389" s="408">
        <v>0</v>
      </c>
      <c r="EG389" s="408">
        <v>0</v>
      </c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>
        <v>0</v>
      </c>
      <c r="EN389" s="408">
        <v>0</v>
      </c>
      <c r="EO389" s="408">
        <v>0</v>
      </c>
      <c r="EP389" s="408">
        <v>0</v>
      </c>
      <c r="EQ389" s="408">
        <v>0</v>
      </c>
      <c r="ER389" s="408">
        <v>0</v>
      </c>
      <c r="ES389" s="408">
        <v>0</v>
      </c>
      <c r="ET389" s="408">
        <v>0</v>
      </c>
      <c r="EU389" s="408">
        <v>0</v>
      </c>
      <c r="EV389" s="408">
        <v>239</v>
      </c>
      <c r="EW389" s="408">
        <v>0</v>
      </c>
      <c r="EX389" s="408">
        <v>0</v>
      </c>
      <c r="EY389" s="408">
        <v>0</v>
      </c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392</v>
      </c>
      <c r="B390" s="408" t="s">
        <v>2236</v>
      </c>
      <c r="C390" s="408" t="s">
        <v>2241</v>
      </c>
      <c r="D390" s="408" t="s">
        <v>596</v>
      </c>
      <c r="E390" s="408" t="s">
        <v>996</v>
      </c>
      <c r="F390" s="408" t="s">
        <v>1320</v>
      </c>
      <c r="G390" s="408" t="s">
        <v>1320</v>
      </c>
      <c r="H390" s="408" t="s">
        <v>1320</v>
      </c>
      <c r="I390" s="408" t="s">
        <v>2242</v>
      </c>
      <c r="J390" s="408" t="s">
        <v>2234</v>
      </c>
      <c r="K390" s="827">
        <v>44562</v>
      </c>
      <c r="L390" s="408">
        <v>0</v>
      </c>
      <c r="M390" s="408">
        <v>0</v>
      </c>
      <c r="N390" s="408">
        <v>34.859000000000002</v>
      </c>
      <c r="O390" s="408">
        <v>34.859000000000002</v>
      </c>
      <c r="P390" s="408">
        <v>34.859000000000002</v>
      </c>
      <c r="Q390" s="408">
        <v>34.859000000000002</v>
      </c>
      <c r="R390" s="408"/>
      <c r="S390" s="408">
        <v>70.33</v>
      </c>
      <c r="T390" s="408">
        <v>173.82</v>
      </c>
      <c r="U390" s="408"/>
      <c r="V390" s="408">
        <v>8510.8248500000009</v>
      </c>
      <c r="W390" s="408">
        <v>8510.8248500000009</v>
      </c>
      <c r="X390" s="408">
        <v>9214.2794699999995</v>
      </c>
      <c r="Y390" s="408">
        <v>0</v>
      </c>
      <c r="Z390" s="408">
        <v>1854.4997240939879</v>
      </c>
      <c r="AA390" s="408">
        <v>0</v>
      </c>
      <c r="AB390" s="408">
        <v>0</v>
      </c>
      <c r="AC390" s="408">
        <v>0</v>
      </c>
      <c r="AD390" s="408">
        <v>0</v>
      </c>
      <c r="AE390" s="408">
        <v>0</v>
      </c>
      <c r="AF390" s="408">
        <v>5609.5847228390221</v>
      </c>
      <c r="AG390" s="408">
        <v>282.21377170205415</v>
      </c>
      <c r="AH390" s="408">
        <v>0</v>
      </c>
      <c r="AI390" s="408">
        <v>0</v>
      </c>
      <c r="AJ390" s="408">
        <v>0</v>
      </c>
      <c r="AK390" s="408">
        <v>0</v>
      </c>
      <c r="AL390" s="408">
        <v>329.46972198794907</v>
      </c>
      <c r="AM390" s="408"/>
      <c r="AN390" s="408">
        <v>43.320348274895899</v>
      </c>
      <c r="AO390" s="408">
        <v>0</v>
      </c>
      <c r="AP390" s="408">
        <v>0</v>
      </c>
      <c r="AQ390" s="408">
        <v>0</v>
      </c>
      <c r="AR390" s="408">
        <v>0</v>
      </c>
      <c r="AS390" s="408">
        <v>0</v>
      </c>
      <c r="AT390" s="408">
        <v>0</v>
      </c>
      <c r="AU390" s="408">
        <v>0</v>
      </c>
      <c r="AV390" s="408">
        <v>0</v>
      </c>
      <c r="AW390" s="408">
        <v>0</v>
      </c>
      <c r="AX390" s="408">
        <v>0</v>
      </c>
      <c r="AY390" s="408">
        <v>0</v>
      </c>
      <c r="AZ390" s="408">
        <v>0</v>
      </c>
      <c r="BA390" s="408"/>
      <c r="BB390" s="408">
        <v>0</v>
      </c>
      <c r="BC390" s="408">
        <v>0</v>
      </c>
      <c r="BD390" s="408">
        <v>0</v>
      </c>
      <c r="BE390" s="408">
        <v>6.5044671632899256</v>
      </c>
      <c r="BF390" s="408">
        <v>167.52148975556102</v>
      </c>
      <c r="BG390" s="408">
        <v>217.80703886193848</v>
      </c>
      <c r="BH390" s="408">
        <v>0</v>
      </c>
      <c r="BI390" s="408">
        <v>0</v>
      </c>
      <c r="BJ390" s="408">
        <v>0</v>
      </c>
      <c r="BK390" s="408">
        <v>0</v>
      </c>
      <c r="BL390" s="408">
        <v>0</v>
      </c>
      <c r="BM390" s="408"/>
      <c r="BN390" s="408"/>
      <c r="BO390" s="408"/>
      <c r="BP390" s="408"/>
      <c r="BQ390" s="408"/>
      <c r="BR390" s="408"/>
      <c r="BS390" s="408"/>
      <c r="BT390" s="408"/>
      <c r="BU390" s="408"/>
      <c r="BV390" s="408">
        <v>6001.4177186198103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9214.5437999999995</v>
      </c>
      <c r="CJ390" s="408">
        <v>703.68894999999793</v>
      </c>
      <c r="CK390" s="408"/>
      <c r="CL390" s="408"/>
      <c r="CM390" s="408"/>
      <c r="CN390" s="408"/>
      <c r="CO390" s="408">
        <v>-35.207590000000181</v>
      </c>
      <c r="CP390" s="408">
        <v>738.66220999999996</v>
      </c>
      <c r="CQ390" s="408">
        <v>31</v>
      </c>
      <c r="CR390" s="408">
        <v>703.14487562716931</v>
      </c>
      <c r="CS390" s="408">
        <v>0</v>
      </c>
      <c r="CT390" s="408">
        <v>0</v>
      </c>
      <c r="CU390" s="408">
        <v>0</v>
      </c>
      <c r="CV390" s="408">
        <v>0</v>
      </c>
      <c r="CW390" s="408">
        <v>0</v>
      </c>
      <c r="CX390" s="408">
        <v>0</v>
      </c>
      <c r="CY390" s="408">
        <v>0</v>
      </c>
      <c r="CZ390" s="408">
        <v>0</v>
      </c>
      <c r="DA390" s="408">
        <v>0</v>
      </c>
      <c r="DB390" s="408">
        <v>0</v>
      </c>
      <c r="DC390" s="408">
        <v>720.05219660026887</v>
      </c>
      <c r="DD390" s="408">
        <v>21.503234666395855</v>
      </c>
      <c r="DE390" s="408">
        <v>0.83492024811967358</v>
      </c>
      <c r="DF390" s="408">
        <v>0</v>
      </c>
      <c r="DG390" s="408">
        <v>27.95794065271906</v>
      </c>
      <c r="DH390" s="408">
        <v>0</v>
      </c>
      <c r="DI390" s="408">
        <v>-54.198691924700825</v>
      </c>
      <c r="DJ390" s="408"/>
      <c r="DK390" s="408">
        <v>0</v>
      </c>
      <c r="DL390" s="408">
        <v>0</v>
      </c>
      <c r="DM390" s="408">
        <v>-3.1367024949587972</v>
      </c>
      <c r="DN390" s="408">
        <v>0</v>
      </c>
      <c r="DO390" s="408">
        <v>-8.5331519989230742</v>
      </c>
      <c r="DP390" s="408">
        <v>-1.3348701217504129</v>
      </c>
      <c r="DQ390" s="408">
        <v>0</v>
      </c>
      <c r="DR390" s="408">
        <v>0</v>
      </c>
      <c r="DS390" s="408"/>
      <c r="DT390" s="408"/>
      <c r="DU390" s="408"/>
      <c r="DV390" s="408">
        <v>0</v>
      </c>
      <c r="DW390" s="408">
        <v>0</v>
      </c>
      <c r="DX390" s="408">
        <v>0</v>
      </c>
      <c r="DY390" s="408">
        <v>-35.207590000000437</v>
      </c>
      <c r="DZ390" s="408">
        <v>738.6622099999995</v>
      </c>
      <c r="EA390" s="408">
        <v>0</v>
      </c>
      <c r="EB390" s="408">
        <v>0</v>
      </c>
      <c r="EC390" s="408">
        <v>0</v>
      </c>
      <c r="ED390" s="408">
        <v>0</v>
      </c>
      <c r="EE390" s="408">
        <v>0</v>
      </c>
      <c r="EF390" s="408">
        <v>0</v>
      </c>
      <c r="EG390" s="408">
        <v>0</v>
      </c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>
        <v>0</v>
      </c>
      <c r="EN390" s="408">
        <v>0</v>
      </c>
      <c r="EO390" s="408">
        <v>0</v>
      </c>
      <c r="EP390" s="408">
        <v>0</v>
      </c>
      <c r="EQ390" s="408">
        <v>0</v>
      </c>
      <c r="ER390" s="408">
        <v>0</v>
      </c>
      <c r="ES390" s="408">
        <v>0</v>
      </c>
      <c r="ET390" s="408">
        <v>0</v>
      </c>
      <c r="EU390" s="408">
        <v>0</v>
      </c>
      <c r="EV390" s="408">
        <v>239</v>
      </c>
      <c r="EW390" s="408">
        <v>0</v>
      </c>
      <c r="EX390" s="408">
        <v>0</v>
      </c>
      <c r="EY390" s="408">
        <v>0</v>
      </c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393</v>
      </c>
      <c r="B391" s="408" t="s">
        <v>1034</v>
      </c>
      <c r="C391" s="408" t="s">
        <v>2241</v>
      </c>
      <c r="D391" s="408" t="s">
        <v>596</v>
      </c>
      <c r="E391" s="408" t="s">
        <v>996</v>
      </c>
      <c r="F391" s="408" t="s">
        <v>1320</v>
      </c>
      <c r="G391" s="408" t="s">
        <v>1320</v>
      </c>
      <c r="H391" s="408" t="s">
        <v>1320</v>
      </c>
      <c r="I391" s="408" t="s">
        <v>1320</v>
      </c>
      <c r="J391" s="408" t="s">
        <v>2234</v>
      </c>
      <c r="K391" s="827">
        <v>44562</v>
      </c>
      <c r="L391" s="408">
        <v>2675</v>
      </c>
      <c r="M391" s="408">
        <v>2675</v>
      </c>
      <c r="N391" s="408">
        <v>0</v>
      </c>
      <c r="O391" s="408">
        <v>0</v>
      </c>
      <c r="P391" s="408">
        <v>0</v>
      </c>
      <c r="Q391" s="408">
        <v>0</v>
      </c>
      <c r="R391" s="408">
        <v>59.12</v>
      </c>
      <c r="S391" s="408"/>
      <c r="T391" s="408"/>
      <c r="U391" s="408">
        <v>158146</v>
      </c>
      <c r="V391" s="408"/>
      <c r="W391" s="408">
        <v>158146</v>
      </c>
      <c r="X391" s="408">
        <v>91030.25</v>
      </c>
      <c r="Y391" s="408">
        <v>0</v>
      </c>
      <c r="Z391" s="408">
        <v>0</v>
      </c>
      <c r="AA391" s="408">
        <v>0</v>
      </c>
      <c r="AB391" s="408">
        <v>0</v>
      </c>
      <c r="AC391" s="408">
        <v>1530.2614719175995</v>
      </c>
      <c r="AD391" s="408">
        <v>13688.035590663776</v>
      </c>
      <c r="AE391" s="408">
        <v>128832.80898780563</v>
      </c>
      <c r="AF391" s="408"/>
      <c r="AG391" s="408"/>
      <c r="AH391" s="408"/>
      <c r="AI391" s="408">
        <v>0</v>
      </c>
      <c r="AJ391" s="408">
        <v>0</v>
      </c>
      <c r="AK391" s="408">
        <v>0</v>
      </c>
      <c r="AL391" s="408">
        <v>0</v>
      </c>
      <c r="AM391" s="408"/>
      <c r="AN391" s="408">
        <v>0</v>
      </c>
      <c r="AO391" s="408">
        <v>3231.5929094709104</v>
      </c>
      <c r="AP391" s="408">
        <v>10863.142536253339</v>
      </c>
      <c r="AQ391" s="408">
        <v>0</v>
      </c>
      <c r="AR391" s="408">
        <v>0</v>
      </c>
      <c r="AS391" s="408"/>
      <c r="AT391" s="408"/>
      <c r="AU391" s="408">
        <v>0</v>
      </c>
      <c r="AV391" s="408">
        <v>0</v>
      </c>
      <c r="AW391" s="408">
        <v>0</v>
      </c>
      <c r="AX391" s="408"/>
      <c r="AY391" s="408"/>
      <c r="AZ391" s="408">
        <v>0</v>
      </c>
      <c r="BA391" s="408"/>
      <c r="BB391" s="408">
        <v>0</v>
      </c>
      <c r="BC391" s="408">
        <v>0</v>
      </c>
      <c r="BD391" s="408">
        <v>0</v>
      </c>
      <c r="BE391" s="408">
        <v>0</v>
      </c>
      <c r="BF391" s="408"/>
      <c r="BG391" s="408">
        <v>0</v>
      </c>
      <c r="BH391" s="408">
        <v>0</v>
      </c>
      <c r="BI391" s="408">
        <v>0</v>
      </c>
      <c r="BJ391" s="408">
        <v>0</v>
      </c>
      <c r="BK391" s="408">
        <v>75594.710000000006</v>
      </c>
      <c r="BL391" s="408">
        <v>16</v>
      </c>
      <c r="BM391" s="408"/>
      <c r="BN391" s="408"/>
      <c r="BO391" s="408"/>
      <c r="BP391" s="408"/>
      <c r="BQ391" s="408"/>
      <c r="BR391" s="408"/>
      <c r="BS391" s="408"/>
      <c r="BT391" s="408"/>
      <c r="BU391" s="408"/>
      <c r="BV391" s="408">
        <v>0</v>
      </c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>
        <v>91030.25</v>
      </c>
      <c r="CJ391" s="408">
        <v>-67115.780000000028</v>
      </c>
      <c r="CK391" s="408"/>
      <c r="CL391" s="408"/>
      <c r="CM391" s="408"/>
      <c r="CN391" s="408"/>
      <c r="CO391" s="408">
        <v>-67115.749999999985</v>
      </c>
      <c r="CP391" s="408">
        <v>0</v>
      </c>
      <c r="CQ391" s="408">
        <v>31</v>
      </c>
      <c r="CR391" s="408">
        <v>1106.0525243030497</v>
      </c>
      <c r="CS391" s="408">
        <v>313.76725521724211</v>
      </c>
      <c r="CT391" s="408">
        <v>1054.7425100001055</v>
      </c>
      <c r="CU391" s="408">
        <v>0</v>
      </c>
      <c r="CV391" s="408">
        <v>0</v>
      </c>
      <c r="CW391" s="408"/>
      <c r="CX391" s="408"/>
      <c r="CY391" s="408"/>
      <c r="CZ391" s="408">
        <v>-262.4572409143002</v>
      </c>
      <c r="DA391" s="408">
        <v>0</v>
      </c>
      <c r="DB391" s="408">
        <v>0</v>
      </c>
      <c r="DC391" s="408"/>
      <c r="DD391" s="408"/>
      <c r="DE391" s="408">
        <v>0</v>
      </c>
      <c r="DF391" s="408">
        <v>0</v>
      </c>
      <c r="DG391" s="408">
        <v>0</v>
      </c>
      <c r="DH391" s="408">
        <v>0</v>
      </c>
      <c r="DI391" s="408">
        <v>0</v>
      </c>
      <c r="DJ391" s="408"/>
      <c r="DK391" s="408">
        <v>0</v>
      </c>
      <c r="DL391" s="408">
        <v>0</v>
      </c>
      <c r="DM391" s="408"/>
      <c r="DN391" s="408">
        <v>0</v>
      </c>
      <c r="DO391" s="408">
        <v>0</v>
      </c>
      <c r="DP391" s="408">
        <v>0</v>
      </c>
      <c r="DQ391" s="408">
        <v>0</v>
      </c>
      <c r="DR391" s="408">
        <v>0</v>
      </c>
      <c r="DS391" s="408"/>
      <c r="DT391" s="408"/>
      <c r="DU391" s="408">
        <v>128832.80898780563</v>
      </c>
      <c r="DV391" s="408"/>
      <c r="DW391" s="408">
        <v>0</v>
      </c>
      <c r="DX391" s="408">
        <v>0</v>
      </c>
      <c r="DY391" s="408">
        <v>-67115.75</v>
      </c>
      <c r="DZ391" s="408"/>
      <c r="EA391" s="408">
        <v>0</v>
      </c>
      <c r="EB391" s="408"/>
      <c r="EC391" s="408">
        <v>-68210.142226623342</v>
      </c>
      <c r="ED391" s="408"/>
      <c r="EE391" s="408">
        <v>0</v>
      </c>
      <c r="EF391" s="408">
        <v>0</v>
      </c>
      <c r="EG391" s="408"/>
      <c r="EH391" s="408">
        <v>0</v>
      </c>
      <c r="EI391" s="408">
        <v>0</v>
      </c>
      <c r="EJ391" s="408">
        <v>0</v>
      </c>
      <c r="EK391" s="408">
        <v>0</v>
      </c>
      <c r="EL391" s="408">
        <v>0</v>
      </c>
      <c r="EM391" s="408"/>
      <c r="EN391" s="408"/>
      <c r="EO391" s="408">
        <v>0</v>
      </c>
      <c r="EP391" s="408">
        <v>0</v>
      </c>
      <c r="EQ391" s="408"/>
      <c r="ER391" s="408">
        <v>0</v>
      </c>
      <c r="ES391" s="408"/>
      <c r="ET391" s="408">
        <v>0</v>
      </c>
      <c r="EU391" s="408"/>
      <c r="EV391" s="408">
        <v>239</v>
      </c>
      <c r="EW391" s="408"/>
      <c r="EX391" s="408"/>
      <c r="EY391" s="408"/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394</v>
      </c>
      <c r="B392" s="408" t="s">
        <v>2235</v>
      </c>
      <c r="C392" s="408" t="s">
        <v>2241</v>
      </c>
      <c r="D392" s="408" t="s">
        <v>596</v>
      </c>
      <c r="E392" s="408" t="s">
        <v>996</v>
      </c>
      <c r="F392" s="408" t="s">
        <v>1320</v>
      </c>
      <c r="G392" s="408" t="s">
        <v>1320</v>
      </c>
      <c r="H392" s="408" t="s">
        <v>1320</v>
      </c>
      <c r="I392" s="408" t="s">
        <v>1320</v>
      </c>
      <c r="J392" s="408" t="s">
        <v>2234</v>
      </c>
      <c r="K392" s="827">
        <v>44562</v>
      </c>
      <c r="L392" s="408">
        <v>0</v>
      </c>
      <c r="M392" s="408">
        <v>0</v>
      </c>
      <c r="N392" s="408">
        <v>0</v>
      </c>
      <c r="O392" s="408">
        <v>0</v>
      </c>
      <c r="P392" s="408">
        <v>0</v>
      </c>
      <c r="Q392" s="408">
        <v>0</v>
      </c>
      <c r="R392" s="408"/>
      <c r="S392" s="408"/>
      <c r="T392" s="408"/>
      <c r="U392" s="408"/>
      <c r="V392" s="408"/>
      <c r="W392" s="408"/>
      <c r="X392" s="408"/>
      <c r="Y392" s="408"/>
      <c r="Z392" s="408"/>
      <c r="AA392" s="408">
        <v>0</v>
      </c>
      <c r="AB392" s="408"/>
      <c r="AC392" s="408"/>
      <c r="AD392" s="408"/>
      <c r="AE392" s="408"/>
      <c r="AF392" s="408"/>
      <c r="AG392" s="408"/>
      <c r="AH392" s="408"/>
      <c r="AI392" s="408"/>
      <c r="AJ392" s="408"/>
      <c r="AK392" s="408"/>
      <c r="AL392" s="408"/>
      <c r="AM392" s="408"/>
      <c r="AN392" s="408"/>
      <c r="AO392" s="408"/>
      <c r="AP392" s="408"/>
      <c r="AQ392" s="408"/>
      <c r="AR392" s="408"/>
      <c r="AS392" s="408"/>
      <c r="AT392" s="408"/>
      <c r="AU392" s="408"/>
      <c r="AV392" s="408"/>
      <c r="AW392" s="408"/>
      <c r="AX392" s="408"/>
      <c r="AY392" s="408"/>
      <c r="AZ392" s="408">
        <v>0</v>
      </c>
      <c r="BA392" s="408"/>
      <c r="BB392" s="408"/>
      <c r="BC392" s="408"/>
      <c r="BD392" s="408"/>
      <c r="BE392" s="408"/>
      <c r="BF392" s="408"/>
      <c r="BG392" s="408"/>
      <c r="BH392" s="408"/>
      <c r="BI392" s="408">
        <v>0</v>
      </c>
      <c r="BJ392" s="408">
        <v>0</v>
      </c>
      <c r="BK392" s="408">
        <v>21788.7</v>
      </c>
      <c r="BL392" s="408">
        <v>0</v>
      </c>
      <c r="BM392" s="408"/>
      <c r="BN392" s="408"/>
      <c r="BO392" s="408"/>
      <c r="BP392" s="408"/>
      <c r="BQ392" s="408"/>
      <c r="BR392" s="408"/>
      <c r="BS392" s="408"/>
      <c r="BT392" s="408"/>
      <c r="BU392" s="408"/>
      <c r="BV392" s="408"/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/>
      <c r="CJ392" s="408">
        <v>-0.03</v>
      </c>
      <c r="CK392" s="408"/>
      <c r="CL392" s="408"/>
      <c r="CM392" s="408"/>
      <c r="CN392" s="408"/>
      <c r="CO392" s="408">
        <v>0</v>
      </c>
      <c r="CP392" s="408">
        <v>0</v>
      </c>
      <c r="CQ392" s="408">
        <v>31</v>
      </c>
      <c r="CR392" s="408"/>
      <c r="CS392" s="408"/>
      <c r="CT392" s="408"/>
      <c r="CU392" s="408"/>
      <c r="CV392" s="408"/>
      <c r="CW392" s="408"/>
      <c r="CX392" s="408"/>
      <c r="CY392" s="408"/>
      <c r="CZ392" s="408"/>
      <c r="DA392" s="408"/>
      <c r="DB392" s="408"/>
      <c r="DC392" s="408"/>
      <c r="DD392" s="408"/>
      <c r="DE392" s="408"/>
      <c r="DF392" s="408"/>
      <c r="DG392" s="408"/>
      <c r="DH392" s="408"/>
      <c r="DI392" s="408"/>
      <c r="DJ392" s="408"/>
      <c r="DK392" s="408">
        <v>0</v>
      </c>
      <c r="DL392" s="408"/>
      <c r="DM392" s="408"/>
      <c r="DN392" s="408"/>
      <c r="DO392" s="408"/>
      <c r="DP392" s="408"/>
      <c r="DQ392" s="408"/>
      <c r="DR392" s="408"/>
      <c r="DS392" s="408"/>
      <c r="DT392" s="408"/>
      <c r="DU392" s="408"/>
      <c r="DV392" s="408"/>
      <c r="DW392" s="408"/>
      <c r="DX392" s="408"/>
      <c r="DY392" s="408"/>
      <c r="DZ392" s="408"/>
      <c r="EA392" s="408"/>
      <c r="EB392" s="408"/>
      <c r="EC392" s="408"/>
      <c r="ED392" s="408"/>
      <c r="EE392" s="408"/>
      <c r="EF392" s="408"/>
      <c r="EG392" s="408"/>
      <c r="EH392" s="408"/>
      <c r="EI392" s="408"/>
      <c r="EJ392" s="408"/>
      <c r="EK392" s="408"/>
      <c r="EL392" s="408"/>
      <c r="EM392" s="408"/>
      <c r="EN392" s="408"/>
      <c r="EO392" s="408"/>
      <c r="EP392" s="408"/>
      <c r="EQ392" s="408"/>
      <c r="ER392" s="408"/>
      <c r="ES392" s="408"/>
      <c r="ET392" s="408"/>
      <c r="EU392" s="408"/>
      <c r="EV392" s="408">
        <v>239</v>
      </c>
      <c r="EW392" s="408"/>
      <c r="EX392" s="408"/>
      <c r="EY392" s="408"/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395</v>
      </c>
      <c r="B393" s="408" t="s">
        <v>2236</v>
      </c>
      <c r="C393" s="408" t="s">
        <v>2241</v>
      </c>
      <c r="D393" s="408" t="s">
        <v>596</v>
      </c>
      <c r="E393" s="408" t="s">
        <v>996</v>
      </c>
      <c r="F393" s="408" t="s">
        <v>1320</v>
      </c>
      <c r="G393" s="408" t="s">
        <v>1320</v>
      </c>
      <c r="H393" s="408" t="s">
        <v>1320</v>
      </c>
      <c r="I393" s="408" t="s">
        <v>1320</v>
      </c>
      <c r="J393" s="408" t="s">
        <v>2234</v>
      </c>
      <c r="K393" s="827">
        <v>44562</v>
      </c>
      <c r="L393" s="408">
        <v>101</v>
      </c>
      <c r="M393" s="408">
        <v>101</v>
      </c>
      <c r="N393" s="408">
        <v>0</v>
      </c>
      <c r="O393" s="408">
        <v>0</v>
      </c>
      <c r="P393" s="408">
        <v>0</v>
      </c>
      <c r="Q393" s="408">
        <v>0</v>
      </c>
      <c r="R393" s="408">
        <v>59.12</v>
      </c>
      <c r="S393" s="408"/>
      <c r="T393" s="408"/>
      <c r="U393" s="408">
        <v>5971.12</v>
      </c>
      <c r="V393" s="408"/>
      <c r="W393" s="408">
        <v>5971.12</v>
      </c>
      <c r="X393" s="408">
        <v>3437.03</v>
      </c>
      <c r="Y393" s="408">
        <v>0</v>
      </c>
      <c r="Z393" s="408">
        <v>0</v>
      </c>
      <c r="AA393" s="408">
        <v>0</v>
      </c>
      <c r="AB393" s="408">
        <v>0</v>
      </c>
      <c r="AC393" s="408">
        <v>57.778096696701887</v>
      </c>
      <c r="AD393" s="408">
        <v>516.81928772225842</v>
      </c>
      <c r="AE393" s="408">
        <v>4864.3415729975213</v>
      </c>
      <c r="AF393" s="408"/>
      <c r="AG393" s="408"/>
      <c r="AH393" s="408"/>
      <c r="AI393" s="408">
        <v>0</v>
      </c>
      <c r="AJ393" s="408">
        <v>0</v>
      </c>
      <c r="AK393" s="408">
        <v>0</v>
      </c>
      <c r="AL393" s="408">
        <v>0</v>
      </c>
      <c r="AM393" s="408"/>
      <c r="AN393" s="408">
        <v>0</v>
      </c>
      <c r="AO393" s="408">
        <v>122.01528368469606</v>
      </c>
      <c r="AP393" s="408">
        <v>410.15977426601393</v>
      </c>
      <c r="AQ393" s="408">
        <v>0</v>
      </c>
      <c r="AR393" s="408">
        <v>0</v>
      </c>
      <c r="AS393" s="408"/>
      <c r="AT393" s="408"/>
      <c r="AU393" s="408">
        <v>0</v>
      </c>
      <c r="AV393" s="408">
        <v>0</v>
      </c>
      <c r="AW393" s="408">
        <v>0</v>
      </c>
      <c r="AX393" s="408"/>
      <c r="AY393" s="408"/>
      <c r="AZ393" s="408">
        <v>0</v>
      </c>
      <c r="BA393" s="408"/>
      <c r="BB393" s="408">
        <v>0</v>
      </c>
      <c r="BC393" s="408">
        <v>0</v>
      </c>
      <c r="BD393" s="408">
        <v>0</v>
      </c>
      <c r="BE393" s="408">
        <v>0</v>
      </c>
      <c r="BF393" s="408"/>
      <c r="BG393" s="408">
        <v>0</v>
      </c>
      <c r="BH393" s="408">
        <v>0</v>
      </c>
      <c r="BI393" s="408">
        <v>0</v>
      </c>
      <c r="BJ393" s="408">
        <v>0</v>
      </c>
      <c r="BK393" s="408">
        <v>8318.2199999999993</v>
      </c>
      <c r="BL393" s="408">
        <v>1</v>
      </c>
      <c r="BM393" s="408"/>
      <c r="BN393" s="408"/>
      <c r="BO393" s="408"/>
      <c r="BP393" s="408"/>
      <c r="BQ393" s="408"/>
      <c r="BR393" s="408"/>
      <c r="BS393" s="408"/>
      <c r="BT393" s="408"/>
      <c r="BU393" s="408"/>
      <c r="BV393" s="408">
        <v>0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3437.03</v>
      </c>
      <c r="CJ393" s="408">
        <v>-2534.1200000000003</v>
      </c>
      <c r="CK393" s="408"/>
      <c r="CL393" s="408"/>
      <c r="CM393" s="408"/>
      <c r="CN393" s="408"/>
      <c r="CO393" s="408">
        <v>-2534.0899999999997</v>
      </c>
      <c r="CP393" s="408">
        <v>0</v>
      </c>
      <c r="CQ393" s="408">
        <v>31</v>
      </c>
      <c r="CR393" s="408">
        <v>41.761235497049711</v>
      </c>
      <c r="CS393" s="408">
        <v>11.846913187641675</v>
      </c>
      <c r="CT393" s="408">
        <v>39.823922807480585</v>
      </c>
      <c r="CU393" s="408">
        <v>0</v>
      </c>
      <c r="CV393" s="408">
        <v>0</v>
      </c>
      <c r="CW393" s="408"/>
      <c r="CX393" s="408"/>
      <c r="CY393" s="408"/>
      <c r="CZ393" s="408">
        <v>-9.9096004980725638</v>
      </c>
      <c r="DA393" s="408">
        <v>0</v>
      </c>
      <c r="DB393" s="408">
        <v>0</v>
      </c>
      <c r="DC393" s="408"/>
      <c r="DD393" s="408"/>
      <c r="DE393" s="408">
        <v>0</v>
      </c>
      <c r="DF393" s="408">
        <v>0</v>
      </c>
      <c r="DG393" s="408">
        <v>0</v>
      </c>
      <c r="DH393" s="408">
        <v>0</v>
      </c>
      <c r="DI393" s="408">
        <v>0</v>
      </c>
      <c r="DJ393" s="408"/>
      <c r="DK393" s="408">
        <v>0</v>
      </c>
      <c r="DL393" s="408">
        <v>0</v>
      </c>
      <c r="DM393" s="408"/>
      <c r="DN393" s="408">
        <v>0</v>
      </c>
      <c r="DO393" s="408">
        <v>0</v>
      </c>
      <c r="DP393" s="408">
        <v>0</v>
      </c>
      <c r="DQ393" s="408">
        <v>0</v>
      </c>
      <c r="DR393" s="408">
        <v>0</v>
      </c>
      <c r="DS393" s="408"/>
      <c r="DT393" s="408"/>
      <c r="DU393" s="408">
        <v>4864.3415729975213</v>
      </c>
      <c r="DV393" s="408"/>
      <c r="DW393" s="408">
        <v>0</v>
      </c>
      <c r="DX393" s="408">
        <v>0</v>
      </c>
      <c r="DY393" s="408">
        <v>-2534.0899999999997</v>
      </c>
      <c r="DZ393" s="408"/>
      <c r="EA393" s="408">
        <v>0</v>
      </c>
      <c r="EB393" s="408"/>
      <c r="EC393" s="408">
        <v>-2575.4109775285824</v>
      </c>
      <c r="ED393" s="408"/>
      <c r="EE393" s="408">
        <v>0</v>
      </c>
      <c r="EF393" s="408">
        <v>0</v>
      </c>
      <c r="EG393" s="408"/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/>
      <c r="EN393" s="408"/>
      <c r="EO393" s="408">
        <v>0</v>
      </c>
      <c r="EP393" s="408">
        <v>0</v>
      </c>
      <c r="EQ393" s="408"/>
      <c r="ER393" s="408">
        <v>0</v>
      </c>
      <c r="ES393" s="408"/>
      <c r="ET393" s="408">
        <v>0</v>
      </c>
      <c r="EU393" s="408"/>
      <c r="EV393" s="408">
        <v>239</v>
      </c>
      <c r="EW393" s="408"/>
      <c r="EX393" s="408"/>
      <c r="EY393" s="408"/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396</v>
      </c>
      <c r="B394" s="408" t="s">
        <v>2236</v>
      </c>
      <c r="C394" s="408" t="s">
        <v>2241</v>
      </c>
      <c r="D394" s="408" t="s">
        <v>596</v>
      </c>
      <c r="E394" s="408" t="s">
        <v>996</v>
      </c>
      <c r="F394" s="408" t="s">
        <v>1320</v>
      </c>
      <c r="G394" s="408" t="s">
        <v>1320</v>
      </c>
      <c r="H394" s="408" t="s">
        <v>1320</v>
      </c>
      <c r="I394" s="408" t="s">
        <v>1320</v>
      </c>
      <c r="J394" s="408" t="s">
        <v>2234</v>
      </c>
      <c r="K394" s="827">
        <v>44562</v>
      </c>
      <c r="L394" s="408">
        <v>0</v>
      </c>
      <c r="M394" s="408">
        <v>0</v>
      </c>
      <c r="N394" s="408">
        <v>0</v>
      </c>
      <c r="O394" s="408">
        <v>0</v>
      </c>
      <c r="P394" s="408">
        <v>0</v>
      </c>
      <c r="Q394" s="408">
        <v>0</v>
      </c>
      <c r="R394" s="408"/>
      <c r="S394" s="408"/>
      <c r="T394" s="408"/>
      <c r="U394" s="408"/>
      <c r="V394" s="408"/>
      <c r="W394" s="408"/>
      <c r="X394" s="408"/>
      <c r="Y394" s="408"/>
      <c r="Z394" s="408"/>
      <c r="AA394" s="408">
        <v>0</v>
      </c>
      <c r="AB394" s="408"/>
      <c r="AC394" s="408"/>
      <c r="AD394" s="408"/>
      <c r="AE394" s="408"/>
      <c r="AF394" s="408"/>
      <c r="AG394" s="408"/>
      <c r="AH394" s="408"/>
      <c r="AI394" s="408"/>
      <c r="AJ394" s="408"/>
      <c r="AK394" s="408"/>
      <c r="AL394" s="408"/>
      <c r="AM394" s="408"/>
      <c r="AN394" s="408"/>
      <c r="AO394" s="408"/>
      <c r="AP394" s="408"/>
      <c r="AQ394" s="408"/>
      <c r="AR394" s="408"/>
      <c r="AS394" s="408"/>
      <c r="AT394" s="408"/>
      <c r="AU394" s="408"/>
      <c r="AV394" s="408"/>
      <c r="AW394" s="408"/>
      <c r="AX394" s="408"/>
      <c r="AY394" s="408"/>
      <c r="AZ394" s="408">
        <v>0</v>
      </c>
      <c r="BA394" s="408"/>
      <c r="BB394" s="408"/>
      <c r="BC394" s="408"/>
      <c r="BD394" s="408"/>
      <c r="BE394" s="408"/>
      <c r="BF394" s="408"/>
      <c r="BG394" s="408"/>
      <c r="BH394" s="408"/>
      <c r="BI394" s="408">
        <v>0</v>
      </c>
      <c r="BJ394" s="408">
        <v>0</v>
      </c>
      <c r="BK394" s="408">
        <v>2111.56</v>
      </c>
      <c r="BL394" s="408">
        <v>2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/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/>
      <c r="CJ394" s="408">
        <v>-0.03</v>
      </c>
      <c r="CK394" s="408"/>
      <c r="CL394" s="408"/>
      <c r="CM394" s="408"/>
      <c r="CN394" s="408"/>
      <c r="CO394" s="408">
        <v>0</v>
      </c>
      <c r="CP394" s="408">
        <v>0</v>
      </c>
      <c r="CQ394" s="408">
        <v>31</v>
      </c>
      <c r="CR394" s="408"/>
      <c r="CS394" s="408"/>
      <c r="CT394" s="408"/>
      <c r="CU394" s="408"/>
      <c r="CV394" s="408"/>
      <c r="CW394" s="408"/>
      <c r="CX394" s="408"/>
      <c r="CY394" s="408"/>
      <c r="CZ394" s="408"/>
      <c r="DA394" s="408"/>
      <c r="DB394" s="408"/>
      <c r="DC394" s="408"/>
      <c r="DD394" s="408"/>
      <c r="DE394" s="408"/>
      <c r="DF394" s="408"/>
      <c r="DG394" s="408"/>
      <c r="DH394" s="408"/>
      <c r="DI394" s="408"/>
      <c r="DJ394" s="408"/>
      <c r="DK394" s="408">
        <v>0</v>
      </c>
      <c r="DL394" s="408"/>
      <c r="DM394" s="408"/>
      <c r="DN394" s="408"/>
      <c r="DO394" s="408"/>
      <c r="DP394" s="408"/>
      <c r="DQ394" s="408"/>
      <c r="DR394" s="408"/>
      <c r="DS394" s="408"/>
      <c r="DT394" s="408"/>
      <c r="DU394" s="408"/>
      <c r="DV394" s="408"/>
      <c r="DW394" s="408"/>
      <c r="DX394" s="408"/>
      <c r="DY394" s="408"/>
      <c r="DZ394" s="408"/>
      <c r="EA394" s="408"/>
      <c r="EB394" s="408"/>
      <c r="EC394" s="408"/>
      <c r="ED394" s="408"/>
      <c r="EE394" s="408"/>
      <c r="EF394" s="408"/>
      <c r="EG394" s="408"/>
      <c r="EH394" s="408"/>
      <c r="EI394" s="408"/>
      <c r="EJ394" s="408"/>
      <c r="EK394" s="408"/>
      <c r="EL394" s="408"/>
      <c r="EM394" s="408"/>
      <c r="EN394" s="408"/>
      <c r="EO394" s="408"/>
      <c r="EP394" s="408"/>
      <c r="EQ394" s="408"/>
      <c r="ER394" s="408"/>
      <c r="ES394" s="408"/>
      <c r="ET394" s="408"/>
      <c r="EU394" s="408"/>
      <c r="EV394" s="408">
        <v>239</v>
      </c>
      <c r="EW394" s="408"/>
      <c r="EX394" s="408"/>
      <c r="EY394" s="408"/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397</v>
      </c>
      <c r="B395" s="408" t="s">
        <v>1034</v>
      </c>
      <c r="C395" s="408" t="s">
        <v>2233</v>
      </c>
      <c r="D395" s="408" t="s">
        <v>2243</v>
      </c>
      <c r="E395" s="408" t="s">
        <v>972</v>
      </c>
      <c r="F395" s="408" t="s">
        <v>1320</v>
      </c>
      <c r="G395" s="408" t="s">
        <v>1320</v>
      </c>
      <c r="H395" s="408" t="s">
        <v>1320</v>
      </c>
      <c r="I395" s="408" t="s">
        <v>1320</v>
      </c>
      <c r="J395" s="408" t="s">
        <v>2234</v>
      </c>
      <c r="K395" s="827">
        <v>44562</v>
      </c>
      <c r="L395" s="408">
        <v>0</v>
      </c>
      <c r="M395" s="408">
        <v>0</v>
      </c>
      <c r="N395" s="408">
        <v>3658.5610000000001</v>
      </c>
      <c r="O395" s="408">
        <v>3658.5610000000001</v>
      </c>
      <c r="P395" s="408">
        <v>3658.5610000000001</v>
      </c>
      <c r="Q395" s="408">
        <v>3658.5610000000001</v>
      </c>
      <c r="R395" s="408"/>
      <c r="S395" s="408">
        <v>516.83000000000004</v>
      </c>
      <c r="T395" s="408">
        <v>173.82</v>
      </c>
      <c r="U395" s="408"/>
      <c r="V395" s="408">
        <v>2526785.1546499999</v>
      </c>
      <c r="W395" s="408">
        <v>2526785.1546499999</v>
      </c>
      <c r="X395" s="408">
        <v>1907756.6334500001</v>
      </c>
      <c r="Y395" s="408">
        <v>0</v>
      </c>
      <c r="Z395" s="408">
        <v>223719.01400753096</v>
      </c>
      <c r="AA395" s="408">
        <v>0</v>
      </c>
      <c r="AB395" s="408">
        <v>0</v>
      </c>
      <c r="AC395" s="408">
        <v>9945.5934675889748</v>
      </c>
      <c r="AD395" s="408">
        <v>125951.85827678131</v>
      </c>
      <c r="AE395" s="408">
        <v>1330310.5671808736</v>
      </c>
      <c r="AF395" s="408">
        <v>588743.44912862265</v>
      </c>
      <c r="AG395" s="408">
        <v>29619.217384665048</v>
      </c>
      <c r="AH395" s="408">
        <v>0</v>
      </c>
      <c r="AI395" s="408">
        <v>0</v>
      </c>
      <c r="AJ395" s="408">
        <v>0</v>
      </c>
      <c r="AK395" s="408">
        <v>0</v>
      </c>
      <c r="AL395" s="408">
        <v>34578.877063196102</v>
      </c>
      <c r="AM395" s="408"/>
      <c r="AN395" s="408">
        <v>5676.4109590480566</v>
      </c>
      <c r="AO395" s="408">
        <v>21214.179784697535</v>
      </c>
      <c r="AP395" s="408">
        <v>69473.570391378118</v>
      </c>
      <c r="AQ395" s="408">
        <v>0</v>
      </c>
      <c r="AR395" s="408">
        <v>0</v>
      </c>
      <c r="AS395" s="408">
        <v>0</v>
      </c>
      <c r="AT395" s="408">
        <v>0</v>
      </c>
      <c r="AU395" s="408">
        <v>0</v>
      </c>
      <c r="AV395" s="408">
        <v>0</v>
      </c>
      <c r="AW395" s="408">
        <v>0</v>
      </c>
      <c r="AX395" s="408">
        <v>0</v>
      </c>
      <c r="AY395" s="408">
        <v>0</v>
      </c>
      <c r="AZ395" s="408">
        <v>0</v>
      </c>
      <c r="BA395" s="408"/>
      <c r="BB395" s="408">
        <v>0</v>
      </c>
      <c r="BC395" s="408">
        <v>0</v>
      </c>
      <c r="BD395" s="408">
        <v>0</v>
      </c>
      <c r="BE395" s="408">
        <v>2029.8158030547702</v>
      </c>
      <c r="BF395" s="408">
        <v>17581.903929590495</v>
      </c>
      <c r="BG395" s="408">
        <v>67969.928727399631</v>
      </c>
      <c r="BH395" s="408">
        <v>0</v>
      </c>
      <c r="BI395" s="408">
        <v>0</v>
      </c>
      <c r="BJ395" s="408">
        <v>0</v>
      </c>
      <c r="BK395" s="408">
        <v>101508.44</v>
      </c>
      <c r="BL395" s="408">
        <v>10251</v>
      </c>
      <c r="BM395" s="408"/>
      <c r="BN395" s="408"/>
      <c r="BO395" s="408"/>
      <c r="BP395" s="408"/>
      <c r="BQ395" s="408"/>
      <c r="BR395" s="408">
        <v>228916.16176999998</v>
      </c>
      <c r="BS395" s="408"/>
      <c r="BT395" s="408"/>
      <c r="BU395" s="408"/>
      <c r="BV395" s="408">
        <v>676325.09758866753</v>
      </c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>
        <v>1678840.0127999999</v>
      </c>
      <c r="CJ395" s="408">
        <v>-544723.63617000007</v>
      </c>
      <c r="CK395" s="408"/>
      <c r="CL395" s="408"/>
      <c r="CM395" s="408"/>
      <c r="CN395" s="408"/>
      <c r="CO395" s="408">
        <v>-696553.42879000015</v>
      </c>
      <c r="CP395" s="408">
        <v>77524.907589999988</v>
      </c>
      <c r="CQ395" s="408">
        <v>31</v>
      </c>
      <c r="CR395" s="408">
        <v>85265.98003136809</v>
      </c>
      <c r="CS395" s="408">
        <v>2059.7628318907264</v>
      </c>
      <c r="CT395" s="408">
        <v>6745.4447705829953</v>
      </c>
      <c r="CU395" s="408">
        <v>0</v>
      </c>
      <c r="CV395" s="408">
        <v>0</v>
      </c>
      <c r="CW395" s="408">
        <v>0</v>
      </c>
      <c r="CX395" s="408">
        <v>0</v>
      </c>
      <c r="CY395" s="408">
        <v>0</v>
      </c>
      <c r="CZ395" s="408">
        <v>-2415.0271229495411</v>
      </c>
      <c r="DA395" s="408">
        <v>0</v>
      </c>
      <c r="DB395" s="408">
        <v>0</v>
      </c>
      <c r="DC395" s="408">
        <v>75571.728519064607</v>
      </c>
      <c r="DD395" s="408">
        <v>2256.8316854850636</v>
      </c>
      <c r="DE395" s="408">
        <v>260.54929195253408</v>
      </c>
      <c r="DF395" s="408">
        <v>0</v>
      </c>
      <c r="DG395" s="408">
        <v>8724.6915593702433</v>
      </c>
      <c r="DH395" s="408">
        <v>0</v>
      </c>
      <c r="DI395" s="408">
        <v>-6538.3012789691857</v>
      </c>
      <c r="DJ395" s="408"/>
      <c r="DK395" s="408">
        <v>0</v>
      </c>
      <c r="DL395" s="408">
        <v>0</v>
      </c>
      <c r="DM395" s="408">
        <v>-329.20673044719661</v>
      </c>
      <c r="DN395" s="408">
        <v>0</v>
      </c>
      <c r="DO395" s="408">
        <v>-895.58097221182106</v>
      </c>
      <c r="DP395" s="408">
        <v>-174.91252240000813</v>
      </c>
      <c r="DQ395" s="408">
        <v>0</v>
      </c>
      <c r="DR395" s="408">
        <v>0</v>
      </c>
      <c r="DS395" s="408"/>
      <c r="DT395" s="408"/>
      <c r="DU395" s="408"/>
      <c r="DV395" s="408">
        <v>1330310.5671808736</v>
      </c>
      <c r="DW395" s="408">
        <v>0</v>
      </c>
      <c r="DX395" s="408">
        <v>0</v>
      </c>
      <c r="DY395" s="408">
        <v>-696553.42879000003</v>
      </c>
      <c r="DZ395" s="408">
        <v>77524.907589999959</v>
      </c>
      <c r="EA395" s="408">
        <v>0</v>
      </c>
      <c r="EB395" s="408">
        <v>0</v>
      </c>
      <c r="EC395" s="408">
        <v>-704328.9182771456</v>
      </c>
      <c r="ED395" s="408">
        <v>0</v>
      </c>
      <c r="EE395" s="408">
        <v>0</v>
      </c>
      <c r="EF395" s="408">
        <v>0</v>
      </c>
      <c r="EG395" s="408">
        <v>0</v>
      </c>
      <c r="EH395" s="408">
        <v>0</v>
      </c>
      <c r="EI395" s="408">
        <v>0</v>
      </c>
      <c r="EJ395" s="408">
        <v>0</v>
      </c>
      <c r="EK395" s="408">
        <v>0</v>
      </c>
      <c r="EL395" s="408">
        <v>0</v>
      </c>
      <c r="EM395" s="408">
        <v>0</v>
      </c>
      <c r="EN395" s="408">
        <v>0</v>
      </c>
      <c r="EO395" s="408">
        <v>0</v>
      </c>
      <c r="EP395" s="408">
        <v>0</v>
      </c>
      <c r="EQ395" s="408">
        <v>0</v>
      </c>
      <c r="ER395" s="408">
        <v>0</v>
      </c>
      <c r="ES395" s="408">
        <v>0</v>
      </c>
      <c r="ET395" s="408">
        <v>0</v>
      </c>
      <c r="EU395" s="408">
        <v>0</v>
      </c>
      <c r="EV395" s="408">
        <v>239</v>
      </c>
      <c r="EW395" s="408">
        <v>0</v>
      </c>
      <c r="EX395" s="408">
        <v>0</v>
      </c>
      <c r="EY395" s="408">
        <v>0</v>
      </c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398</v>
      </c>
      <c r="B396" s="408" t="s">
        <v>2235</v>
      </c>
      <c r="C396" s="408" t="s">
        <v>2233</v>
      </c>
      <c r="D396" s="408" t="s">
        <v>2243</v>
      </c>
      <c r="E396" s="408" t="s">
        <v>972</v>
      </c>
      <c r="F396" s="408" t="s">
        <v>1320</v>
      </c>
      <c r="G396" s="408" t="s">
        <v>1320</v>
      </c>
      <c r="H396" s="408" t="s">
        <v>1320</v>
      </c>
      <c r="I396" s="408" t="s">
        <v>1320</v>
      </c>
      <c r="J396" s="408" t="s">
        <v>2234</v>
      </c>
      <c r="K396" s="827">
        <v>44562</v>
      </c>
      <c r="L396" s="408">
        <v>0</v>
      </c>
      <c r="M396" s="408">
        <v>0</v>
      </c>
      <c r="N396" s="408">
        <v>-4.4989999999999997</v>
      </c>
      <c r="O396" s="408">
        <v>-4.4989999999999997</v>
      </c>
      <c r="P396" s="408">
        <v>-4.4989999999999997</v>
      </c>
      <c r="Q396" s="408">
        <v>-4.4989999999999997</v>
      </c>
      <c r="R396" s="408"/>
      <c r="S396" s="408">
        <v>516.83000000000004</v>
      </c>
      <c r="T396" s="408">
        <v>173.82</v>
      </c>
      <c r="U396" s="408"/>
      <c r="V396" s="408">
        <v>-3107.2343500000002</v>
      </c>
      <c r="W396" s="408">
        <v>-3107.2343500000002</v>
      </c>
      <c r="X396" s="408">
        <v>-2346.0035499999999</v>
      </c>
      <c r="Y396" s="408">
        <v>0</v>
      </c>
      <c r="Z396" s="408">
        <v>-275.11140145534858</v>
      </c>
      <c r="AA396" s="408">
        <v>0</v>
      </c>
      <c r="AB396" s="408">
        <v>0</v>
      </c>
      <c r="AC396" s="408">
        <v>-12.230279886185524</v>
      </c>
      <c r="AD396" s="408">
        <v>-154.88532523777491</v>
      </c>
      <c r="AE396" s="408">
        <v>-1635.9074624549787</v>
      </c>
      <c r="AF396" s="408">
        <v>-723.98868780093392</v>
      </c>
      <c r="AG396" s="408">
        <v>-36.423298398908209</v>
      </c>
      <c r="AH396" s="408">
        <v>0</v>
      </c>
      <c r="AI396" s="408">
        <v>0</v>
      </c>
      <c r="AJ396" s="408">
        <v>0</v>
      </c>
      <c r="AK396" s="408">
        <v>0</v>
      </c>
      <c r="AL396" s="408">
        <v>-42.522283462628955</v>
      </c>
      <c r="AM396" s="408"/>
      <c r="AN396" s="408">
        <v>-6.9803873448487543</v>
      </c>
      <c r="AO396" s="408">
        <v>-26.087468502330342</v>
      </c>
      <c r="AP396" s="408">
        <v>-85.432932016388435</v>
      </c>
      <c r="AQ396" s="408">
        <v>0</v>
      </c>
      <c r="AR396" s="408">
        <v>0</v>
      </c>
      <c r="AS396" s="408">
        <v>0</v>
      </c>
      <c r="AT396" s="408">
        <v>0</v>
      </c>
      <c r="AU396" s="408">
        <v>0</v>
      </c>
      <c r="AV396" s="408">
        <v>0</v>
      </c>
      <c r="AW396" s="408">
        <v>0</v>
      </c>
      <c r="AX396" s="408">
        <v>0</v>
      </c>
      <c r="AY396" s="408">
        <v>0</v>
      </c>
      <c r="AZ396" s="408">
        <v>0</v>
      </c>
      <c r="BA396" s="408"/>
      <c r="BB396" s="408">
        <v>0</v>
      </c>
      <c r="BC396" s="408">
        <v>0</v>
      </c>
      <c r="BD396" s="408">
        <v>0</v>
      </c>
      <c r="BE396" s="408">
        <v>-2.4961019641174249</v>
      </c>
      <c r="BF396" s="408">
        <v>-21.620791830238069</v>
      </c>
      <c r="BG396" s="408">
        <v>-83.583876104449502</v>
      </c>
      <c r="BH396" s="408">
        <v>0</v>
      </c>
      <c r="BI396" s="408">
        <v>-1.51</v>
      </c>
      <c r="BJ396" s="408">
        <v>-6.07</v>
      </c>
      <c r="BK396" s="408">
        <v>-18.07</v>
      </c>
      <c r="BL396" s="408">
        <v>0</v>
      </c>
      <c r="BM396" s="408"/>
      <c r="BN396" s="408"/>
      <c r="BO396" s="408"/>
      <c r="BP396" s="408"/>
      <c r="BQ396" s="408"/>
      <c r="BR396" s="408">
        <v>-281.50242999999995</v>
      </c>
      <c r="BS396" s="408"/>
      <c r="BT396" s="408"/>
      <c r="BU396" s="408"/>
      <c r="BV396" s="408">
        <v>-831.68945769973891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-2064.96</v>
      </c>
      <c r="CJ396" s="408">
        <v>669.36722999999938</v>
      </c>
      <c r="CK396" s="408"/>
      <c r="CL396" s="408"/>
      <c r="CM396" s="408"/>
      <c r="CN396" s="408"/>
      <c r="CO396" s="408">
        <v>856.56461000000013</v>
      </c>
      <c r="CP396" s="408">
        <v>-95.333809999999986</v>
      </c>
      <c r="CQ396" s="408">
        <v>31</v>
      </c>
      <c r="CR396" s="408">
        <v>-104.85314968402281</v>
      </c>
      <c r="CS396" s="408">
        <v>-2.5329283783094994</v>
      </c>
      <c r="CT396" s="408">
        <v>-8.2949979576267623</v>
      </c>
      <c r="CU396" s="408">
        <v>0</v>
      </c>
      <c r="CV396" s="408">
        <v>0</v>
      </c>
      <c r="CW396" s="408">
        <v>0</v>
      </c>
      <c r="CX396" s="408">
        <v>0</v>
      </c>
      <c r="CY396" s="408">
        <v>0</v>
      </c>
      <c r="CZ396" s="408">
        <v>2.9698034353260709</v>
      </c>
      <c r="DA396" s="408">
        <v>0</v>
      </c>
      <c r="DB396" s="408">
        <v>0</v>
      </c>
      <c r="DC396" s="408">
        <v>-92.931949640110474</v>
      </c>
      <c r="DD396" s="408">
        <v>-2.7752675855335767</v>
      </c>
      <c r="DE396" s="408">
        <v>-0.32040227414397382</v>
      </c>
      <c r="DF396" s="408">
        <v>0</v>
      </c>
      <c r="DG396" s="408">
        <v>-10.728914271377946</v>
      </c>
      <c r="DH396" s="408">
        <v>0</v>
      </c>
      <c r="DI396" s="408">
        <v>8.0402697820488243</v>
      </c>
      <c r="DJ396" s="408"/>
      <c r="DK396" s="408">
        <v>0</v>
      </c>
      <c r="DL396" s="408">
        <v>0</v>
      </c>
      <c r="DM396" s="408">
        <v>0.40483159370089083</v>
      </c>
      <c r="DN396" s="408">
        <v>0</v>
      </c>
      <c r="DO396" s="408">
        <v>1.1013124542630308</v>
      </c>
      <c r="DP396" s="408">
        <v>0.21509315774088122</v>
      </c>
      <c r="DQ396" s="408">
        <v>0</v>
      </c>
      <c r="DR396" s="408">
        <v>0</v>
      </c>
      <c r="DS396" s="408"/>
      <c r="DT396" s="408"/>
      <c r="DU396" s="408"/>
      <c r="DV396" s="408">
        <v>-1635.9074624549787</v>
      </c>
      <c r="DW396" s="408">
        <v>0</v>
      </c>
      <c r="DX396" s="408">
        <v>0</v>
      </c>
      <c r="DY396" s="408">
        <v>856.56461000000013</v>
      </c>
      <c r="DZ396" s="408">
        <v>-95.333809999999971</v>
      </c>
      <c r="EA396" s="408">
        <v>0</v>
      </c>
      <c r="EB396" s="408">
        <v>0</v>
      </c>
      <c r="EC396" s="408">
        <v>866.12627296056485</v>
      </c>
      <c r="ED396" s="408">
        <v>0</v>
      </c>
      <c r="EE396" s="408">
        <v>0</v>
      </c>
      <c r="EF396" s="408">
        <v>0</v>
      </c>
      <c r="EG396" s="408">
        <v>0</v>
      </c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>
        <v>0</v>
      </c>
      <c r="EN396" s="408">
        <v>0</v>
      </c>
      <c r="EO396" s="408">
        <v>0</v>
      </c>
      <c r="EP396" s="408">
        <v>0</v>
      </c>
      <c r="EQ396" s="408">
        <v>0</v>
      </c>
      <c r="ER396" s="408">
        <v>0</v>
      </c>
      <c r="ES396" s="408">
        <v>0</v>
      </c>
      <c r="ET396" s="408">
        <v>0</v>
      </c>
      <c r="EU396" s="408">
        <v>0</v>
      </c>
      <c r="EV396" s="408">
        <v>239</v>
      </c>
      <c r="EW396" s="408">
        <v>0</v>
      </c>
      <c r="EX396" s="408">
        <v>0</v>
      </c>
      <c r="EY396" s="408">
        <v>0</v>
      </c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399</v>
      </c>
      <c r="B397" s="408" t="s">
        <v>2236</v>
      </c>
      <c r="C397" s="408" t="s">
        <v>2233</v>
      </c>
      <c r="D397" s="408" t="s">
        <v>2243</v>
      </c>
      <c r="E397" s="408" t="s">
        <v>972</v>
      </c>
      <c r="F397" s="408" t="s">
        <v>1320</v>
      </c>
      <c r="G397" s="408" t="s">
        <v>1320</v>
      </c>
      <c r="H397" s="408" t="s">
        <v>1320</v>
      </c>
      <c r="I397" s="408" t="s">
        <v>1320</v>
      </c>
      <c r="J397" s="408" t="s">
        <v>2234</v>
      </c>
      <c r="K397" s="827">
        <v>44562</v>
      </c>
      <c r="L397" s="408">
        <v>0</v>
      </c>
      <c r="M397" s="408">
        <v>0</v>
      </c>
      <c r="N397" s="408">
        <v>46.377000000000002</v>
      </c>
      <c r="O397" s="408">
        <v>46.377000000000002</v>
      </c>
      <c r="P397" s="408">
        <v>46.377000000000002</v>
      </c>
      <c r="Q397" s="408">
        <v>46.377000000000002</v>
      </c>
      <c r="R397" s="408"/>
      <c r="S397" s="408">
        <v>516.83000000000004</v>
      </c>
      <c r="T397" s="408">
        <v>173.82</v>
      </c>
      <c r="U397" s="408"/>
      <c r="V397" s="408">
        <v>32030.275050000004</v>
      </c>
      <c r="W397" s="408">
        <v>32030.275050000004</v>
      </c>
      <c r="X397" s="408">
        <v>24183.286650000002</v>
      </c>
      <c r="Y397" s="408">
        <v>0</v>
      </c>
      <c r="Z397" s="408">
        <v>2835.9283096898653</v>
      </c>
      <c r="AA397" s="408">
        <v>0</v>
      </c>
      <c r="AB397" s="408">
        <v>0</v>
      </c>
      <c r="AC397" s="408">
        <v>126.07328079164839</v>
      </c>
      <c r="AD397" s="408">
        <v>1596.6029625588549</v>
      </c>
      <c r="AE397" s="408">
        <v>16863.409732446002</v>
      </c>
      <c r="AF397" s="408">
        <v>7463.0858800053165</v>
      </c>
      <c r="AG397" s="408">
        <v>375.46194928787872</v>
      </c>
      <c r="AH397" s="408">
        <v>0</v>
      </c>
      <c r="AI397" s="408">
        <v>0</v>
      </c>
      <c r="AJ397" s="408">
        <v>0</v>
      </c>
      <c r="AK397" s="408">
        <v>0</v>
      </c>
      <c r="AL397" s="408">
        <v>438.33206049040751</v>
      </c>
      <c r="AM397" s="408"/>
      <c r="AN397" s="408">
        <v>71.955862167604067</v>
      </c>
      <c r="AO397" s="408">
        <v>268.9172097649643</v>
      </c>
      <c r="AP397" s="408">
        <v>880.66750125006604</v>
      </c>
      <c r="AQ397" s="408">
        <v>0</v>
      </c>
      <c r="AR397" s="408">
        <v>0</v>
      </c>
      <c r="AS397" s="408">
        <v>0</v>
      </c>
      <c r="AT397" s="408">
        <v>0</v>
      </c>
      <c r="AU397" s="408">
        <v>0</v>
      </c>
      <c r="AV397" s="408">
        <v>0</v>
      </c>
      <c r="AW397" s="408">
        <v>0</v>
      </c>
      <c r="AX397" s="408">
        <v>0</v>
      </c>
      <c r="AY397" s="408">
        <v>0</v>
      </c>
      <c r="AZ397" s="408">
        <v>0</v>
      </c>
      <c r="BA397" s="408"/>
      <c r="BB397" s="408">
        <v>0</v>
      </c>
      <c r="BC397" s="408">
        <v>0</v>
      </c>
      <c r="BD397" s="408">
        <v>0</v>
      </c>
      <c r="BE397" s="408">
        <v>25.730544741025522</v>
      </c>
      <c r="BF397" s="408">
        <v>222.87340802643945</v>
      </c>
      <c r="BG397" s="408">
        <v>861.6068953314192</v>
      </c>
      <c r="BH397" s="408">
        <v>0</v>
      </c>
      <c r="BI397" s="408">
        <v>0</v>
      </c>
      <c r="BJ397" s="408">
        <v>0</v>
      </c>
      <c r="BK397" s="408">
        <v>1730.86</v>
      </c>
      <c r="BL397" s="408">
        <v>220</v>
      </c>
      <c r="BM397" s="408"/>
      <c r="BN397" s="408"/>
      <c r="BO397" s="408"/>
      <c r="BP397" s="408"/>
      <c r="BQ397" s="408"/>
      <c r="BR397" s="408">
        <v>2901.8088899999998</v>
      </c>
      <c r="BS397" s="408"/>
      <c r="BT397" s="408"/>
      <c r="BU397" s="408"/>
      <c r="BV397" s="408">
        <v>8573.2967281042002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21282.8544</v>
      </c>
      <c r="CJ397" s="408">
        <v>-6903.7248899999977</v>
      </c>
      <c r="CK397" s="408"/>
      <c r="CL397" s="408"/>
      <c r="CM397" s="408"/>
      <c r="CN397" s="408"/>
      <c r="CO397" s="408">
        <v>-8829.7170300000016</v>
      </c>
      <c r="CP397" s="408">
        <v>982.72862999999995</v>
      </c>
      <c r="CQ397" s="408">
        <v>31</v>
      </c>
      <c r="CR397" s="408">
        <v>1080.856751032652</v>
      </c>
      <c r="CS397" s="408">
        <v>26.110162125107763</v>
      </c>
      <c r="CT397" s="408">
        <v>85.507250562537479</v>
      </c>
      <c r="CU397" s="408">
        <v>0</v>
      </c>
      <c r="CV397" s="408">
        <v>0</v>
      </c>
      <c r="CW397" s="408">
        <v>0</v>
      </c>
      <c r="CX397" s="408">
        <v>0</v>
      </c>
      <c r="CY397" s="408">
        <v>0</v>
      </c>
      <c r="CZ397" s="408">
        <v>-30.613597226076308</v>
      </c>
      <c r="DA397" s="408">
        <v>0</v>
      </c>
      <c r="DB397" s="408">
        <v>0</v>
      </c>
      <c r="DC397" s="408">
        <v>957.9695551143368</v>
      </c>
      <c r="DD397" s="408">
        <v>28.608265128759882</v>
      </c>
      <c r="DE397" s="408">
        <v>3.3027997928373161</v>
      </c>
      <c r="DF397" s="408">
        <v>0</v>
      </c>
      <c r="DG397" s="408">
        <v>110.59676754027453</v>
      </c>
      <c r="DH397" s="408">
        <v>0</v>
      </c>
      <c r="DI397" s="408">
        <v>-82.881438471233196</v>
      </c>
      <c r="DJ397" s="408"/>
      <c r="DK397" s="408">
        <v>0</v>
      </c>
      <c r="DL397" s="408">
        <v>0</v>
      </c>
      <c r="DM397" s="408">
        <v>-4.1731217650736312</v>
      </c>
      <c r="DN397" s="408">
        <v>0</v>
      </c>
      <c r="DO397" s="408">
        <v>-11.352648964515765</v>
      </c>
      <c r="DP397" s="408">
        <v>-2.217242804300696</v>
      </c>
      <c r="DQ397" s="408">
        <v>0</v>
      </c>
      <c r="DR397" s="408">
        <v>0</v>
      </c>
      <c r="DS397" s="408"/>
      <c r="DT397" s="408"/>
      <c r="DU397" s="408"/>
      <c r="DV397" s="408">
        <v>16863.409732446002</v>
      </c>
      <c r="DW397" s="408">
        <v>0</v>
      </c>
      <c r="DX397" s="408">
        <v>0</v>
      </c>
      <c r="DY397" s="408">
        <v>-8829.7170300000034</v>
      </c>
      <c r="DZ397" s="408">
        <v>982.72862999999961</v>
      </c>
      <c r="EA397" s="408">
        <v>0</v>
      </c>
      <c r="EB397" s="408">
        <v>0</v>
      </c>
      <c r="EC397" s="408">
        <v>-8928.2814316719559</v>
      </c>
      <c r="ED397" s="408">
        <v>0</v>
      </c>
      <c r="EE397" s="408">
        <v>0</v>
      </c>
      <c r="EF397" s="408">
        <v>0</v>
      </c>
      <c r="EG397" s="408">
        <v>0</v>
      </c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>
        <v>0</v>
      </c>
      <c r="EN397" s="408">
        <v>0</v>
      </c>
      <c r="EO397" s="408">
        <v>0</v>
      </c>
      <c r="EP397" s="408">
        <v>0</v>
      </c>
      <c r="EQ397" s="408">
        <v>0</v>
      </c>
      <c r="ER397" s="408">
        <v>0</v>
      </c>
      <c r="ES397" s="408">
        <v>0</v>
      </c>
      <c r="ET397" s="408">
        <v>0</v>
      </c>
      <c r="EU397" s="408">
        <v>0</v>
      </c>
      <c r="EV397" s="408">
        <v>239</v>
      </c>
      <c r="EW397" s="408">
        <v>0</v>
      </c>
      <c r="EX397" s="408">
        <v>0</v>
      </c>
      <c r="EY397" s="408">
        <v>0</v>
      </c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400</v>
      </c>
      <c r="B398" s="408" t="s">
        <v>1034</v>
      </c>
      <c r="C398" s="408" t="s">
        <v>2241</v>
      </c>
      <c r="D398" s="408" t="s">
        <v>596</v>
      </c>
      <c r="E398" s="408" t="s">
        <v>972</v>
      </c>
      <c r="F398" s="408" t="s">
        <v>1320</v>
      </c>
      <c r="G398" s="408" t="s">
        <v>1320</v>
      </c>
      <c r="H398" s="408" t="s">
        <v>1320</v>
      </c>
      <c r="I398" s="408" t="s">
        <v>971</v>
      </c>
      <c r="J398" s="408" t="s">
        <v>2234</v>
      </c>
      <c r="K398" s="827">
        <v>44562</v>
      </c>
      <c r="L398" s="408">
        <v>0</v>
      </c>
      <c r="M398" s="408">
        <v>0</v>
      </c>
      <c r="N398" s="408">
        <v>59.720999999999997</v>
      </c>
      <c r="O398" s="408">
        <v>57.332160000000002</v>
      </c>
      <c r="P398" s="408">
        <v>59.720999999999997</v>
      </c>
      <c r="Q398" s="408">
        <v>57.332160000000002</v>
      </c>
      <c r="R398" s="408"/>
      <c r="S398" s="408">
        <v>1684.16</v>
      </c>
      <c r="T398" s="408">
        <v>173.82</v>
      </c>
      <c r="U398" s="408"/>
      <c r="V398" s="408">
        <v>110960.42358</v>
      </c>
      <c r="W398" s="408">
        <v>110960.42358</v>
      </c>
      <c r="X398" s="408">
        <v>76171.74665999999</v>
      </c>
      <c r="Y398" s="408">
        <v>0</v>
      </c>
      <c r="Z398" s="408">
        <v>3177.1587831726965</v>
      </c>
      <c r="AA398" s="408">
        <v>0</v>
      </c>
      <c r="AB398" s="408">
        <v>0</v>
      </c>
      <c r="AC398" s="408">
        <v>1074.9421590232578</v>
      </c>
      <c r="AD398" s="408">
        <v>16398.546276560628</v>
      </c>
      <c r="AE398" s="408">
        <v>69174.383734655712</v>
      </c>
      <c r="AF398" s="408">
        <v>9610.4308566702766</v>
      </c>
      <c r="AG398" s="408">
        <v>483.49317707961711</v>
      </c>
      <c r="AH398" s="408">
        <v>0</v>
      </c>
      <c r="AI398" s="408">
        <v>0</v>
      </c>
      <c r="AJ398" s="408">
        <v>0</v>
      </c>
      <c r="AK398" s="408">
        <v>0</v>
      </c>
      <c r="AL398" s="408">
        <v>564.45283188967858</v>
      </c>
      <c r="AM398" s="408"/>
      <c r="AN398" s="408">
        <v>74.217118085001218</v>
      </c>
      <c r="AO398" s="408">
        <v>2308.5835536719519</v>
      </c>
      <c r="AP398" s="408">
        <v>7423.2409313148728</v>
      </c>
      <c r="AQ398" s="408">
        <v>0</v>
      </c>
      <c r="AR398" s="408">
        <v>0</v>
      </c>
      <c r="AS398" s="408">
        <v>0</v>
      </c>
      <c r="AT398" s="408">
        <v>0</v>
      </c>
      <c r="AU398" s="408">
        <v>0</v>
      </c>
      <c r="AV398" s="408">
        <v>0</v>
      </c>
      <c r="AW398" s="408">
        <v>0</v>
      </c>
      <c r="AX398" s="408">
        <v>0</v>
      </c>
      <c r="AY398" s="408">
        <v>0</v>
      </c>
      <c r="AZ398" s="408">
        <v>0</v>
      </c>
      <c r="BA398" s="408"/>
      <c r="BB398" s="408">
        <v>0</v>
      </c>
      <c r="BC398" s="408">
        <v>0</v>
      </c>
      <c r="BD398" s="408">
        <v>0</v>
      </c>
      <c r="BE398" s="408">
        <v>11.143557860490478</v>
      </c>
      <c r="BF398" s="408">
        <v>287.0005132015221</v>
      </c>
      <c r="BG398" s="408">
        <v>373.15052548477655</v>
      </c>
      <c r="BH398" s="408">
        <v>0</v>
      </c>
      <c r="BI398" s="408">
        <v>0</v>
      </c>
      <c r="BJ398" s="408">
        <v>0</v>
      </c>
      <c r="BK398" s="408">
        <v>0</v>
      </c>
      <c r="BL398" s="408">
        <v>0</v>
      </c>
      <c r="BM398" s="408"/>
      <c r="BN398" s="408"/>
      <c r="BO398" s="408"/>
      <c r="BP398" s="408"/>
      <c r="BQ398" s="408"/>
      <c r="BR398" s="408">
        <v>3046.869866399993</v>
      </c>
      <c r="BS398" s="408"/>
      <c r="BT398" s="408"/>
      <c r="BU398" s="408"/>
      <c r="BV398" s="408">
        <v>10281.725453217065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73122.121799999994</v>
      </c>
      <c r="CJ398" s="408">
        <v>-33399.914836800002</v>
      </c>
      <c r="CK398" s="408"/>
      <c r="CL398" s="408"/>
      <c r="CM398" s="408"/>
      <c r="CN398" s="408"/>
      <c r="CO398" s="408">
        <v>-36054.16491</v>
      </c>
      <c r="CP398" s="408">
        <v>1265.4879899999999</v>
      </c>
      <c r="CQ398" s="408">
        <v>31</v>
      </c>
      <c r="CR398" s="408">
        <v>1835.1086590535997</v>
      </c>
      <c r="CS398" s="408">
        <v>224.14887808189542</v>
      </c>
      <c r="CT398" s="408">
        <v>720.74979648850695</v>
      </c>
      <c r="CU398" s="408">
        <v>0</v>
      </c>
      <c r="CV398" s="408">
        <v>0</v>
      </c>
      <c r="CW398" s="408">
        <v>0</v>
      </c>
      <c r="CX398" s="408">
        <v>0</v>
      </c>
      <c r="CY398" s="408">
        <v>0</v>
      </c>
      <c r="CZ398" s="408">
        <v>-314.42913647065143</v>
      </c>
      <c r="DA398" s="408">
        <v>0</v>
      </c>
      <c r="DB398" s="408">
        <v>0</v>
      </c>
      <c r="DC398" s="408">
        <v>1233.6050154383283</v>
      </c>
      <c r="DD398" s="408">
        <v>36.839687814103286</v>
      </c>
      <c r="DE398" s="408">
        <v>1.4303988105784757</v>
      </c>
      <c r="DF398" s="408">
        <v>0</v>
      </c>
      <c r="DG398" s="408">
        <v>47.89799402510215</v>
      </c>
      <c r="DH398" s="408">
        <v>0</v>
      </c>
      <c r="DI398" s="408">
        <v>-92.854071557848329</v>
      </c>
      <c r="DJ398" s="408"/>
      <c r="DK398" s="408">
        <v>0</v>
      </c>
      <c r="DL398" s="408">
        <v>0</v>
      </c>
      <c r="DM398" s="408">
        <v>-5.3738492125830248</v>
      </c>
      <c r="DN398" s="408">
        <v>0</v>
      </c>
      <c r="DO398" s="408">
        <v>-14.61913338098293</v>
      </c>
      <c r="DP398" s="408">
        <v>-2.2869209828467945</v>
      </c>
      <c r="DQ398" s="408">
        <v>0</v>
      </c>
      <c r="DR398" s="408">
        <v>0</v>
      </c>
      <c r="DS398" s="408"/>
      <c r="DT398" s="408"/>
      <c r="DU398" s="408"/>
      <c r="DV398" s="408">
        <v>69174.383734655712</v>
      </c>
      <c r="DW398" s="408">
        <v>0</v>
      </c>
      <c r="DX398" s="408">
        <v>0</v>
      </c>
      <c r="DY398" s="408">
        <v>-36054.164910000007</v>
      </c>
      <c r="DZ398" s="408">
        <v>1265.4879899999996</v>
      </c>
      <c r="EA398" s="408">
        <v>0</v>
      </c>
      <c r="EB398" s="408">
        <v>0</v>
      </c>
      <c r="EC398" s="408">
        <v>-36624.168874766096</v>
      </c>
      <c r="ED398" s="408">
        <v>0</v>
      </c>
      <c r="EE398" s="408">
        <v>0</v>
      </c>
      <c r="EF398" s="408">
        <v>0</v>
      </c>
      <c r="EG398" s="408">
        <v>0</v>
      </c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>
        <v>0</v>
      </c>
      <c r="EN398" s="408">
        <v>0</v>
      </c>
      <c r="EO398" s="408">
        <v>0</v>
      </c>
      <c r="EP398" s="408">
        <v>0</v>
      </c>
      <c r="EQ398" s="408">
        <v>0</v>
      </c>
      <c r="ER398" s="408">
        <v>0</v>
      </c>
      <c r="ES398" s="408">
        <v>0</v>
      </c>
      <c r="ET398" s="408">
        <v>0</v>
      </c>
      <c r="EU398" s="408">
        <v>0</v>
      </c>
      <c r="EV398" s="408">
        <v>239</v>
      </c>
      <c r="EW398" s="408">
        <v>0</v>
      </c>
      <c r="EX398" s="408">
        <v>0</v>
      </c>
      <c r="EY398" s="408">
        <v>0</v>
      </c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401</v>
      </c>
      <c r="B399" s="408" t="s">
        <v>2236</v>
      </c>
      <c r="C399" s="408" t="s">
        <v>2241</v>
      </c>
      <c r="D399" s="408" t="s">
        <v>596</v>
      </c>
      <c r="E399" s="408" t="s">
        <v>972</v>
      </c>
      <c r="F399" s="408" t="s">
        <v>1320</v>
      </c>
      <c r="G399" s="408" t="s">
        <v>1320</v>
      </c>
      <c r="H399" s="408" t="s">
        <v>1320</v>
      </c>
      <c r="I399" s="408" t="s">
        <v>971</v>
      </c>
      <c r="J399" s="408" t="s">
        <v>2234</v>
      </c>
      <c r="K399" s="827">
        <v>44562</v>
      </c>
      <c r="L399" s="408">
        <v>0</v>
      </c>
      <c r="M399" s="408">
        <v>0</v>
      </c>
      <c r="N399" s="408">
        <v>5.2080000000000002</v>
      </c>
      <c r="O399" s="408">
        <v>4.9996799999999997</v>
      </c>
      <c r="P399" s="408">
        <v>5.2080000000000002</v>
      </c>
      <c r="Q399" s="408">
        <v>4.9996799999999997</v>
      </c>
      <c r="R399" s="408"/>
      <c r="S399" s="408">
        <v>1684.16</v>
      </c>
      <c r="T399" s="408">
        <v>173.82</v>
      </c>
      <c r="U399" s="408"/>
      <c r="V399" s="408">
        <v>9676.359840000001</v>
      </c>
      <c r="W399" s="408">
        <v>9676.359840000001</v>
      </c>
      <c r="X399" s="408">
        <v>6642.5956800000004</v>
      </c>
      <c r="Y399" s="408">
        <v>0</v>
      </c>
      <c r="Z399" s="408">
        <v>277.0657380613755</v>
      </c>
      <c r="AA399" s="408">
        <v>0</v>
      </c>
      <c r="AB399" s="408">
        <v>0</v>
      </c>
      <c r="AC399" s="408">
        <v>93.740874469501975</v>
      </c>
      <c r="AD399" s="408">
        <v>1430.0435191696013</v>
      </c>
      <c r="AE399" s="408">
        <v>6032.3871082213454</v>
      </c>
      <c r="AF399" s="408">
        <v>838.0824818998143</v>
      </c>
      <c r="AG399" s="408">
        <v>42.163266961883529</v>
      </c>
      <c r="AH399" s="408">
        <v>0</v>
      </c>
      <c r="AI399" s="408">
        <v>0</v>
      </c>
      <c r="AJ399" s="408">
        <v>0</v>
      </c>
      <c r="AK399" s="408">
        <v>0</v>
      </c>
      <c r="AL399" s="408">
        <v>49.223394592881</v>
      </c>
      <c r="AM399" s="408"/>
      <c r="AN399" s="408">
        <v>6.472141306854982</v>
      </c>
      <c r="AO399" s="408">
        <v>201.32119602021947</v>
      </c>
      <c r="AP399" s="408">
        <v>647.34747861368464</v>
      </c>
      <c r="AQ399" s="408">
        <v>0</v>
      </c>
      <c r="AR399" s="408">
        <v>0</v>
      </c>
      <c r="AS399" s="408">
        <v>0</v>
      </c>
      <c r="AT399" s="408">
        <v>0</v>
      </c>
      <c r="AU399" s="408">
        <v>0</v>
      </c>
      <c r="AV399" s="408">
        <v>0</v>
      </c>
      <c r="AW399" s="408">
        <v>0</v>
      </c>
      <c r="AX399" s="408">
        <v>0</v>
      </c>
      <c r="AY399" s="408">
        <v>0</v>
      </c>
      <c r="AZ399" s="408">
        <v>0</v>
      </c>
      <c r="BA399" s="408"/>
      <c r="BB399" s="408">
        <v>0</v>
      </c>
      <c r="BC399" s="408">
        <v>0</v>
      </c>
      <c r="BD399" s="408">
        <v>0</v>
      </c>
      <c r="BE399" s="408">
        <v>0.97177959741857001</v>
      </c>
      <c r="BF399" s="408">
        <v>25.028024861498086</v>
      </c>
      <c r="BG399" s="408">
        <v>32.540780240195517</v>
      </c>
      <c r="BH399" s="408">
        <v>0</v>
      </c>
      <c r="BI399" s="408">
        <v>0</v>
      </c>
      <c r="BJ399" s="408">
        <v>0</v>
      </c>
      <c r="BK399" s="408">
        <v>0</v>
      </c>
      <c r="BL399" s="408">
        <v>0</v>
      </c>
      <c r="BM399" s="408"/>
      <c r="BN399" s="408"/>
      <c r="BO399" s="408"/>
      <c r="BP399" s="408"/>
      <c r="BQ399" s="408"/>
      <c r="BR399" s="408">
        <v>265.70382720000066</v>
      </c>
      <c r="BS399" s="408"/>
      <c r="BT399" s="408"/>
      <c r="BU399" s="408"/>
      <c r="BV399" s="408">
        <v>896.62306659892658</v>
      </c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>
        <v>6377.3</v>
      </c>
      <c r="CJ399" s="408">
        <v>-2912.0354464000002</v>
      </c>
      <c r="CK399" s="408"/>
      <c r="CL399" s="408"/>
      <c r="CM399" s="408"/>
      <c r="CN399" s="408"/>
      <c r="CO399" s="408">
        <v>-3144.1216800000002</v>
      </c>
      <c r="CP399" s="408">
        <v>110.35751999999999</v>
      </c>
      <c r="CQ399" s="408">
        <v>31</v>
      </c>
      <c r="CR399" s="408">
        <v>160.03157844562475</v>
      </c>
      <c r="CS399" s="408">
        <v>19.547016243038655</v>
      </c>
      <c r="CT399" s="408">
        <v>62.853350414630427</v>
      </c>
      <c r="CU399" s="408">
        <v>0</v>
      </c>
      <c r="CV399" s="408">
        <v>0</v>
      </c>
      <c r="CW399" s="408">
        <v>0</v>
      </c>
      <c r="CX399" s="408">
        <v>0</v>
      </c>
      <c r="CY399" s="408">
        <v>0</v>
      </c>
      <c r="CZ399" s="408">
        <v>-27.419951821623044</v>
      </c>
      <c r="DA399" s="408">
        <v>0</v>
      </c>
      <c r="DB399" s="408">
        <v>0</v>
      </c>
      <c r="DC399" s="408">
        <v>107.5771490832841</v>
      </c>
      <c r="DD399" s="408">
        <v>3.2126236020135295</v>
      </c>
      <c r="DE399" s="408">
        <v>0.12473865148762908</v>
      </c>
      <c r="DF399" s="408">
        <v>0</v>
      </c>
      <c r="DG399" s="408">
        <v>4.176968786234859</v>
      </c>
      <c r="DH399" s="408">
        <v>0</v>
      </c>
      <c r="DI399" s="408">
        <v>-8.0973862573177939</v>
      </c>
      <c r="DJ399" s="408"/>
      <c r="DK399" s="408">
        <v>0</v>
      </c>
      <c r="DL399" s="408">
        <v>0</v>
      </c>
      <c r="DM399" s="408">
        <v>-0.46862923760708242</v>
      </c>
      <c r="DN399" s="408">
        <v>0</v>
      </c>
      <c r="DO399" s="408">
        <v>-1.2748689179377308</v>
      </c>
      <c r="DP399" s="408">
        <v>-0.19943210057879313</v>
      </c>
      <c r="DQ399" s="408">
        <v>0</v>
      </c>
      <c r="DR399" s="408">
        <v>0</v>
      </c>
      <c r="DS399" s="408"/>
      <c r="DT399" s="408"/>
      <c r="DU399" s="408"/>
      <c r="DV399" s="408">
        <v>6032.3871082213454</v>
      </c>
      <c r="DW399" s="408">
        <v>0</v>
      </c>
      <c r="DX399" s="408">
        <v>0</v>
      </c>
      <c r="DY399" s="408">
        <v>-3144.1216800000011</v>
      </c>
      <c r="DZ399" s="408">
        <v>110.35752000000002</v>
      </c>
      <c r="EA399" s="408">
        <v>0</v>
      </c>
      <c r="EB399" s="408">
        <v>0</v>
      </c>
      <c r="EC399" s="408">
        <v>-3193.8291639420277</v>
      </c>
      <c r="ED399" s="408">
        <v>0</v>
      </c>
      <c r="EE399" s="408">
        <v>0</v>
      </c>
      <c r="EF399" s="408">
        <v>0</v>
      </c>
      <c r="EG399" s="408">
        <v>0</v>
      </c>
      <c r="EH399" s="408">
        <v>0</v>
      </c>
      <c r="EI399" s="408">
        <v>0</v>
      </c>
      <c r="EJ399" s="408">
        <v>0</v>
      </c>
      <c r="EK399" s="408">
        <v>0</v>
      </c>
      <c r="EL399" s="408">
        <v>0</v>
      </c>
      <c r="EM399" s="408">
        <v>0</v>
      </c>
      <c r="EN399" s="408">
        <v>0</v>
      </c>
      <c r="EO399" s="408">
        <v>0</v>
      </c>
      <c r="EP399" s="408">
        <v>0</v>
      </c>
      <c r="EQ399" s="408">
        <v>0</v>
      </c>
      <c r="ER399" s="408">
        <v>0</v>
      </c>
      <c r="ES399" s="408">
        <v>0</v>
      </c>
      <c r="ET399" s="408">
        <v>0</v>
      </c>
      <c r="EU399" s="408">
        <v>0</v>
      </c>
      <c r="EV399" s="408">
        <v>239</v>
      </c>
      <c r="EW399" s="408">
        <v>0</v>
      </c>
      <c r="EX399" s="408">
        <v>0</v>
      </c>
      <c r="EY399" s="408">
        <v>0</v>
      </c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402</v>
      </c>
      <c r="B400" s="408" t="s">
        <v>1034</v>
      </c>
      <c r="C400" s="408" t="s">
        <v>2241</v>
      </c>
      <c r="D400" s="408" t="s">
        <v>596</v>
      </c>
      <c r="E400" s="408" t="s">
        <v>972</v>
      </c>
      <c r="F400" s="408" t="s">
        <v>1320</v>
      </c>
      <c r="G400" s="408" t="s">
        <v>1320</v>
      </c>
      <c r="H400" s="408" t="s">
        <v>1320</v>
      </c>
      <c r="I400" s="408" t="s">
        <v>2242</v>
      </c>
      <c r="J400" s="408" t="s">
        <v>2234</v>
      </c>
      <c r="K400" s="827">
        <v>44562</v>
      </c>
      <c r="L400" s="408">
        <v>0</v>
      </c>
      <c r="M400" s="408">
        <v>0</v>
      </c>
      <c r="N400" s="408">
        <v>678.48099999999999</v>
      </c>
      <c r="O400" s="408">
        <v>651.34176000000002</v>
      </c>
      <c r="P400" s="408">
        <v>678.48099999999999</v>
      </c>
      <c r="Q400" s="408">
        <v>651.34176000000002</v>
      </c>
      <c r="R400" s="408"/>
      <c r="S400" s="408">
        <v>70.33</v>
      </c>
      <c r="T400" s="408">
        <v>173.82</v>
      </c>
      <c r="U400" s="408"/>
      <c r="V400" s="408">
        <v>165651.13614999998</v>
      </c>
      <c r="W400" s="408">
        <v>165651.13614999998</v>
      </c>
      <c r="X400" s="408">
        <v>179342.88272999998</v>
      </c>
      <c r="Y400" s="408">
        <v>0</v>
      </c>
      <c r="Z400" s="408">
        <v>36095.207186178974</v>
      </c>
      <c r="AA400" s="408">
        <v>0</v>
      </c>
      <c r="AB400" s="408">
        <v>0</v>
      </c>
      <c r="AC400" s="408">
        <v>0</v>
      </c>
      <c r="AD400" s="408">
        <v>0</v>
      </c>
      <c r="AE400" s="408">
        <v>0</v>
      </c>
      <c r="AF400" s="408">
        <v>109182.61144429106</v>
      </c>
      <c r="AG400" s="408">
        <v>5492.8908470748265</v>
      </c>
      <c r="AH400" s="408">
        <v>0</v>
      </c>
      <c r="AI400" s="408">
        <v>0</v>
      </c>
      <c r="AJ400" s="408">
        <v>0</v>
      </c>
      <c r="AK400" s="408">
        <v>0</v>
      </c>
      <c r="AL400" s="408">
        <v>6412.6609037581593</v>
      </c>
      <c r="AM400" s="408"/>
      <c r="AN400" s="408">
        <v>843.16914478039075</v>
      </c>
      <c r="AO400" s="408">
        <v>0</v>
      </c>
      <c r="AP400" s="408">
        <v>0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0</v>
      </c>
      <c r="BE400" s="408">
        <v>126.60022907760153</v>
      </c>
      <c r="BF400" s="408">
        <v>3260.5682288890325</v>
      </c>
      <c r="BG400" s="408">
        <v>4239.3051302127678</v>
      </c>
      <c r="BH400" s="408">
        <v>0</v>
      </c>
      <c r="BI400" s="408">
        <v>0</v>
      </c>
      <c r="BJ400" s="408">
        <v>0</v>
      </c>
      <c r="BK400" s="408">
        <v>0</v>
      </c>
      <c r="BL400" s="408">
        <v>0</v>
      </c>
      <c r="BM400" s="408"/>
      <c r="BN400" s="408"/>
      <c r="BO400" s="408"/>
      <c r="BP400" s="408"/>
      <c r="BQ400" s="408"/>
      <c r="BR400" s="408">
        <v>7173.7153091999917</v>
      </c>
      <c r="BS400" s="408"/>
      <c r="BT400" s="408"/>
      <c r="BU400" s="408"/>
      <c r="BV400" s="408">
        <v>116809.08503247048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172168.7022</v>
      </c>
      <c r="CJ400" s="408">
        <v>13143.581495999999</v>
      </c>
      <c r="CK400" s="408"/>
      <c r="CL400" s="408"/>
      <c r="CM400" s="408"/>
      <c r="CN400" s="408"/>
      <c r="CO400" s="408">
        <v>-685.26581000000351</v>
      </c>
      <c r="CP400" s="408">
        <v>14377.012389999998</v>
      </c>
      <c r="CQ400" s="408">
        <v>31</v>
      </c>
      <c r="CR400" s="408">
        <v>13685.717845044244</v>
      </c>
      <c r="CS400" s="408">
        <v>0</v>
      </c>
      <c r="CT400" s="408">
        <v>0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0</v>
      </c>
      <c r="DA400" s="408">
        <v>0</v>
      </c>
      <c r="DB400" s="408">
        <v>0</v>
      </c>
      <c r="DC400" s="408">
        <v>14014.794870809463</v>
      </c>
      <c r="DD400" s="408">
        <v>418.5299681485676</v>
      </c>
      <c r="DE400" s="408">
        <v>16.250538594465851</v>
      </c>
      <c r="DF400" s="408">
        <v>0</v>
      </c>
      <c r="DG400" s="408">
        <v>544.1616664849098</v>
      </c>
      <c r="DH400" s="408">
        <v>0</v>
      </c>
      <c r="DI400" s="408">
        <v>-1054.9006768915569</v>
      </c>
      <c r="DJ400" s="408"/>
      <c r="DK400" s="408">
        <v>0</v>
      </c>
      <c r="DL400" s="408">
        <v>0</v>
      </c>
      <c r="DM400" s="408">
        <v>-61.051465775900397</v>
      </c>
      <c r="DN400" s="408">
        <v>0</v>
      </c>
      <c r="DO400" s="408">
        <v>-166.0857024407278</v>
      </c>
      <c r="DP400" s="408">
        <v>-25.981353884946316</v>
      </c>
      <c r="DQ400" s="408">
        <v>0</v>
      </c>
      <c r="DR400" s="408">
        <v>0</v>
      </c>
      <c r="DS400" s="408"/>
      <c r="DT400" s="408"/>
      <c r="DU400" s="408"/>
      <c r="DV400" s="408">
        <v>0</v>
      </c>
      <c r="DW400" s="408">
        <v>0</v>
      </c>
      <c r="DX400" s="408">
        <v>0</v>
      </c>
      <c r="DY400" s="408">
        <v>-685.26581000000442</v>
      </c>
      <c r="DZ400" s="408">
        <v>14377.012390000004</v>
      </c>
      <c r="EA400" s="408">
        <v>0</v>
      </c>
      <c r="EB400" s="408">
        <v>0</v>
      </c>
      <c r="EC400" s="408">
        <v>0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0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239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403</v>
      </c>
      <c r="B401" s="408" t="s">
        <v>2236</v>
      </c>
      <c r="C401" s="408" t="s">
        <v>2241</v>
      </c>
      <c r="D401" s="408" t="s">
        <v>596</v>
      </c>
      <c r="E401" s="408" t="s">
        <v>972</v>
      </c>
      <c r="F401" s="408" t="s">
        <v>1320</v>
      </c>
      <c r="G401" s="408" t="s">
        <v>1320</v>
      </c>
      <c r="H401" s="408" t="s">
        <v>1320</v>
      </c>
      <c r="I401" s="408" t="s">
        <v>2242</v>
      </c>
      <c r="J401" s="408" t="s">
        <v>2234</v>
      </c>
      <c r="K401" s="827">
        <v>44562</v>
      </c>
      <c r="L401" s="408">
        <v>0</v>
      </c>
      <c r="M401" s="408">
        <v>0</v>
      </c>
      <c r="N401" s="408">
        <v>31.641999999999999</v>
      </c>
      <c r="O401" s="408">
        <v>30.37632</v>
      </c>
      <c r="P401" s="408">
        <v>31.641999999999999</v>
      </c>
      <c r="Q401" s="408">
        <v>30.37632</v>
      </c>
      <c r="R401" s="408"/>
      <c r="S401" s="408">
        <v>70.33</v>
      </c>
      <c r="T401" s="408">
        <v>173.82</v>
      </c>
      <c r="U401" s="408"/>
      <c r="V401" s="408">
        <v>7725.3942999999999</v>
      </c>
      <c r="W401" s="408">
        <v>7725.3942999999999</v>
      </c>
      <c r="X401" s="408">
        <v>8363.9298600000002</v>
      </c>
      <c r="Y401" s="408">
        <v>0</v>
      </c>
      <c r="Z401" s="408">
        <v>1683.3552388129883</v>
      </c>
      <c r="AA401" s="408">
        <v>0</v>
      </c>
      <c r="AB401" s="408">
        <v>0</v>
      </c>
      <c r="AC401" s="408">
        <v>0</v>
      </c>
      <c r="AD401" s="408">
        <v>0</v>
      </c>
      <c r="AE401" s="408">
        <v>0</v>
      </c>
      <c r="AF401" s="408">
        <v>5091.8982128022126</v>
      </c>
      <c r="AG401" s="408">
        <v>256.16937273577543</v>
      </c>
      <c r="AH401" s="408">
        <v>0</v>
      </c>
      <c r="AI401" s="408">
        <v>0</v>
      </c>
      <c r="AJ401" s="408">
        <v>0</v>
      </c>
      <c r="AK401" s="408">
        <v>0</v>
      </c>
      <c r="AL401" s="408">
        <v>299.06425724038797</v>
      </c>
      <c r="AM401" s="408"/>
      <c r="AN401" s="408">
        <v>39.322483723407323</v>
      </c>
      <c r="AO401" s="408">
        <v>0</v>
      </c>
      <c r="AP401" s="408">
        <v>0</v>
      </c>
      <c r="AQ401" s="408">
        <v>0</v>
      </c>
      <c r="AR401" s="408">
        <v>0</v>
      </c>
      <c r="AS401" s="408">
        <v>0</v>
      </c>
      <c r="AT401" s="408">
        <v>0</v>
      </c>
      <c r="AU401" s="408">
        <v>0</v>
      </c>
      <c r="AV401" s="408">
        <v>0</v>
      </c>
      <c r="AW401" s="408">
        <v>0</v>
      </c>
      <c r="AX401" s="408">
        <v>0</v>
      </c>
      <c r="AY401" s="408">
        <v>0</v>
      </c>
      <c r="AZ401" s="408">
        <v>0</v>
      </c>
      <c r="BA401" s="408"/>
      <c r="BB401" s="408">
        <v>0</v>
      </c>
      <c r="BC401" s="408">
        <v>0</v>
      </c>
      <c r="BD401" s="408">
        <v>0</v>
      </c>
      <c r="BE401" s="408">
        <v>5.9041954726417796</v>
      </c>
      <c r="BF401" s="408">
        <v>152.06159037394823</v>
      </c>
      <c r="BG401" s="408">
        <v>197.70648394014336</v>
      </c>
      <c r="BH401" s="408">
        <v>0</v>
      </c>
      <c r="BI401" s="408">
        <v>0</v>
      </c>
      <c r="BJ401" s="408">
        <v>0</v>
      </c>
      <c r="BK401" s="408">
        <v>0</v>
      </c>
      <c r="BL401" s="408">
        <v>0</v>
      </c>
      <c r="BM401" s="408"/>
      <c r="BN401" s="408"/>
      <c r="BO401" s="408"/>
      <c r="BP401" s="408"/>
      <c r="BQ401" s="408"/>
      <c r="BR401" s="408">
        <v>334.5571943999999</v>
      </c>
      <c r="BS401" s="408"/>
      <c r="BT401" s="408"/>
      <c r="BU401" s="408"/>
      <c r="BV401" s="408">
        <v>5447.5704825889461</v>
      </c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>
        <v>8030.3453999999983</v>
      </c>
      <c r="CJ401" s="408">
        <v>613.9368719999984</v>
      </c>
      <c r="CK401" s="408"/>
      <c r="CL401" s="408"/>
      <c r="CM401" s="408"/>
      <c r="CN401" s="408"/>
      <c r="CO401" s="408">
        <v>-31.95842000000016</v>
      </c>
      <c r="CP401" s="408">
        <v>670.49397999999997</v>
      </c>
      <c r="CQ401" s="408">
        <v>31</v>
      </c>
      <c r="CR401" s="408">
        <v>638.25440071702997</v>
      </c>
      <c r="CS401" s="408">
        <v>0</v>
      </c>
      <c r="CT401" s="408">
        <v>0</v>
      </c>
      <c r="CU401" s="408">
        <v>0</v>
      </c>
      <c r="CV401" s="408">
        <v>0</v>
      </c>
      <c r="CW401" s="408">
        <v>0</v>
      </c>
      <c r="CX401" s="408">
        <v>0</v>
      </c>
      <c r="CY401" s="408">
        <v>0</v>
      </c>
      <c r="CZ401" s="408">
        <v>0</v>
      </c>
      <c r="DA401" s="408">
        <v>0</v>
      </c>
      <c r="DB401" s="408">
        <v>0</v>
      </c>
      <c r="DC401" s="408">
        <v>653.60141153864697</v>
      </c>
      <c r="DD401" s="408">
        <v>19.518785717149001</v>
      </c>
      <c r="DE401" s="408">
        <v>0.757868742390853</v>
      </c>
      <c r="DF401" s="408">
        <v>0</v>
      </c>
      <c r="DG401" s="408">
        <v>25.377812276122</v>
      </c>
      <c r="DH401" s="408">
        <v>0</v>
      </c>
      <c r="DI401" s="408">
        <v>-49.196907825278458</v>
      </c>
      <c r="DJ401" s="408"/>
      <c r="DK401" s="408">
        <v>0</v>
      </c>
      <c r="DL401" s="408">
        <v>0</v>
      </c>
      <c r="DM401" s="408">
        <v>-2.8472285592095261</v>
      </c>
      <c r="DN401" s="408">
        <v>0</v>
      </c>
      <c r="DO401" s="408">
        <v>-7.7456609641677687</v>
      </c>
      <c r="DP401" s="408">
        <v>-1.2116802086240739</v>
      </c>
      <c r="DQ401" s="408">
        <v>0</v>
      </c>
      <c r="DR401" s="408">
        <v>0</v>
      </c>
      <c r="DS401" s="408"/>
      <c r="DT401" s="408"/>
      <c r="DU401" s="408"/>
      <c r="DV401" s="408">
        <v>0</v>
      </c>
      <c r="DW401" s="408">
        <v>0</v>
      </c>
      <c r="DX401" s="408">
        <v>0</v>
      </c>
      <c r="DY401" s="408">
        <v>-31.958420000000388</v>
      </c>
      <c r="DZ401" s="408">
        <v>670.49398000000019</v>
      </c>
      <c r="EA401" s="408">
        <v>0</v>
      </c>
      <c r="EB401" s="408">
        <v>0</v>
      </c>
      <c r="EC401" s="408">
        <v>0</v>
      </c>
      <c r="ED401" s="408">
        <v>0</v>
      </c>
      <c r="EE401" s="408">
        <v>0</v>
      </c>
      <c r="EF401" s="408">
        <v>0</v>
      </c>
      <c r="EG401" s="408">
        <v>0</v>
      </c>
      <c r="EH401" s="408">
        <v>0</v>
      </c>
      <c r="EI401" s="408">
        <v>0</v>
      </c>
      <c r="EJ401" s="408">
        <v>0</v>
      </c>
      <c r="EK401" s="408">
        <v>0</v>
      </c>
      <c r="EL401" s="408">
        <v>0</v>
      </c>
      <c r="EM401" s="408">
        <v>0</v>
      </c>
      <c r="EN401" s="408">
        <v>0</v>
      </c>
      <c r="EO401" s="408">
        <v>0</v>
      </c>
      <c r="EP401" s="408">
        <v>0</v>
      </c>
      <c r="EQ401" s="408">
        <v>0</v>
      </c>
      <c r="ER401" s="408">
        <v>0</v>
      </c>
      <c r="ES401" s="408">
        <v>0</v>
      </c>
      <c r="ET401" s="408">
        <v>0</v>
      </c>
      <c r="EU401" s="408">
        <v>0</v>
      </c>
      <c r="EV401" s="408">
        <v>239</v>
      </c>
      <c r="EW401" s="408">
        <v>0</v>
      </c>
      <c r="EX401" s="408">
        <v>0</v>
      </c>
      <c r="EY401" s="408">
        <v>0</v>
      </c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404</v>
      </c>
      <c r="B402" s="408" t="s">
        <v>1034</v>
      </c>
      <c r="C402" s="408" t="s">
        <v>2241</v>
      </c>
      <c r="D402" s="408" t="s">
        <v>596</v>
      </c>
      <c r="E402" s="408" t="s">
        <v>972</v>
      </c>
      <c r="F402" s="408" t="s">
        <v>1320</v>
      </c>
      <c r="G402" s="408" t="s">
        <v>1320</v>
      </c>
      <c r="H402" s="408" t="s">
        <v>1320</v>
      </c>
      <c r="I402" s="408" t="s">
        <v>1320</v>
      </c>
      <c r="J402" s="408" t="s">
        <v>2234</v>
      </c>
      <c r="K402" s="827">
        <v>44562</v>
      </c>
      <c r="L402" s="408">
        <v>2773</v>
      </c>
      <c r="M402" s="408">
        <v>2662.08</v>
      </c>
      <c r="N402" s="408">
        <v>0</v>
      </c>
      <c r="O402" s="408">
        <v>0</v>
      </c>
      <c r="P402" s="408">
        <v>0</v>
      </c>
      <c r="Q402" s="408">
        <v>0</v>
      </c>
      <c r="R402" s="408">
        <v>59.12</v>
      </c>
      <c r="S402" s="408"/>
      <c r="T402" s="408"/>
      <c r="U402" s="408">
        <v>163939.75999999998</v>
      </c>
      <c r="V402" s="408"/>
      <c r="W402" s="408">
        <v>163939.75999999998</v>
      </c>
      <c r="X402" s="408">
        <v>94365.19</v>
      </c>
      <c r="Y402" s="408">
        <v>0</v>
      </c>
      <c r="Z402" s="408">
        <v>0</v>
      </c>
      <c r="AA402" s="408">
        <v>0</v>
      </c>
      <c r="AB402" s="408">
        <v>0</v>
      </c>
      <c r="AC402" s="408">
        <v>1586.3233875243004</v>
      </c>
      <c r="AD402" s="408">
        <v>14189.503810433889</v>
      </c>
      <c r="AE402" s="408">
        <v>133552.66516754581</v>
      </c>
      <c r="AF402" s="408"/>
      <c r="AG402" s="408"/>
      <c r="AH402" s="408"/>
      <c r="AI402" s="408">
        <v>0</v>
      </c>
      <c r="AJ402" s="408">
        <v>0</v>
      </c>
      <c r="AK402" s="408">
        <v>0</v>
      </c>
      <c r="AL402" s="408">
        <v>0</v>
      </c>
      <c r="AM402" s="408"/>
      <c r="AN402" s="408">
        <v>0</v>
      </c>
      <c r="AO402" s="408">
        <v>3349.9839768085362</v>
      </c>
      <c r="AP402" s="408">
        <v>11261.119346927293</v>
      </c>
      <c r="AQ402" s="408">
        <v>0</v>
      </c>
      <c r="AR402" s="408">
        <v>0</v>
      </c>
      <c r="AS402" s="408"/>
      <c r="AT402" s="408"/>
      <c r="AU402" s="408">
        <v>0</v>
      </c>
      <c r="AV402" s="408">
        <v>0</v>
      </c>
      <c r="AW402" s="408">
        <v>0</v>
      </c>
      <c r="AX402" s="408"/>
      <c r="AY402" s="408"/>
      <c r="AZ402" s="408">
        <v>0</v>
      </c>
      <c r="BA402" s="408"/>
      <c r="BB402" s="408">
        <v>0</v>
      </c>
      <c r="BC402" s="408">
        <v>0</v>
      </c>
      <c r="BD402" s="408">
        <v>0</v>
      </c>
      <c r="BE402" s="408">
        <v>0</v>
      </c>
      <c r="BF402" s="408"/>
      <c r="BG402" s="408">
        <v>0</v>
      </c>
      <c r="BH402" s="408">
        <v>0</v>
      </c>
      <c r="BI402" s="408">
        <v>0</v>
      </c>
      <c r="BJ402" s="408">
        <v>0</v>
      </c>
      <c r="BK402" s="408">
        <v>9962.8799999999992</v>
      </c>
      <c r="BL402" s="408">
        <v>14</v>
      </c>
      <c r="BM402" s="408"/>
      <c r="BN402" s="408"/>
      <c r="BO402" s="408"/>
      <c r="BP402" s="408"/>
      <c r="BQ402" s="408"/>
      <c r="BR402" s="408">
        <v>3774.6076000000025</v>
      </c>
      <c r="BS402" s="408"/>
      <c r="BT402" s="408"/>
      <c r="BU402" s="408"/>
      <c r="BV402" s="408">
        <v>0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90590.582399999999</v>
      </c>
      <c r="CJ402" s="408">
        <v>-66791.617200000022</v>
      </c>
      <c r="CK402" s="408"/>
      <c r="CL402" s="408"/>
      <c r="CM402" s="408"/>
      <c r="CN402" s="408"/>
      <c r="CO402" s="408">
        <v>-69574.569999999992</v>
      </c>
      <c r="CP402" s="408">
        <v>0</v>
      </c>
      <c r="CQ402" s="408">
        <v>31</v>
      </c>
      <c r="CR402" s="408">
        <v>1146.5733270625569</v>
      </c>
      <c r="CS402" s="408">
        <v>325.26227989435984</v>
      </c>
      <c r="CT402" s="408">
        <v>1093.3835440113235</v>
      </c>
      <c r="CU402" s="408">
        <v>0</v>
      </c>
      <c r="CV402" s="408">
        <v>0</v>
      </c>
      <c r="CW402" s="408"/>
      <c r="CX402" s="408"/>
      <c r="CY402" s="408"/>
      <c r="CZ402" s="408">
        <v>-272.0724968431241</v>
      </c>
      <c r="DA402" s="408">
        <v>0</v>
      </c>
      <c r="DB402" s="408">
        <v>0</v>
      </c>
      <c r="DC402" s="408"/>
      <c r="DD402" s="408"/>
      <c r="DE402" s="408">
        <v>0</v>
      </c>
      <c r="DF402" s="408">
        <v>0</v>
      </c>
      <c r="DG402" s="408">
        <v>0</v>
      </c>
      <c r="DH402" s="408">
        <v>0</v>
      </c>
      <c r="DI402" s="408">
        <v>0</v>
      </c>
      <c r="DJ402" s="408"/>
      <c r="DK402" s="408">
        <v>0</v>
      </c>
      <c r="DL402" s="408">
        <v>0</v>
      </c>
      <c r="DM402" s="408"/>
      <c r="DN402" s="408">
        <v>0</v>
      </c>
      <c r="DO402" s="408">
        <v>0</v>
      </c>
      <c r="DP402" s="408">
        <v>0</v>
      </c>
      <c r="DQ402" s="408">
        <v>0</v>
      </c>
      <c r="DR402" s="408">
        <v>0</v>
      </c>
      <c r="DS402" s="408"/>
      <c r="DT402" s="408"/>
      <c r="DU402" s="408">
        <v>133552.66516754581</v>
      </c>
      <c r="DV402" s="408"/>
      <c r="DW402" s="408">
        <v>0</v>
      </c>
      <c r="DX402" s="408">
        <v>0</v>
      </c>
      <c r="DY402" s="408">
        <v>-69574.569999999978</v>
      </c>
      <c r="DZ402" s="408"/>
      <c r="EA402" s="408">
        <v>0</v>
      </c>
      <c r="EB402" s="408"/>
      <c r="EC402" s="408">
        <v>-70709.055848383752</v>
      </c>
      <c r="ED402" s="408"/>
      <c r="EE402" s="408">
        <v>0</v>
      </c>
      <c r="EF402" s="408">
        <v>0</v>
      </c>
      <c r="EG402" s="408"/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/>
      <c r="EN402" s="408"/>
      <c r="EO402" s="408">
        <v>0</v>
      </c>
      <c r="EP402" s="408">
        <v>0</v>
      </c>
      <c r="EQ402" s="408"/>
      <c r="ER402" s="408">
        <v>0</v>
      </c>
      <c r="ES402" s="408"/>
      <c r="ET402" s="408">
        <v>0</v>
      </c>
      <c r="EU402" s="408"/>
      <c r="EV402" s="408">
        <v>239</v>
      </c>
      <c r="EW402" s="408"/>
      <c r="EX402" s="408"/>
      <c r="EY402" s="408"/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406</v>
      </c>
      <c r="B403" s="408" t="s">
        <v>2236</v>
      </c>
      <c r="C403" s="408" t="s">
        <v>2241</v>
      </c>
      <c r="D403" s="408" t="s">
        <v>596</v>
      </c>
      <c r="E403" s="408" t="s">
        <v>972</v>
      </c>
      <c r="F403" s="408" t="s">
        <v>1320</v>
      </c>
      <c r="G403" s="408" t="s">
        <v>1320</v>
      </c>
      <c r="H403" s="408" t="s">
        <v>1320</v>
      </c>
      <c r="I403" s="408" t="s">
        <v>1320</v>
      </c>
      <c r="J403" s="408" t="s">
        <v>2234</v>
      </c>
      <c r="K403" s="827">
        <v>44562</v>
      </c>
      <c r="L403" s="408">
        <v>170</v>
      </c>
      <c r="M403" s="408">
        <v>163.19999999999999</v>
      </c>
      <c r="N403" s="408">
        <v>0</v>
      </c>
      <c r="O403" s="408">
        <v>0</v>
      </c>
      <c r="P403" s="408">
        <v>0</v>
      </c>
      <c r="Q403" s="408">
        <v>0</v>
      </c>
      <c r="R403" s="408">
        <v>59.12</v>
      </c>
      <c r="S403" s="408"/>
      <c r="T403" s="408"/>
      <c r="U403" s="408">
        <v>10050.4</v>
      </c>
      <c r="V403" s="408"/>
      <c r="W403" s="408">
        <v>10050.4</v>
      </c>
      <c r="X403" s="408">
        <v>5785.1</v>
      </c>
      <c r="Y403" s="408">
        <v>0</v>
      </c>
      <c r="Z403" s="408">
        <v>0</v>
      </c>
      <c r="AA403" s="408">
        <v>0</v>
      </c>
      <c r="AB403" s="408">
        <v>0</v>
      </c>
      <c r="AC403" s="408">
        <v>97.250261766725941</v>
      </c>
      <c r="AD403" s="408">
        <v>869.89385062162319</v>
      </c>
      <c r="AE403" s="408">
        <v>8187.5056179166195</v>
      </c>
      <c r="AF403" s="408"/>
      <c r="AG403" s="408"/>
      <c r="AH403" s="408"/>
      <c r="AI403" s="408">
        <v>0</v>
      </c>
      <c r="AJ403" s="408">
        <v>0</v>
      </c>
      <c r="AK403" s="408">
        <v>0</v>
      </c>
      <c r="AL403" s="408">
        <v>0</v>
      </c>
      <c r="AM403" s="408"/>
      <c r="AN403" s="408">
        <v>0</v>
      </c>
      <c r="AO403" s="408">
        <v>205.3722596673102</v>
      </c>
      <c r="AP403" s="408">
        <v>690.3679368833898</v>
      </c>
      <c r="AQ403" s="408">
        <v>0</v>
      </c>
      <c r="AR403" s="408">
        <v>0</v>
      </c>
      <c r="AS403" s="408"/>
      <c r="AT403" s="408"/>
      <c r="AU403" s="408">
        <v>0</v>
      </c>
      <c r="AV403" s="408">
        <v>0</v>
      </c>
      <c r="AW403" s="408">
        <v>0</v>
      </c>
      <c r="AX403" s="408"/>
      <c r="AY403" s="408"/>
      <c r="AZ403" s="408">
        <v>0</v>
      </c>
      <c r="BA403" s="408"/>
      <c r="BB403" s="408">
        <v>0</v>
      </c>
      <c r="BC403" s="408">
        <v>0</v>
      </c>
      <c r="BD403" s="408">
        <v>0</v>
      </c>
      <c r="BE403" s="408">
        <v>0</v>
      </c>
      <c r="BF403" s="408"/>
      <c r="BG403" s="408">
        <v>0</v>
      </c>
      <c r="BH403" s="408">
        <v>0</v>
      </c>
      <c r="BI403" s="408">
        <v>0</v>
      </c>
      <c r="BJ403" s="408">
        <v>0</v>
      </c>
      <c r="BK403" s="408">
        <v>7.46</v>
      </c>
      <c r="BL403" s="408">
        <v>1</v>
      </c>
      <c r="BM403" s="408"/>
      <c r="BN403" s="408"/>
      <c r="BO403" s="408"/>
      <c r="BP403" s="408"/>
      <c r="BQ403" s="408"/>
      <c r="BR403" s="408">
        <v>231.40400000000039</v>
      </c>
      <c r="BS403" s="408"/>
      <c r="BT403" s="408"/>
      <c r="BU403" s="408"/>
      <c r="BV403" s="408">
        <v>0</v>
      </c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>
        <v>5553.6959999999999</v>
      </c>
      <c r="CJ403" s="408">
        <v>-4094.7179999999989</v>
      </c>
      <c r="CK403" s="408"/>
      <c r="CL403" s="408"/>
      <c r="CM403" s="408"/>
      <c r="CN403" s="408"/>
      <c r="CO403" s="408">
        <v>-4265.2999999999993</v>
      </c>
      <c r="CP403" s="408">
        <v>0</v>
      </c>
      <c r="CQ403" s="408">
        <v>31</v>
      </c>
      <c r="CR403" s="408">
        <v>70.291188460380681</v>
      </c>
      <c r="CS403" s="408">
        <v>19.940348929693897</v>
      </c>
      <c r="CT403" s="408">
        <v>67.030365121501973</v>
      </c>
      <c r="CU403" s="408">
        <v>0</v>
      </c>
      <c r="CV403" s="408">
        <v>0</v>
      </c>
      <c r="CW403" s="408"/>
      <c r="CX403" s="408"/>
      <c r="CY403" s="408"/>
      <c r="CZ403" s="408">
        <v>-16.679525590815274</v>
      </c>
      <c r="DA403" s="408">
        <v>0</v>
      </c>
      <c r="DB403" s="408">
        <v>0</v>
      </c>
      <c r="DC403" s="408"/>
      <c r="DD403" s="408"/>
      <c r="DE403" s="408">
        <v>0</v>
      </c>
      <c r="DF403" s="408">
        <v>0</v>
      </c>
      <c r="DG403" s="408">
        <v>0</v>
      </c>
      <c r="DH403" s="408">
        <v>0</v>
      </c>
      <c r="DI403" s="408">
        <v>0</v>
      </c>
      <c r="DJ403" s="408"/>
      <c r="DK403" s="408">
        <v>0</v>
      </c>
      <c r="DL403" s="408">
        <v>0</v>
      </c>
      <c r="DM403" s="408"/>
      <c r="DN403" s="408">
        <v>0</v>
      </c>
      <c r="DO403" s="408">
        <v>0</v>
      </c>
      <c r="DP403" s="408">
        <v>0</v>
      </c>
      <c r="DQ403" s="408">
        <v>0</v>
      </c>
      <c r="DR403" s="408">
        <v>0</v>
      </c>
      <c r="DS403" s="408"/>
      <c r="DT403" s="408"/>
      <c r="DU403" s="408">
        <v>8187.5056179166195</v>
      </c>
      <c r="DV403" s="408"/>
      <c r="DW403" s="408">
        <v>0</v>
      </c>
      <c r="DX403" s="408">
        <v>0</v>
      </c>
      <c r="DY403" s="408">
        <v>-4265.2999999999993</v>
      </c>
      <c r="DZ403" s="408"/>
      <c r="EA403" s="408">
        <v>0</v>
      </c>
      <c r="EB403" s="408"/>
      <c r="EC403" s="408">
        <v>-4334.8501601966236</v>
      </c>
      <c r="ED403" s="408"/>
      <c r="EE403" s="408">
        <v>0</v>
      </c>
      <c r="EF403" s="408">
        <v>0</v>
      </c>
      <c r="EG403" s="408"/>
      <c r="EH403" s="408">
        <v>0</v>
      </c>
      <c r="EI403" s="408">
        <v>0</v>
      </c>
      <c r="EJ403" s="408">
        <v>0</v>
      </c>
      <c r="EK403" s="408">
        <v>0</v>
      </c>
      <c r="EL403" s="408">
        <v>0</v>
      </c>
      <c r="EM403" s="408"/>
      <c r="EN403" s="408"/>
      <c r="EO403" s="408">
        <v>0</v>
      </c>
      <c r="EP403" s="408">
        <v>0</v>
      </c>
      <c r="EQ403" s="408"/>
      <c r="ER403" s="408">
        <v>0</v>
      </c>
      <c r="ES403" s="408"/>
      <c r="ET403" s="408">
        <v>0</v>
      </c>
      <c r="EU403" s="408"/>
      <c r="EV403" s="408">
        <v>239</v>
      </c>
      <c r="EW403" s="408"/>
      <c r="EX403" s="408"/>
      <c r="EY403" s="408"/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407</v>
      </c>
      <c r="B404" s="408" t="s">
        <v>1034</v>
      </c>
      <c r="C404" s="408" t="s">
        <v>2233</v>
      </c>
      <c r="D404" s="408" t="s">
        <v>1956</v>
      </c>
      <c r="E404" s="408" t="s">
        <v>2244</v>
      </c>
      <c r="F404" s="408" t="s">
        <v>1320</v>
      </c>
      <c r="G404" s="408" t="s">
        <v>1320</v>
      </c>
      <c r="H404" s="408" t="s">
        <v>1320</v>
      </c>
      <c r="I404" s="408" t="s">
        <v>1320</v>
      </c>
      <c r="J404" s="408" t="s">
        <v>2234</v>
      </c>
      <c r="K404" s="827">
        <v>44562</v>
      </c>
      <c r="L404" s="408">
        <v>0</v>
      </c>
      <c r="M404" s="408">
        <v>0</v>
      </c>
      <c r="N404" s="408">
        <v>221.92500000000001</v>
      </c>
      <c r="O404" s="408">
        <v>221.92500000000001</v>
      </c>
      <c r="P404" s="408">
        <v>221.92500000000001</v>
      </c>
      <c r="Q404" s="408">
        <v>221.92500000000001</v>
      </c>
      <c r="R404" s="408"/>
      <c r="S404" s="408">
        <v>516.83000000000004</v>
      </c>
      <c r="T404" s="408">
        <v>173.82</v>
      </c>
      <c r="U404" s="408"/>
      <c r="V404" s="408">
        <v>153272.50125</v>
      </c>
      <c r="W404" s="408">
        <v>153272.50125</v>
      </c>
      <c r="X404" s="408">
        <v>115722.79125000001</v>
      </c>
      <c r="Y404" s="408">
        <v>0</v>
      </c>
      <c r="Z404" s="408">
        <v>13570.592969099411</v>
      </c>
      <c r="AA404" s="408">
        <v>0</v>
      </c>
      <c r="AB404" s="408">
        <v>0</v>
      </c>
      <c r="AC404" s="408">
        <v>603.29070098726891</v>
      </c>
      <c r="AD404" s="408">
        <v>7640.1257620344968</v>
      </c>
      <c r="AE404" s="408">
        <v>80695.435342369674</v>
      </c>
      <c r="AF404" s="408">
        <v>35712.64493003385</v>
      </c>
      <c r="AG404" s="408">
        <v>1796.674927134409</v>
      </c>
      <c r="AH404" s="408">
        <v>0</v>
      </c>
      <c r="AI404" s="408">
        <v>0</v>
      </c>
      <c r="AJ404" s="408">
        <v>0</v>
      </c>
      <c r="AK404" s="408">
        <v>0</v>
      </c>
      <c r="AL404" s="408">
        <v>2097.5233957421497</v>
      </c>
      <c r="AM404" s="408"/>
      <c r="AN404" s="408">
        <v>344.32595276851742</v>
      </c>
      <c r="AO404" s="408">
        <v>1286.8329511846325</v>
      </c>
      <c r="AP404" s="408">
        <v>4214.2039203683053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123.12679003928864</v>
      </c>
      <c r="BF404" s="408">
        <v>1066.5023842910834</v>
      </c>
      <c r="BG404" s="408">
        <v>4122.9943775238844</v>
      </c>
      <c r="BH404" s="408">
        <v>0</v>
      </c>
      <c r="BI404" s="408">
        <v>0</v>
      </c>
      <c r="BJ404" s="408">
        <v>0</v>
      </c>
      <c r="BK404" s="408">
        <v>47339.23</v>
      </c>
      <c r="BL404" s="408">
        <v>259</v>
      </c>
      <c r="BM404" s="408"/>
      <c r="BN404" s="408"/>
      <c r="BO404" s="408"/>
      <c r="BP404" s="408"/>
      <c r="BQ404" s="408"/>
      <c r="BR404" s="408"/>
      <c r="BS404" s="408"/>
      <c r="BT404" s="408"/>
      <c r="BU404" s="408"/>
      <c r="BV404" s="408">
        <v>41025.26848188811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115725.39850000001</v>
      </c>
      <c r="CJ404" s="408">
        <v>-37547.13274999999</v>
      </c>
      <c r="CK404" s="408"/>
      <c r="CL404" s="408"/>
      <c r="CM404" s="408"/>
      <c r="CN404" s="408"/>
      <c r="CO404" s="408">
        <v>-42252.300750000009</v>
      </c>
      <c r="CP404" s="408">
        <v>4702.5907499999994</v>
      </c>
      <c r="CQ404" s="408">
        <v>31</v>
      </c>
      <c r="CR404" s="408">
        <v>5172.1572001837339</v>
      </c>
      <c r="CS404" s="408">
        <v>124.94334971245507</v>
      </c>
      <c r="CT404" s="408">
        <v>409.17257651618547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-146.49336016553389</v>
      </c>
      <c r="DA404" s="408">
        <v>0</v>
      </c>
      <c r="DB404" s="408">
        <v>0</v>
      </c>
      <c r="DC404" s="408">
        <v>4584.112674790289</v>
      </c>
      <c r="DD404" s="408">
        <v>136.8973680639117</v>
      </c>
      <c r="DE404" s="408">
        <v>15.804684305268154</v>
      </c>
      <c r="DF404" s="408">
        <v>0</v>
      </c>
      <c r="DG404" s="408">
        <v>529.23189590476795</v>
      </c>
      <c r="DH404" s="408">
        <v>0</v>
      </c>
      <c r="DI404" s="408">
        <v>-396.60743973798344</v>
      </c>
      <c r="DJ404" s="408"/>
      <c r="DK404" s="408">
        <v>0</v>
      </c>
      <c r="DL404" s="408">
        <v>0</v>
      </c>
      <c r="DM404" s="408">
        <v>-19.969382403216514</v>
      </c>
      <c r="DN404" s="408">
        <v>0</v>
      </c>
      <c r="DO404" s="408">
        <v>-54.325131454172379</v>
      </c>
      <c r="DP404" s="408">
        <v>-10.61003534822072</v>
      </c>
      <c r="DQ404" s="408">
        <v>0</v>
      </c>
      <c r="DR404" s="408">
        <v>0</v>
      </c>
      <c r="DS404" s="408"/>
      <c r="DT404" s="408"/>
      <c r="DU404" s="408"/>
      <c r="DV404" s="408">
        <v>80695.435342369674</v>
      </c>
      <c r="DW404" s="408">
        <v>0</v>
      </c>
      <c r="DX404" s="408">
        <v>0</v>
      </c>
      <c r="DY404" s="408">
        <v>-42252.300750000009</v>
      </c>
      <c r="DZ404" s="408">
        <v>4702.590750000003</v>
      </c>
      <c r="EA404" s="408">
        <v>0</v>
      </c>
      <c r="EB404" s="408">
        <v>0</v>
      </c>
      <c r="EC404" s="408">
        <v>-42723.95490704009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0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239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408</v>
      </c>
      <c r="B405" s="408" t="s">
        <v>2236</v>
      </c>
      <c r="C405" s="408" t="s">
        <v>2233</v>
      </c>
      <c r="D405" s="408" t="s">
        <v>1956</v>
      </c>
      <c r="E405" s="408" t="s">
        <v>2244</v>
      </c>
      <c r="F405" s="408" t="s">
        <v>1320</v>
      </c>
      <c r="G405" s="408" t="s">
        <v>1320</v>
      </c>
      <c r="H405" s="408" t="s">
        <v>1320</v>
      </c>
      <c r="I405" s="408" t="s">
        <v>1320</v>
      </c>
      <c r="J405" s="408" t="s">
        <v>2234</v>
      </c>
      <c r="K405" s="827">
        <v>44562</v>
      </c>
      <c r="L405" s="408">
        <v>0</v>
      </c>
      <c r="M405" s="408">
        <v>0</v>
      </c>
      <c r="N405" s="408">
        <v>0.1</v>
      </c>
      <c r="O405" s="408">
        <v>0.1</v>
      </c>
      <c r="P405" s="408">
        <v>0.1</v>
      </c>
      <c r="Q405" s="408">
        <v>0.1</v>
      </c>
      <c r="R405" s="408"/>
      <c r="S405" s="408">
        <v>516.83000000000004</v>
      </c>
      <c r="T405" s="408">
        <v>173.82</v>
      </c>
      <c r="U405" s="408"/>
      <c r="V405" s="408">
        <v>69.065000000000012</v>
      </c>
      <c r="W405" s="408">
        <v>69.065000000000012</v>
      </c>
      <c r="X405" s="408">
        <v>52.144999999999996</v>
      </c>
      <c r="Y405" s="408">
        <v>0</v>
      </c>
      <c r="Z405" s="408">
        <v>6.1149455758023699</v>
      </c>
      <c r="AA405" s="408">
        <v>0</v>
      </c>
      <c r="AB405" s="408">
        <v>0</v>
      </c>
      <c r="AC405" s="408">
        <v>0.27184440733908705</v>
      </c>
      <c r="AD405" s="408">
        <v>3.4426611522066</v>
      </c>
      <c r="AE405" s="408">
        <v>36.361579516669899</v>
      </c>
      <c r="AF405" s="408">
        <v>16.0922135541439</v>
      </c>
      <c r="AG405" s="408">
        <v>0.80958653920667301</v>
      </c>
      <c r="AH405" s="408">
        <v>0</v>
      </c>
      <c r="AI405" s="408">
        <v>0</v>
      </c>
      <c r="AJ405" s="408">
        <v>0</v>
      </c>
      <c r="AK405" s="408">
        <v>0</v>
      </c>
      <c r="AL405" s="408">
        <v>0.94514966576192405</v>
      </c>
      <c r="AM405" s="408"/>
      <c r="AN405" s="408">
        <v>0.155154197484969</v>
      </c>
      <c r="AO405" s="408">
        <v>0.57985037791354399</v>
      </c>
      <c r="AP405" s="408">
        <v>1.8989315851608901</v>
      </c>
      <c r="AQ405" s="408">
        <v>0</v>
      </c>
      <c r="AR405" s="408">
        <v>0</v>
      </c>
      <c r="AS405" s="408">
        <v>0</v>
      </c>
      <c r="AT405" s="408">
        <v>0</v>
      </c>
      <c r="AU405" s="408">
        <v>0</v>
      </c>
      <c r="AV405" s="408">
        <v>0</v>
      </c>
      <c r="AW405" s="408">
        <v>0</v>
      </c>
      <c r="AX405" s="408">
        <v>0</v>
      </c>
      <c r="AY405" s="408">
        <v>0</v>
      </c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5.5481261705210609E-2</v>
      </c>
      <c r="BF405" s="408">
        <v>0.48056883374612297</v>
      </c>
      <c r="BG405" s="408">
        <v>1.8578323206145702</v>
      </c>
      <c r="BH405" s="408">
        <v>0</v>
      </c>
      <c r="BI405" s="408">
        <v>0</v>
      </c>
      <c r="BJ405" s="408">
        <v>0</v>
      </c>
      <c r="BK405" s="408">
        <v>79.069999999999993</v>
      </c>
      <c r="BL405" s="408">
        <v>1</v>
      </c>
      <c r="BM405" s="408"/>
      <c r="BN405" s="408"/>
      <c r="BO405" s="408"/>
      <c r="BP405" s="408"/>
      <c r="BQ405" s="408"/>
      <c r="BR405" s="408"/>
      <c r="BS405" s="408"/>
      <c r="BT405" s="408"/>
      <c r="BU405" s="408"/>
      <c r="BV405" s="408">
        <v>18.486095970209803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52.144999999999996</v>
      </c>
      <c r="CJ405" s="408">
        <v>-16.950000000000017</v>
      </c>
      <c r="CK405" s="408"/>
      <c r="CL405" s="408"/>
      <c r="CM405" s="408"/>
      <c r="CN405" s="408"/>
      <c r="CO405" s="408">
        <v>-19.039000000000005</v>
      </c>
      <c r="CP405" s="408">
        <v>2.1189999999999998</v>
      </c>
      <c r="CQ405" s="408">
        <v>31</v>
      </c>
      <c r="CR405" s="408">
        <v>2.3305879014008113</v>
      </c>
      <c r="CS405" s="408">
        <v>5.6299808364292048E-2</v>
      </c>
      <c r="CT405" s="408">
        <v>0.1843742600050402</v>
      </c>
      <c r="CU405" s="408">
        <v>0</v>
      </c>
      <c r="CV405" s="408">
        <v>0</v>
      </c>
      <c r="CW405" s="408">
        <v>0</v>
      </c>
      <c r="CX405" s="408">
        <v>0</v>
      </c>
      <c r="CY405" s="408">
        <v>0</v>
      </c>
      <c r="CZ405" s="408">
        <v>-6.6010300851879755E-2</v>
      </c>
      <c r="DA405" s="408">
        <v>0</v>
      </c>
      <c r="DB405" s="408">
        <v>0</v>
      </c>
      <c r="DC405" s="408">
        <v>2.0656134616606003</v>
      </c>
      <c r="DD405" s="408">
        <v>6.1686321083209095E-2</v>
      </c>
      <c r="DE405" s="408">
        <v>7.1216331216709047E-3</v>
      </c>
      <c r="DF405" s="408">
        <v>0</v>
      </c>
      <c r="DG405" s="408">
        <v>0.23847331121088988</v>
      </c>
      <c r="DH405" s="408">
        <v>0</v>
      </c>
      <c r="DI405" s="408">
        <v>-0.17871237568456966</v>
      </c>
      <c r="DJ405" s="408"/>
      <c r="DK405" s="408">
        <v>0</v>
      </c>
      <c r="DL405" s="408">
        <v>0</v>
      </c>
      <c r="DM405" s="408">
        <v>-8.9982572505200586E-3</v>
      </c>
      <c r="DN405" s="408">
        <v>0</v>
      </c>
      <c r="DO405" s="408">
        <v>-2.4479049883597059E-2</v>
      </c>
      <c r="DP405" s="408">
        <v>-4.780910374324987E-3</v>
      </c>
      <c r="DQ405" s="408">
        <v>0</v>
      </c>
      <c r="DR405" s="408">
        <v>0</v>
      </c>
      <c r="DS405" s="408"/>
      <c r="DT405" s="408"/>
      <c r="DU405" s="408"/>
      <c r="DV405" s="408">
        <v>36.361579516669899</v>
      </c>
      <c r="DW405" s="408">
        <v>0</v>
      </c>
      <c r="DX405" s="408">
        <v>0</v>
      </c>
      <c r="DY405" s="408">
        <v>-19.039000000000009</v>
      </c>
      <c r="DZ405" s="408">
        <v>2.1189999999999998</v>
      </c>
      <c r="EA405" s="408">
        <v>0</v>
      </c>
      <c r="EB405" s="408">
        <v>0</v>
      </c>
      <c r="EC405" s="408">
        <v>-19.251528627707597</v>
      </c>
      <c r="ED405" s="408">
        <v>0</v>
      </c>
      <c r="EE405" s="408">
        <v>0</v>
      </c>
      <c r="EF405" s="408">
        <v>0</v>
      </c>
      <c r="EG405" s="408">
        <v>0</v>
      </c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>
        <v>0</v>
      </c>
      <c r="EN405" s="408">
        <v>0</v>
      </c>
      <c r="EO405" s="408">
        <v>0</v>
      </c>
      <c r="EP405" s="408">
        <v>0</v>
      </c>
      <c r="EQ405" s="408">
        <v>0</v>
      </c>
      <c r="ER405" s="408">
        <v>0</v>
      </c>
      <c r="ES405" s="408">
        <v>0</v>
      </c>
      <c r="ET405" s="408">
        <v>0</v>
      </c>
      <c r="EU405" s="408">
        <v>0</v>
      </c>
      <c r="EV405" s="408">
        <v>239</v>
      </c>
      <c r="EW405" s="408">
        <v>0</v>
      </c>
      <c r="EX405" s="408">
        <v>0</v>
      </c>
      <c r="EY405" s="408">
        <v>0</v>
      </c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409</v>
      </c>
      <c r="B406" s="408" t="s">
        <v>1034</v>
      </c>
      <c r="C406" s="408" t="s">
        <v>2245</v>
      </c>
      <c r="D406" s="408" t="s">
        <v>596</v>
      </c>
      <c r="E406" s="408" t="s">
        <v>2244</v>
      </c>
      <c r="F406" s="408" t="s">
        <v>1320</v>
      </c>
      <c r="G406" s="408" t="s">
        <v>1320</v>
      </c>
      <c r="H406" s="408" t="s">
        <v>1320</v>
      </c>
      <c r="I406" s="408" t="s">
        <v>971</v>
      </c>
      <c r="J406" s="408" t="s">
        <v>2234</v>
      </c>
      <c r="K406" s="827">
        <v>44562</v>
      </c>
      <c r="L406" s="408">
        <v>440</v>
      </c>
      <c r="M406" s="408">
        <v>440</v>
      </c>
      <c r="N406" s="408">
        <v>20.513000000000002</v>
      </c>
      <c r="O406" s="408">
        <v>20.513000000000002</v>
      </c>
      <c r="P406" s="408">
        <v>20.513000000000002</v>
      </c>
      <c r="Q406" s="408">
        <v>20.513000000000002</v>
      </c>
      <c r="R406" s="408">
        <v>67.099999999999994</v>
      </c>
      <c r="S406" s="408">
        <v>70.33</v>
      </c>
      <c r="T406" s="408">
        <v>173.82</v>
      </c>
      <c r="U406" s="408">
        <v>29523.999999999996</v>
      </c>
      <c r="V406" s="408">
        <v>5008.2489500000001</v>
      </c>
      <c r="W406" s="408">
        <v>34532.248949999994</v>
      </c>
      <c r="X406" s="408">
        <v>23919.801289999996</v>
      </c>
      <c r="Y406" s="408">
        <v>0</v>
      </c>
      <c r="Z406" s="408">
        <v>1091.2921437889777</v>
      </c>
      <c r="AA406" s="408">
        <v>0</v>
      </c>
      <c r="AB406" s="408">
        <v>0</v>
      </c>
      <c r="AC406" s="408">
        <v>329.30395789898023</v>
      </c>
      <c r="AD406" s="408">
        <v>5023.5825818795756</v>
      </c>
      <c r="AE406" s="408">
        <v>21191.19101107831</v>
      </c>
      <c r="AF406" s="408">
        <v>3300.9957663615382</v>
      </c>
      <c r="AG406" s="408">
        <v>166.07048678746483</v>
      </c>
      <c r="AH406" s="408">
        <v>0</v>
      </c>
      <c r="AI406" s="408">
        <v>0</v>
      </c>
      <c r="AJ406" s="408">
        <v>0</v>
      </c>
      <c r="AK406" s="408">
        <v>0</v>
      </c>
      <c r="AL406" s="408">
        <v>193.87855093774348</v>
      </c>
      <c r="AM406" s="408"/>
      <c r="AN406" s="408">
        <v>25.492134145068405</v>
      </c>
      <c r="AO406" s="408">
        <v>707.21213380757717</v>
      </c>
      <c r="AP406" s="408">
        <v>2274.0507542624432</v>
      </c>
      <c r="AQ406" s="408">
        <v>0</v>
      </c>
      <c r="AR406" s="408">
        <v>0</v>
      </c>
      <c r="AS406" s="408">
        <v>0</v>
      </c>
      <c r="AT406" s="408">
        <v>0</v>
      </c>
      <c r="AU406" s="408">
        <v>0</v>
      </c>
      <c r="AV406" s="408">
        <v>0</v>
      </c>
      <c r="AW406" s="408">
        <v>0</v>
      </c>
      <c r="AX406" s="408">
        <v>0</v>
      </c>
      <c r="AY406" s="408">
        <v>0</v>
      </c>
      <c r="AZ406" s="408">
        <v>0</v>
      </c>
      <c r="BA406" s="408"/>
      <c r="BB406" s="408">
        <v>0</v>
      </c>
      <c r="BC406" s="408">
        <v>0</v>
      </c>
      <c r="BD406" s="408">
        <v>0</v>
      </c>
      <c r="BE406" s="408">
        <v>3.8275950233961455</v>
      </c>
      <c r="BF406" s="408">
        <v>98.579084866342214</v>
      </c>
      <c r="BG406" s="408">
        <v>128.16993568877317</v>
      </c>
      <c r="BH406" s="408">
        <v>0</v>
      </c>
      <c r="BI406" s="408">
        <v>0</v>
      </c>
      <c r="BJ406" s="408">
        <v>0</v>
      </c>
      <c r="BK406" s="408">
        <v>0</v>
      </c>
      <c r="BL406" s="408">
        <v>0</v>
      </c>
      <c r="BM406" s="408"/>
      <c r="BN406" s="408"/>
      <c r="BO406" s="408"/>
      <c r="BP406" s="408"/>
      <c r="BQ406" s="408"/>
      <c r="BR406" s="408"/>
      <c r="BS406" s="408"/>
      <c r="BT406" s="408"/>
      <c r="BU406" s="408"/>
      <c r="BV406" s="408">
        <v>3531.5723819400496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23919.008299999998</v>
      </c>
      <c r="CJ406" s="408">
        <v>-10613.270649999995</v>
      </c>
      <c r="CK406" s="408"/>
      <c r="CL406" s="408"/>
      <c r="CM406" s="408"/>
      <c r="CN406" s="408"/>
      <c r="CO406" s="408">
        <v>-11047.118129999997</v>
      </c>
      <c r="CP406" s="408">
        <v>434.67046999999997</v>
      </c>
      <c r="CQ406" s="408">
        <v>31</v>
      </c>
      <c r="CR406" s="408">
        <v>606.90864350443735</v>
      </c>
      <c r="CS406" s="408">
        <v>68.665830225955688</v>
      </c>
      <c r="CT406" s="408">
        <v>220.79596142772107</v>
      </c>
      <c r="CU406" s="408">
        <v>0</v>
      </c>
      <c r="CV406" s="408">
        <v>0</v>
      </c>
      <c r="CW406" s="408">
        <v>0</v>
      </c>
      <c r="CX406" s="408">
        <v>0</v>
      </c>
      <c r="CY406" s="408">
        <v>0</v>
      </c>
      <c r="CZ406" s="408">
        <v>-96.323217105324147</v>
      </c>
      <c r="DA406" s="408">
        <v>0</v>
      </c>
      <c r="DB406" s="408">
        <v>0</v>
      </c>
      <c r="DC406" s="408">
        <v>423.71928939043937</v>
      </c>
      <c r="DD406" s="408">
        <v>12.653715043798684</v>
      </c>
      <c r="DE406" s="408">
        <v>0.49131412403336006</v>
      </c>
      <c r="DF406" s="408">
        <v>0</v>
      </c>
      <c r="DG406" s="408">
        <v>16.452027786489197</v>
      </c>
      <c r="DH406" s="408">
        <v>0</v>
      </c>
      <c r="DI406" s="408">
        <v>-31.8935645730337</v>
      </c>
      <c r="DJ406" s="408"/>
      <c r="DK406" s="408">
        <v>0</v>
      </c>
      <c r="DL406" s="408">
        <v>0</v>
      </c>
      <c r="DM406" s="408">
        <v>-1.845812509799174</v>
      </c>
      <c r="DN406" s="408">
        <v>0</v>
      </c>
      <c r="DO406" s="408">
        <v>-5.0213875026222468</v>
      </c>
      <c r="DP406" s="408">
        <v>-0.78551280322058048</v>
      </c>
      <c r="DQ406" s="408">
        <v>0</v>
      </c>
      <c r="DR406" s="408">
        <v>0</v>
      </c>
      <c r="DS406" s="408"/>
      <c r="DT406" s="408"/>
      <c r="DU406" s="408">
        <v>21191.19101107831</v>
      </c>
      <c r="DV406" s="408">
        <v>0</v>
      </c>
      <c r="DW406" s="408">
        <v>0</v>
      </c>
      <c r="DX406" s="408">
        <v>0</v>
      </c>
      <c r="DY406" s="408">
        <v>-11047.118129999999</v>
      </c>
      <c r="DZ406" s="408">
        <v>434.67047000000002</v>
      </c>
      <c r="EA406" s="408">
        <v>0</v>
      </c>
      <c r="EB406" s="408">
        <v>0</v>
      </c>
      <c r="EC406" s="408">
        <v>-11219.612179332438</v>
      </c>
      <c r="ED406" s="408">
        <v>0</v>
      </c>
      <c r="EE406" s="408">
        <v>0</v>
      </c>
      <c r="EF406" s="408">
        <v>0</v>
      </c>
      <c r="EG406" s="408">
        <v>0</v>
      </c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>
        <v>0</v>
      </c>
      <c r="EN406" s="408">
        <v>0</v>
      </c>
      <c r="EO406" s="408">
        <v>0</v>
      </c>
      <c r="EP406" s="408">
        <v>0</v>
      </c>
      <c r="EQ406" s="408">
        <v>0</v>
      </c>
      <c r="ER406" s="408">
        <v>0</v>
      </c>
      <c r="ES406" s="408">
        <v>0</v>
      </c>
      <c r="ET406" s="408">
        <v>0</v>
      </c>
      <c r="EU406" s="408">
        <v>0</v>
      </c>
      <c r="EV406" s="408">
        <v>239</v>
      </c>
      <c r="EW406" s="408">
        <v>0</v>
      </c>
      <c r="EX406" s="408">
        <v>0</v>
      </c>
      <c r="EY406" s="408">
        <v>0</v>
      </c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410</v>
      </c>
      <c r="B407" s="408" t="s">
        <v>1034</v>
      </c>
      <c r="C407" s="408" t="s">
        <v>2245</v>
      </c>
      <c r="D407" s="408" t="s">
        <v>596</v>
      </c>
      <c r="E407" s="408" t="s">
        <v>2244</v>
      </c>
      <c r="F407" s="408" t="s">
        <v>1320</v>
      </c>
      <c r="G407" s="408" t="s">
        <v>1320</v>
      </c>
      <c r="H407" s="408" t="s">
        <v>1320</v>
      </c>
      <c r="I407" s="408" t="s">
        <v>2242</v>
      </c>
      <c r="J407" s="408" t="s">
        <v>2234</v>
      </c>
      <c r="K407" s="827">
        <v>44562</v>
      </c>
      <c r="L407" s="408">
        <v>435</v>
      </c>
      <c r="M407" s="408">
        <v>435</v>
      </c>
      <c r="N407" s="408">
        <v>159.07300000000001</v>
      </c>
      <c r="O407" s="408">
        <v>159.07300000000001</v>
      </c>
      <c r="P407" s="408">
        <v>159.07300000000001</v>
      </c>
      <c r="Q407" s="408">
        <v>159.07300000000001</v>
      </c>
      <c r="R407" s="408">
        <v>59.12</v>
      </c>
      <c r="S407" s="408">
        <v>70.33</v>
      </c>
      <c r="T407" s="408">
        <v>173.82</v>
      </c>
      <c r="U407" s="408">
        <v>25717.199999999997</v>
      </c>
      <c r="V407" s="408">
        <v>38837.67295</v>
      </c>
      <c r="W407" s="408">
        <v>64554.872949999997</v>
      </c>
      <c r="X407" s="408">
        <v>56850.81609</v>
      </c>
      <c r="Y407" s="408">
        <v>0</v>
      </c>
      <c r="Z407" s="408">
        <v>8462.6878169426236</v>
      </c>
      <c r="AA407" s="408">
        <v>0</v>
      </c>
      <c r="AB407" s="408">
        <v>0</v>
      </c>
      <c r="AC407" s="408">
        <v>248.84625805015168</v>
      </c>
      <c r="AD407" s="408">
        <v>2225.9048530612122</v>
      </c>
      <c r="AE407" s="408">
        <v>20950.382022316055</v>
      </c>
      <c r="AF407" s="408">
        <v>25598.366866983324</v>
      </c>
      <c r="AG407" s="408">
        <v>1287.8335955122309</v>
      </c>
      <c r="AH407" s="408">
        <v>0</v>
      </c>
      <c r="AI407" s="408">
        <v>0</v>
      </c>
      <c r="AJ407" s="408">
        <v>0</v>
      </c>
      <c r="AK407" s="408">
        <v>0</v>
      </c>
      <c r="AL407" s="408">
        <v>1503.4779278174653</v>
      </c>
      <c r="AM407" s="408"/>
      <c r="AN407" s="408">
        <v>197.68489518151739</v>
      </c>
      <c r="AO407" s="408">
        <v>525.51137032517613</v>
      </c>
      <c r="AP407" s="408">
        <v>1766.5297208486738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0</v>
      </c>
      <c r="BE407" s="408">
        <v>29.682007661321848</v>
      </c>
      <c r="BF407" s="408">
        <v>764.45526090497026</v>
      </c>
      <c r="BG407" s="408">
        <v>993.92464192561863</v>
      </c>
      <c r="BH407" s="408">
        <v>0</v>
      </c>
      <c r="BI407" s="408">
        <v>0</v>
      </c>
      <c r="BJ407" s="408">
        <v>0</v>
      </c>
      <c r="BK407" s="408">
        <v>0</v>
      </c>
      <c r="BL407" s="408">
        <v>0</v>
      </c>
      <c r="BM407" s="408"/>
      <c r="BN407" s="408"/>
      <c r="BO407" s="408"/>
      <c r="BP407" s="408"/>
      <c r="BQ407" s="408"/>
      <c r="BR407" s="408"/>
      <c r="BS407" s="408"/>
      <c r="BT407" s="408"/>
      <c r="BU407" s="408"/>
      <c r="BV407" s="408">
        <v>27386.428777475237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56850.023099999999</v>
      </c>
      <c r="CJ407" s="408">
        <v>-7704.8798500000048</v>
      </c>
      <c r="CK407" s="408"/>
      <c r="CL407" s="408"/>
      <c r="CM407" s="408"/>
      <c r="CN407" s="408"/>
      <c r="CO407" s="408">
        <v>-11074.813729999998</v>
      </c>
      <c r="CP407" s="408">
        <v>3370.7568699999997</v>
      </c>
      <c r="CQ407" s="408">
        <v>31</v>
      </c>
      <c r="CR407" s="408">
        <v>3388.5424222243237</v>
      </c>
      <c r="CS407" s="408">
        <v>51.023834025981387</v>
      </c>
      <c r="CT407" s="408">
        <v>171.51887545796103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-42.679962541203622</v>
      </c>
      <c r="DA407" s="408">
        <v>0</v>
      </c>
      <c r="DB407" s="408">
        <v>0</v>
      </c>
      <c r="DC407" s="408">
        <v>3285.8333018673693</v>
      </c>
      <c r="DD407" s="408">
        <v>98.126281536693114</v>
      </c>
      <c r="DE407" s="408">
        <v>3.8100137304323383</v>
      </c>
      <c r="DF407" s="408">
        <v>0</v>
      </c>
      <c r="DG407" s="408">
        <v>127.58121269829837</v>
      </c>
      <c r="DH407" s="408">
        <v>0</v>
      </c>
      <c r="DI407" s="408">
        <v>-247.32632951426967</v>
      </c>
      <c r="DJ407" s="408"/>
      <c r="DK407" s="408">
        <v>0</v>
      </c>
      <c r="DL407" s="408">
        <v>0</v>
      </c>
      <c r="DM407" s="408">
        <v>-14.313797756119584</v>
      </c>
      <c r="DN407" s="408">
        <v>0</v>
      </c>
      <c r="DO407" s="408">
        <v>-38.939559021334162</v>
      </c>
      <c r="DP407" s="408">
        <v>-6.091448259479705</v>
      </c>
      <c r="DQ407" s="408">
        <v>0</v>
      </c>
      <c r="DR407" s="408">
        <v>0</v>
      </c>
      <c r="DS407" s="408"/>
      <c r="DT407" s="408"/>
      <c r="DU407" s="408">
        <v>20950.382022316055</v>
      </c>
      <c r="DV407" s="408">
        <v>0</v>
      </c>
      <c r="DW407" s="408">
        <v>0</v>
      </c>
      <c r="DX407" s="408">
        <v>0</v>
      </c>
      <c r="DY407" s="408">
        <v>-11074.813729999998</v>
      </c>
      <c r="DZ407" s="408">
        <v>3370.7568700000011</v>
      </c>
      <c r="EA407" s="408">
        <v>0</v>
      </c>
      <c r="EB407" s="408">
        <v>0</v>
      </c>
      <c r="EC407" s="408">
        <v>-11092.116586385477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239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411</v>
      </c>
      <c r="B408" s="408" t="s">
        <v>1034</v>
      </c>
      <c r="C408" s="408" t="s">
        <v>2245</v>
      </c>
      <c r="D408" s="408" t="s">
        <v>596</v>
      </c>
      <c r="E408" s="408" t="s">
        <v>2244</v>
      </c>
      <c r="F408" s="408" t="s">
        <v>1320</v>
      </c>
      <c r="G408" s="408" t="s">
        <v>1320</v>
      </c>
      <c r="H408" s="408" t="s">
        <v>1320</v>
      </c>
      <c r="I408" s="408" t="s">
        <v>1320</v>
      </c>
      <c r="J408" s="408" t="s">
        <v>2234</v>
      </c>
      <c r="K408" s="827">
        <v>44562</v>
      </c>
      <c r="L408" s="408">
        <v>0</v>
      </c>
      <c r="M408" s="408">
        <v>0</v>
      </c>
      <c r="N408" s="408">
        <v>0</v>
      </c>
      <c r="O408" s="408">
        <v>0</v>
      </c>
      <c r="P408" s="408">
        <v>0</v>
      </c>
      <c r="Q408" s="408">
        <v>0</v>
      </c>
      <c r="R408" s="408"/>
      <c r="S408" s="408"/>
      <c r="T408" s="408"/>
      <c r="U408" s="408"/>
      <c r="V408" s="408"/>
      <c r="W408" s="408"/>
      <c r="X408" s="408"/>
      <c r="Y408" s="408"/>
      <c r="Z408" s="408"/>
      <c r="AA408" s="408">
        <v>0</v>
      </c>
      <c r="AB408" s="408"/>
      <c r="AC408" s="408"/>
      <c r="AD408" s="408"/>
      <c r="AE408" s="408"/>
      <c r="AF408" s="408"/>
      <c r="AG408" s="408"/>
      <c r="AH408" s="408"/>
      <c r="AI408" s="408"/>
      <c r="AJ408" s="408"/>
      <c r="AK408" s="408"/>
      <c r="AL408" s="408"/>
      <c r="AM408" s="408"/>
      <c r="AN408" s="408"/>
      <c r="AO408" s="408"/>
      <c r="AP408" s="408"/>
      <c r="AQ408" s="408"/>
      <c r="AR408" s="408"/>
      <c r="AS408" s="408"/>
      <c r="AT408" s="408"/>
      <c r="AU408" s="408"/>
      <c r="AV408" s="408"/>
      <c r="AW408" s="408"/>
      <c r="AX408" s="408"/>
      <c r="AY408" s="408"/>
      <c r="AZ408" s="408">
        <v>0</v>
      </c>
      <c r="BA408" s="408"/>
      <c r="BB408" s="408"/>
      <c r="BC408" s="408"/>
      <c r="BD408" s="408"/>
      <c r="BE408" s="408"/>
      <c r="BF408" s="408"/>
      <c r="BG408" s="408"/>
      <c r="BH408" s="408"/>
      <c r="BI408" s="408">
        <v>0</v>
      </c>
      <c r="BJ408" s="408">
        <v>0</v>
      </c>
      <c r="BK408" s="408">
        <v>0</v>
      </c>
      <c r="BL408" s="408">
        <v>1</v>
      </c>
      <c r="BM408" s="408"/>
      <c r="BN408" s="408"/>
      <c r="BO408" s="408"/>
      <c r="BP408" s="408"/>
      <c r="BQ408" s="408"/>
      <c r="BR408" s="408"/>
      <c r="BS408" s="408"/>
      <c r="BT408" s="408"/>
      <c r="BU408" s="408"/>
      <c r="BV408" s="408"/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/>
      <c r="CJ408" s="408">
        <v>-0.03</v>
      </c>
      <c r="CK408" s="408"/>
      <c r="CL408" s="408"/>
      <c r="CM408" s="408"/>
      <c r="CN408" s="408"/>
      <c r="CO408" s="408">
        <v>0</v>
      </c>
      <c r="CP408" s="408">
        <v>0</v>
      </c>
      <c r="CQ408" s="408">
        <v>31</v>
      </c>
      <c r="CR408" s="408"/>
      <c r="CS408" s="408"/>
      <c r="CT408" s="408"/>
      <c r="CU408" s="408"/>
      <c r="CV408" s="408"/>
      <c r="CW408" s="408"/>
      <c r="CX408" s="408"/>
      <c r="CY408" s="408"/>
      <c r="CZ408" s="408"/>
      <c r="DA408" s="408"/>
      <c r="DB408" s="408"/>
      <c r="DC408" s="408"/>
      <c r="DD408" s="408"/>
      <c r="DE408" s="408"/>
      <c r="DF408" s="408"/>
      <c r="DG408" s="408"/>
      <c r="DH408" s="408"/>
      <c r="DI408" s="408"/>
      <c r="DJ408" s="408"/>
      <c r="DK408" s="408">
        <v>0</v>
      </c>
      <c r="DL408" s="408"/>
      <c r="DM408" s="408"/>
      <c r="DN408" s="408"/>
      <c r="DO408" s="408"/>
      <c r="DP408" s="408"/>
      <c r="DQ408" s="408"/>
      <c r="DR408" s="408"/>
      <c r="DS408" s="408"/>
      <c r="DT408" s="408"/>
      <c r="DU408" s="408"/>
      <c r="DV408" s="408"/>
      <c r="DW408" s="408"/>
      <c r="DX408" s="408"/>
      <c r="DY408" s="408"/>
      <c r="DZ408" s="408"/>
      <c r="EA408" s="408"/>
      <c r="EB408" s="408"/>
      <c r="EC408" s="408"/>
      <c r="ED408" s="408"/>
      <c r="EE408" s="408"/>
      <c r="EF408" s="408"/>
      <c r="EG408" s="408"/>
      <c r="EH408" s="408"/>
      <c r="EI408" s="408"/>
      <c r="EJ408" s="408"/>
      <c r="EK408" s="408"/>
      <c r="EL408" s="408"/>
      <c r="EM408" s="408"/>
      <c r="EN408" s="408"/>
      <c r="EO408" s="408"/>
      <c r="EP408" s="408"/>
      <c r="EQ408" s="408"/>
      <c r="ER408" s="408"/>
      <c r="ES408" s="408"/>
      <c r="ET408" s="408"/>
      <c r="EU408" s="408"/>
      <c r="EV408" s="408">
        <v>239</v>
      </c>
      <c r="EW408" s="408"/>
      <c r="EX408" s="408"/>
      <c r="EY408" s="408"/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412</v>
      </c>
      <c r="B409" s="408" t="s">
        <v>1034</v>
      </c>
      <c r="C409" s="408" t="s">
        <v>2233</v>
      </c>
      <c r="D409" s="408" t="s">
        <v>2246</v>
      </c>
      <c r="E409" s="408" t="s">
        <v>2247</v>
      </c>
      <c r="F409" s="408" t="s">
        <v>2248</v>
      </c>
      <c r="G409" s="408" t="s">
        <v>1320</v>
      </c>
      <c r="H409" s="408" t="s">
        <v>1320</v>
      </c>
      <c r="I409" s="408" t="s">
        <v>1320</v>
      </c>
      <c r="J409" s="408" t="s">
        <v>2234</v>
      </c>
      <c r="K409" s="827">
        <v>44562</v>
      </c>
      <c r="L409" s="408">
        <v>0</v>
      </c>
      <c r="M409" s="408">
        <v>0</v>
      </c>
      <c r="N409" s="408">
        <v>298.56299999999999</v>
      </c>
      <c r="O409" s="408">
        <v>298.56299999999999</v>
      </c>
      <c r="P409" s="408">
        <v>298.56299999999999</v>
      </c>
      <c r="Q409" s="408">
        <v>298.56299999999999</v>
      </c>
      <c r="R409" s="408"/>
      <c r="S409" s="408">
        <v>284.26</v>
      </c>
      <c r="T409" s="408">
        <v>95.6</v>
      </c>
      <c r="U409" s="408"/>
      <c r="V409" s="408">
        <v>113412.14117999999</v>
      </c>
      <c r="W409" s="408">
        <v>113412.14117999999</v>
      </c>
      <c r="X409" s="408">
        <v>85624.882769999997</v>
      </c>
      <c r="Y409" s="408">
        <v>0</v>
      </c>
      <c r="Z409" s="408">
        <v>10041.330727715576</v>
      </c>
      <c r="AA409" s="408">
        <v>0</v>
      </c>
      <c r="AB409" s="408">
        <v>0</v>
      </c>
      <c r="AC409" s="408">
        <v>446.39474983608949</v>
      </c>
      <c r="AD409" s="408">
        <v>5653.181828724425</v>
      </c>
      <c r="AE409" s="408">
        <v>59709.222458795201</v>
      </c>
      <c r="AF409" s="408">
        <v>26424.967554512303</v>
      </c>
      <c r="AG409" s="408">
        <v>1329.4192224783901</v>
      </c>
      <c r="AH409" s="408">
        <v>0</v>
      </c>
      <c r="AI409" s="408">
        <v>0</v>
      </c>
      <c r="AJ409" s="408">
        <v>0</v>
      </c>
      <c r="AK409" s="408">
        <v>0</v>
      </c>
      <c r="AL409" s="408">
        <v>1552.0269581238247</v>
      </c>
      <c r="AM409" s="408"/>
      <c r="AN409" s="408">
        <v>254.77816465037714</v>
      </c>
      <c r="AO409" s="408">
        <v>952.17027609550723</v>
      </c>
      <c r="AP409" s="408">
        <v>3118.2289097321504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0</v>
      </c>
      <c r="BE409" s="408">
        <v>91.105585661710265</v>
      </c>
      <c r="BF409" s="408">
        <v>789.14039990359151</v>
      </c>
      <c r="BG409" s="408">
        <v>3050.7399512680527</v>
      </c>
      <c r="BH409" s="408">
        <v>0</v>
      </c>
      <c r="BI409" s="408">
        <v>0</v>
      </c>
      <c r="BJ409" s="408">
        <v>0</v>
      </c>
      <c r="BK409" s="408">
        <v>32005.09</v>
      </c>
      <c r="BL409" s="408">
        <v>15</v>
      </c>
      <c r="BM409" s="408"/>
      <c r="BN409" s="408"/>
      <c r="BO409" s="408"/>
      <c r="BP409" s="408"/>
      <c r="BQ409" s="408"/>
      <c r="BR409" s="408"/>
      <c r="BS409" s="408"/>
      <c r="BT409" s="408"/>
      <c r="BU409" s="408"/>
      <c r="BV409" s="408">
        <v>30355.953491345655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85624.022400000002</v>
      </c>
      <c r="CJ409" s="408">
        <v>-27788.148779999974</v>
      </c>
      <c r="CK409" s="408"/>
      <c r="CL409" s="408"/>
      <c r="CM409" s="408"/>
      <c r="CN409" s="408"/>
      <c r="CO409" s="408">
        <v>-31265.517359999998</v>
      </c>
      <c r="CP409" s="408">
        <v>3478.2589500000017</v>
      </c>
      <c r="CQ409" s="408">
        <v>31</v>
      </c>
      <c r="CR409" s="408">
        <v>3827.0502358324957</v>
      </c>
      <c r="CS409" s="408">
        <v>92.449718265675983</v>
      </c>
      <c r="CT409" s="408">
        <v>302.76032704436057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-108.39528399280789</v>
      </c>
      <c r="DA409" s="408">
        <v>0</v>
      </c>
      <c r="DB409" s="408">
        <v>0</v>
      </c>
      <c r="DC409" s="408">
        <v>3391.9366357456347</v>
      </c>
      <c r="DD409" s="408">
        <v>101.29489194861378</v>
      </c>
      <c r="DE409" s="408">
        <v>11.694408823379874</v>
      </c>
      <c r="DF409" s="408">
        <v>0</v>
      </c>
      <c r="DG409" s="408">
        <v>391.59618968281484</v>
      </c>
      <c r="DH409" s="408">
        <v>0</v>
      </c>
      <c r="DI409" s="408">
        <v>-293.4629666183373</v>
      </c>
      <c r="DJ409" s="408"/>
      <c r="DK409" s="408">
        <v>0</v>
      </c>
      <c r="DL409" s="408">
        <v>0</v>
      </c>
      <c r="DM409" s="408">
        <v>-14.776006737178704</v>
      </c>
      <c r="DN409" s="408">
        <v>0</v>
      </c>
      <c r="DO409" s="408">
        <v>-40.196962137179071</v>
      </c>
      <c r="DP409" s="408">
        <v>-7.8507161924932234</v>
      </c>
      <c r="DQ409" s="408">
        <v>0</v>
      </c>
      <c r="DR409" s="408">
        <v>0</v>
      </c>
      <c r="DS409" s="408"/>
      <c r="DT409" s="408"/>
      <c r="DU409" s="408"/>
      <c r="DV409" s="408">
        <v>59709.222458795201</v>
      </c>
      <c r="DW409" s="408">
        <v>0</v>
      </c>
      <c r="DX409" s="408">
        <v>0</v>
      </c>
      <c r="DY409" s="408">
        <v>-31265.517359999998</v>
      </c>
      <c r="DZ409" s="408">
        <v>3478.2589500000031</v>
      </c>
      <c r="EA409" s="408">
        <v>0</v>
      </c>
      <c r="EB409" s="408">
        <v>0</v>
      </c>
      <c r="EC409" s="408">
        <v>-31612.867779208365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0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239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413</v>
      </c>
      <c r="B410" s="408" t="s">
        <v>1034</v>
      </c>
      <c r="C410" s="408" t="s">
        <v>2233</v>
      </c>
      <c r="D410" s="408" t="s">
        <v>1956</v>
      </c>
      <c r="E410" s="408" t="s">
        <v>999</v>
      </c>
      <c r="F410" s="408" t="s">
        <v>2249</v>
      </c>
      <c r="G410" s="408" t="s">
        <v>1320</v>
      </c>
      <c r="H410" s="408" t="s">
        <v>1320</v>
      </c>
      <c r="I410" s="408" t="s">
        <v>1320</v>
      </c>
      <c r="J410" s="408" t="s">
        <v>2234</v>
      </c>
      <c r="K410" s="827">
        <v>44562</v>
      </c>
      <c r="L410" s="408">
        <v>0</v>
      </c>
      <c r="M410" s="408">
        <v>0</v>
      </c>
      <c r="N410" s="408">
        <v>10.1</v>
      </c>
      <c r="O410" s="408">
        <v>9.4939999999999998</v>
      </c>
      <c r="P410" s="408">
        <v>10.1</v>
      </c>
      <c r="Q410" s="408">
        <v>9.4939999999999998</v>
      </c>
      <c r="R410" s="408"/>
      <c r="S410" s="408">
        <v>516.83000000000004</v>
      </c>
      <c r="T410" s="408">
        <v>173.82</v>
      </c>
      <c r="U410" s="408"/>
      <c r="V410" s="408">
        <v>6975.5650000000005</v>
      </c>
      <c r="W410" s="408">
        <v>6975.5650000000005</v>
      </c>
      <c r="X410" s="408">
        <v>5266.6449999999995</v>
      </c>
      <c r="Y410" s="408">
        <v>0</v>
      </c>
      <c r="Z410" s="408">
        <v>617.6095031560393</v>
      </c>
      <c r="AA410" s="408">
        <v>0</v>
      </c>
      <c r="AB410" s="408">
        <v>0</v>
      </c>
      <c r="AC410" s="408">
        <v>27.456285141247786</v>
      </c>
      <c r="AD410" s="408">
        <v>347.70877637286657</v>
      </c>
      <c r="AE410" s="408">
        <v>3672.5195311836596</v>
      </c>
      <c r="AF410" s="408">
        <v>1625.3135689685337</v>
      </c>
      <c r="AG410" s="408">
        <v>81.768240459873965</v>
      </c>
      <c r="AH410" s="408">
        <v>0</v>
      </c>
      <c r="AI410" s="408">
        <v>0</v>
      </c>
      <c r="AJ410" s="408">
        <v>0</v>
      </c>
      <c r="AK410" s="408">
        <v>0</v>
      </c>
      <c r="AL410" s="408">
        <v>95.46011624195431</v>
      </c>
      <c r="AM410" s="408"/>
      <c r="AN410" s="408">
        <v>15.670573945981868</v>
      </c>
      <c r="AO410" s="408">
        <v>58.564888169267938</v>
      </c>
      <c r="AP410" s="408">
        <v>191.7920901012499</v>
      </c>
      <c r="AQ410" s="408">
        <v>0</v>
      </c>
      <c r="AR410" s="408">
        <v>0</v>
      </c>
      <c r="AS410" s="408">
        <v>0</v>
      </c>
      <c r="AT410" s="408">
        <v>0</v>
      </c>
      <c r="AU410" s="408">
        <v>0</v>
      </c>
      <c r="AV410" s="408">
        <v>0</v>
      </c>
      <c r="AW410" s="408">
        <v>0</v>
      </c>
      <c r="AX410" s="408">
        <v>0</v>
      </c>
      <c r="AY410" s="408">
        <v>0</v>
      </c>
      <c r="AZ410" s="408">
        <v>0</v>
      </c>
      <c r="BA410" s="408"/>
      <c r="BB410" s="408">
        <v>0</v>
      </c>
      <c r="BC410" s="408">
        <v>0</v>
      </c>
      <c r="BD410" s="408">
        <v>0</v>
      </c>
      <c r="BE410" s="408">
        <v>5.603607432226271</v>
      </c>
      <c r="BF410" s="408">
        <v>48.537452208358417</v>
      </c>
      <c r="BG410" s="408">
        <v>187.64106438207156</v>
      </c>
      <c r="BH410" s="408">
        <v>0</v>
      </c>
      <c r="BI410" s="408">
        <v>0</v>
      </c>
      <c r="BJ410" s="408">
        <v>0</v>
      </c>
      <c r="BK410" s="408">
        <v>2864.14</v>
      </c>
      <c r="BL410" s="408">
        <v>7</v>
      </c>
      <c r="BM410" s="408"/>
      <c r="BN410" s="408"/>
      <c r="BO410" s="408"/>
      <c r="BP410" s="408"/>
      <c r="BQ410" s="408">
        <v>315.99869999999993</v>
      </c>
      <c r="BR410" s="408"/>
      <c r="BS410" s="408"/>
      <c r="BT410" s="408"/>
      <c r="BU410" s="408"/>
      <c r="BV410" s="408">
        <v>1867.0956929911899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4948.5605000000005</v>
      </c>
      <c r="CJ410" s="408">
        <v>-1608.5006000000003</v>
      </c>
      <c r="CK410" s="408"/>
      <c r="CL410" s="408"/>
      <c r="CM410" s="408"/>
      <c r="CN410" s="408"/>
      <c r="CO410" s="408">
        <v>-1922.9390000000003</v>
      </c>
      <c r="CP410" s="408">
        <v>214.01899999999998</v>
      </c>
      <c r="CQ410" s="408">
        <v>31</v>
      </c>
      <c r="CR410" s="408">
        <v>235.38937804148236</v>
      </c>
      <c r="CS410" s="408">
        <v>5.6862806447935057</v>
      </c>
      <c r="CT410" s="408">
        <v>18.621800260509048</v>
      </c>
      <c r="CU410" s="408">
        <v>0</v>
      </c>
      <c r="CV410" s="408">
        <v>0</v>
      </c>
      <c r="CW410" s="408">
        <v>0</v>
      </c>
      <c r="CX410" s="408">
        <v>0</v>
      </c>
      <c r="CY410" s="408">
        <v>0</v>
      </c>
      <c r="CZ410" s="408">
        <v>-6.6670403860398437</v>
      </c>
      <c r="DA410" s="408">
        <v>0</v>
      </c>
      <c r="DB410" s="408">
        <v>0</v>
      </c>
      <c r="DC410" s="408">
        <v>208.62695962772068</v>
      </c>
      <c r="DD410" s="408">
        <v>6.2303184294041145</v>
      </c>
      <c r="DE410" s="408">
        <v>0.71928494528876108</v>
      </c>
      <c r="DF410" s="408">
        <v>0</v>
      </c>
      <c r="DG410" s="408">
        <v>24.085804432299909</v>
      </c>
      <c r="DH410" s="408">
        <v>0</v>
      </c>
      <c r="DI410" s="408">
        <v>-18.049949944141531</v>
      </c>
      <c r="DJ410" s="408"/>
      <c r="DK410" s="408">
        <v>0</v>
      </c>
      <c r="DL410" s="408">
        <v>0</v>
      </c>
      <c r="DM410" s="408">
        <v>-0.90882398230252193</v>
      </c>
      <c r="DN410" s="408">
        <v>0</v>
      </c>
      <c r="DO410" s="408">
        <v>-2.4723840382432911</v>
      </c>
      <c r="DP410" s="408">
        <v>-0.48287194780682441</v>
      </c>
      <c r="DQ410" s="408">
        <v>0</v>
      </c>
      <c r="DR410" s="408">
        <v>0</v>
      </c>
      <c r="DS410" s="408"/>
      <c r="DT410" s="408"/>
      <c r="DU410" s="408"/>
      <c r="DV410" s="408">
        <v>3672.5195311836596</v>
      </c>
      <c r="DW410" s="408">
        <v>0</v>
      </c>
      <c r="DX410" s="408">
        <v>0</v>
      </c>
      <c r="DY410" s="408">
        <v>-1922.9390000000003</v>
      </c>
      <c r="DZ410" s="408">
        <v>214.01900000000001</v>
      </c>
      <c r="EA410" s="408">
        <v>0</v>
      </c>
      <c r="EB410" s="408">
        <v>0</v>
      </c>
      <c r="EC410" s="408">
        <v>-1944.4043913984674</v>
      </c>
      <c r="ED410" s="408">
        <v>0</v>
      </c>
      <c r="EE410" s="408">
        <v>0</v>
      </c>
      <c r="EF410" s="408">
        <v>0</v>
      </c>
      <c r="EG410" s="408">
        <v>0</v>
      </c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>
        <v>0</v>
      </c>
      <c r="EN410" s="408">
        <v>0</v>
      </c>
      <c r="EO410" s="408">
        <v>0</v>
      </c>
      <c r="EP410" s="408">
        <v>0</v>
      </c>
      <c r="EQ410" s="408">
        <v>0</v>
      </c>
      <c r="ER410" s="408">
        <v>0</v>
      </c>
      <c r="ES410" s="408">
        <v>0</v>
      </c>
      <c r="ET410" s="408">
        <v>0</v>
      </c>
      <c r="EU410" s="408">
        <v>0</v>
      </c>
      <c r="EV410" s="408">
        <v>239</v>
      </c>
      <c r="EW410" s="408">
        <v>0</v>
      </c>
      <c r="EX410" s="408">
        <v>0</v>
      </c>
      <c r="EY410" s="408">
        <v>0</v>
      </c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414</v>
      </c>
      <c r="B411" s="408" t="s">
        <v>1034</v>
      </c>
      <c r="C411" s="408" t="s">
        <v>2245</v>
      </c>
      <c r="D411" s="408" t="s">
        <v>596</v>
      </c>
      <c r="E411" s="408" t="s">
        <v>999</v>
      </c>
      <c r="F411" s="408" t="s">
        <v>2249</v>
      </c>
      <c r="G411" s="408" t="s">
        <v>1320</v>
      </c>
      <c r="H411" s="408" t="s">
        <v>1320</v>
      </c>
      <c r="I411" s="408" t="s">
        <v>971</v>
      </c>
      <c r="J411" s="408" t="s">
        <v>2234</v>
      </c>
      <c r="K411" s="827">
        <v>44562</v>
      </c>
      <c r="L411" s="408">
        <v>100</v>
      </c>
      <c r="M411" s="408">
        <v>94</v>
      </c>
      <c r="N411" s="408">
        <v>4.4009999999999998</v>
      </c>
      <c r="O411" s="408">
        <v>4.1369400000000001</v>
      </c>
      <c r="P411" s="408">
        <v>4.4009999999999998</v>
      </c>
      <c r="Q411" s="408">
        <v>4.1369400000000001</v>
      </c>
      <c r="R411" s="408">
        <v>67.099999999999994</v>
      </c>
      <c r="S411" s="408">
        <v>70.33</v>
      </c>
      <c r="T411" s="408">
        <v>173.82</v>
      </c>
      <c r="U411" s="408">
        <v>6709.9999999999991</v>
      </c>
      <c r="V411" s="408">
        <v>1074.50415</v>
      </c>
      <c r="W411" s="408">
        <v>7784.5041499999988</v>
      </c>
      <c r="X411" s="408">
        <v>5367.3163300000006</v>
      </c>
      <c r="Y411" s="408">
        <v>0</v>
      </c>
      <c r="Z411" s="408">
        <v>234.13331666822455</v>
      </c>
      <c r="AA411" s="408">
        <v>0</v>
      </c>
      <c r="AB411" s="408">
        <v>0</v>
      </c>
      <c r="AC411" s="408">
        <v>74.841808613404609</v>
      </c>
      <c r="AD411" s="408">
        <v>1141.7233140635399</v>
      </c>
      <c r="AE411" s="408">
        <v>4816.1797752450702</v>
      </c>
      <c r="AF411" s="408">
        <v>708.21831851787294</v>
      </c>
      <c r="AG411" s="408">
        <v>35.629903590485675</v>
      </c>
      <c r="AH411" s="408">
        <v>0</v>
      </c>
      <c r="AI411" s="408">
        <v>0</v>
      </c>
      <c r="AJ411" s="408">
        <v>0</v>
      </c>
      <c r="AK411" s="408">
        <v>0</v>
      </c>
      <c r="AL411" s="408">
        <v>41.596036790182275</v>
      </c>
      <c r="AM411" s="408"/>
      <c r="AN411" s="408">
        <v>5.4692576596522224</v>
      </c>
      <c r="AO411" s="408">
        <v>160.73003041081299</v>
      </c>
      <c r="AP411" s="408">
        <v>516.82971687782799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0</v>
      </c>
      <c r="BE411" s="408">
        <v>0.82119854228861866</v>
      </c>
      <c r="BF411" s="408">
        <v>21.149834373166872</v>
      </c>
      <c r="BG411" s="408">
        <v>27.498458878091487</v>
      </c>
      <c r="BH411" s="408">
        <v>0</v>
      </c>
      <c r="BI411" s="408">
        <v>0</v>
      </c>
      <c r="BJ411" s="408">
        <v>0</v>
      </c>
      <c r="BK411" s="408">
        <v>0</v>
      </c>
      <c r="BL411" s="408">
        <v>0</v>
      </c>
      <c r="BM411" s="408"/>
      <c r="BN411" s="408"/>
      <c r="BO411" s="408"/>
      <c r="BP411" s="408"/>
      <c r="BQ411" s="408">
        <v>322.03897979999994</v>
      </c>
      <c r="BR411" s="408"/>
      <c r="BS411" s="408"/>
      <c r="BT411" s="408"/>
      <c r="BU411" s="408"/>
      <c r="BV411" s="408">
        <v>757.68781031141987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5046.0861999999997</v>
      </c>
      <c r="CJ411" s="408">
        <v>-2271.3777010000003</v>
      </c>
      <c r="CK411" s="408"/>
      <c r="CL411" s="408"/>
      <c r="CM411" s="408"/>
      <c r="CN411" s="408"/>
      <c r="CO411" s="408">
        <v>-2510.4450099999995</v>
      </c>
      <c r="CP411" s="408">
        <v>93.25718999999998</v>
      </c>
      <c r="CQ411" s="408">
        <v>31</v>
      </c>
      <c r="CR411" s="408">
        <v>132.66820489671318</v>
      </c>
      <c r="CS411" s="408">
        <v>15.60587050589902</v>
      </c>
      <c r="CT411" s="408">
        <v>50.180900324482081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-21.891640251209992</v>
      </c>
      <c r="DA411" s="408">
        <v>0</v>
      </c>
      <c r="DB411" s="408">
        <v>0</v>
      </c>
      <c r="DC411" s="408">
        <v>90.907648447683073</v>
      </c>
      <c r="DD411" s="408">
        <v>2.7148149908720285</v>
      </c>
      <c r="DE411" s="408">
        <v>0.10540990883199997</v>
      </c>
      <c r="DF411" s="408">
        <v>0</v>
      </c>
      <c r="DG411" s="408">
        <v>3.5297311114092942</v>
      </c>
      <c r="DH411" s="408">
        <v>0</v>
      </c>
      <c r="DI411" s="408">
        <v>-6.8426645388739757</v>
      </c>
      <c r="DJ411" s="408"/>
      <c r="DK411" s="408">
        <v>0</v>
      </c>
      <c r="DL411" s="408">
        <v>0</v>
      </c>
      <c r="DM411" s="408">
        <v>-0.39601330159538861</v>
      </c>
      <c r="DN411" s="408">
        <v>0</v>
      </c>
      <c r="DO411" s="408">
        <v>-1.0773229853771085</v>
      </c>
      <c r="DP411" s="408">
        <v>-0.1685293154084615</v>
      </c>
      <c r="DQ411" s="408">
        <v>0</v>
      </c>
      <c r="DR411" s="408">
        <v>0</v>
      </c>
      <c r="DS411" s="408"/>
      <c r="DT411" s="408"/>
      <c r="DU411" s="408">
        <v>4816.1797752450702</v>
      </c>
      <c r="DV411" s="408">
        <v>0</v>
      </c>
      <c r="DW411" s="408">
        <v>0</v>
      </c>
      <c r="DX411" s="408">
        <v>0</v>
      </c>
      <c r="DY411" s="408">
        <v>-2510.4450099999985</v>
      </c>
      <c r="DZ411" s="408">
        <v>93.257189999999923</v>
      </c>
      <c r="EA411" s="408">
        <v>0</v>
      </c>
      <c r="EB411" s="408">
        <v>0</v>
      </c>
      <c r="EC411" s="408">
        <v>-2549.9118589391901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239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415</v>
      </c>
      <c r="B412" s="408" t="s">
        <v>1034</v>
      </c>
      <c r="C412" s="408" t="s">
        <v>2245</v>
      </c>
      <c r="D412" s="408" t="s">
        <v>596</v>
      </c>
      <c r="E412" s="408" t="s">
        <v>999</v>
      </c>
      <c r="F412" s="408" t="s">
        <v>2249</v>
      </c>
      <c r="G412" s="408" t="s">
        <v>1320</v>
      </c>
      <c r="H412" s="408" t="s">
        <v>1320</v>
      </c>
      <c r="I412" s="408" t="s">
        <v>2242</v>
      </c>
      <c r="J412" s="408" t="s">
        <v>2234</v>
      </c>
      <c r="K412" s="827">
        <v>44562</v>
      </c>
      <c r="L412" s="408">
        <v>100</v>
      </c>
      <c r="M412" s="408">
        <v>94</v>
      </c>
      <c r="N412" s="408">
        <v>38.728999999999999</v>
      </c>
      <c r="O412" s="408">
        <v>36.405259999999998</v>
      </c>
      <c r="P412" s="408">
        <v>38.728999999999999</v>
      </c>
      <c r="Q412" s="408">
        <v>36.405259999999998</v>
      </c>
      <c r="R412" s="408">
        <v>59.12</v>
      </c>
      <c r="S412" s="408">
        <v>70.33</v>
      </c>
      <c r="T412" s="408">
        <v>173.82</v>
      </c>
      <c r="U412" s="408">
        <v>5912</v>
      </c>
      <c r="V412" s="408">
        <v>9455.6853499999997</v>
      </c>
      <c r="W412" s="408">
        <v>15367.68535</v>
      </c>
      <c r="X412" s="408">
        <v>13640.236569999999</v>
      </c>
      <c r="Y412" s="408">
        <v>0</v>
      </c>
      <c r="Z412" s="408">
        <v>2060.3838266856778</v>
      </c>
      <c r="AA412" s="408">
        <v>0</v>
      </c>
      <c r="AB412" s="408">
        <v>0</v>
      </c>
      <c r="AC412" s="408">
        <v>57.206036333368203</v>
      </c>
      <c r="AD412" s="408">
        <v>511.70226507154302</v>
      </c>
      <c r="AE412" s="408">
        <v>4816.1797752450702</v>
      </c>
      <c r="AF412" s="408">
        <v>6232.3533873843908</v>
      </c>
      <c r="AG412" s="408">
        <v>313.54477076935234</v>
      </c>
      <c r="AH412" s="408">
        <v>0</v>
      </c>
      <c r="AI412" s="408">
        <v>0</v>
      </c>
      <c r="AJ412" s="408">
        <v>0</v>
      </c>
      <c r="AK412" s="408">
        <v>0</v>
      </c>
      <c r="AL412" s="408">
        <v>366.04701405293554</v>
      </c>
      <c r="AM412" s="408"/>
      <c r="AN412" s="408">
        <v>48.129715951072697</v>
      </c>
      <c r="AO412" s="408">
        <v>120.807211569006</v>
      </c>
      <c r="AP412" s="408">
        <v>406.098786401994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0</v>
      </c>
      <c r="BE412" s="408">
        <v>7.2265844908647843</v>
      </c>
      <c r="BF412" s="408">
        <v>186.11950362153596</v>
      </c>
      <c r="BG412" s="408">
        <v>241.98768777314365</v>
      </c>
      <c r="BH412" s="408">
        <v>0</v>
      </c>
      <c r="BI412" s="408">
        <v>0</v>
      </c>
      <c r="BJ412" s="408">
        <v>0</v>
      </c>
      <c r="BK412" s="408">
        <v>0</v>
      </c>
      <c r="BL412" s="408">
        <v>0</v>
      </c>
      <c r="BM412" s="408"/>
      <c r="BN412" s="408"/>
      <c r="BO412" s="408"/>
      <c r="BP412" s="408"/>
      <c r="BQ412" s="408">
        <v>818.41419420000011</v>
      </c>
      <c r="BR412" s="408"/>
      <c r="BS412" s="408"/>
      <c r="BT412" s="408"/>
      <c r="BU412" s="408"/>
      <c r="BV412" s="408">
        <v>6667.6871632699358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12823.075299999997</v>
      </c>
      <c r="CJ412" s="408">
        <v>-1622.5789290000012</v>
      </c>
      <c r="CK412" s="408"/>
      <c r="CL412" s="408"/>
      <c r="CM412" s="408"/>
      <c r="CN412" s="408"/>
      <c r="CO412" s="408">
        <v>-2548.1162899999999</v>
      </c>
      <c r="CP412" s="408">
        <v>820.66750999999988</v>
      </c>
      <c r="CQ412" s="408">
        <v>31</v>
      </c>
      <c r="CR412" s="408">
        <v>822.55484613510998</v>
      </c>
      <c r="CS412" s="408">
        <v>11.729617017467007</v>
      </c>
      <c r="CT412" s="408">
        <v>39.429626542059964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-9.8114856416560201</v>
      </c>
      <c r="DA412" s="408">
        <v>0</v>
      </c>
      <c r="DB412" s="408">
        <v>0</v>
      </c>
      <c r="DC412" s="408">
        <v>799.99143756653393</v>
      </c>
      <c r="DD412" s="408">
        <v>23.890495292316047</v>
      </c>
      <c r="DE412" s="408">
        <v>0.9276119879923943</v>
      </c>
      <c r="DF412" s="408">
        <v>0</v>
      </c>
      <c r="DG412" s="408">
        <v>31.061794186269196</v>
      </c>
      <c r="DH412" s="408">
        <v>0</v>
      </c>
      <c r="DI412" s="408">
        <v>-60.21575890162444</v>
      </c>
      <c r="DJ412" s="408"/>
      <c r="DK412" s="408">
        <v>0</v>
      </c>
      <c r="DL412" s="408">
        <v>0</v>
      </c>
      <c r="DM412" s="408">
        <v>-3.4849350505538723</v>
      </c>
      <c r="DN412" s="408">
        <v>0</v>
      </c>
      <c r="DO412" s="408">
        <v>-9.4804912294183055</v>
      </c>
      <c r="DP412" s="408">
        <v>-1.4830656342772812</v>
      </c>
      <c r="DQ412" s="408">
        <v>0</v>
      </c>
      <c r="DR412" s="408">
        <v>0</v>
      </c>
      <c r="DS412" s="408"/>
      <c r="DT412" s="408"/>
      <c r="DU412" s="408">
        <v>4816.1797752450702</v>
      </c>
      <c r="DV412" s="408">
        <v>0</v>
      </c>
      <c r="DW412" s="408">
        <v>0</v>
      </c>
      <c r="DX412" s="408">
        <v>0</v>
      </c>
      <c r="DY412" s="408">
        <v>-2548.1162899999999</v>
      </c>
      <c r="DZ412" s="408">
        <v>820.66751000000022</v>
      </c>
      <c r="EA412" s="408">
        <v>0</v>
      </c>
      <c r="EB412" s="408">
        <v>0</v>
      </c>
      <c r="EC412" s="408">
        <v>-2549.9118589391901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239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416</v>
      </c>
      <c r="B413" s="408" t="s">
        <v>1034</v>
      </c>
      <c r="C413" s="408" t="s">
        <v>2245</v>
      </c>
      <c r="D413" s="408" t="s">
        <v>596</v>
      </c>
      <c r="E413" s="408" t="s">
        <v>999</v>
      </c>
      <c r="F413" s="408" t="s">
        <v>2249</v>
      </c>
      <c r="G413" s="408" t="s">
        <v>1320</v>
      </c>
      <c r="H413" s="408" t="s">
        <v>1320</v>
      </c>
      <c r="I413" s="408" t="s">
        <v>1320</v>
      </c>
      <c r="J413" s="408" t="s">
        <v>2234</v>
      </c>
      <c r="K413" s="827">
        <v>44562</v>
      </c>
      <c r="L413" s="408">
        <v>0</v>
      </c>
      <c r="M413" s="408">
        <v>0</v>
      </c>
      <c r="N413" s="408">
        <v>0</v>
      </c>
      <c r="O413" s="408">
        <v>0</v>
      </c>
      <c r="P413" s="408">
        <v>0</v>
      </c>
      <c r="Q413" s="408">
        <v>0</v>
      </c>
      <c r="R413" s="408"/>
      <c r="S413" s="408"/>
      <c r="T413" s="408"/>
      <c r="U413" s="408"/>
      <c r="V413" s="408"/>
      <c r="W413" s="408"/>
      <c r="X413" s="408"/>
      <c r="Y413" s="408"/>
      <c r="Z413" s="408"/>
      <c r="AA413" s="408">
        <v>0</v>
      </c>
      <c r="AB413" s="408"/>
      <c r="AC413" s="408"/>
      <c r="AD413" s="408"/>
      <c r="AE413" s="408"/>
      <c r="AF413" s="408"/>
      <c r="AG413" s="408"/>
      <c r="AH413" s="408"/>
      <c r="AI413" s="408"/>
      <c r="AJ413" s="408"/>
      <c r="AK413" s="408"/>
      <c r="AL413" s="408"/>
      <c r="AM413" s="408"/>
      <c r="AN413" s="408"/>
      <c r="AO413" s="408"/>
      <c r="AP413" s="408"/>
      <c r="AQ413" s="408"/>
      <c r="AR413" s="408"/>
      <c r="AS413" s="408"/>
      <c r="AT413" s="408"/>
      <c r="AU413" s="408"/>
      <c r="AV413" s="408"/>
      <c r="AW413" s="408"/>
      <c r="AX413" s="408"/>
      <c r="AY413" s="408"/>
      <c r="AZ413" s="408">
        <v>0</v>
      </c>
      <c r="BA413" s="408"/>
      <c r="BB413" s="408"/>
      <c r="BC413" s="408"/>
      <c r="BD413" s="408"/>
      <c r="BE413" s="408"/>
      <c r="BF413" s="408"/>
      <c r="BG413" s="408"/>
      <c r="BH413" s="408"/>
      <c r="BI413" s="408">
        <v>0</v>
      </c>
      <c r="BJ413" s="408">
        <v>0</v>
      </c>
      <c r="BK413" s="408">
        <v>8135.1</v>
      </c>
      <c r="BL413" s="408">
        <v>1</v>
      </c>
      <c r="BM413" s="408"/>
      <c r="BN413" s="408"/>
      <c r="BO413" s="408"/>
      <c r="BP413" s="408"/>
      <c r="BQ413" s="408"/>
      <c r="BR413" s="408"/>
      <c r="BS413" s="408"/>
      <c r="BT413" s="408"/>
      <c r="BU413" s="408"/>
      <c r="BV413" s="408"/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/>
      <c r="CJ413" s="408">
        <v>-0.03</v>
      </c>
      <c r="CK413" s="408"/>
      <c r="CL413" s="408"/>
      <c r="CM413" s="408"/>
      <c r="CN413" s="408"/>
      <c r="CO413" s="408">
        <v>0</v>
      </c>
      <c r="CP413" s="408">
        <v>0</v>
      </c>
      <c r="CQ413" s="408">
        <v>31</v>
      </c>
      <c r="CR413" s="408"/>
      <c r="CS413" s="408"/>
      <c r="CT413" s="408"/>
      <c r="CU413" s="408"/>
      <c r="CV413" s="408"/>
      <c r="CW413" s="408"/>
      <c r="CX413" s="408"/>
      <c r="CY413" s="408"/>
      <c r="CZ413" s="408"/>
      <c r="DA413" s="408"/>
      <c r="DB413" s="408"/>
      <c r="DC413" s="408"/>
      <c r="DD413" s="408"/>
      <c r="DE413" s="408"/>
      <c r="DF413" s="408"/>
      <c r="DG413" s="408"/>
      <c r="DH413" s="408"/>
      <c r="DI413" s="408"/>
      <c r="DJ413" s="408"/>
      <c r="DK413" s="408">
        <v>0</v>
      </c>
      <c r="DL413" s="408"/>
      <c r="DM413" s="408"/>
      <c r="DN413" s="408"/>
      <c r="DO413" s="408"/>
      <c r="DP413" s="408"/>
      <c r="DQ413" s="408"/>
      <c r="DR413" s="408"/>
      <c r="DS413" s="408"/>
      <c r="DT413" s="408"/>
      <c r="DU413" s="408"/>
      <c r="DV413" s="408"/>
      <c r="DW413" s="408"/>
      <c r="DX413" s="408"/>
      <c r="DY413" s="408"/>
      <c r="DZ413" s="408"/>
      <c r="EA413" s="408"/>
      <c r="EB413" s="408"/>
      <c r="EC413" s="408"/>
      <c r="ED413" s="408"/>
      <c r="EE413" s="408"/>
      <c r="EF413" s="408"/>
      <c r="EG413" s="408"/>
      <c r="EH413" s="408"/>
      <c r="EI413" s="408"/>
      <c r="EJ413" s="408"/>
      <c r="EK413" s="408"/>
      <c r="EL413" s="408"/>
      <c r="EM413" s="408"/>
      <c r="EN413" s="408"/>
      <c r="EO413" s="408"/>
      <c r="EP413" s="408"/>
      <c r="EQ413" s="408"/>
      <c r="ER413" s="408"/>
      <c r="ES413" s="408"/>
      <c r="ET413" s="408"/>
      <c r="EU413" s="408"/>
      <c r="EV413" s="408">
        <v>239</v>
      </c>
      <c r="EW413" s="408"/>
      <c r="EX413" s="408"/>
      <c r="EY413" s="408"/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417</v>
      </c>
      <c r="B414" s="408" t="s">
        <v>1034</v>
      </c>
      <c r="C414" s="408" t="s">
        <v>2233</v>
      </c>
      <c r="D414" s="408" t="s">
        <v>1956</v>
      </c>
      <c r="E414" s="408" t="s">
        <v>2250</v>
      </c>
      <c r="F414" s="408" t="s">
        <v>1320</v>
      </c>
      <c r="G414" s="408" t="s">
        <v>1320</v>
      </c>
      <c r="H414" s="408" t="s">
        <v>1320</v>
      </c>
      <c r="I414" s="408" t="s">
        <v>1320</v>
      </c>
      <c r="J414" s="408" t="s">
        <v>2234</v>
      </c>
      <c r="K414" s="827">
        <v>44562</v>
      </c>
      <c r="L414" s="408">
        <v>0</v>
      </c>
      <c r="M414" s="408">
        <v>0</v>
      </c>
      <c r="N414" s="408">
        <v>1.573</v>
      </c>
      <c r="O414" s="408">
        <v>1.573</v>
      </c>
      <c r="P414" s="408">
        <v>1.573</v>
      </c>
      <c r="Q414" s="408">
        <v>1.573</v>
      </c>
      <c r="R414" s="408"/>
      <c r="S414" s="408">
        <v>516.83000000000004</v>
      </c>
      <c r="T414" s="408">
        <v>173.82</v>
      </c>
      <c r="U414" s="408"/>
      <c r="V414" s="408">
        <v>1086.3924500000001</v>
      </c>
      <c r="W414" s="408">
        <v>1086.3924500000001</v>
      </c>
      <c r="X414" s="408">
        <v>820.24084999999991</v>
      </c>
      <c r="Y414" s="408">
        <v>0</v>
      </c>
      <c r="Z414" s="408">
        <v>96.188093907371268</v>
      </c>
      <c r="AA414" s="408">
        <v>0</v>
      </c>
      <c r="AB414" s="408">
        <v>0</v>
      </c>
      <c r="AC414" s="408">
        <v>4.2761125274438383</v>
      </c>
      <c r="AD414" s="408">
        <v>54.153059924209813</v>
      </c>
      <c r="AE414" s="408">
        <v>571.96764579721753</v>
      </c>
      <c r="AF414" s="408">
        <v>253.13051920668352</v>
      </c>
      <c r="AG414" s="408">
        <v>12.734796261720964</v>
      </c>
      <c r="AH414" s="408">
        <v>0</v>
      </c>
      <c r="AI414" s="408">
        <v>0</v>
      </c>
      <c r="AJ414" s="408">
        <v>0</v>
      </c>
      <c r="AK414" s="408">
        <v>0</v>
      </c>
      <c r="AL414" s="408">
        <v>14.867204242435063</v>
      </c>
      <c r="AM414" s="408"/>
      <c r="AN414" s="408">
        <v>2.440575526438562</v>
      </c>
      <c r="AO414" s="408">
        <v>9.1210464445800472</v>
      </c>
      <c r="AP414" s="408">
        <v>29.8701938345808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</v>
      </c>
      <c r="BE414" s="408">
        <v>0.87272024662296277</v>
      </c>
      <c r="BF414" s="408">
        <v>7.559347754826514</v>
      </c>
      <c r="BG414" s="408">
        <v>29.223702403267186</v>
      </c>
      <c r="BH414" s="408">
        <v>0</v>
      </c>
      <c r="BI414" s="408">
        <v>0</v>
      </c>
      <c r="BJ414" s="408">
        <v>0</v>
      </c>
      <c r="BK414" s="408">
        <v>447.18</v>
      </c>
      <c r="BL414" s="408">
        <v>7</v>
      </c>
      <c r="BM414" s="408"/>
      <c r="BN414" s="408"/>
      <c r="BO414" s="408"/>
      <c r="BP414" s="408"/>
      <c r="BQ414" s="408"/>
      <c r="BR414" s="408"/>
      <c r="BS414" s="408"/>
      <c r="BT414" s="408"/>
      <c r="BU414" s="408"/>
      <c r="BV414" s="408">
        <v>290.78628961140015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818.67650000000003</v>
      </c>
      <c r="CJ414" s="408">
        <v>-267.74594999999999</v>
      </c>
      <c r="CK414" s="408"/>
      <c r="CL414" s="408"/>
      <c r="CM414" s="408"/>
      <c r="CN414" s="408"/>
      <c r="CO414" s="408">
        <v>-299.48347000000007</v>
      </c>
      <c r="CP414" s="408">
        <v>33.331869999999995</v>
      </c>
      <c r="CQ414" s="408">
        <v>31</v>
      </c>
      <c r="CR414" s="408">
        <v>36.660147689034829</v>
      </c>
      <c r="CS414" s="408">
        <v>0.88559598557031372</v>
      </c>
      <c r="CT414" s="408">
        <v>2.900207109879279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-1.0383420324000667</v>
      </c>
      <c r="DA414" s="408">
        <v>0</v>
      </c>
      <c r="DB414" s="408">
        <v>0</v>
      </c>
      <c r="DC414" s="408">
        <v>32.492099751921273</v>
      </c>
      <c r="DD414" s="408">
        <v>0.97032583063887845</v>
      </c>
      <c r="DE414" s="408">
        <v>0.11202328900388325</v>
      </c>
      <c r="DF414" s="408">
        <v>0</v>
      </c>
      <c r="DG414" s="408">
        <v>3.7511851853472997</v>
      </c>
      <c r="DH414" s="408">
        <v>0</v>
      </c>
      <c r="DI414" s="408">
        <v>-2.8111456695182824</v>
      </c>
      <c r="DJ414" s="408"/>
      <c r="DK414" s="408">
        <v>0</v>
      </c>
      <c r="DL414" s="408">
        <v>0</v>
      </c>
      <c r="DM414" s="408">
        <v>-0.14154258655067942</v>
      </c>
      <c r="DN414" s="408">
        <v>0</v>
      </c>
      <c r="DO414" s="408">
        <v>-0.38505545466898106</v>
      </c>
      <c r="DP414" s="408">
        <v>-7.5203720188131928E-2</v>
      </c>
      <c r="DQ414" s="408">
        <v>0</v>
      </c>
      <c r="DR414" s="408">
        <v>0</v>
      </c>
      <c r="DS414" s="408"/>
      <c r="DT414" s="408"/>
      <c r="DU414" s="408"/>
      <c r="DV414" s="408">
        <v>571.96764579721753</v>
      </c>
      <c r="DW414" s="408">
        <v>0</v>
      </c>
      <c r="DX414" s="408">
        <v>0</v>
      </c>
      <c r="DY414" s="408">
        <v>-299.48347000000012</v>
      </c>
      <c r="DZ414" s="408">
        <v>33.331869999999981</v>
      </c>
      <c r="EA414" s="408">
        <v>0</v>
      </c>
      <c r="EB414" s="408">
        <v>0</v>
      </c>
      <c r="EC414" s="408">
        <v>-302.82654531384054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239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418</v>
      </c>
      <c r="B415" s="408" t="s">
        <v>1034</v>
      </c>
      <c r="C415" s="408" t="s">
        <v>2233</v>
      </c>
      <c r="D415" s="408" t="s">
        <v>2243</v>
      </c>
      <c r="E415" s="408" t="s">
        <v>972</v>
      </c>
      <c r="F415" s="408" t="s">
        <v>2251</v>
      </c>
      <c r="G415" s="408" t="s">
        <v>2252</v>
      </c>
      <c r="H415" s="408" t="s">
        <v>1320</v>
      </c>
      <c r="I415" s="408" t="s">
        <v>1320</v>
      </c>
      <c r="J415" s="408" t="s">
        <v>2234</v>
      </c>
      <c r="K415" s="827">
        <v>44562</v>
      </c>
      <c r="L415" s="408">
        <v>0</v>
      </c>
      <c r="M415" s="408">
        <v>0</v>
      </c>
      <c r="N415" s="408">
        <v>0</v>
      </c>
      <c r="O415" s="408">
        <v>0</v>
      </c>
      <c r="P415" s="408">
        <v>0</v>
      </c>
      <c r="Q415" s="408">
        <v>0</v>
      </c>
      <c r="R415" s="408"/>
      <c r="S415" s="408"/>
      <c r="T415" s="408"/>
      <c r="U415" s="408"/>
      <c r="V415" s="408"/>
      <c r="W415" s="408"/>
      <c r="X415" s="408"/>
      <c r="Y415" s="408"/>
      <c r="Z415" s="408"/>
      <c r="AA415" s="408">
        <v>0</v>
      </c>
      <c r="AB415" s="408"/>
      <c r="AC415" s="408"/>
      <c r="AD415" s="408"/>
      <c r="AE415" s="408"/>
      <c r="AF415" s="408"/>
      <c r="AG415" s="408"/>
      <c r="AH415" s="408"/>
      <c r="AI415" s="408"/>
      <c r="AJ415" s="408"/>
      <c r="AK415" s="408"/>
      <c r="AL415" s="408"/>
      <c r="AM415" s="408"/>
      <c r="AN415" s="408"/>
      <c r="AO415" s="408"/>
      <c r="AP415" s="408"/>
      <c r="AQ415" s="408"/>
      <c r="AR415" s="408"/>
      <c r="AS415" s="408"/>
      <c r="AT415" s="408"/>
      <c r="AU415" s="408"/>
      <c r="AV415" s="408"/>
      <c r="AW415" s="408"/>
      <c r="AX415" s="408"/>
      <c r="AY415" s="408"/>
      <c r="AZ415" s="408">
        <v>0</v>
      </c>
      <c r="BA415" s="408"/>
      <c r="BB415" s="408"/>
      <c r="BC415" s="408"/>
      <c r="BD415" s="408"/>
      <c r="BE415" s="408"/>
      <c r="BF415" s="408"/>
      <c r="BG415" s="408"/>
      <c r="BH415" s="408"/>
      <c r="BI415" s="408">
        <v>0</v>
      </c>
      <c r="BJ415" s="408">
        <v>0</v>
      </c>
      <c r="BK415" s="408">
        <v>641.84</v>
      </c>
      <c r="BL415" s="408">
        <v>73</v>
      </c>
      <c r="BM415" s="408"/>
      <c r="BN415" s="408"/>
      <c r="BO415" s="408"/>
      <c r="BP415" s="408"/>
      <c r="BQ415" s="408"/>
      <c r="BR415" s="408"/>
      <c r="BS415" s="408"/>
      <c r="BT415" s="408"/>
      <c r="BU415" s="408"/>
      <c r="BV415" s="408"/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/>
      <c r="CJ415" s="408">
        <v>-0.03</v>
      </c>
      <c r="CK415" s="408"/>
      <c r="CL415" s="408"/>
      <c r="CM415" s="408"/>
      <c r="CN415" s="408"/>
      <c r="CO415" s="408">
        <v>0</v>
      </c>
      <c r="CP415" s="408">
        <v>0</v>
      </c>
      <c r="CQ415" s="408">
        <v>31</v>
      </c>
      <c r="CR415" s="408"/>
      <c r="CS415" s="408"/>
      <c r="CT415" s="408"/>
      <c r="CU415" s="408"/>
      <c r="CV415" s="408"/>
      <c r="CW415" s="408"/>
      <c r="CX415" s="408"/>
      <c r="CY415" s="408"/>
      <c r="CZ415" s="408"/>
      <c r="DA415" s="408"/>
      <c r="DB415" s="408"/>
      <c r="DC415" s="408"/>
      <c r="DD415" s="408"/>
      <c r="DE415" s="408"/>
      <c r="DF415" s="408"/>
      <c r="DG415" s="408"/>
      <c r="DH415" s="408"/>
      <c r="DI415" s="408"/>
      <c r="DJ415" s="408"/>
      <c r="DK415" s="408">
        <v>0</v>
      </c>
      <c r="DL415" s="408"/>
      <c r="DM415" s="408"/>
      <c r="DN415" s="408"/>
      <c r="DO415" s="408"/>
      <c r="DP415" s="408"/>
      <c r="DQ415" s="408"/>
      <c r="DR415" s="408"/>
      <c r="DS415" s="408"/>
      <c r="DT415" s="408"/>
      <c r="DU415" s="408"/>
      <c r="DV415" s="408"/>
      <c r="DW415" s="408"/>
      <c r="DX415" s="408"/>
      <c r="DY415" s="408"/>
      <c r="DZ415" s="408"/>
      <c r="EA415" s="408"/>
      <c r="EB415" s="408"/>
      <c r="EC415" s="408"/>
      <c r="ED415" s="408"/>
      <c r="EE415" s="408"/>
      <c r="EF415" s="408"/>
      <c r="EG415" s="408"/>
      <c r="EH415" s="408"/>
      <c r="EI415" s="408"/>
      <c r="EJ415" s="408"/>
      <c r="EK415" s="408"/>
      <c r="EL415" s="408"/>
      <c r="EM415" s="408"/>
      <c r="EN415" s="408"/>
      <c r="EO415" s="408"/>
      <c r="EP415" s="408"/>
      <c r="EQ415" s="408"/>
      <c r="ER415" s="408"/>
      <c r="ES415" s="408"/>
      <c r="ET415" s="408"/>
      <c r="EU415" s="408"/>
      <c r="EV415" s="408">
        <v>239</v>
      </c>
      <c r="EW415" s="408"/>
      <c r="EX415" s="408"/>
      <c r="EY415" s="408"/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419</v>
      </c>
      <c r="B416" s="408" t="s">
        <v>2236</v>
      </c>
      <c r="C416" s="408" t="s">
        <v>2233</v>
      </c>
      <c r="D416" s="408" t="s">
        <v>2243</v>
      </c>
      <c r="E416" s="408" t="s">
        <v>972</v>
      </c>
      <c r="F416" s="408" t="s">
        <v>2251</v>
      </c>
      <c r="G416" s="408" t="s">
        <v>2252</v>
      </c>
      <c r="H416" s="408" t="s">
        <v>1320</v>
      </c>
      <c r="I416" s="408" t="s">
        <v>1320</v>
      </c>
      <c r="J416" s="408" t="s">
        <v>2234</v>
      </c>
      <c r="K416" s="827">
        <v>44562</v>
      </c>
      <c r="L416" s="408">
        <v>0</v>
      </c>
      <c r="M416" s="408">
        <v>0</v>
      </c>
      <c r="N416" s="408">
        <v>0</v>
      </c>
      <c r="O416" s="408">
        <v>0</v>
      </c>
      <c r="P416" s="408">
        <v>0</v>
      </c>
      <c r="Q416" s="408">
        <v>0</v>
      </c>
      <c r="R416" s="408"/>
      <c r="S416" s="408"/>
      <c r="T416" s="408"/>
      <c r="U416" s="408"/>
      <c r="V416" s="408"/>
      <c r="W416" s="408"/>
      <c r="X416" s="408"/>
      <c r="Y416" s="408"/>
      <c r="Z416" s="408"/>
      <c r="AA416" s="408">
        <v>0</v>
      </c>
      <c r="AB416" s="408"/>
      <c r="AC416" s="408"/>
      <c r="AD416" s="408"/>
      <c r="AE416" s="408"/>
      <c r="AF416" s="408"/>
      <c r="AG416" s="408"/>
      <c r="AH416" s="408"/>
      <c r="AI416" s="408"/>
      <c r="AJ416" s="408"/>
      <c r="AK416" s="408"/>
      <c r="AL416" s="408"/>
      <c r="AM416" s="408"/>
      <c r="AN416" s="408"/>
      <c r="AO416" s="408"/>
      <c r="AP416" s="408"/>
      <c r="AQ416" s="408"/>
      <c r="AR416" s="408"/>
      <c r="AS416" s="408"/>
      <c r="AT416" s="408"/>
      <c r="AU416" s="408"/>
      <c r="AV416" s="408"/>
      <c r="AW416" s="408"/>
      <c r="AX416" s="408"/>
      <c r="AY416" s="408"/>
      <c r="AZ416" s="408">
        <v>0</v>
      </c>
      <c r="BA416" s="408"/>
      <c r="BB416" s="408"/>
      <c r="BC416" s="408"/>
      <c r="BD416" s="408"/>
      <c r="BE416" s="408"/>
      <c r="BF416" s="408"/>
      <c r="BG416" s="408"/>
      <c r="BH416" s="408"/>
      <c r="BI416" s="408">
        <v>0</v>
      </c>
      <c r="BJ416" s="408">
        <v>0</v>
      </c>
      <c r="BK416" s="408">
        <v>42.32</v>
      </c>
      <c r="BL416" s="408">
        <v>5</v>
      </c>
      <c r="BM416" s="408"/>
      <c r="BN416" s="408"/>
      <c r="BO416" s="408"/>
      <c r="BP416" s="408"/>
      <c r="BQ416" s="408"/>
      <c r="BR416" s="408"/>
      <c r="BS416" s="408"/>
      <c r="BT416" s="408"/>
      <c r="BU416" s="408"/>
      <c r="BV416" s="408"/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/>
      <c r="CJ416" s="408">
        <v>-0.03</v>
      </c>
      <c r="CK416" s="408"/>
      <c r="CL416" s="408"/>
      <c r="CM416" s="408"/>
      <c r="CN416" s="408"/>
      <c r="CO416" s="408">
        <v>0</v>
      </c>
      <c r="CP416" s="408">
        <v>0</v>
      </c>
      <c r="CQ416" s="408">
        <v>31</v>
      </c>
      <c r="CR416" s="408"/>
      <c r="CS416" s="408"/>
      <c r="CT416" s="408"/>
      <c r="CU416" s="408"/>
      <c r="CV416" s="408"/>
      <c r="CW416" s="408"/>
      <c r="CX416" s="408"/>
      <c r="CY416" s="408"/>
      <c r="CZ416" s="408"/>
      <c r="DA416" s="408"/>
      <c r="DB416" s="408"/>
      <c r="DC416" s="408"/>
      <c r="DD416" s="408"/>
      <c r="DE416" s="408"/>
      <c r="DF416" s="408"/>
      <c r="DG416" s="408"/>
      <c r="DH416" s="408"/>
      <c r="DI416" s="408"/>
      <c r="DJ416" s="408"/>
      <c r="DK416" s="408">
        <v>0</v>
      </c>
      <c r="DL416" s="408"/>
      <c r="DM416" s="408"/>
      <c r="DN416" s="408"/>
      <c r="DO416" s="408"/>
      <c r="DP416" s="408"/>
      <c r="DQ416" s="408"/>
      <c r="DR416" s="408"/>
      <c r="DS416" s="408"/>
      <c r="DT416" s="408"/>
      <c r="DU416" s="408"/>
      <c r="DV416" s="408"/>
      <c r="DW416" s="408"/>
      <c r="DX416" s="408"/>
      <c r="DY416" s="408"/>
      <c r="DZ416" s="408"/>
      <c r="EA416" s="408"/>
      <c r="EB416" s="408"/>
      <c r="EC416" s="408"/>
      <c r="ED416" s="408"/>
      <c r="EE416" s="408"/>
      <c r="EF416" s="408"/>
      <c r="EG416" s="408"/>
      <c r="EH416" s="408"/>
      <c r="EI416" s="408"/>
      <c r="EJ416" s="408"/>
      <c r="EK416" s="408"/>
      <c r="EL416" s="408"/>
      <c r="EM416" s="408"/>
      <c r="EN416" s="408"/>
      <c r="EO416" s="408"/>
      <c r="EP416" s="408"/>
      <c r="EQ416" s="408"/>
      <c r="ER416" s="408"/>
      <c r="ES416" s="408"/>
      <c r="ET416" s="408"/>
      <c r="EU416" s="408"/>
      <c r="EV416" s="408">
        <v>239</v>
      </c>
      <c r="EW416" s="408"/>
      <c r="EX416" s="408"/>
      <c r="EY416" s="408"/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420</v>
      </c>
      <c r="B417" s="408" t="s">
        <v>1034</v>
      </c>
      <c r="C417" s="408" t="s">
        <v>2233</v>
      </c>
      <c r="D417" s="408" t="s">
        <v>2243</v>
      </c>
      <c r="E417" s="408" t="s">
        <v>972</v>
      </c>
      <c r="F417" s="408" t="s">
        <v>2251</v>
      </c>
      <c r="G417" s="408" t="s">
        <v>2252</v>
      </c>
      <c r="H417" s="408" t="s">
        <v>1320</v>
      </c>
      <c r="I417" s="408" t="s">
        <v>1320</v>
      </c>
      <c r="J417" s="408" t="s">
        <v>2234</v>
      </c>
      <c r="K417" s="827">
        <v>44562</v>
      </c>
      <c r="L417" s="408">
        <v>0</v>
      </c>
      <c r="M417" s="408">
        <v>0</v>
      </c>
      <c r="N417" s="408">
        <v>451.12900000000002</v>
      </c>
      <c r="O417" s="408">
        <v>451.12900000000002</v>
      </c>
      <c r="P417" s="408">
        <v>451.12900000000002</v>
      </c>
      <c r="Q417" s="408">
        <v>451.12900000000002</v>
      </c>
      <c r="R417" s="408"/>
      <c r="S417" s="408">
        <v>516.83000000000004</v>
      </c>
      <c r="T417" s="408">
        <v>173.82</v>
      </c>
      <c r="U417" s="408"/>
      <c r="V417" s="408">
        <v>311572.24385000003</v>
      </c>
      <c r="W417" s="408">
        <v>311572.24385000003</v>
      </c>
      <c r="X417" s="408">
        <v>235241.21705000001</v>
      </c>
      <c r="Y417" s="408">
        <v>0</v>
      </c>
      <c r="Z417" s="408">
        <v>27586.292826661473</v>
      </c>
      <c r="AA417" s="408">
        <v>0</v>
      </c>
      <c r="AB417" s="408">
        <v>0</v>
      </c>
      <c r="AC417" s="408">
        <v>1226.3689563847499</v>
      </c>
      <c r="AD417" s="408">
        <v>15530.842829338111</v>
      </c>
      <c r="AE417" s="408">
        <v>164037.63005775775</v>
      </c>
      <c r="AF417" s="408">
        <v>72596.642084673833</v>
      </c>
      <c r="AG417" s="408">
        <v>3652.2796584576718</v>
      </c>
      <c r="AH417" s="408">
        <v>0</v>
      </c>
      <c r="AI417" s="408">
        <v>0</v>
      </c>
      <c r="AJ417" s="408">
        <v>0</v>
      </c>
      <c r="AK417" s="408">
        <v>0</v>
      </c>
      <c r="AL417" s="408">
        <v>4263.8442356551104</v>
      </c>
      <c r="AM417" s="408"/>
      <c r="AN417" s="408">
        <v>699.94557957196582</v>
      </c>
      <c r="AO417" s="408">
        <v>2615.8732113775918</v>
      </c>
      <c r="AP417" s="408">
        <v>8566.6310708204728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0</v>
      </c>
      <c r="BE417" s="408">
        <v>250.29206111809955</v>
      </c>
      <c r="BF417" s="408">
        <v>2167.985373990547</v>
      </c>
      <c r="BG417" s="408">
        <v>8381.220369665305</v>
      </c>
      <c r="BH417" s="408">
        <v>0</v>
      </c>
      <c r="BI417" s="408">
        <v>0</v>
      </c>
      <c r="BJ417" s="408">
        <v>0</v>
      </c>
      <c r="BK417" s="408">
        <v>0</v>
      </c>
      <c r="BL417" s="408">
        <v>0</v>
      </c>
      <c r="BM417" s="408"/>
      <c r="BN417" s="408"/>
      <c r="BO417" s="408"/>
      <c r="BP417" s="408"/>
      <c r="BQ417" s="408"/>
      <c r="BR417" s="408">
        <v>28227.141529999997</v>
      </c>
      <c r="BS417" s="408"/>
      <c r="BT417" s="408"/>
      <c r="BU417" s="408"/>
      <c r="BV417" s="408">
        <v>83396.13988944779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207014.5344</v>
      </c>
      <c r="CJ417" s="408">
        <v>-67168.167930000054</v>
      </c>
      <c r="CK417" s="408"/>
      <c r="CL417" s="408"/>
      <c r="CM417" s="408"/>
      <c r="CN417" s="408"/>
      <c r="CO417" s="408">
        <v>-85890.450310000029</v>
      </c>
      <c r="CP417" s="408">
        <v>9559.4235099999987</v>
      </c>
      <c r="CQ417" s="408">
        <v>31</v>
      </c>
      <c r="CR417" s="408">
        <v>10513.957893710409</v>
      </c>
      <c r="CS417" s="408">
        <v>253.98476247574717</v>
      </c>
      <c r="CT417" s="408">
        <v>831.76575541813691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-297.79161013007433</v>
      </c>
      <c r="DA417" s="408">
        <v>0</v>
      </c>
      <c r="DB417" s="408">
        <v>0</v>
      </c>
      <c r="DC417" s="408">
        <v>9318.5813534548506</v>
      </c>
      <c r="DD417" s="408">
        <v>278.28488343947038</v>
      </c>
      <c r="DE417" s="408">
        <v>32.127752285462719</v>
      </c>
      <c r="DF417" s="408">
        <v>0</v>
      </c>
      <c r="DG417" s="408">
        <v>1075.8222641325756</v>
      </c>
      <c r="DH417" s="408">
        <v>0</v>
      </c>
      <c r="DI417" s="408">
        <v>-806.22335330204442</v>
      </c>
      <c r="DJ417" s="408"/>
      <c r="DK417" s="408">
        <v>0</v>
      </c>
      <c r="DL417" s="408">
        <v>0</v>
      </c>
      <c r="DM417" s="408">
        <v>-40.593747951698333</v>
      </c>
      <c r="DN417" s="408">
        <v>0</v>
      </c>
      <c r="DO417" s="408">
        <v>-110.43209294937242</v>
      </c>
      <c r="DP417" s="408">
        <v>-21.568073162588689</v>
      </c>
      <c r="DQ417" s="408">
        <v>0</v>
      </c>
      <c r="DR417" s="408">
        <v>0</v>
      </c>
      <c r="DS417" s="408"/>
      <c r="DT417" s="408"/>
      <c r="DU417" s="408"/>
      <c r="DV417" s="408">
        <v>164037.63005775775</v>
      </c>
      <c r="DW417" s="408">
        <v>0</v>
      </c>
      <c r="DX417" s="408">
        <v>0</v>
      </c>
      <c r="DY417" s="408">
        <v>-85890.450310000015</v>
      </c>
      <c r="DZ417" s="408">
        <v>9559.4235099999933</v>
      </c>
      <c r="EA417" s="408">
        <v>0</v>
      </c>
      <c r="EB417" s="408">
        <v>0</v>
      </c>
      <c r="EC417" s="408">
        <v>-86849.22858289101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239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421</v>
      </c>
      <c r="B418" s="408" t="s">
        <v>2236</v>
      </c>
      <c r="C418" s="408" t="s">
        <v>2233</v>
      </c>
      <c r="D418" s="408" t="s">
        <v>2243</v>
      </c>
      <c r="E418" s="408" t="s">
        <v>972</v>
      </c>
      <c r="F418" s="408" t="s">
        <v>2251</v>
      </c>
      <c r="G418" s="408" t="s">
        <v>2252</v>
      </c>
      <c r="H418" s="408" t="s">
        <v>1320</v>
      </c>
      <c r="I418" s="408" t="s">
        <v>1320</v>
      </c>
      <c r="J418" s="408" t="s">
        <v>2234</v>
      </c>
      <c r="K418" s="827">
        <v>44562</v>
      </c>
      <c r="L418" s="408">
        <v>0</v>
      </c>
      <c r="M418" s="408">
        <v>0</v>
      </c>
      <c r="N418" s="408">
        <v>0.35</v>
      </c>
      <c r="O418" s="408">
        <v>0.35</v>
      </c>
      <c r="P418" s="408">
        <v>0.35</v>
      </c>
      <c r="Q418" s="408">
        <v>0.35</v>
      </c>
      <c r="R418" s="408"/>
      <c r="S418" s="408">
        <v>516.83000000000004</v>
      </c>
      <c r="T418" s="408">
        <v>173.82</v>
      </c>
      <c r="U418" s="408"/>
      <c r="V418" s="408">
        <v>241.72749999999999</v>
      </c>
      <c r="W418" s="408">
        <v>241.72749999999999</v>
      </c>
      <c r="X418" s="408">
        <v>182.50749999999999</v>
      </c>
      <c r="Y418" s="408">
        <v>0</v>
      </c>
      <c r="Z418" s="408">
        <v>21.402309515308293</v>
      </c>
      <c r="AA418" s="408">
        <v>0</v>
      </c>
      <c r="AB418" s="408">
        <v>0</v>
      </c>
      <c r="AC418" s="408">
        <v>0.95145542568680452</v>
      </c>
      <c r="AD418" s="408">
        <v>12.049314032723098</v>
      </c>
      <c r="AE418" s="408">
        <v>127.26552830834464</v>
      </c>
      <c r="AF418" s="408">
        <v>56.322747439503644</v>
      </c>
      <c r="AG418" s="408">
        <v>2.8335528872233549</v>
      </c>
      <c r="AH418" s="408">
        <v>0</v>
      </c>
      <c r="AI418" s="408">
        <v>0</v>
      </c>
      <c r="AJ418" s="408">
        <v>0</v>
      </c>
      <c r="AK418" s="408">
        <v>0</v>
      </c>
      <c r="AL418" s="408">
        <v>3.3080238301667335</v>
      </c>
      <c r="AM418" s="408"/>
      <c r="AN418" s="408">
        <v>0.54303969119739148</v>
      </c>
      <c r="AO418" s="408">
        <v>2.0294763226974037</v>
      </c>
      <c r="AP418" s="408">
        <v>6.6462605480631147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0</v>
      </c>
      <c r="BE418" s="408">
        <v>0.1941844159682371</v>
      </c>
      <c r="BF418" s="408">
        <v>1.6819909181114303</v>
      </c>
      <c r="BG418" s="408">
        <v>6.5024131221509949</v>
      </c>
      <c r="BH418" s="408">
        <v>0</v>
      </c>
      <c r="BI418" s="408">
        <v>0</v>
      </c>
      <c r="BJ418" s="408">
        <v>0</v>
      </c>
      <c r="BK418" s="408">
        <v>0</v>
      </c>
      <c r="BL418" s="408">
        <v>0</v>
      </c>
      <c r="BM418" s="408"/>
      <c r="BN418" s="408"/>
      <c r="BO418" s="408"/>
      <c r="BP418" s="408"/>
      <c r="BQ418" s="408"/>
      <c r="BR418" s="408">
        <v>21.899499999999996</v>
      </c>
      <c r="BS418" s="408"/>
      <c r="BT418" s="408"/>
      <c r="BU418" s="408"/>
      <c r="BV418" s="408">
        <v>64.701335895734303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160.60799999999998</v>
      </c>
      <c r="CJ418" s="408">
        <v>-52.141499999999979</v>
      </c>
      <c r="CK418" s="408"/>
      <c r="CL418" s="408"/>
      <c r="CM418" s="408"/>
      <c r="CN418" s="408"/>
      <c r="CO418" s="408">
        <v>-66.636500000000012</v>
      </c>
      <c r="CP418" s="408">
        <v>7.4164999999999983</v>
      </c>
      <c r="CQ418" s="408">
        <v>31</v>
      </c>
      <c r="CR418" s="408">
        <v>8.1570576549028431</v>
      </c>
      <c r="CS418" s="408">
        <v>0.19704932927502217</v>
      </c>
      <c r="CT418" s="408">
        <v>0.64530991001764004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-0.23103605298157781</v>
      </c>
      <c r="DA418" s="408">
        <v>0</v>
      </c>
      <c r="DB418" s="408">
        <v>0</v>
      </c>
      <c r="DC418" s="408">
        <v>7.2296471158120994</v>
      </c>
      <c r="DD418" s="408">
        <v>0.21590212379123175</v>
      </c>
      <c r="DE418" s="408">
        <v>2.4925715925848163E-2</v>
      </c>
      <c r="DF418" s="408">
        <v>0</v>
      </c>
      <c r="DG418" s="408">
        <v>0.83465658923811503</v>
      </c>
      <c r="DH418" s="408">
        <v>0</v>
      </c>
      <c r="DI418" s="408">
        <v>-0.62549331489599425</v>
      </c>
      <c r="DJ418" s="408"/>
      <c r="DK418" s="408">
        <v>0</v>
      </c>
      <c r="DL418" s="408">
        <v>0</v>
      </c>
      <c r="DM418" s="408">
        <v>-3.1493900376819539E-2</v>
      </c>
      <c r="DN418" s="408">
        <v>0</v>
      </c>
      <c r="DO418" s="408">
        <v>-8.5676674592589208E-2</v>
      </c>
      <c r="DP418" s="408">
        <v>-1.6733186310137538E-2</v>
      </c>
      <c r="DQ418" s="408">
        <v>0</v>
      </c>
      <c r="DR418" s="408">
        <v>0</v>
      </c>
      <c r="DS418" s="408"/>
      <c r="DT418" s="408"/>
      <c r="DU418" s="408"/>
      <c r="DV418" s="408">
        <v>127.26552830834464</v>
      </c>
      <c r="DW418" s="408">
        <v>0</v>
      </c>
      <c r="DX418" s="408">
        <v>0</v>
      </c>
      <c r="DY418" s="408">
        <v>-66.636500000000012</v>
      </c>
      <c r="DZ418" s="408">
        <v>7.4164999999999921</v>
      </c>
      <c r="EA418" s="408">
        <v>0</v>
      </c>
      <c r="EB418" s="408">
        <v>0</v>
      </c>
      <c r="EC418" s="408">
        <v>-67.380350196976593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239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422</v>
      </c>
      <c r="B419" s="408" t="s">
        <v>1034</v>
      </c>
      <c r="C419" s="408" t="s">
        <v>2233</v>
      </c>
      <c r="D419" s="408" t="s">
        <v>2243</v>
      </c>
      <c r="E419" s="408" t="s">
        <v>972</v>
      </c>
      <c r="F419" s="408" t="s">
        <v>2251</v>
      </c>
      <c r="G419" s="408" t="s">
        <v>2253</v>
      </c>
      <c r="H419" s="408" t="s">
        <v>1320</v>
      </c>
      <c r="I419" s="408" t="s">
        <v>1320</v>
      </c>
      <c r="J419" s="408" t="s">
        <v>2234</v>
      </c>
      <c r="K419" s="827">
        <v>44562</v>
      </c>
      <c r="L419" s="408">
        <v>0</v>
      </c>
      <c r="M419" s="408">
        <v>0</v>
      </c>
      <c r="N419" s="408">
        <v>234.005</v>
      </c>
      <c r="O419" s="408">
        <v>93.602000000000004</v>
      </c>
      <c r="P419" s="408">
        <v>234.005</v>
      </c>
      <c r="Q419" s="408">
        <v>93.602000000000004</v>
      </c>
      <c r="R419" s="408"/>
      <c r="S419" s="408">
        <v>516.83000000000004</v>
      </c>
      <c r="T419" s="408">
        <v>173.82</v>
      </c>
      <c r="U419" s="408"/>
      <c r="V419" s="408">
        <v>161615.55325</v>
      </c>
      <c r="W419" s="408">
        <v>161615.55325</v>
      </c>
      <c r="X419" s="408">
        <v>122021.90724999999</v>
      </c>
      <c r="Y419" s="408">
        <v>0</v>
      </c>
      <c r="Z419" s="408">
        <v>14309.278394656336</v>
      </c>
      <c r="AA419" s="408">
        <v>0</v>
      </c>
      <c r="AB419" s="408">
        <v>0</v>
      </c>
      <c r="AC419" s="408">
        <v>636.12950539383053</v>
      </c>
      <c r="AD419" s="408">
        <v>8055.9992292210536</v>
      </c>
      <c r="AE419" s="408">
        <v>85087.914147983392</v>
      </c>
      <c r="AF419" s="408">
        <v>37656.584327374432</v>
      </c>
      <c r="AG419" s="408">
        <v>1894.4729810705749</v>
      </c>
      <c r="AH419" s="408">
        <v>0</v>
      </c>
      <c r="AI419" s="408">
        <v>0</v>
      </c>
      <c r="AJ419" s="408">
        <v>0</v>
      </c>
      <c r="AK419" s="408">
        <v>0</v>
      </c>
      <c r="AL419" s="408">
        <v>2211.6974753661902</v>
      </c>
      <c r="AM419" s="408"/>
      <c r="AN419" s="408">
        <v>363.06857982470166</v>
      </c>
      <c r="AO419" s="408">
        <v>1356.8788768365887</v>
      </c>
      <c r="AP419" s="408">
        <v>4443.5948558557402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0</v>
      </c>
      <c r="BE419" s="408">
        <v>129.82892645327809</v>
      </c>
      <c r="BF419" s="408">
        <v>1124.555099407615</v>
      </c>
      <c r="BG419" s="408">
        <v>4347.4205218541247</v>
      </c>
      <c r="BH419" s="408">
        <v>0</v>
      </c>
      <c r="BI419" s="408">
        <v>0</v>
      </c>
      <c r="BJ419" s="408">
        <v>0</v>
      </c>
      <c r="BK419" s="408">
        <v>0</v>
      </c>
      <c r="BL419" s="408">
        <v>0</v>
      </c>
      <c r="BM419" s="408"/>
      <c r="BN419" s="408"/>
      <c r="BO419" s="408"/>
      <c r="BP419" s="408"/>
      <c r="BQ419" s="408"/>
      <c r="BR419" s="408"/>
      <c r="BS419" s="408">
        <v>79069.821489999988</v>
      </c>
      <c r="BT419" s="408"/>
      <c r="BU419" s="408"/>
      <c r="BV419" s="408">
        <v>43258.388875089455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42951.167999999998</v>
      </c>
      <c r="CJ419" s="408">
        <v>-13937.34954000001</v>
      </c>
      <c r="CK419" s="408"/>
      <c r="CL419" s="408"/>
      <c r="CM419" s="408"/>
      <c r="CN419" s="408"/>
      <c r="CO419" s="408">
        <v>-44552.211950000012</v>
      </c>
      <c r="CP419" s="408">
        <v>4958.5659499999992</v>
      </c>
      <c r="CQ419" s="408">
        <v>31</v>
      </c>
      <c r="CR419" s="408">
        <v>5453.6922186729353</v>
      </c>
      <c r="CS419" s="408">
        <v>131.74436656286161</v>
      </c>
      <c r="CT419" s="408">
        <v>431.44498712479435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-154.46740450844118</v>
      </c>
      <c r="DA419" s="408">
        <v>0</v>
      </c>
      <c r="DB419" s="408">
        <v>0</v>
      </c>
      <c r="DC419" s="408">
        <v>4833.638780958885</v>
      </c>
      <c r="DD419" s="408">
        <v>144.34907565076333</v>
      </c>
      <c r="DE419" s="408">
        <v>16.664977586365978</v>
      </c>
      <c r="DF419" s="408">
        <v>0</v>
      </c>
      <c r="DG419" s="408">
        <v>558.03947189904284</v>
      </c>
      <c r="DH419" s="408">
        <v>0</v>
      </c>
      <c r="DI419" s="408">
        <v>-418.19589472067855</v>
      </c>
      <c r="DJ419" s="408"/>
      <c r="DK419" s="408">
        <v>0</v>
      </c>
      <c r="DL419" s="408">
        <v>0</v>
      </c>
      <c r="DM419" s="408">
        <v>-21.056371879079279</v>
      </c>
      <c r="DN419" s="408">
        <v>0</v>
      </c>
      <c r="DO419" s="408">
        <v>-57.282200680111146</v>
      </c>
      <c r="DP419" s="408">
        <v>-11.187569321439184</v>
      </c>
      <c r="DQ419" s="408">
        <v>0</v>
      </c>
      <c r="DR419" s="408">
        <v>0</v>
      </c>
      <c r="DS419" s="408"/>
      <c r="DT419" s="408"/>
      <c r="DU419" s="408"/>
      <c r="DV419" s="408">
        <v>85087.914147983392</v>
      </c>
      <c r="DW419" s="408">
        <v>0</v>
      </c>
      <c r="DX419" s="408">
        <v>0</v>
      </c>
      <c r="DY419" s="408">
        <v>-44552.211950000012</v>
      </c>
      <c r="DZ419" s="408">
        <v>4958.5659499999965</v>
      </c>
      <c r="EA419" s="408">
        <v>0</v>
      </c>
      <c r="EB419" s="408">
        <v>0</v>
      </c>
      <c r="EC419" s="408">
        <v>-45049.539565267165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239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423</v>
      </c>
      <c r="B420" s="408" t="s">
        <v>2236</v>
      </c>
      <c r="C420" s="408" t="s">
        <v>2233</v>
      </c>
      <c r="D420" s="408" t="s">
        <v>2243</v>
      </c>
      <c r="E420" s="408" t="s">
        <v>972</v>
      </c>
      <c r="F420" s="408" t="s">
        <v>2251</v>
      </c>
      <c r="G420" s="408" t="s">
        <v>2253</v>
      </c>
      <c r="H420" s="408" t="s">
        <v>1320</v>
      </c>
      <c r="I420" s="408" t="s">
        <v>1320</v>
      </c>
      <c r="J420" s="408" t="s">
        <v>2234</v>
      </c>
      <c r="K420" s="827">
        <v>44562</v>
      </c>
      <c r="L420" s="408">
        <v>0</v>
      </c>
      <c r="M420" s="408">
        <v>0</v>
      </c>
      <c r="N420" s="408">
        <v>0.1</v>
      </c>
      <c r="O420" s="408">
        <v>0.04</v>
      </c>
      <c r="P420" s="408">
        <v>0.1</v>
      </c>
      <c r="Q420" s="408">
        <v>0.04</v>
      </c>
      <c r="R420" s="408"/>
      <c r="S420" s="408">
        <v>516.83000000000004</v>
      </c>
      <c r="T420" s="408">
        <v>173.82</v>
      </c>
      <c r="U420" s="408"/>
      <c r="V420" s="408">
        <v>69.065000000000012</v>
      </c>
      <c r="W420" s="408">
        <v>69.065000000000012</v>
      </c>
      <c r="X420" s="408">
        <v>52.144999999999996</v>
      </c>
      <c r="Y420" s="408">
        <v>0</v>
      </c>
      <c r="Z420" s="408">
        <v>6.1149455758023699</v>
      </c>
      <c r="AA420" s="408">
        <v>0</v>
      </c>
      <c r="AB420" s="408">
        <v>0</v>
      </c>
      <c r="AC420" s="408">
        <v>0.27184440733908705</v>
      </c>
      <c r="AD420" s="408">
        <v>3.4426611522066</v>
      </c>
      <c r="AE420" s="408">
        <v>36.361579516669899</v>
      </c>
      <c r="AF420" s="408">
        <v>16.0922135541439</v>
      </c>
      <c r="AG420" s="408">
        <v>0.80958653920667301</v>
      </c>
      <c r="AH420" s="408">
        <v>0</v>
      </c>
      <c r="AI420" s="408">
        <v>0</v>
      </c>
      <c r="AJ420" s="408">
        <v>0</v>
      </c>
      <c r="AK420" s="408">
        <v>0</v>
      </c>
      <c r="AL420" s="408">
        <v>0.94514966576192405</v>
      </c>
      <c r="AM420" s="408"/>
      <c r="AN420" s="408">
        <v>0.155154197484969</v>
      </c>
      <c r="AO420" s="408">
        <v>0.57985037791354399</v>
      </c>
      <c r="AP420" s="408">
        <v>1.8989315851608901</v>
      </c>
      <c r="AQ420" s="408">
        <v>0</v>
      </c>
      <c r="AR420" s="408">
        <v>0</v>
      </c>
      <c r="AS420" s="408">
        <v>0</v>
      </c>
      <c r="AT420" s="408">
        <v>0</v>
      </c>
      <c r="AU420" s="408">
        <v>0</v>
      </c>
      <c r="AV420" s="408">
        <v>0</v>
      </c>
      <c r="AW420" s="408">
        <v>0</v>
      </c>
      <c r="AX420" s="408">
        <v>0</v>
      </c>
      <c r="AY420" s="408">
        <v>0</v>
      </c>
      <c r="AZ420" s="408">
        <v>0</v>
      </c>
      <c r="BA420" s="408"/>
      <c r="BB420" s="408">
        <v>0</v>
      </c>
      <c r="BC420" s="408">
        <v>0</v>
      </c>
      <c r="BD420" s="408">
        <v>0</v>
      </c>
      <c r="BE420" s="408">
        <v>5.5481261705210609E-2</v>
      </c>
      <c r="BF420" s="408">
        <v>0.48056883374612297</v>
      </c>
      <c r="BG420" s="408">
        <v>1.8578323206145702</v>
      </c>
      <c r="BH420" s="408">
        <v>0</v>
      </c>
      <c r="BI420" s="408">
        <v>0</v>
      </c>
      <c r="BJ420" s="408">
        <v>0</v>
      </c>
      <c r="BK420" s="408">
        <v>0</v>
      </c>
      <c r="BL420" s="408">
        <v>0</v>
      </c>
      <c r="BM420" s="408"/>
      <c r="BN420" s="408"/>
      <c r="BO420" s="408"/>
      <c r="BP420" s="408"/>
      <c r="BQ420" s="408"/>
      <c r="BR420" s="408"/>
      <c r="BS420" s="408">
        <v>33.7898</v>
      </c>
      <c r="BT420" s="408"/>
      <c r="BU420" s="408"/>
      <c r="BV420" s="408">
        <v>18.486095970209803</v>
      </c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>
        <v>18.3552</v>
      </c>
      <c r="CJ420" s="408">
        <v>-5.9856000000000051</v>
      </c>
      <c r="CK420" s="408"/>
      <c r="CL420" s="408"/>
      <c r="CM420" s="408"/>
      <c r="CN420" s="408"/>
      <c r="CO420" s="408">
        <v>-19.039000000000005</v>
      </c>
      <c r="CP420" s="408">
        <v>2.1189999999999998</v>
      </c>
      <c r="CQ420" s="408">
        <v>31</v>
      </c>
      <c r="CR420" s="408">
        <v>2.3305879014008113</v>
      </c>
      <c r="CS420" s="408">
        <v>5.6299808364292048E-2</v>
      </c>
      <c r="CT420" s="408">
        <v>0.1843742600050402</v>
      </c>
      <c r="CU420" s="408">
        <v>0</v>
      </c>
      <c r="CV420" s="408">
        <v>0</v>
      </c>
      <c r="CW420" s="408">
        <v>0</v>
      </c>
      <c r="CX420" s="408">
        <v>0</v>
      </c>
      <c r="CY420" s="408">
        <v>0</v>
      </c>
      <c r="CZ420" s="408">
        <v>-6.6010300851879755E-2</v>
      </c>
      <c r="DA420" s="408">
        <v>0</v>
      </c>
      <c r="DB420" s="408">
        <v>0</v>
      </c>
      <c r="DC420" s="408">
        <v>2.0656134616606003</v>
      </c>
      <c r="DD420" s="408">
        <v>6.1686321083209095E-2</v>
      </c>
      <c r="DE420" s="408">
        <v>7.1216331216709047E-3</v>
      </c>
      <c r="DF420" s="408">
        <v>0</v>
      </c>
      <c r="DG420" s="408">
        <v>0.23847331121088988</v>
      </c>
      <c r="DH420" s="408">
        <v>0</v>
      </c>
      <c r="DI420" s="408">
        <v>-0.17871237568456966</v>
      </c>
      <c r="DJ420" s="408"/>
      <c r="DK420" s="408">
        <v>0</v>
      </c>
      <c r="DL420" s="408">
        <v>0</v>
      </c>
      <c r="DM420" s="408">
        <v>-8.9982572505200586E-3</v>
      </c>
      <c r="DN420" s="408">
        <v>0</v>
      </c>
      <c r="DO420" s="408">
        <v>-2.4479049883597059E-2</v>
      </c>
      <c r="DP420" s="408">
        <v>-4.780910374324987E-3</v>
      </c>
      <c r="DQ420" s="408">
        <v>0</v>
      </c>
      <c r="DR420" s="408">
        <v>0</v>
      </c>
      <c r="DS420" s="408"/>
      <c r="DT420" s="408"/>
      <c r="DU420" s="408"/>
      <c r="DV420" s="408">
        <v>36.361579516669899</v>
      </c>
      <c r="DW420" s="408">
        <v>0</v>
      </c>
      <c r="DX420" s="408">
        <v>0</v>
      </c>
      <c r="DY420" s="408">
        <v>-19.039000000000009</v>
      </c>
      <c r="DZ420" s="408">
        <v>2.1189999999999998</v>
      </c>
      <c r="EA420" s="408">
        <v>0</v>
      </c>
      <c r="EB420" s="408">
        <v>0</v>
      </c>
      <c r="EC420" s="408">
        <v>-19.251528627707597</v>
      </c>
      <c r="ED420" s="408">
        <v>0</v>
      </c>
      <c r="EE420" s="408">
        <v>0</v>
      </c>
      <c r="EF420" s="408">
        <v>0</v>
      </c>
      <c r="EG420" s="408">
        <v>0</v>
      </c>
      <c r="EH420" s="408">
        <v>0</v>
      </c>
      <c r="EI420" s="408">
        <v>0</v>
      </c>
      <c r="EJ420" s="408">
        <v>0</v>
      </c>
      <c r="EK420" s="408">
        <v>0</v>
      </c>
      <c r="EL420" s="408">
        <v>0</v>
      </c>
      <c r="EM420" s="408">
        <v>0</v>
      </c>
      <c r="EN420" s="408">
        <v>0</v>
      </c>
      <c r="EO420" s="408">
        <v>0</v>
      </c>
      <c r="EP420" s="408">
        <v>0</v>
      </c>
      <c r="EQ420" s="408">
        <v>0</v>
      </c>
      <c r="ER420" s="408">
        <v>0</v>
      </c>
      <c r="ES420" s="408">
        <v>0</v>
      </c>
      <c r="ET420" s="408">
        <v>0</v>
      </c>
      <c r="EU420" s="408">
        <v>0</v>
      </c>
      <c r="EV420" s="408">
        <v>239</v>
      </c>
      <c r="EW420" s="408">
        <v>0</v>
      </c>
      <c r="EX420" s="408">
        <v>0</v>
      </c>
      <c r="EY420" s="408">
        <v>0</v>
      </c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424</v>
      </c>
      <c r="B421" s="408" t="s">
        <v>1034</v>
      </c>
      <c r="C421" s="408" t="s">
        <v>2241</v>
      </c>
      <c r="D421" s="408" t="s">
        <v>596</v>
      </c>
      <c r="E421" s="408" t="s">
        <v>972</v>
      </c>
      <c r="F421" s="408" t="s">
        <v>2251</v>
      </c>
      <c r="G421" s="408" t="s">
        <v>1320</v>
      </c>
      <c r="H421" s="408" t="s">
        <v>1320</v>
      </c>
      <c r="I421" s="408" t="s">
        <v>971</v>
      </c>
      <c r="J421" s="408" t="s">
        <v>2234</v>
      </c>
      <c r="K421" s="827">
        <v>44562</v>
      </c>
      <c r="L421" s="408">
        <v>0</v>
      </c>
      <c r="M421" s="408">
        <v>0</v>
      </c>
      <c r="N421" s="408">
        <v>0.51</v>
      </c>
      <c r="O421" s="408">
        <v>0.48959999999999998</v>
      </c>
      <c r="P421" s="408">
        <v>0.51</v>
      </c>
      <c r="Q421" s="408">
        <v>0.48959999999999998</v>
      </c>
      <c r="R421" s="408"/>
      <c r="S421" s="408">
        <v>1684.16</v>
      </c>
      <c r="T421" s="408">
        <v>173.82</v>
      </c>
      <c r="U421" s="408"/>
      <c r="V421" s="408">
        <v>947.56979999999999</v>
      </c>
      <c r="W421" s="408">
        <v>947.56979999999999</v>
      </c>
      <c r="X421" s="408">
        <v>650.4846</v>
      </c>
      <c r="Y421" s="408">
        <v>0</v>
      </c>
      <c r="Z421" s="408">
        <v>27.132013519835159</v>
      </c>
      <c r="AA421" s="408">
        <v>0</v>
      </c>
      <c r="AB421" s="408">
        <v>0</v>
      </c>
      <c r="AC421" s="408">
        <v>9.1796939284650545</v>
      </c>
      <c r="AD421" s="408">
        <v>140.0388238818158</v>
      </c>
      <c r="AE421" s="408">
        <v>590.72915230278159</v>
      </c>
      <c r="AF421" s="408">
        <v>82.070289126133886</v>
      </c>
      <c r="AG421" s="408">
        <v>4.1288913499540323</v>
      </c>
      <c r="AH421" s="408">
        <v>0</v>
      </c>
      <c r="AI421" s="408">
        <v>0</v>
      </c>
      <c r="AJ421" s="408">
        <v>0</v>
      </c>
      <c r="AK421" s="408">
        <v>0</v>
      </c>
      <c r="AL421" s="408">
        <v>4.8202632953858124</v>
      </c>
      <c r="AM421" s="408"/>
      <c r="AN421" s="408">
        <v>0.6337926394961676</v>
      </c>
      <c r="AO421" s="408">
        <v>19.714633250827944</v>
      </c>
      <c r="AP421" s="408">
        <v>63.392322214473722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0</v>
      </c>
      <c r="BE421" s="408">
        <v>9.5162748595136459E-2</v>
      </c>
      <c r="BF421" s="408">
        <v>2.4509010521052272</v>
      </c>
      <c r="BG421" s="408">
        <v>3.1865971433371185</v>
      </c>
      <c r="BH421" s="408">
        <v>0</v>
      </c>
      <c r="BI421" s="408">
        <v>0</v>
      </c>
      <c r="BJ421" s="408">
        <v>0</v>
      </c>
      <c r="BK421" s="408">
        <v>0</v>
      </c>
      <c r="BL421" s="408">
        <v>0</v>
      </c>
      <c r="BM421" s="408"/>
      <c r="BN421" s="408"/>
      <c r="BO421" s="408"/>
      <c r="BP421" s="408"/>
      <c r="BQ421" s="408"/>
      <c r="BR421" s="408">
        <v>26.019384000000038</v>
      </c>
      <c r="BS421" s="408"/>
      <c r="BT421" s="408"/>
      <c r="BU421" s="408"/>
      <c r="BV421" s="408">
        <v>87.802950070171377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624.97540000000004</v>
      </c>
      <c r="CJ421" s="408">
        <v>-284.72160799999995</v>
      </c>
      <c r="CK421" s="408"/>
      <c r="CL421" s="408"/>
      <c r="CM421" s="408"/>
      <c r="CN421" s="408"/>
      <c r="CO421" s="408">
        <v>-307.89210000000003</v>
      </c>
      <c r="CP421" s="408">
        <v>10.806899999999999</v>
      </c>
      <c r="CQ421" s="408">
        <v>31</v>
      </c>
      <c r="CR421" s="408">
        <v>15.671295124283517</v>
      </c>
      <c r="CS421" s="408">
        <v>1.9141663371639233</v>
      </c>
      <c r="CT421" s="408">
        <v>6.1549939922161201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-2.6851335309193303</v>
      </c>
      <c r="DA421" s="408">
        <v>0</v>
      </c>
      <c r="DB421" s="408">
        <v>0</v>
      </c>
      <c r="DC421" s="408">
        <v>10.53462865446906</v>
      </c>
      <c r="DD421" s="408">
        <v>0.31460023752436639</v>
      </c>
      <c r="DE421" s="408">
        <v>1.2215190525862299E-2</v>
      </c>
      <c r="DF421" s="408">
        <v>0</v>
      </c>
      <c r="DG421" s="408">
        <v>0.40903496178567167</v>
      </c>
      <c r="DH421" s="408">
        <v>0</v>
      </c>
      <c r="DI421" s="408">
        <v>-0.79294681091245778</v>
      </c>
      <c r="DJ421" s="408"/>
      <c r="DK421" s="408">
        <v>0</v>
      </c>
      <c r="DL421" s="408">
        <v>0</v>
      </c>
      <c r="DM421" s="408">
        <v>-4.5891111977652166E-2</v>
      </c>
      <c r="DN421" s="408">
        <v>0</v>
      </c>
      <c r="DO421" s="408">
        <v>-0.12484315440634486</v>
      </c>
      <c r="DP421" s="408">
        <v>-1.9529641185711322E-2</v>
      </c>
      <c r="DQ421" s="408">
        <v>0</v>
      </c>
      <c r="DR421" s="408">
        <v>0</v>
      </c>
      <c r="DS421" s="408"/>
      <c r="DT421" s="408"/>
      <c r="DU421" s="408"/>
      <c r="DV421" s="408">
        <v>590.72915230278159</v>
      </c>
      <c r="DW421" s="408">
        <v>0</v>
      </c>
      <c r="DX421" s="408">
        <v>0</v>
      </c>
      <c r="DY421" s="408">
        <v>-307.89210000000003</v>
      </c>
      <c r="DZ421" s="408">
        <v>10.806899999999999</v>
      </c>
      <c r="EA421" s="408">
        <v>0</v>
      </c>
      <c r="EB421" s="408">
        <v>0</v>
      </c>
      <c r="EC421" s="408">
        <v>-312.75976835837832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0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239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425</v>
      </c>
      <c r="B422" s="408" t="s">
        <v>1034</v>
      </c>
      <c r="C422" s="408" t="s">
        <v>2241</v>
      </c>
      <c r="D422" s="408" t="s">
        <v>596</v>
      </c>
      <c r="E422" s="408" t="s">
        <v>972</v>
      </c>
      <c r="F422" s="408" t="s">
        <v>2251</v>
      </c>
      <c r="G422" s="408" t="s">
        <v>1320</v>
      </c>
      <c r="H422" s="408" t="s">
        <v>1320</v>
      </c>
      <c r="I422" s="408" t="s">
        <v>2242</v>
      </c>
      <c r="J422" s="408" t="s">
        <v>2234</v>
      </c>
      <c r="K422" s="827">
        <v>44562</v>
      </c>
      <c r="L422" s="408">
        <v>0</v>
      </c>
      <c r="M422" s="408">
        <v>0</v>
      </c>
      <c r="N422" s="408">
        <v>285.05099999999999</v>
      </c>
      <c r="O422" s="408">
        <v>273.64895999999999</v>
      </c>
      <c r="P422" s="408">
        <v>285.05099999999999</v>
      </c>
      <c r="Q422" s="408">
        <v>273.64895999999999</v>
      </c>
      <c r="R422" s="408"/>
      <c r="S422" s="408">
        <v>70.33</v>
      </c>
      <c r="T422" s="408">
        <v>173.82</v>
      </c>
      <c r="U422" s="408"/>
      <c r="V422" s="408">
        <v>69595.201649999988</v>
      </c>
      <c r="W422" s="408">
        <v>69595.201649999988</v>
      </c>
      <c r="X422" s="408">
        <v>75347.530829999989</v>
      </c>
      <c r="Y422" s="408">
        <v>0</v>
      </c>
      <c r="Z422" s="408">
        <v>15164.720756553983</v>
      </c>
      <c r="AA422" s="408">
        <v>0</v>
      </c>
      <c r="AB422" s="408">
        <v>0</v>
      </c>
      <c r="AC422" s="408">
        <v>0</v>
      </c>
      <c r="AD422" s="408">
        <v>0</v>
      </c>
      <c r="AE422" s="408">
        <v>0</v>
      </c>
      <c r="AF422" s="408">
        <v>45871.015658222721</v>
      </c>
      <c r="AG422" s="408">
        <v>2307.7345258740133</v>
      </c>
      <c r="AH422" s="408">
        <v>0</v>
      </c>
      <c r="AI422" s="408">
        <v>0</v>
      </c>
      <c r="AJ422" s="408">
        <v>0</v>
      </c>
      <c r="AK422" s="408">
        <v>0</v>
      </c>
      <c r="AL422" s="408">
        <v>2694.1585737510218</v>
      </c>
      <c r="AM422" s="408"/>
      <c r="AN422" s="408">
        <v>354.24161898239618</v>
      </c>
      <c r="AO422" s="408">
        <v>0</v>
      </c>
      <c r="AP422" s="408">
        <v>0</v>
      </c>
      <c r="AQ422" s="408">
        <v>0</v>
      </c>
      <c r="AR422" s="408">
        <v>0</v>
      </c>
      <c r="AS422" s="408">
        <v>0</v>
      </c>
      <c r="AT422" s="408">
        <v>0</v>
      </c>
      <c r="AU422" s="408">
        <v>0</v>
      </c>
      <c r="AV422" s="408">
        <v>0</v>
      </c>
      <c r="AW422" s="408">
        <v>0</v>
      </c>
      <c r="AX422" s="408">
        <v>0</v>
      </c>
      <c r="AY422" s="408">
        <v>0</v>
      </c>
      <c r="AZ422" s="408">
        <v>0</v>
      </c>
      <c r="BA422" s="408"/>
      <c r="BB422" s="408">
        <v>0</v>
      </c>
      <c r="BC422" s="408">
        <v>0</v>
      </c>
      <c r="BD422" s="408">
        <v>0</v>
      </c>
      <c r="BE422" s="408">
        <v>53.188699313318118</v>
      </c>
      <c r="BF422" s="408">
        <v>1369.866266281661</v>
      </c>
      <c r="BG422" s="408">
        <v>1781.0641221674293</v>
      </c>
      <c r="BH422" s="408">
        <v>0</v>
      </c>
      <c r="BI422" s="408">
        <v>0</v>
      </c>
      <c r="BJ422" s="408">
        <v>0</v>
      </c>
      <c r="BK422" s="408">
        <v>0</v>
      </c>
      <c r="BL422" s="408">
        <v>0</v>
      </c>
      <c r="BM422" s="408"/>
      <c r="BN422" s="408"/>
      <c r="BO422" s="408"/>
      <c r="BP422" s="408"/>
      <c r="BQ422" s="408"/>
      <c r="BR422" s="408">
        <v>3013.9012331999993</v>
      </c>
      <c r="BS422" s="408"/>
      <c r="BT422" s="408"/>
      <c r="BU422" s="408"/>
      <c r="BV422" s="408">
        <v>49075.134745985131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72333.90449999999</v>
      </c>
      <c r="CJ422" s="408">
        <v>5522.4809160000004</v>
      </c>
      <c r="CK422" s="408"/>
      <c r="CL422" s="408"/>
      <c r="CM422" s="408"/>
      <c r="CN422" s="408"/>
      <c r="CO422" s="408">
        <v>-287.90151000000145</v>
      </c>
      <c r="CP422" s="408">
        <v>6040.2306899999994</v>
      </c>
      <c r="CQ422" s="408">
        <v>31</v>
      </c>
      <c r="CR422" s="408">
        <v>5749.7963206747081</v>
      </c>
      <c r="CS422" s="408">
        <v>0</v>
      </c>
      <c r="CT422" s="408">
        <v>0</v>
      </c>
      <c r="CU422" s="408">
        <v>0</v>
      </c>
      <c r="CV422" s="408">
        <v>0</v>
      </c>
      <c r="CW422" s="408">
        <v>0</v>
      </c>
      <c r="CX422" s="408">
        <v>0</v>
      </c>
      <c r="CY422" s="408">
        <v>0</v>
      </c>
      <c r="CZ422" s="408">
        <v>0</v>
      </c>
      <c r="DA422" s="408">
        <v>0</v>
      </c>
      <c r="DB422" s="408">
        <v>0</v>
      </c>
      <c r="DC422" s="408">
        <v>5888.0518285981598</v>
      </c>
      <c r="DD422" s="408">
        <v>175.83747511089837</v>
      </c>
      <c r="DE422" s="408">
        <v>6.8273574011521063</v>
      </c>
      <c r="DF422" s="408">
        <v>0</v>
      </c>
      <c r="DG422" s="408">
        <v>228.61926449405382</v>
      </c>
      <c r="DH422" s="408">
        <v>0</v>
      </c>
      <c r="DI422" s="408">
        <v>-443.19663019099426</v>
      </c>
      <c r="DJ422" s="408"/>
      <c r="DK422" s="408">
        <v>0</v>
      </c>
      <c r="DL422" s="408">
        <v>0</v>
      </c>
      <c r="DM422" s="408">
        <v>-25.649622275179809</v>
      </c>
      <c r="DN422" s="408">
        <v>0</v>
      </c>
      <c r="DO422" s="408">
        <v>-69.777776483691923</v>
      </c>
      <c r="DP422" s="408">
        <v>-10.915575979663117</v>
      </c>
      <c r="DQ422" s="408">
        <v>0</v>
      </c>
      <c r="DR422" s="408">
        <v>0</v>
      </c>
      <c r="DS422" s="408"/>
      <c r="DT422" s="408"/>
      <c r="DU422" s="408"/>
      <c r="DV422" s="408">
        <v>0</v>
      </c>
      <c r="DW422" s="408">
        <v>0</v>
      </c>
      <c r="DX422" s="408">
        <v>0</v>
      </c>
      <c r="DY422" s="408">
        <v>-287.90151000000333</v>
      </c>
      <c r="DZ422" s="408">
        <v>6040.230690000004</v>
      </c>
      <c r="EA422" s="408">
        <v>0</v>
      </c>
      <c r="EB422" s="408">
        <v>0</v>
      </c>
      <c r="EC422" s="408">
        <v>0</v>
      </c>
      <c r="ED422" s="408">
        <v>0</v>
      </c>
      <c r="EE422" s="408">
        <v>0</v>
      </c>
      <c r="EF422" s="408">
        <v>0</v>
      </c>
      <c r="EG422" s="408">
        <v>0</v>
      </c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>
        <v>0</v>
      </c>
      <c r="EN422" s="408">
        <v>0</v>
      </c>
      <c r="EO422" s="408">
        <v>0</v>
      </c>
      <c r="EP422" s="408">
        <v>0</v>
      </c>
      <c r="EQ422" s="408">
        <v>0</v>
      </c>
      <c r="ER422" s="408">
        <v>0</v>
      </c>
      <c r="ES422" s="408">
        <v>0</v>
      </c>
      <c r="ET422" s="408">
        <v>0</v>
      </c>
      <c r="EU422" s="408">
        <v>0</v>
      </c>
      <c r="EV422" s="408">
        <v>239</v>
      </c>
      <c r="EW422" s="408">
        <v>0</v>
      </c>
      <c r="EX422" s="408">
        <v>0</v>
      </c>
      <c r="EY422" s="408">
        <v>0</v>
      </c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426</v>
      </c>
      <c r="B423" s="408" t="s">
        <v>1034</v>
      </c>
      <c r="C423" s="408" t="s">
        <v>2241</v>
      </c>
      <c r="D423" s="408" t="s">
        <v>596</v>
      </c>
      <c r="E423" s="408" t="s">
        <v>972</v>
      </c>
      <c r="F423" s="408" t="s">
        <v>2251</v>
      </c>
      <c r="G423" s="408" t="s">
        <v>1320</v>
      </c>
      <c r="H423" s="408" t="s">
        <v>1320</v>
      </c>
      <c r="I423" s="408" t="s">
        <v>1320</v>
      </c>
      <c r="J423" s="408" t="s">
        <v>2234</v>
      </c>
      <c r="K423" s="827">
        <v>44562</v>
      </c>
      <c r="L423" s="408">
        <v>1484</v>
      </c>
      <c r="M423" s="408">
        <v>1424.64</v>
      </c>
      <c r="N423" s="408">
        <v>0</v>
      </c>
      <c r="O423" s="408">
        <v>0</v>
      </c>
      <c r="P423" s="408">
        <v>0</v>
      </c>
      <c r="Q423" s="408">
        <v>0</v>
      </c>
      <c r="R423" s="408">
        <v>59.12</v>
      </c>
      <c r="S423" s="408"/>
      <c r="T423" s="408"/>
      <c r="U423" s="408">
        <v>87734.080000000002</v>
      </c>
      <c r="V423" s="408"/>
      <c r="W423" s="408">
        <v>87734.080000000002</v>
      </c>
      <c r="X423" s="408">
        <v>50500.520000000004</v>
      </c>
      <c r="Y423" s="408">
        <v>0</v>
      </c>
      <c r="Z423" s="408">
        <v>0</v>
      </c>
      <c r="AA423" s="408">
        <v>0</v>
      </c>
      <c r="AB423" s="408">
        <v>0</v>
      </c>
      <c r="AC423" s="408">
        <v>848.93757918718416</v>
      </c>
      <c r="AD423" s="408">
        <v>7593.6616136616985</v>
      </c>
      <c r="AE423" s="408">
        <v>71472.107864636841</v>
      </c>
      <c r="AF423" s="408"/>
      <c r="AG423" s="408"/>
      <c r="AH423" s="408"/>
      <c r="AI423" s="408">
        <v>0</v>
      </c>
      <c r="AJ423" s="408">
        <v>0</v>
      </c>
      <c r="AK423" s="408">
        <v>0</v>
      </c>
      <c r="AL423" s="408">
        <v>0</v>
      </c>
      <c r="AM423" s="408"/>
      <c r="AN423" s="408">
        <v>0</v>
      </c>
      <c r="AO423" s="408">
        <v>1792.779019684049</v>
      </c>
      <c r="AP423" s="408">
        <v>6026.5059902055909</v>
      </c>
      <c r="AQ423" s="408">
        <v>0</v>
      </c>
      <c r="AR423" s="408">
        <v>0</v>
      </c>
      <c r="AS423" s="408"/>
      <c r="AT423" s="408"/>
      <c r="AU423" s="408">
        <v>0</v>
      </c>
      <c r="AV423" s="408">
        <v>0</v>
      </c>
      <c r="AW423" s="408">
        <v>0</v>
      </c>
      <c r="AX423" s="408"/>
      <c r="AY423" s="408"/>
      <c r="AZ423" s="408">
        <v>0</v>
      </c>
      <c r="BA423" s="408"/>
      <c r="BB423" s="408">
        <v>0</v>
      </c>
      <c r="BC423" s="408">
        <v>0</v>
      </c>
      <c r="BD423" s="408">
        <v>0</v>
      </c>
      <c r="BE423" s="408">
        <v>0</v>
      </c>
      <c r="BF423" s="408"/>
      <c r="BG423" s="408">
        <v>0</v>
      </c>
      <c r="BH423" s="408">
        <v>0</v>
      </c>
      <c r="BI423" s="408">
        <v>0</v>
      </c>
      <c r="BJ423" s="408">
        <v>0</v>
      </c>
      <c r="BK423" s="408">
        <v>43.9</v>
      </c>
      <c r="BL423" s="408">
        <v>9</v>
      </c>
      <c r="BM423" s="408"/>
      <c r="BN423" s="408"/>
      <c r="BO423" s="408"/>
      <c r="BP423" s="408"/>
      <c r="BQ423" s="408"/>
      <c r="BR423" s="408">
        <v>2020.0207999999966</v>
      </c>
      <c r="BS423" s="408"/>
      <c r="BT423" s="408"/>
      <c r="BU423" s="408"/>
      <c r="BV423" s="408">
        <v>0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48480.499200000006</v>
      </c>
      <c r="CJ423" s="408">
        <v>-35744.247599999988</v>
      </c>
      <c r="CK423" s="408"/>
      <c r="CL423" s="408"/>
      <c r="CM423" s="408"/>
      <c r="CN423" s="408"/>
      <c r="CO423" s="408">
        <v>-37233.56</v>
      </c>
      <c r="CP423" s="408">
        <v>0</v>
      </c>
      <c r="CQ423" s="408">
        <v>31</v>
      </c>
      <c r="CR423" s="408">
        <v>613.60072750120526</v>
      </c>
      <c r="CS423" s="408">
        <v>174.06751653921037</v>
      </c>
      <c r="CT423" s="408">
        <v>585.13565788417054</v>
      </c>
      <c r="CU423" s="408">
        <v>0</v>
      </c>
      <c r="CV423" s="408">
        <v>0</v>
      </c>
      <c r="CW423" s="408"/>
      <c r="CX423" s="408"/>
      <c r="CY423" s="408"/>
      <c r="CZ423" s="408">
        <v>-145.60244692217566</v>
      </c>
      <c r="DA423" s="408">
        <v>0</v>
      </c>
      <c r="DB423" s="408">
        <v>0</v>
      </c>
      <c r="DC423" s="408"/>
      <c r="DD423" s="408"/>
      <c r="DE423" s="408">
        <v>0</v>
      </c>
      <c r="DF423" s="408">
        <v>0</v>
      </c>
      <c r="DG423" s="408">
        <v>0</v>
      </c>
      <c r="DH423" s="408">
        <v>0</v>
      </c>
      <c r="DI423" s="408">
        <v>0</v>
      </c>
      <c r="DJ423" s="408"/>
      <c r="DK423" s="408">
        <v>0</v>
      </c>
      <c r="DL423" s="408">
        <v>0</v>
      </c>
      <c r="DM423" s="408"/>
      <c r="DN423" s="408">
        <v>0</v>
      </c>
      <c r="DO423" s="408">
        <v>0</v>
      </c>
      <c r="DP423" s="408">
        <v>0</v>
      </c>
      <c r="DQ423" s="408">
        <v>0</v>
      </c>
      <c r="DR423" s="408">
        <v>0</v>
      </c>
      <c r="DS423" s="408"/>
      <c r="DT423" s="408"/>
      <c r="DU423" s="408">
        <v>71472.107864636841</v>
      </c>
      <c r="DV423" s="408"/>
      <c r="DW423" s="408">
        <v>0</v>
      </c>
      <c r="DX423" s="408">
        <v>0</v>
      </c>
      <c r="DY423" s="408">
        <v>-37233.56</v>
      </c>
      <c r="DZ423" s="408"/>
      <c r="EA423" s="408">
        <v>0</v>
      </c>
      <c r="EB423" s="408"/>
      <c r="EC423" s="408">
        <v>-37840.691986657577</v>
      </c>
      <c r="ED423" s="408"/>
      <c r="EE423" s="408">
        <v>0</v>
      </c>
      <c r="EF423" s="408">
        <v>0</v>
      </c>
      <c r="EG423" s="408"/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/>
      <c r="EN423" s="408"/>
      <c r="EO423" s="408">
        <v>0</v>
      </c>
      <c r="EP423" s="408">
        <v>0</v>
      </c>
      <c r="EQ423" s="408"/>
      <c r="ER423" s="408">
        <v>0</v>
      </c>
      <c r="ES423" s="408"/>
      <c r="ET423" s="408">
        <v>0</v>
      </c>
      <c r="EU423" s="408"/>
      <c r="EV423" s="408">
        <v>239</v>
      </c>
      <c r="EW423" s="408"/>
      <c r="EX423" s="408"/>
      <c r="EY423" s="408"/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427</v>
      </c>
      <c r="B424" s="408" t="s">
        <v>1034</v>
      </c>
      <c r="C424" s="408" t="s">
        <v>2241</v>
      </c>
      <c r="D424" s="408" t="s">
        <v>596</v>
      </c>
      <c r="E424" s="408" t="s">
        <v>972</v>
      </c>
      <c r="F424" s="408" t="s">
        <v>2251</v>
      </c>
      <c r="G424" s="408" t="s">
        <v>2253</v>
      </c>
      <c r="H424" s="408" t="s">
        <v>1320</v>
      </c>
      <c r="I424" s="408" t="s">
        <v>2242</v>
      </c>
      <c r="J424" s="408" t="s">
        <v>2234</v>
      </c>
      <c r="K424" s="827">
        <v>44562</v>
      </c>
      <c r="L424" s="408">
        <v>0</v>
      </c>
      <c r="M424" s="408">
        <v>0</v>
      </c>
      <c r="N424" s="408">
        <v>201.273</v>
      </c>
      <c r="O424" s="408">
        <v>60.381900000000002</v>
      </c>
      <c r="P424" s="408">
        <v>201.273</v>
      </c>
      <c r="Q424" s="408">
        <v>60.381900000000002</v>
      </c>
      <c r="R424" s="408"/>
      <c r="S424" s="408">
        <v>70.33</v>
      </c>
      <c r="T424" s="408">
        <v>173.82</v>
      </c>
      <c r="U424" s="408"/>
      <c r="V424" s="408">
        <v>49140.802949999998</v>
      </c>
      <c r="W424" s="408">
        <v>49140.802949999998</v>
      </c>
      <c r="X424" s="408">
        <v>53202.492089999992</v>
      </c>
      <c r="Y424" s="408">
        <v>0</v>
      </c>
      <c r="Z424" s="408">
        <v>10707.728935642708</v>
      </c>
      <c r="AA424" s="408">
        <v>0</v>
      </c>
      <c r="AB424" s="408">
        <v>0</v>
      </c>
      <c r="AC424" s="408">
        <v>0</v>
      </c>
      <c r="AD424" s="408">
        <v>0</v>
      </c>
      <c r="AE424" s="408">
        <v>0</v>
      </c>
      <c r="AF424" s="408">
        <v>32389.280986832051</v>
      </c>
      <c r="AG424" s="408">
        <v>1629.4791150574467</v>
      </c>
      <c r="AH424" s="408">
        <v>0</v>
      </c>
      <c r="AI424" s="408">
        <v>0</v>
      </c>
      <c r="AJ424" s="408">
        <v>0</v>
      </c>
      <c r="AK424" s="408">
        <v>0</v>
      </c>
      <c r="AL424" s="408">
        <v>1902.3310867689972</v>
      </c>
      <c r="AM424" s="408"/>
      <c r="AN424" s="408">
        <v>250.12812927316105</v>
      </c>
      <c r="AO424" s="408">
        <v>0</v>
      </c>
      <c r="AP424" s="408">
        <v>0</v>
      </c>
      <c r="AQ424" s="408">
        <v>0</v>
      </c>
      <c r="AR424" s="408">
        <v>0</v>
      </c>
      <c r="AS424" s="408">
        <v>0</v>
      </c>
      <c r="AT424" s="408">
        <v>0</v>
      </c>
      <c r="AU424" s="408">
        <v>0</v>
      </c>
      <c r="AV424" s="408">
        <v>0</v>
      </c>
      <c r="AW424" s="408">
        <v>0</v>
      </c>
      <c r="AX424" s="408">
        <v>0</v>
      </c>
      <c r="AY424" s="408">
        <v>0</v>
      </c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37.556258623507645</v>
      </c>
      <c r="BF424" s="408">
        <v>967.2553087458341</v>
      </c>
      <c r="BG424" s="408">
        <v>1257.5999349625331</v>
      </c>
      <c r="BH424" s="408">
        <v>0</v>
      </c>
      <c r="BI424" s="408">
        <v>0</v>
      </c>
      <c r="BJ424" s="408">
        <v>0</v>
      </c>
      <c r="BK424" s="408">
        <v>0</v>
      </c>
      <c r="BL424" s="408">
        <v>0</v>
      </c>
      <c r="BM424" s="408"/>
      <c r="BN424" s="408"/>
      <c r="BO424" s="408"/>
      <c r="BP424" s="408"/>
      <c r="BQ424" s="408"/>
      <c r="BR424" s="408"/>
      <c r="BS424" s="408">
        <v>37241.744462999995</v>
      </c>
      <c r="BT424" s="408"/>
      <c r="BU424" s="408"/>
      <c r="BV424" s="408">
        <v>34651.692489163928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15960.2454</v>
      </c>
      <c r="CJ424" s="408">
        <v>1217.9745149999999</v>
      </c>
      <c r="CK424" s="408"/>
      <c r="CL424" s="408"/>
      <c r="CM424" s="408"/>
      <c r="CN424" s="408"/>
      <c r="CO424" s="408">
        <v>-203.28573000000102</v>
      </c>
      <c r="CP424" s="408">
        <v>4264.9748699999991</v>
      </c>
      <c r="CQ424" s="408">
        <v>31</v>
      </c>
      <c r="CR424" s="408">
        <v>4059.9007014575182</v>
      </c>
      <c r="CS424" s="408">
        <v>0</v>
      </c>
      <c r="CT424" s="408">
        <v>0</v>
      </c>
      <c r="CU424" s="408">
        <v>0</v>
      </c>
      <c r="CV424" s="408">
        <v>0</v>
      </c>
      <c r="CW424" s="408">
        <v>0</v>
      </c>
      <c r="CX424" s="408">
        <v>0</v>
      </c>
      <c r="CY424" s="408">
        <v>0</v>
      </c>
      <c r="CZ424" s="408">
        <v>0</v>
      </c>
      <c r="DA424" s="408">
        <v>0</v>
      </c>
      <c r="DB424" s="408">
        <v>0</v>
      </c>
      <c r="DC424" s="408">
        <v>4157.5221826881425</v>
      </c>
      <c r="DD424" s="408">
        <v>124.1579090338073</v>
      </c>
      <c r="DE424" s="408">
        <v>4.8207608680625142</v>
      </c>
      <c r="DF424" s="408">
        <v>0</v>
      </c>
      <c r="DG424" s="408">
        <v>161.42685071272058</v>
      </c>
      <c r="DH424" s="408">
        <v>0</v>
      </c>
      <c r="DI424" s="408">
        <v>-312.93879112310242</v>
      </c>
      <c r="DJ424" s="408"/>
      <c r="DK424" s="408">
        <v>0</v>
      </c>
      <c r="DL424" s="408">
        <v>0</v>
      </c>
      <c r="DM424" s="408">
        <v>-18.111062315839035</v>
      </c>
      <c r="DN424" s="408">
        <v>0</v>
      </c>
      <c r="DO424" s="408">
        <v>-49.269718072212299</v>
      </c>
      <c r="DP424" s="408">
        <v>-7.70743033406211</v>
      </c>
      <c r="DQ424" s="408">
        <v>0</v>
      </c>
      <c r="DR424" s="408">
        <v>0</v>
      </c>
      <c r="DS424" s="408"/>
      <c r="DT424" s="408"/>
      <c r="DU424" s="408"/>
      <c r="DV424" s="408">
        <v>0</v>
      </c>
      <c r="DW424" s="408">
        <v>0</v>
      </c>
      <c r="DX424" s="408">
        <v>0</v>
      </c>
      <c r="DY424" s="408">
        <v>-203.28573000000142</v>
      </c>
      <c r="DZ424" s="408">
        <v>4264.9748699999982</v>
      </c>
      <c r="EA424" s="408">
        <v>0</v>
      </c>
      <c r="EB424" s="408">
        <v>0</v>
      </c>
      <c r="EC424" s="408">
        <v>0</v>
      </c>
      <c r="ED424" s="408">
        <v>0</v>
      </c>
      <c r="EE424" s="408">
        <v>0</v>
      </c>
      <c r="EF424" s="408">
        <v>0</v>
      </c>
      <c r="EG424" s="408">
        <v>0</v>
      </c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>
        <v>0</v>
      </c>
      <c r="EN424" s="408">
        <v>0</v>
      </c>
      <c r="EO424" s="408">
        <v>0</v>
      </c>
      <c r="EP424" s="408">
        <v>0</v>
      </c>
      <c r="EQ424" s="408">
        <v>0</v>
      </c>
      <c r="ER424" s="408">
        <v>0</v>
      </c>
      <c r="ES424" s="408">
        <v>0</v>
      </c>
      <c r="ET424" s="408">
        <v>0</v>
      </c>
      <c r="EU424" s="408">
        <v>0</v>
      </c>
      <c r="EV424" s="408">
        <v>239</v>
      </c>
      <c r="EW424" s="408">
        <v>0</v>
      </c>
      <c r="EX424" s="408">
        <v>0</v>
      </c>
      <c r="EY424" s="408">
        <v>0</v>
      </c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428</v>
      </c>
      <c r="B425" s="408" t="s">
        <v>1034</v>
      </c>
      <c r="C425" s="408" t="s">
        <v>2233</v>
      </c>
      <c r="D425" s="408" t="s">
        <v>2243</v>
      </c>
      <c r="E425" s="408" t="s">
        <v>972</v>
      </c>
      <c r="F425" s="408" t="s">
        <v>2254</v>
      </c>
      <c r="G425" s="408" t="s">
        <v>2252</v>
      </c>
      <c r="H425" s="408" t="s">
        <v>1320</v>
      </c>
      <c r="I425" s="408" t="s">
        <v>1320</v>
      </c>
      <c r="J425" s="408" t="s">
        <v>2234</v>
      </c>
      <c r="K425" s="827">
        <v>44562</v>
      </c>
      <c r="L425" s="408">
        <v>0</v>
      </c>
      <c r="M425" s="408">
        <v>0</v>
      </c>
      <c r="N425" s="408">
        <v>0</v>
      </c>
      <c r="O425" s="408">
        <v>0</v>
      </c>
      <c r="P425" s="408">
        <v>0</v>
      </c>
      <c r="Q425" s="408">
        <v>0</v>
      </c>
      <c r="R425" s="408"/>
      <c r="S425" s="408"/>
      <c r="T425" s="408"/>
      <c r="U425" s="408"/>
      <c r="V425" s="408"/>
      <c r="W425" s="408"/>
      <c r="X425" s="408"/>
      <c r="Y425" s="408"/>
      <c r="Z425" s="408"/>
      <c r="AA425" s="408">
        <v>0</v>
      </c>
      <c r="AB425" s="408"/>
      <c r="AC425" s="408"/>
      <c r="AD425" s="408"/>
      <c r="AE425" s="408"/>
      <c r="AF425" s="408"/>
      <c r="AG425" s="408"/>
      <c r="AH425" s="408"/>
      <c r="AI425" s="408"/>
      <c r="AJ425" s="408"/>
      <c r="AK425" s="408"/>
      <c r="AL425" s="408"/>
      <c r="AM425" s="408"/>
      <c r="AN425" s="408"/>
      <c r="AO425" s="408"/>
      <c r="AP425" s="408"/>
      <c r="AQ425" s="408"/>
      <c r="AR425" s="408"/>
      <c r="AS425" s="408"/>
      <c r="AT425" s="408"/>
      <c r="AU425" s="408"/>
      <c r="AV425" s="408"/>
      <c r="AW425" s="408"/>
      <c r="AX425" s="408"/>
      <c r="AY425" s="408"/>
      <c r="AZ425" s="408">
        <v>0</v>
      </c>
      <c r="BA425" s="408"/>
      <c r="BB425" s="408"/>
      <c r="BC425" s="408"/>
      <c r="BD425" s="408"/>
      <c r="BE425" s="408"/>
      <c r="BF425" s="408"/>
      <c r="BG425" s="408"/>
      <c r="BH425" s="408"/>
      <c r="BI425" s="408">
        <v>0</v>
      </c>
      <c r="BJ425" s="408">
        <v>0</v>
      </c>
      <c r="BK425" s="408">
        <v>4.5199999999999996</v>
      </c>
      <c r="BL425" s="408">
        <v>1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/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/>
      <c r="CJ425" s="408">
        <v>-0.03</v>
      </c>
      <c r="CK425" s="408"/>
      <c r="CL425" s="408"/>
      <c r="CM425" s="408"/>
      <c r="CN425" s="408"/>
      <c r="CO425" s="408">
        <v>0</v>
      </c>
      <c r="CP425" s="408">
        <v>0</v>
      </c>
      <c r="CQ425" s="408">
        <v>31</v>
      </c>
      <c r="CR425" s="408"/>
      <c r="CS425" s="408"/>
      <c r="CT425" s="408"/>
      <c r="CU425" s="408"/>
      <c r="CV425" s="408"/>
      <c r="CW425" s="408"/>
      <c r="CX425" s="408"/>
      <c r="CY425" s="408"/>
      <c r="CZ425" s="408"/>
      <c r="DA425" s="408"/>
      <c r="DB425" s="408"/>
      <c r="DC425" s="408"/>
      <c r="DD425" s="408"/>
      <c r="DE425" s="408"/>
      <c r="DF425" s="408"/>
      <c r="DG425" s="408"/>
      <c r="DH425" s="408"/>
      <c r="DI425" s="408"/>
      <c r="DJ425" s="408"/>
      <c r="DK425" s="408">
        <v>0</v>
      </c>
      <c r="DL425" s="408"/>
      <c r="DM425" s="408"/>
      <c r="DN425" s="408"/>
      <c r="DO425" s="408"/>
      <c r="DP425" s="408"/>
      <c r="DQ425" s="408"/>
      <c r="DR425" s="408"/>
      <c r="DS425" s="408"/>
      <c r="DT425" s="408"/>
      <c r="DU425" s="408"/>
      <c r="DV425" s="408"/>
      <c r="DW425" s="408"/>
      <c r="DX425" s="408"/>
      <c r="DY425" s="408"/>
      <c r="DZ425" s="408"/>
      <c r="EA425" s="408"/>
      <c r="EB425" s="408"/>
      <c r="EC425" s="408"/>
      <c r="ED425" s="408"/>
      <c r="EE425" s="408"/>
      <c r="EF425" s="408"/>
      <c r="EG425" s="408"/>
      <c r="EH425" s="408"/>
      <c r="EI425" s="408"/>
      <c r="EJ425" s="408"/>
      <c r="EK425" s="408"/>
      <c r="EL425" s="408"/>
      <c r="EM425" s="408"/>
      <c r="EN425" s="408"/>
      <c r="EO425" s="408"/>
      <c r="EP425" s="408"/>
      <c r="EQ425" s="408"/>
      <c r="ER425" s="408"/>
      <c r="ES425" s="408"/>
      <c r="ET425" s="408"/>
      <c r="EU425" s="408"/>
      <c r="EV425" s="408">
        <v>239</v>
      </c>
      <c r="EW425" s="408"/>
      <c r="EX425" s="408"/>
      <c r="EY425" s="408"/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429</v>
      </c>
      <c r="B426" s="408" t="s">
        <v>1034</v>
      </c>
      <c r="C426" s="408" t="s">
        <v>2233</v>
      </c>
      <c r="D426" s="408" t="s">
        <v>2243</v>
      </c>
      <c r="E426" s="408" t="s">
        <v>972</v>
      </c>
      <c r="F426" s="408" t="s">
        <v>2254</v>
      </c>
      <c r="G426" s="408" t="s">
        <v>2252</v>
      </c>
      <c r="H426" s="408" t="s">
        <v>1320</v>
      </c>
      <c r="I426" s="408" t="s">
        <v>1320</v>
      </c>
      <c r="J426" s="408" t="s">
        <v>2234</v>
      </c>
      <c r="K426" s="827">
        <v>44562</v>
      </c>
      <c r="L426" s="408">
        <v>0</v>
      </c>
      <c r="M426" s="408">
        <v>0</v>
      </c>
      <c r="N426" s="408">
        <v>0.05</v>
      </c>
      <c r="O426" s="408">
        <v>0.05</v>
      </c>
      <c r="P426" s="408">
        <v>0.05</v>
      </c>
      <c r="Q426" s="408">
        <v>0.05</v>
      </c>
      <c r="R426" s="408"/>
      <c r="S426" s="408">
        <v>516.83000000000004</v>
      </c>
      <c r="T426" s="408">
        <v>173.82</v>
      </c>
      <c r="U426" s="408"/>
      <c r="V426" s="408">
        <v>34.532500000000006</v>
      </c>
      <c r="W426" s="408">
        <v>34.532500000000006</v>
      </c>
      <c r="X426" s="408">
        <v>26.072499999999998</v>
      </c>
      <c r="Y426" s="408">
        <v>0</v>
      </c>
      <c r="Z426" s="408">
        <v>3.0574727879011849</v>
      </c>
      <c r="AA426" s="408">
        <v>0</v>
      </c>
      <c r="AB426" s="408">
        <v>0</v>
      </c>
      <c r="AC426" s="408">
        <v>0.13592220366954352</v>
      </c>
      <c r="AD426" s="408">
        <v>1.7213305761033</v>
      </c>
      <c r="AE426" s="408">
        <v>18.180789758334949</v>
      </c>
      <c r="AF426" s="408">
        <v>8.0461067770719499</v>
      </c>
      <c r="AG426" s="408">
        <v>0.4047932696033365</v>
      </c>
      <c r="AH426" s="408">
        <v>0</v>
      </c>
      <c r="AI426" s="408">
        <v>0</v>
      </c>
      <c r="AJ426" s="408">
        <v>0</v>
      </c>
      <c r="AK426" s="408">
        <v>0</v>
      </c>
      <c r="AL426" s="408">
        <v>0.47257483288096203</v>
      </c>
      <c r="AM426" s="408"/>
      <c r="AN426" s="408">
        <v>7.7577098742484502E-2</v>
      </c>
      <c r="AO426" s="408">
        <v>0.289925188956772</v>
      </c>
      <c r="AP426" s="408">
        <v>0.94946579258044506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0</v>
      </c>
      <c r="BE426" s="408">
        <v>2.7740630852605305E-2</v>
      </c>
      <c r="BF426" s="408">
        <v>0.24028441687306148</v>
      </c>
      <c r="BG426" s="408">
        <v>0.92891616030728508</v>
      </c>
      <c r="BH426" s="408">
        <v>0</v>
      </c>
      <c r="BI426" s="408">
        <v>0</v>
      </c>
      <c r="BJ426" s="408">
        <v>0</v>
      </c>
      <c r="BK426" s="408">
        <v>0</v>
      </c>
      <c r="BL426" s="408">
        <v>0</v>
      </c>
      <c r="BM426" s="408"/>
      <c r="BN426" s="408"/>
      <c r="BO426" s="408"/>
      <c r="BP426" s="408"/>
      <c r="BQ426" s="408"/>
      <c r="BR426" s="408">
        <v>3.1284999999999998</v>
      </c>
      <c r="BS426" s="408"/>
      <c r="BT426" s="408"/>
      <c r="BU426" s="408"/>
      <c r="BV426" s="408">
        <v>9.2430479851049014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22.944000000000003</v>
      </c>
      <c r="CJ426" s="408">
        <v>-7.4745000000000026</v>
      </c>
      <c r="CK426" s="408"/>
      <c r="CL426" s="408"/>
      <c r="CM426" s="408"/>
      <c r="CN426" s="408"/>
      <c r="CO426" s="408">
        <v>-9.5195000000000025</v>
      </c>
      <c r="CP426" s="408">
        <v>1.0594999999999999</v>
      </c>
      <c r="CQ426" s="408">
        <v>31</v>
      </c>
      <c r="CR426" s="408">
        <v>1.1652939507004056</v>
      </c>
      <c r="CS426" s="408">
        <v>2.8149904182146024E-2</v>
      </c>
      <c r="CT426" s="408">
        <v>9.2187130002520101E-2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-3.3005150425939878E-2</v>
      </c>
      <c r="DA426" s="408">
        <v>0</v>
      </c>
      <c r="DB426" s="408">
        <v>0</v>
      </c>
      <c r="DC426" s="408">
        <v>1.0328067308303002</v>
      </c>
      <c r="DD426" s="408">
        <v>3.0843160541604547E-2</v>
      </c>
      <c r="DE426" s="408">
        <v>3.5608165608354524E-3</v>
      </c>
      <c r="DF426" s="408">
        <v>0</v>
      </c>
      <c r="DG426" s="408">
        <v>0.11923665560544494</v>
      </c>
      <c r="DH426" s="408">
        <v>0</v>
      </c>
      <c r="DI426" s="408">
        <v>-8.9356187842284829E-2</v>
      </c>
      <c r="DJ426" s="408"/>
      <c r="DK426" s="408">
        <v>0</v>
      </c>
      <c r="DL426" s="408">
        <v>0</v>
      </c>
      <c r="DM426" s="408">
        <v>-4.4991286252600293E-3</v>
      </c>
      <c r="DN426" s="408">
        <v>0</v>
      </c>
      <c r="DO426" s="408">
        <v>-1.223952494179853E-2</v>
      </c>
      <c r="DP426" s="408">
        <v>-2.3904551871624935E-3</v>
      </c>
      <c r="DQ426" s="408">
        <v>0</v>
      </c>
      <c r="DR426" s="408">
        <v>0</v>
      </c>
      <c r="DS426" s="408"/>
      <c r="DT426" s="408"/>
      <c r="DU426" s="408"/>
      <c r="DV426" s="408">
        <v>18.180789758334949</v>
      </c>
      <c r="DW426" s="408">
        <v>0</v>
      </c>
      <c r="DX426" s="408">
        <v>0</v>
      </c>
      <c r="DY426" s="408">
        <v>-9.5195000000000043</v>
      </c>
      <c r="DZ426" s="408">
        <v>1.0594999999999999</v>
      </c>
      <c r="EA426" s="408">
        <v>0</v>
      </c>
      <c r="EB426" s="408">
        <v>0</v>
      </c>
      <c r="EC426" s="408">
        <v>-9.6257643138537983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0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239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431</v>
      </c>
      <c r="B427" s="408" t="s">
        <v>1034</v>
      </c>
      <c r="C427" s="408" t="s">
        <v>2233</v>
      </c>
      <c r="D427" s="408" t="s">
        <v>1953</v>
      </c>
      <c r="E427" s="408" t="s">
        <v>967</v>
      </c>
      <c r="F427" s="408" t="s">
        <v>967</v>
      </c>
      <c r="G427" s="408" t="s">
        <v>1320</v>
      </c>
      <c r="H427" s="408" t="s">
        <v>1320</v>
      </c>
      <c r="I427" s="408" t="s">
        <v>1320</v>
      </c>
      <c r="J427" s="408" t="s">
        <v>2234</v>
      </c>
      <c r="K427" s="827">
        <v>44593</v>
      </c>
      <c r="L427" s="408">
        <v>0</v>
      </c>
      <c r="M427" s="408">
        <v>0</v>
      </c>
      <c r="N427" s="408">
        <v>2596.9789999999998</v>
      </c>
      <c r="O427" s="408">
        <v>2596.9789999999998</v>
      </c>
      <c r="P427" s="408">
        <v>2596.9789999999998</v>
      </c>
      <c r="Q427" s="408">
        <v>2596.9789999999998</v>
      </c>
      <c r="R427" s="408"/>
      <c r="S427" s="408">
        <v>516.83000000000004</v>
      </c>
      <c r="T427" s="408">
        <v>173.82</v>
      </c>
      <c r="U427" s="408"/>
      <c r="V427" s="408">
        <v>1793603.54635</v>
      </c>
      <c r="W427" s="408">
        <v>1793603.54635</v>
      </c>
      <c r="X427" s="408">
        <v>1354194.69955</v>
      </c>
      <c r="Y427" s="408">
        <v>0</v>
      </c>
      <c r="Z427" s="408">
        <v>158803.85246501662</v>
      </c>
      <c r="AA427" s="408">
        <v>0</v>
      </c>
      <c r="AB427" s="408">
        <v>0</v>
      </c>
      <c r="AC427" s="408">
        <v>7059.7421712705482</v>
      </c>
      <c r="AD427" s="408">
        <v>89405.187163963419</v>
      </c>
      <c r="AE427" s="408">
        <v>944302.58411621873</v>
      </c>
      <c r="AF427" s="408">
        <v>417911.40663627064</v>
      </c>
      <c r="AG427" s="408">
        <v>21024.79241002406</v>
      </c>
      <c r="AH427" s="408">
        <v>0</v>
      </c>
      <c r="AI427" s="408">
        <v>0</v>
      </c>
      <c r="AJ427" s="408">
        <v>0</v>
      </c>
      <c r="AK427" s="408">
        <v>0</v>
      </c>
      <c r="AL427" s="408">
        <v>24545.338338407353</v>
      </c>
      <c r="AM427" s="408"/>
      <c r="AN427" s="408">
        <v>4029.3219263031724</v>
      </c>
      <c r="AO427" s="408">
        <v>15058.592545835374</v>
      </c>
      <c r="AP427" s="408">
        <v>49314.854490995429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0</v>
      </c>
      <c r="BE427" s="408">
        <v>1440.8367154193613</v>
      </c>
      <c r="BF427" s="408">
        <v>12480.271692931725</v>
      </c>
      <c r="BG427" s="408">
        <v>48247.515221573049</v>
      </c>
      <c r="BH427" s="408">
        <v>0</v>
      </c>
      <c r="BI427" s="408">
        <v>5962.46</v>
      </c>
      <c r="BJ427" s="408">
        <v>27498.36</v>
      </c>
      <c r="BK427" s="408">
        <v>573891.13</v>
      </c>
      <c r="BL427" s="408">
        <v>12974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480080.03026619478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1354195.2209999999</v>
      </c>
      <c r="CJ427" s="408">
        <v>-439408.35535000009</v>
      </c>
      <c r="CK427" s="408"/>
      <c r="CL427" s="408"/>
      <c r="CM427" s="408"/>
      <c r="CN427" s="408"/>
      <c r="CO427" s="408">
        <v>-494438.83181000006</v>
      </c>
      <c r="CP427" s="408">
        <v>55029.985009999989</v>
      </c>
      <c r="CQ427" s="408">
        <v>29</v>
      </c>
      <c r="CR427" s="408">
        <v>60524.878375919652</v>
      </c>
      <c r="CS427" s="408">
        <v>1462.0942002609081</v>
      </c>
      <c r="CT427" s="408">
        <v>4788.1608137362855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-1714.2736509601236</v>
      </c>
      <c r="DA427" s="408">
        <v>0</v>
      </c>
      <c r="DB427" s="408">
        <v>0</v>
      </c>
      <c r="DC427" s="408">
        <v>53643.547820498876</v>
      </c>
      <c r="DD427" s="408">
        <v>1601.9808044035126</v>
      </c>
      <c r="DE427" s="408">
        <v>184.94731662683762</v>
      </c>
      <c r="DF427" s="408">
        <v>0</v>
      </c>
      <c r="DG427" s="408">
        <v>6193.1018127514617</v>
      </c>
      <c r="DH427" s="408">
        <v>0</v>
      </c>
      <c r="DI427" s="408">
        <v>-4641.1228669293923</v>
      </c>
      <c r="DJ427" s="408"/>
      <c r="DK427" s="408">
        <v>0</v>
      </c>
      <c r="DL427" s="408">
        <v>0</v>
      </c>
      <c r="DM427" s="408">
        <v>-233.68285116197876</v>
      </c>
      <c r="DN427" s="408">
        <v>0</v>
      </c>
      <c r="DO427" s="408">
        <v>-635.71578487653824</v>
      </c>
      <c r="DP427" s="408">
        <v>-124.15923843004157</v>
      </c>
      <c r="DQ427" s="408">
        <v>0</v>
      </c>
      <c r="DR427" s="408">
        <v>0</v>
      </c>
      <c r="DS427" s="408"/>
      <c r="DT427" s="408"/>
      <c r="DU427" s="408"/>
      <c r="DV427" s="408">
        <v>944302.58411621873</v>
      </c>
      <c r="DW427" s="408">
        <v>0</v>
      </c>
      <c r="DX427" s="408">
        <v>0</v>
      </c>
      <c r="DY427" s="408">
        <v>-494438.83181000012</v>
      </c>
      <c r="DZ427" s="408">
        <v>55029.985009999946</v>
      </c>
      <c r="EA427" s="408">
        <v>0</v>
      </c>
      <c r="EB427" s="408">
        <v>0</v>
      </c>
      <c r="EC427" s="408">
        <v>-499958.1556405545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0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239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432</v>
      </c>
      <c r="B428" s="408" t="s">
        <v>2235</v>
      </c>
      <c r="C428" s="408" t="s">
        <v>2233</v>
      </c>
      <c r="D428" s="408" t="s">
        <v>1953</v>
      </c>
      <c r="E428" s="408" t="s">
        <v>967</v>
      </c>
      <c r="F428" s="408" t="s">
        <v>967</v>
      </c>
      <c r="G428" s="408" t="s">
        <v>1320</v>
      </c>
      <c r="H428" s="408" t="s">
        <v>1320</v>
      </c>
      <c r="I428" s="408" t="s">
        <v>1320</v>
      </c>
      <c r="J428" s="408" t="s">
        <v>2234</v>
      </c>
      <c r="K428" s="827">
        <v>44593</v>
      </c>
      <c r="L428" s="408">
        <v>0</v>
      </c>
      <c r="M428" s="408">
        <v>0</v>
      </c>
      <c r="N428" s="408">
        <v>-0.59899999999999998</v>
      </c>
      <c r="O428" s="408">
        <v>-0.59899999999999998</v>
      </c>
      <c r="P428" s="408">
        <v>-0.59899999999999998</v>
      </c>
      <c r="Q428" s="408">
        <v>-0.59899999999999998</v>
      </c>
      <c r="R428" s="408"/>
      <c r="S428" s="408">
        <v>516.83000000000004</v>
      </c>
      <c r="T428" s="408">
        <v>173.82</v>
      </c>
      <c r="U428" s="408"/>
      <c r="V428" s="408">
        <v>-413.69934999999998</v>
      </c>
      <c r="W428" s="408">
        <v>-413.69934999999998</v>
      </c>
      <c r="X428" s="408">
        <v>-312.34854999999999</v>
      </c>
      <c r="Y428" s="408">
        <v>0</v>
      </c>
      <c r="Z428" s="408">
        <v>-36.628523999056192</v>
      </c>
      <c r="AA428" s="408">
        <v>0</v>
      </c>
      <c r="AB428" s="408">
        <v>0</v>
      </c>
      <c r="AC428" s="408">
        <v>-1.6283479999611312</v>
      </c>
      <c r="AD428" s="408">
        <v>-20.62154030171753</v>
      </c>
      <c r="AE428" s="408">
        <v>-217.8058613048527</v>
      </c>
      <c r="AF428" s="408">
        <v>-96.392359189321951</v>
      </c>
      <c r="AG428" s="408">
        <v>-4.8494233698479707</v>
      </c>
      <c r="AH428" s="408">
        <v>0</v>
      </c>
      <c r="AI428" s="408">
        <v>0</v>
      </c>
      <c r="AJ428" s="408">
        <v>0</v>
      </c>
      <c r="AK428" s="408">
        <v>0</v>
      </c>
      <c r="AL428" s="408">
        <v>-5.6614464979139241</v>
      </c>
      <c r="AM428" s="408"/>
      <c r="AN428" s="408">
        <v>-0.92937364293496427</v>
      </c>
      <c r="AO428" s="408">
        <v>-3.4733037637021282</v>
      </c>
      <c r="AP428" s="408">
        <v>-11.374600195113731</v>
      </c>
      <c r="AQ428" s="408">
        <v>0</v>
      </c>
      <c r="AR428" s="408">
        <v>0</v>
      </c>
      <c r="AS428" s="408">
        <v>0</v>
      </c>
      <c r="AT428" s="408">
        <v>0</v>
      </c>
      <c r="AU428" s="408">
        <v>0</v>
      </c>
      <c r="AV428" s="408">
        <v>0</v>
      </c>
      <c r="AW428" s="408">
        <v>0</v>
      </c>
      <c r="AX428" s="408">
        <v>0</v>
      </c>
      <c r="AY428" s="408">
        <v>0</v>
      </c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-0.33233275761421149</v>
      </c>
      <c r="BF428" s="408">
        <v>-2.8786073141392765</v>
      </c>
      <c r="BG428" s="408">
        <v>-11.128415600481274</v>
      </c>
      <c r="BH428" s="408">
        <v>0</v>
      </c>
      <c r="BI428" s="408">
        <v>0</v>
      </c>
      <c r="BJ428" s="408">
        <v>0</v>
      </c>
      <c r="BK428" s="408">
        <v>-151.79</v>
      </c>
      <c r="BL428" s="408">
        <v>0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-110.73171486155671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-312.87</v>
      </c>
      <c r="CJ428" s="408">
        <v>100.79935</v>
      </c>
      <c r="CK428" s="408"/>
      <c r="CL428" s="408"/>
      <c r="CM428" s="408"/>
      <c r="CN428" s="408"/>
      <c r="CO428" s="408">
        <v>114.04361000000002</v>
      </c>
      <c r="CP428" s="408">
        <v>-12.692809999999998</v>
      </c>
      <c r="CQ428" s="408">
        <v>29</v>
      </c>
      <c r="CR428" s="408">
        <v>-13.960221529390907</v>
      </c>
      <c r="CS428" s="408">
        <v>-0.33723585210210949</v>
      </c>
      <c r="CT428" s="408">
        <v>-1.1044018174301904</v>
      </c>
      <c r="CU428" s="408">
        <v>0</v>
      </c>
      <c r="CV428" s="408">
        <v>0</v>
      </c>
      <c r="CW428" s="408">
        <v>0</v>
      </c>
      <c r="CX428" s="408">
        <v>0</v>
      </c>
      <c r="CY428" s="408">
        <v>0</v>
      </c>
      <c r="CZ428" s="408">
        <v>0.39540170210275605</v>
      </c>
      <c r="DA428" s="408">
        <v>0</v>
      </c>
      <c r="DB428" s="408">
        <v>0</v>
      </c>
      <c r="DC428" s="408">
        <v>-12.373024635346994</v>
      </c>
      <c r="DD428" s="408">
        <v>-0.36950106328842214</v>
      </c>
      <c r="DE428" s="408">
        <v>-4.2658582398808709E-2</v>
      </c>
      <c r="DF428" s="408">
        <v>0</v>
      </c>
      <c r="DG428" s="408">
        <v>-1.4284551341532321</v>
      </c>
      <c r="DH428" s="408">
        <v>0</v>
      </c>
      <c r="DI428" s="408">
        <v>1.0704871303505712</v>
      </c>
      <c r="DJ428" s="408"/>
      <c r="DK428" s="408">
        <v>0</v>
      </c>
      <c r="DL428" s="408">
        <v>0</v>
      </c>
      <c r="DM428" s="408">
        <v>5.3899560930614321E-2</v>
      </c>
      <c r="DN428" s="408">
        <v>0</v>
      </c>
      <c r="DO428" s="408">
        <v>0.14662950880274561</v>
      </c>
      <c r="DP428" s="408">
        <v>2.8637653142206787E-2</v>
      </c>
      <c r="DQ428" s="408">
        <v>0</v>
      </c>
      <c r="DR428" s="408">
        <v>0</v>
      </c>
      <c r="DS428" s="408"/>
      <c r="DT428" s="408"/>
      <c r="DU428" s="408"/>
      <c r="DV428" s="408">
        <v>-217.8058613048527</v>
      </c>
      <c r="DW428" s="408">
        <v>0</v>
      </c>
      <c r="DX428" s="408">
        <v>0</v>
      </c>
      <c r="DY428" s="408">
        <v>114.04361</v>
      </c>
      <c r="DZ428" s="408">
        <v>-12.692809999999994</v>
      </c>
      <c r="EA428" s="408">
        <v>0</v>
      </c>
      <c r="EB428" s="408">
        <v>0</v>
      </c>
      <c r="EC428" s="408">
        <v>115.31665647996853</v>
      </c>
      <c r="ED428" s="408">
        <v>0</v>
      </c>
      <c r="EE428" s="408">
        <v>0</v>
      </c>
      <c r="EF428" s="408">
        <v>0</v>
      </c>
      <c r="EG428" s="408">
        <v>0</v>
      </c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>
        <v>0</v>
      </c>
      <c r="EN428" s="408">
        <v>0</v>
      </c>
      <c r="EO428" s="408">
        <v>0</v>
      </c>
      <c r="EP428" s="408">
        <v>0</v>
      </c>
      <c r="EQ428" s="408">
        <v>0</v>
      </c>
      <c r="ER428" s="408">
        <v>0</v>
      </c>
      <c r="ES428" s="408">
        <v>0</v>
      </c>
      <c r="ET428" s="408">
        <v>0</v>
      </c>
      <c r="EU428" s="408">
        <v>0</v>
      </c>
      <c r="EV428" s="408">
        <v>239</v>
      </c>
      <c r="EW428" s="408">
        <v>0</v>
      </c>
      <c r="EX428" s="408">
        <v>0</v>
      </c>
      <c r="EY428" s="408">
        <v>0</v>
      </c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433</v>
      </c>
      <c r="B429" s="408" t="s">
        <v>2236</v>
      </c>
      <c r="C429" s="408" t="s">
        <v>2233</v>
      </c>
      <c r="D429" s="408" t="s">
        <v>1953</v>
      </c>
      <c r="E429" s="408" t="s">
        <v>967</v>
      </c>
      <c r="F429" s="408" t="s">
        <v>967</v>
      </c>
      <c r="G429" s="408" t="s">
        <v>1320</v>
      </c>
      <c r="H429" s="408" t="s">
        <v>1320</v>
      </c>
      <c r="I429" s="408" t="s">
        <v>1320</v>
      </c>
      <c r="J429" s="408" t="s">
        <v>2234</v>
      </c>
      <c r="K429" s="827">
        <v>44593</v>
      </c>
      <c r="L429" s="408">
        <v>0</v>
      </c>
      <c r="M429" s="408">
        <v>0</v>
      </c>
      <c r="N429" s="408">
        <v>34.518000000000001</v>
      </c>
      <c r="O429" s="408">
        <v>34.518000000000001</v>
      </c>
      <c r="P429" s="408">
        <v>34.518000000000001</v>
      </c>
      <c r="Q429" s="408">
        <v>34.518000000000001</v>
      </c>
      <c r="R429" s="408"/>
      <c r="S429" s="408">
        <v>516.83000000000004</v>
      </c>
      <c r="T429" s="408">
        <v>173.82</v>
      </c>
      <c r="U429" s="408"/>
      <c r="V429" s="408">
        <v>23839.856700000004</v>
      </c>
      <c r="W429" s="408">
        <v>23839.856700000004</v>
      </c>
      <c r="X429" s="408">
        <v>17999.411100000001</v>
      </c>
      <c r="Y429" s="408">
        <v>0</v>
      </c>
      <c r="Z429" s="408">
        <v>2110.7569138554622</v>
      </c>
      <c r="AA429" s="408">
        <v>0</v>
      </c>
      <c r="AB429" s="408">
        <v>0</v>
      </c>
      <c r="AC429" s="408">
        <v>93.835252525306061</v>
      </c>
      <c r="AD429" s="408">
        <v>1188.3377765186742</v>
      </c>
      <c r="AE429" s="408">
        <v>12551.290017564117</v>
      </c>
      <c r="AF429" s="408">
        <v>5554.7102746193914</v>
      </c>
      <c r="AG429" s="408">
        <v>279.45308160335935</v>
      </c>
      <c r="AH429" s="408">
        <v>0</v>
      </c>
      <c r="AI429" s="408">
        <v>0</v>
      </c>
      <c r="AJ429" s="408">
        <v>0</v>
      </c>
      <c r="AK429" s="408">
        <v>0</v>
      </c>
      <c r="AL429" s="408">
        <v>326.24676162770089</v>
      </c>
      <c r="AM429" s="408"/>
      <c r="AN429" s="408">
        <v>53.556125887861597</v>
      </c>
      <c r="AO429" s="408">
        <v>200.15275344819713</v>
      </c>
      <c r="AP429" s="408">
        <v>655.473204565836</v>
      </c>
      <c r="AQ429" s="408">
        <v>0</v>
      </c>
      <c r="AR429" s="408">
        <v>0</v>
      </c>
      <c r="AS429" s="408">
        <v>0</v>
      </c>
      <c r="AT429" s="408">
        <v>0</v>
      </c>
      <c r="AU429" s="408">
        <v>0</v>
      </c>
      <c r="AV429" s="408">
        <v>0</v>
      </c>
      <c r="AW429" s="408">
        <v>0</v>
      </c>
      <c r="AX429" s="408">
        <v>0</v>
      </c>
      <c r="AY429" s="408">
        <v>0</v>
      </c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19.151021915404598</v>
      </c>
      <c r="BF429" s="408">
        <v>165.88275003248674</v>
      </c>
      <c r="BG429" s="408">
        <v>641.28656042973728</v>
      </c>
      <c r="BH429" s="408">
        <v>0</v>
      </c>
      <c r="BI429" s="408">
        <v>80.78</v>
      </c>
      <c r="BJ429" s="408">
        <v>378.78</v>
      </c>
      <c r="BK429" s="408">
        <v>20396.7</v>
      </c>
      <c r="BL429" s="408">
        <v>313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>
        <v>6381.0306069970202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18000.454000000002</v>
      </c>
      <c r="CJ429" s="408">
        <v>-5839.4326999999976</v>
      </c>
      <c r="CK429" s="408"/>
      <c r="CL429" s="408"/>
      <c r="CM429" s="408"/>
      <c r="CN429" s="408"/>
      <c r="CO429" s="408">
        <v>-6571.8820200000018</v>
      </c>
      <c r="CP429" s="408">
        <v>731.43641999999988</v>
      </c>
      <c r="CQ429" s="408">
        <v>29</v>
      </c>
      <c r="CR429" s="408">
        <v>804.47233180553121</v>
      </c>
      <c r="CS429" s="408">
        <v>19.433567851186325</v>
      </c>
      <c r="CT429" s="408">
        <v>63.642307068539822</v>
      </c>
      <c r="CU429" s="408">
        <v>0</v>
      </c>
      <c r="CV429" s="408">
        <v>0</v>
      </c>
      <c r="CW429" s="408">
        <v>0</v>
      </c>
      <c r="CX429" s="408">
        <v>0</v>
      </c>
      <c r="CY429" s="408">
        <v>0</v>
      </c>
      <c r="CZ429" s="408">
        <v>-22.785435648051816</v>
      </c>
      <c r="DA429" s="408">
        <v>0</v>
      </c>
      <c r="DB429" s="408">
        <v>0</v>
      </c>
      <c r="DC429" s="408">
        <v>713.00845469600608</v>
      </c>
      <c r="DD429" s="408">
        <v>21.292884311502092</v>
      </c>
      <c r="DE429" s="408">
        <v>2.4582453209383601</v>
      </c>
      <c r="DF429" s="408">
        <v>0</v>
      </c>
      <c r="DG429" s="408">
        <v>82.316217563775012</v>
      </c>
      <c r="DH429" s="408">
        <v>0</v>
      </c>
      <c r="DI429" s="408">
        <v>-61.687937838800281</v>
      </c>
      <c r="DJ429" s="408"/>
      <c r="DK429" s="408">
        <v>0</v>
      </c>
      <c r="DL429" s="408">
        <v>0</v>
      </c>
      <c r="DM429" s="408">
        <v>-3.1060184377344626</v>
      </c>
      <c r="DN429" s="408">
        <v>0</v>
      </c>
      <c r="DO429" s="408">
        <v>-8.4496784388200012</v>
      </c>
      <c r="DP429" s="408">
        <v>-1.650274643009503</v>
      </c>
      <c r="DQ429" s="408">
        <v>0</v>
      </c>
      <c r="DR429" s="408">
        <v>0</v>
      </c>
      <c r="DS429" s="408"/>
      <c r="DT429" s="408"/>
      <c r="DU429" s="408"/>
      <c r="DV429" s="408">
        <v>12551.290017564117</v>
      </c>
      <c r="DW429" s="408">
        <v>0</v>
      </c>
      <c r="DX429" s="408">
        <v>0</v>
      </c>
      <c r="DY429" s="408">
        <v>-6571.8820200000027</v>
      </c>
      <c r="DZ429" s="408">
        <v>731.43642</v>
      </c>
      <c r="EA429" s="408">
        <v>0</v>
      </c>
      <c r="EB429" s="408">
        <v>0</v>
      </c>
      <c r="EC429" s="408">
        <v>-6645.2426517121103</v>
      </c>
      <c r="ED429" s="408">
        <v>0</v>
      </c>
      <c r="EE429" s="408">
        <v>0</v>
      </c>
      <c r="EF429" s="408">
        <v>0</v>
      </c>
      <c r="EG429" s="408">
        <v>0</v>
      </c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>
        <v>0</v>
      </c>
      <c r="EN429" s="408">
        <v>0</v>
      </c>
      <c r="EO429" s="408">
        <v>0</v>
      </c>
      <c r="EP429" s="408">
        <v>0</v>
      </c>
      <c r="EQ429" s="408">
        <v>0</v>
      </c>
      <c r="ER429" s="408">
        <v>0</v>
      </c>
      <c r="ES429" s="408">
        <v>0</v>
      </c>
      <c r="ET429" s="408">
        <v>0</v>
      </c>
      <c r="EU429" s="408">
        <v>0</v>
      </c>
      <c r="EV429" s="408">
        <v>239</v>
      </c>
      <c r="EW429" s="408">
        <v>0</v>
      </c>
      <c r="EX429" s="408">
        <v>0</v>
      </c>
      <c r="EY429" s="408">
        <v>0</v>
      </c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434</v>
      </c>
      <c r="B430" s="408" t="s">
        <v>1034</v>
      </c>
      <c r="C430" s="408" t="s">
        <v>2233</v>
      </c>
      <c r="D430" s="408" t="s">
        <v>1953</v>
      </c>
      <c r="E430" s="408" t="s">
        <v>967</v>
      </c>
      <c r="F430" s="408" t="s">
        <v>2237</v>
      </c>
      <c r="G430" s="408" t="s">
        <v>1320</v>
      </c>
      <c r="H430" s="408" t="s">
        <v>1320</v>
      </c>
      <c r="I430" s="408" t="s">
        <v>1320</v>
      </c>
      <c r="J430" s="408" t="s">
        <v>2234</v>
      </c>
      <c r="K430" s="827">
        <v>44593</v>
      </c>
      <c r="L430" s="408">
        <v>0</v>
      </c>
      <c r="M430" s="408">
        <v>0</v>
      </c>
      <c r="N430" s="408">
        <v>25.86</v>
      </c>
      <c r="O430" s="408">
        <v>25.86</v>
      </c>
      <c r="P430" s="408">
        <v>25.86</v>
      </c>
      <c r="Q430" s="408">
        <v>25.86</v>
      </c>
      <c r="R430" s="408"/>
      <c r="S430" s="408">
        <v>446.23</v>
      </c>
      <c r="T430" s="408">
        <v>173.82</v>
      </c>
      <c r="U430" s="408"/>
      <c r="V430" s="408">
        <v>16034.492999999999</v>
      </c>
      <c r="W430" s="408">
        <v>16034.492999999999</v>
      </c>
      <c r="X430" s="408">
        <v>11711.4768</v>
      </c>
      <c r="Y430" s="408">
        <v>0</v>
      </c>
      <c r="Z430" s="408">
        <v>0</v>
      </c>
      <c r="AA430" s="408">
        <v>0</v>
      </c>
      <c r="AB430" s="408">
        <v>0</v>
      </c>
      <c r="AC430" s="408">
        <v>70.298963737887902</v>
      </c>
      <c r="AD430" s="408">
        <v>890.27217396062667</v>
      </c>
      <c r="AE430" s="408">
        <v>9403.1044630108354</v>
      </c>
      <c r="AF430" s="408">
        <v>4161.4464251016125</v>
      </c>
      <c r="AG430" s="408">
        <v>209.35907903884561</v>
      </c>
      <c r="AH430" s="408">
        <v>0</v>
      </c>
      <c r="AI430" s="408">
        <v>0</v>
      </c>
      <c r="AJ430" s="408">
        <v>0</v>
      </c>
      <c r="AK430" s="408">
        <v>0</v>
      </c>
      <c r="AL430" s="408">
        <v>0</v>
      </c>
      <c r="AM430" s="408"/>
      <c r="AN430" s="408">
        <v>40.122875469612978</v>
      </c>
      <c r="AO430" s="408">
        <v>149.94930772844248</v>
      </c>
      <c r="AP430" s="408">
        <v>491.06370792260617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0</v>
      </c>
      <c r="BE430" s="408">
        <v>14.347454276967461</v>
      </c>
      <c r="BF430" s="408">
        <v>124.2751004067474</v>
      </c>
      <c r="BG430" s="408">
        <v>480.43543811092781</v>
      </c>
      <c r="BH430" s="408">
        <v>0</v>
      </c>
      <c r="BI430" s="408">
        <v>43.1</v>
      </c>
      <c r="BJ430" s="408">
        <v>215.5</v>
      </c>
      <c r="BK430" s="408">
        <v>1395.08</v>
      </c>
      <c r="BL430" s="408">
        <v>29</v>
      </c>
      <c r="BM430" s="408"/>
      <c r="BN430" s="408"/>
      <c r="BO430" s="408"/>
      <c r="BP430" s="408"/>
      <c r="BQ430" s="408"/>
      <c r="BR430" s="408"/>
      <c r="BS430" s="408"/>
      <c r="BT430" s="408">
        <v>7612.4081999999999</v>
      </c>
      <c r="BU430" s="408"/>
      <c r="BV430" s="408">
        <v>4780.5044178962553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4099.0685999999996</v>
      </c>
      <c r="CJ430" s="408">
        <v>-1513.0986000000012</v>
      </c>
      <c r="CK430" s="408"/>
      <c r="CL430" s="408"/>
      <c r="CM430" s="408"/>
      <c r="CN430" s="408"/>
      <c r="CO430" s="408">
        <v>-4870.9895999999999</v>
      </c>
      <c r="CP430" s="408">
        <v>547.97339999999997</v>
      </c>
      <c r="CQ430" s="408">
        <v>29</v>
      </c>
      <c r="CR430" s="408">
        <v>655.2353339541778</v>
      </c>
      <c r="CS430" s="408">
        <v>14.559130443005927</v>
      </c>
      <c r="CT430" s="408">
        <v>47.679183637303311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-17.070263800296061</v>
      </c>
      <c r="DA430" s="408">
        <v>0</v>
      </c>
      <c r="DB430" s="408">
        <v>0</v>
      </c>
      <c r="DC430" s="408">
        <v>534.16764118543142</v>
      </c>
      <c r="DD430" s="408">
        <v>15.952082632117865</v>
      </c>
      <c r="DE430" s="408">
        <v>1.8416543252640949</v>
      </c>
      <c r="DF430" s="408">
        <v>0</v>
      </c>
      <c r="DG430" s="408">
        <v>61.669198279136197</v>
      </c>
      <c r="DH430" s="408">
        <v>0</v>
      </c>
      <c r="DI430" s="408">
        <v>0</v>
      </c>
      <c r="DJ430" s="408"/>
      <c r="DK430" s="408">
        <v>0</v>
      </c>
      <c r="DL430" s="408">
        <v>0</v>
      </c>
      <c r="DM430" s="408">
        <v>-2.3269493249844686</v>
      </c>
      <c r="DN430" s="408">
        <v>0</v>
      </c>
      <c r="DO430" s="408">
        <v>0</v>
      </c>
      <c r="DP430" s="408">
        <v>-1.2363434228004451</v>
      </c>
      <c r="DQ430" s="408">
        <v>0</v>
      </c>
      <c r="DR430" s="408">
        <v>0</v>
      </c>
      <c r="DS430" s="408"/>
      <c r="DT430" s="408"/>
      <c r="DU430" s="408"/>
      <c r="DV430" s="408">
        <v>9403.1044630108354</v>
      </c>
      <c r="DW430" s="408">
        <v>0</v>
      </c>
      <c r="DX430" s="408">
        <v>0</v>
      </c>
      <c r="DY430" s="408">
        <v>-4870.9895999999999</v>
      </c>
      <c r="DZ430" s="408">
        <v>547.97339999999986</v>
      </c>
      <c r="EA430" s="408">
        <v>0</v>
      </c>
      <c r="EB430" s="408">
        <v>0</v>
      </c>
      <c r="EC430" s="408">
        <v>-4978.4453031251851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239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435</v>
      </c>
      <c r="B431" s="408" t="s">
        <v>2236</v>
      </c>
      <c r="C431" s="408" t="s">
        <v>2233</v>
      </c>
      <c r="D431" s="408" t="s">
        <v>1953</v>
      </c>
      <c r="E431" s="408" t="s">
        <v>967</v>
      </c>
      <c r="F431" s="408" t="s">
        <v>2237</v>
      </c>
      <c r="G431" s="408" t="s">
        <v>1320</v>
      </c>
      <c r="H431" s="408" t="s">
        <v>1320</v>
      </c>
      <c r="I431" s="408" t="s">
        <v>1320</v>
      </c>
      <c r="J431" s="408" t="s">
        <v>2234</v>
      </c>
      <c r="K431" s="827">
        <v>44593</v>
      </c>
      <c r="L431" s="408">
        <v>0</v>
      </c>
      <c r="M431" s="408">
        <v>0</v>
      </c>
      <c r="N431" s="408">
        <v>0.03</v>
      </c>
      <c r="O431" s="408">
        <v>-2.8500000000000001E-2</v>
      </c>
      <c r="P431" s="408">
        <v>0.03</v>
      </c>
      <c r="Q431" s="408">
        <v>-2.8500000000000001E-2</v>
      </c>
      <c r="R431" s="408"/>
      <c r="S431" s="408">
        <v>446.23</v>
      </c>
      <c r="T431" s="408">
        <v>173.82</v>
      </c>
      <c r="U431" s="408"/>
      <c r="V431" s="408">
        <v>18.601500000000001</v>
      </c>
      <c r="W431" s="408">
        <v>18.601500000000001</v>
      </c>
      <c r="X431" s="408">
        <v>13.586399999999999</v>
      </c>
      <c r="Y431" s="408">
        <v>0</v>
      </c>
      <c r="Z431" s="408">
        <v>0</v>
      </c>
      <c r="AA431" s="408">
        <v>0</v>
      </c>
      <c r="AB431" s="408">
        <v>0</v>
      </c>
      <c r="AC431" s="408">
        <v>8.1553322201726106E-2</v>
      </c>
      <c r="AD431" s="408">
        <v>1.0327983456619798</v>
      </c>
      <c r="AE431" s="408">
        <v>10.90847385500097</v>
      </c>
      <c r="AF431" s="408">
        <v>4.8276640662431696</v>
      </c>
      <c r="AG431" s="408">
        <v>0.24287596176200188</v>
      </c>
      <c r="AH431" s="408">
        <v>0</v>
      </c>
      <c r="AI431" s="408">
        <v>0</v>
      </c>
      <c r="AJ431" s="408">
        <v>0</v>
      </c>
      <c r="AK431" s="408">
        <v>0</v>
      </c>
      <c r="AL431" s="408">
        <v>0</v>
      </c>
      <c r="AM431" s="408"/>
      <c r="AN431" s="408">
        <v>4.6546259245490697E-2</v>
      </c>
      <c r="AO431" s="408">
        <v>0.17395511337406319</v>
      </c>
      <c r="AP431" s="408">
        <v>0.56967947554826703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0</v>
      </c>
      <c r="BE431" s="408">
        <v>1.6644378511563182E-2</v>
      </c>
      <c r="BF431" s="408">
        <v>0.14417065012383687</v>
      </c>
      <c r="BG431" s="408">
        <v>0.55734969618437102</v>
      </c>
      <c r="BH431" s="408">
        <v>0</v>
      </c>
      <c r="BI431" s="408">
        <v>0.05</v>
      </c>
      <c r="BJ431" s="408">
        <v>0.25</v>
      </c>
      <c r="BK431" s="408">
        <v>3.48</v>
      </c>
      <c r="BL431" s="408">
        <v>0</v>
      </c>
      <c r="BM431" s="408"/>
      <c r="BN431" s="408"/>
      <c r="BO431" s="408"/>
      <c r="BP431" s="408"/>
      <c r="BQ431" s="408"/>
      <c r="BR431" s="408"/>
      <c r="BS431" s="408"/>
      <c r="BT431" s="408">
        <v>18.103935</v>
      </c>
      <c r="BU431" s="408"/>
      <c r="BV431" s="408">
        <v>5.5458287910629398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-4.7553000000000001</v>
      </c>
      <c r="CJ431" s="408">
        <v>1.3997700000000011</v>
      </c>
      <c r="CK431" s="408"/>
      <c r="CL431" s="408"/>
      <c r="CM431" s="408"/>
      <c r="CN431" s="408"/>
      <c r="CO431" s="408">
        <v>-5.6508000000000003</v>
      </c>
      <c r="CP431" s="408">
        <v>0.63569999999999993</v>
      </c>
      <c r="CQ431" s="408">
        <v>29</v>
      </c>
      <c r="CR431" s="408">
        <v>0.7601337980906937</v>
      </c>
      <c r="CS431" s="408">
        <v>1.6889942509287603E-2</v>
      </c>
      <c r="CT431" s="408">
        <v>5.531227800151195E-2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-1.9803090255563705E-2</v>
      </c>
      <c r="DA431" s="408">
        <v>0</v>
      </c>
      <c r="DB431" s="408">
        <v>0</v>
      </c>
      <c r="DC431" s="408">
        <v>0.6196840384981801</v>
      </c>
      <c r="DD431" s="408">
        <v>1.8505896324962745E-2</v>
      </c>
      <c r="DE431" s="408">
        <v>2.1364899365012673E-3</v>
      </c>
      <c r="DF431" s="408">
        <v>0</v>
      </c>
      <c r="DG431" s="408">
        <v>7.1541993363266942E-2</v>
      </c>
      <c r="DH431" s="408">
        <v>0</v>
      </c>
      <c r="DI431" s="408">
        <v>0</v>
      </c>
      <c r="DJ431" s="408"/>
      <c r="DK431" s="408">
        <v>0</v>
      </c>
      <c r="DL431" s="408">
        <v>0</v>
      </c>
      <c r="DM431" s="408">
        <v>-2.6994771751560065E-3</v>
      </c>
      <c r="DN431" s="408">
        <v>0</v>
      </c>
      <c r="DO431" s="408">
        <v>0</v>
      </c>
      <c r="DP431" s="408">
        <v>-1.4342731122974975E-3</v>
      </c>
      <c r="DQ431" s="408">
        <v>0</v>
      </c>
      <c r="DR431" s="408">
        <v>0</v>
      </c>
      <c r="DS431" s="408"/>
      <c r="DT431" s="408"/>
      <c r="DU431" s="408"/>
      <c r="DV431" s="408">
        <v>10.90847385500097</v>
      </c>
      <c r="DW431" s="408">
        <v>0</v>
      </c>
      <c r="DX431" s="408">
        <v>0</v>
      </c>
      <c r="DY431" s="408">
        <v>-5.6508000000000012</v>
      </c>
      <c r="DZ431" s="408">
        <v>0.63569999999999993</v>
      </c>
      <c r="EA431" s="408">
        <v>0</v>
      </c>
      <c r="EB431" s="408">
        <v>0</v>
      </c>
      <c r="EC431" s="408">
        <v>-5.7754585883122802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0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239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436</v>
      </c>
      <c r="B432" s="408" t="s">
        <v>1034</v>
      </c>
      <c r="C432" s="408" t="s">
        <v>2233</v>
      </c>
      <c r="D432" s="408" t="s">
        <v>1953</v>
      </c>
      <c r="E432" s="408" t="s">
        <v>967</v>
      </c>
      <c r="F432" s="408" t="s">
        <v>2238</v>
      </c>
      <c r="G432" s="408" t="s">
        <v>1320</v>
      </c>
      <c r="H432" s="408" t="s">
        <v>1320</v>
      </c>
      <c r="I432" s="408" t="s">
        <v>1320</v>
      </c>
      <c r="J432" s="408" t="s">
        <v>2234</v>
      </c>
      <c r="K432" s="827">
        <v>44593</v>
      </c>
      <c r="L432" s="408">
        <v>0</v>
      </c>
      <c r="M432" s="408">
        <v>0</v>
      </c>
      <c r="N432" s="408">
        <v>55.597000000000001</v>
      </c>
      <c r="O432" s="408">
        <v>55.597000000000001</v>
      </c>
      <c r="P432" s="408">
        <v>55.597000000000001</v>
      </c>
      <c r="Q432" s="408">
        <v>55.597000000000001</v>
      </c>
      <c r="R432" s="408"/>
      <c r="S432" s="408">
        <v>446.23</v>
      </c>
      <c r="T432" s="408">
        <v>173.82</v>
      </c>
      <c r="U432" s="408"/>
      <c r="V432" s="408">
        <v>34472.919850000006</v>
      </c>
      <c r="W432" s="408">
        <v>34472.919850000006</v>
      </c>
      <c r="X432" s="408">
        <v>25178.769359999998</v>
      </c>
      <c r="Y432" s="408">
        <v>0</v>
      </c>
      <c r="Z432" s="408">
        <v>0</v>
      </c>
      <c r="AA432" s="408">
        <v>0</v>
      </c>
      <c r="AB432" s="408">
        <v>0</v>
      </c>
      <c r="AC432" s="408">
        <v>151.13733514831222</v>
      </c>
      <c r="AD432" s="408">
        <v>1914.0163207923033</v>
      </c>
      <c r="AE432" s="408">
        <v>20215.947363882966</v>
      </c>
      <c r="AF432" s="408">
        <v>8946.7879696973832</v>
      </c>
      <c r="AG432" s="408">
        <v>450.10582820273396</v>
      </c>
      <c r="AH432" s="408">
        <v>0</v>
      </c>
      <c r="AI432" s="408">
        <v>0</v>
      </c>
      <c r="AJ432" s="408">
        <v>0</v>
      </c>
      <c r="AK432" s="408">
        <v>0</v>
      </c>
      <c r="AL432" s="408">
        <v>0</v>
      </c>
      <c r="AM432" s="408"/>
      <c r="AN432" s="408">
        <v>86.261079175718208</v>
      </c>
      <c r="AO432" s="408">
        <v>322.37941460859304</v>
      </c>
      <c r="AP432" s="408">
        <v>1055.7489934019</v>
      </c>
      <c r="AQ432" s="408">
        <v>0</v>
      </c>
      <c r="AR432" s="408">
        <v>0</v>
      </c>
      <c r="AS432" s="408">
        <v>0</v>
      </c>
      <c r="AT432" s="408">
        <v>0</v>
      </c>
      <c r="AU432" s="408">
        <v>0</v>
      </c>
      <c r="AV432" s="408">
        <v>0</v>
      </c>
      <c r="AW432" s="408">
        <v>0</v>
      </c>
      <c r="AX432" s="408">
        <v>0</v>
      </c>
      <c r="AY432" s="408">
        <v>0</v>
      </c>
      <c r="AZ432" s="408">
        <v>0</v>
      </c>
      <c r="BA432" s="408"/>
      <c r="BB432" s="408">
        <v>0</v>
      </c>
      <c r="BC432" s="408">
        <v>0</v>
      </c>
      <c r="BD432" s="408">
        <v>0</v>
      </c>
      <c r="BE432" s="408">
        <v>30.845917070245942</v>
      </c>
      <c r="BF432" s="408">
        <v>267.18185449783198</v>
      </c>
      <c r="BG432" s="408">
        <v>1032.8990352920825</v>
      </c>
      <c r="BH432" s="408">
        <v>0</v>
      </c>
      <c r="BI432" s="408">
        <v>102.09</v>
      </c>
      <c r="BJ432" s="408">
        <v>461.58</v>
      </c>
      <c r="BK432" s="408">
        <v>5196.7</v>
      </c>
      <c r="BL432" s="408">
        <v>103</v>
      </c>
      <c r="BM432" s="408"/>
      <c r="BN432" s="408"/>
      <c r="BO432" s="408"/>
      <c r="BP432" s="408"/>
      <c r="BQ432" s="408"/>
      <c r="BR432" s="408"/>
      <c r="BS432" s="408"/>
      <c r="BT432" s="408">
        <v>10071.952519999999</v>
      </c>
      <c r="BU432" s="408"/>
      <c r="BV432" s="408">
        <v>10277.714776557545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15107.632000000001</v>
      </c>
      <c r="CJ432" s="408">
        <v>-5576.1499100000001</v>
      </c>
      <c r="CK432" s="408"/>
      <c r="CL432" s="408"/>
      <c r="CM432" s="408"/>
      <c r="CN432" s="408"/>
      <c r="CO432" s="408">
        <v>-10472.25092</v>
      </c>
      <c r="CP432" s="408">
        <v>1178.10043</v>
      </c>
      <c r="CQ432" s="408">
        <v>29</v>
      </c>
      <c r="CR432" s="408">
        <v>1408.705292414943</v>
      </c>
      <c r="CS432" s="408">
        <v>31.301004456295459</v>
      </c>
      <c r="CT432" s="408">
        <v>102.5065573350023</v>
      </c>
      <c r="CU432" s="408">
        <v>0</v>
      </c>
      <c r="CV432" s="408">
        <v>0</v>
      </c>
      <c r="CW432" s="408">
        <v>0</v>
      </c>
      <c r="CX432" s="408">
        <v>0</v>
      </c>
      <c r="CY432" s="408">
        <v>0</v>
      </c>
      <c r="CZ432" s="408">
        <v>-36.699746964619408</v>
      </c>
      <c r="DA432" s="408">
        <v>0</v>
      </c>
      <c r="DB432" s="408">
        <v>0</v>
      </c>
      <c r="DC432" s="408">
        <v>1148.419116279445</v>
      </c>
      <c r="DD432" s="408">
        <v>34.295743932631751</v>
      </c>
      <c r="DE432" s="408">
        <v>3.9594143666553698</v>
      </c>
      <c r="DF432" s="408">
        <v>0</v>
      </c>
      <c r="DG432" s="408">
        <v>132.58400683391847</v>
      </c>
      <c r="DH432" s="408">
        <v>0</v>
      </c>
      <c r="DI432" s="408">
        <v>0</v>
      </c>
      <c r="DJ432" s="408"/>
      <c r="DK432" s="408">
        <v>0</v>
      </c>
      <c r="DL432" s="408">
        <v>0</v>
      </c>
      <c r="DM432" s="408">
        <v>-5.0027610835716132</v>
      </c>
      <c r="DN432" s="408">
        <v>0</v>
      </c>
      <c r="DO432" s="408">
        <v>0</v>
      </c>
      <c r="DP432" s="408">
        <v>-2.658042740813471</v>
      </c>
      <c r="DQ432" s="408">
        <v>0</v>
      </c>
      <c r="DR432" s="408">
        <v>0</v>
      </c>
      <c r="DS432" s="408"/>
      <c r="DT432" s="408"/>
      <c r="DU432" s="408"/>
      <c r="DV432" s="408">
        <v>20215.947363882966</v>
      </c>
      <c r="DW432" s="408">
        <v>0</v>
      </c>
      <c r="DX432" s="408">
        <v>0</v>
      </c>
      <c r="DY432" s="408">
        <v>-10472.250920000002</v>
      </c>
      <c r="DZ432" s="408">
        <v>1178.1004300000004</v>
      </c>
      <c r="EA432" s="408">
        <v>0</v>
      </c>
      <c r="EB432" s="408">
        <v>0</v>
      </c>
      <c r="EC432" s="408">
        <v>-10703.272371146595</v>
      </c>
      <c r="ED432" s="408">
        <v>0</v>
      </c>
      <c r="EE432" s="408">
        <v>0</v>
      </c>
      <c r="EF432" s="408">
        <v>0</v>
      </c>
      <c r="EG432" s="408">
        <v>0</v>
      </c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>
        <v>0</v>
      </c>
      <c r="EN432" s="408">
        <v>0</v>
      </c>
      <c r="EO432" s="408">
        <v>0</v>
      </c>
      <c r="EP432" s="408">
        <v>0</v>
      </c>
      <c r="EQ432" s="408">
        <v>0</v>
      </c>
      <c r="ER432" s="408">
        <v>0</v>
      </c>
      <c r="ES432" s="408">
        <v>0</v>
      </c>
      <c r="ET432" s="408">
        <v>0</v>
      </c>
      <c r="EU432" s="408">
        <v>0</v>
      </c>
      <c r="EV432" s="408">
        <v>239</v>
      </c>
      <c r="EW432" s="408">
        <v>0</v>
      </c>
      <c r="EX432" s="408">
        <v>0</v>
      </c>
      <c r="EY432" s="408">
        <v>0</v>
      </c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437</v>
      </c>
      <c r="B433" s="408" t="s">
        <v>2236</v>
      </c>
      <c r="C433" s="408" t="s">
        <v>2233</v>
      </c>
      <c r="D433" s="408" t="s">
        <v>1953</v>
      </c>
      <c r="E433" s="408" t="s">
        <v>967</v>
      </c>
      <c r="F433" s="408" t="s">
        <v>2238</v>
      </c>
      <c r="G433" s="408" t="s">
        <v>1320</v>
      </c>
      <c r="H433" s="408" t="s">
        <v>1320</v>
      </c>
      <c r="I433" s="408" t="s">
        <v>1320</v>
      </c>
      <c r="J433" s="408" t="s">
        <v>2234</v>
      </c>
      <c r="K433" s="827">
        <v>44593</v>
      </c>
      <c r="L433" s="408">
        <v>0</v>
      </c>
      <c r="M433" s="408">
        <v>0</v>
      </c>
      <c r="N433" s="408">
        <v>0</v>
      </c>
      <c r="O433" s="408">
        <v>0</v>
      </c>
      <c r="P433" s="408">
        <v>0</v>
      </c>
      <c r="Q433" s="408">
        <v>0</v>
      </c>
      <c r="R433" s="408"/>
      <c r="S433" s="408"/>
      <c r="T433" s="408"/>
      <c r="U433" s="408"/>
      <c r="V433" s="408"/>
      <c r="W433" s="408"/>
      <c r="X433" s="408"/>
      <c r="Y433" s="408"/>
      <c r="Z433" s="408"/>
      <c r="AA433" s="408">
        <v>0</v>
      </c>
      <c r="AB433" s="408"/>
      <c r="AC433" s="408"/>
      <c r="AD433" s="408"/>
      <c r="AE433" s="408"/>
      <c r="AF433" s="408"/>
      <c r="AG433" s="408"/>
      <c r="AH433" s="408"/>
      <c r="AI433" s="408"/>
      <c r="AJ433" s="408"/>
      <c r="AK433" s="408"/>
      <c r="AL433" s="408"/>
      <c r="AM433" s="408"/>
      <c r="AN433" s="408"/>
      <c r="AO433" s="408"/>
      <c r="AP433" s="408"/>
      <c r="AQ433" s="408"/>
      <c r="AR433" s="408"/>
      <c r="AS433" s="408"/>
      <c r="AT433" s="408"/>
      <c r="AU433" s="408"/>
      <c r="AV433" s="408"/>
      <c r="AW433" s="408"/>
      <c r="AX433" s="408"/>
      <c r="AY433" s="408"/>
      <c r="AZ433" s="408">
        <v>0</v>
      </c>
      <c r="BA433" s="408"/>
      <c r="BB433" s="408"/>
      <c r="BC433" s="408"/>
      <c r="BD433" s="408"/>
      <c r="BE433" s="408"/>
      <c r="BF433" s="408"/>
      <c r="BG433" s="408"/>
      <c r="BH433" s="408"/>
      <c r="BI433" s="408">
        <v>0</v>
      </c>
      <c r="BJ433" s="408">
        <v>0</v>
      </c>
      <c r="BK433" s="408">
        <v>10.18</v>
      </c>
      <c r="BL433" s="408">
        <v>0</v>
      </c>
      <c r="BM433" s="408"/>
      <c r="BN433" s="408"/>
      <c r="BO433" s="408"/>
      <c r="BP433" s="408"/>
      <c r="BQ433" s="408"/>
      <c r="BR433" s="408"/>
      <c r="BS433" s="408"/>
      <c r="BT433" s="408"/>
      <c r="BU433" s="408"/>
      <c r="BV433" s="408"/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/>
      <c r="CJ433" s="408">
        <v>-0.03</v>
      </c>
      <c r="CK433" s="408"/>
      <c r="CL433" s="408"/>
      <c r="CM433" s="408"/>
      <c r="CN433" s="408"/>
      <c r="CO433" s="408">
        <v>0</v>
      </c>
      <c r="CP433" s="408">
        <v>0</v>
      </c>
      <c r="CQ433" s="408">
        <v>29</v>
      </c>
      <c r="CR433" s="408"/>
      <c r="CS433" s="408"/>
      <c r="CT433" s="408"/>
      <c r="CU433" s="408"/>
      <c r="CV433" s="408"/>
      <c r="CW433" s="408"/>
      <c r="CX433" s="408"/>
      <c r="CY433" s="408"/>
      <c r="CZ433" s="408"/>
      <c r="DA433" s="408"/>
      <c r="DB433" s="408"/>
      <c r="DC433" s="408"/>
      <c r="DD433" s="408"/>
      <c r="DE433" s="408"/>
      <c r="DF433" s="408"/>
      <c r="DG433" s="408"/>
      <c r="DH433" s="408"/>
      <c r="DI433" s="408"/>
      <c r="DJ433" s="408"/>
      <c r="DK433" s="408">
        <v>0</v>
      </c>
      <c r="DL433" s="408"/>
      <c r="DM433" s="408"/>
      <c r="DN433" s="408"/>
      <c r="DO433" s="408"/>
      <c r="DP433" s="408"/>
      <c r="DQ433" s="408"/>
      <c r="DR433" s="408"/>
      <c r="DS433" s="408"/>
      <c r="DT433" s="408"/>
      <c r="DU433" s="408"/>
      <c r="DV433" s="408"/>
      <c r="DW433" s="408"/>
      <c r="DX433" s="408"/>
      <c r="DY433" s="408"/>
      <c r="DZ433" s="408"/>
      <c r="EA433" s="408"/>
      <c r="EB433" s="408"/>
      <c r="EC433" s="408"/>
      <c r="ED433" s="408"/>
      <c r="EE433" s="408"/>
      <c r="EF433" s="408"/>
      <c r="EG433" s="408"/>
      <c r="EH433" s="408"/>
      <c r="EI433" s="408"/>
      <c r="EJ433" s="408"/>
      <c r="EK433" s="408"/>
      <c r="EL433" s="408"/>
      <c r="EM433" s="408"/>
      <c r="EN433" s="408"/>
      <c r="EO433" s="408"/>
      <c r="EP433" s="408"/>
      <c r="EQ433" s="408"/>
      <c r="ER433" s="408"/>
      <c r="ES433" s="408"/>
      <c r="ET433" s="408"/>
      <c r="EU433" s="408"/>
      <c r="EV433" s="408">
        <v>239</v>
      </c>
      <c r="EW433" s="408"/>
      <c r="EX433" s="408"/>
      <c r="EY433" s="408"/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438</v>
      </c>
      <c r="B434" s="408" t="s">
        <v>1034</v>
      </c>
      <c r="C434" s="408" t="s">
        <v>2233</v>
      </c>
      <c r="D434" s="408" t="s">
        <v>1953</v>
      </c>
      <c r="E434" s="408" t="s">
        <v>967</v>
      </c>
      <c r="F434" s="408" t="s">
        <v>2239</v>
      </c>
      <c r="G434" s="408" t="s">
        <v>1320</v>
      </c>
      <c r="H434" s="408" t="s">
        <v>1320</v>
      </c>
      <c r="I434" s="408" t="s">
        <v>1320</v>
      </c>
      <c r="J434" s="408" t="s">
        <v>2234</v>
      </c>
      <c r="K434" s="827">
        <v>44593</v>
      </c>
      <c r="L434" s="408">
        <v>0</v>
      </c>
      <c r="M434" s="408">
        <v>0</v>
      </c>
      <c r="N434" s="408">
        <v>65.634</v>
      </c>
      <c r="O434" s="408">
        <v>65.634</v>
      </c>
      <c r="P434" s="408">
        <v>65.634</v>
      </c>
      <c r="Q434" s="408">
        <v>65.634</v>
      </c>
      <c r="R434" s="408"/>
      <c r="S434" s="408">
        <v>446.23</v>
      </c>
      <c r="T434" s="408">
        <v>173.82</v>
      </c>
      <c r="U434" s="408"/>
      <c r="V434" s="408">
        <v>40696.361700000001</v>
      </c>
      <c r="W434" s="408">
        <v>40696.361700000001</v>
      </c>
      <c r="X434" s="408">
        <v>29724.325919999999</v>
      </c>
      <c r="Y434" s="408">
        <v>0</v>
      </c>
      <c r="Z434" s="408">
        <v>0</v>
      </c>
      <c r="AA434" s="408">
        <v>0</v>
      </c>
      <c r="AB434" s="408">
        <v>0</v>
      </c>
      <c r="AC434" s="408">
        <v>178.42235831293638</v>
      </c>
      <c r="AD434" s="408">
        <v>2259.5562206392797</v>
      </c>
      <c r="AE434" s="408">
        <v>23865.559099971124</v>
      </c>
      <c r="AF434" s="408">
        <v>10561.963444126806</v>
      </c>
      <c r="AG434" s="408">
        <v>531.36402914290773</v>
      </c>
      <c r="AH434" s="408">
        <v>0</v>
      </c>
      <c r="AI434" s="408">
        <v>0</v>
      </c>
      <c r="AJ434" s="408">
        <v>0</v>
      </c>
      <c r="AK434" s="408">
        <v>0</v>
      </c>
      <c r="AL434" s="408">
        <v>0</v>
      </c>
      <c r="AM434" s="408"/>
      <c r="AN434" s="408">
        <v>101.83390597728454</v>
      </c>
      <c r="AO434" s="408">
        <v>380.57899703977546</v>
      </c>
      <c r="AP434" s="408">
        <v>1246.3447566044986</v>
      </c>
      <c r="AQ434" s="408">
        <v>0</v>
      </c>
      <c r="AR434" s="408">
        <v>0</v>
      </c>
      <c r="AS434" s="408">
        <v>0</v>
      </c>
      <c r="AT434" s="408">
        <v>0</v>
      </c>
      <c r="AU434" s="408">
        <v>0</v>
      </c>
      <c r="AV434" s="408">
        <v>0</v>
      </c>
      <c r="AW434" s="408">
        <v>0</v>
      </c>
      <c r="AX434" s="408">
        <v>0</v>
      </c>
      <c r="AY434" s="408">
        <v>0</v>
      </c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36.414571307597932</v>
      </c>
      <c r="BF434" s="408">
        <v>315.41654834093032</v>
      </c>
      <c r="BG434" s="408">
        <v>1219.3696653121669</v>
      </c>
      <c r="BH434" s="408">
        <v>0</v>
      </c>
      <c r="BI434" s="408">
        <v>119.27</v>
      </c>
      <c r="BJ434" s="408">
        <v>542.53</v>
      </c>
      <c r="BK434" s="408">
        <v>9139.52</v>
      </c>
      <c r="BL434" s="408">
        <v>393</v>
      </c>
      <c r="BM434" s="408"/>
      <c r="BN434" s="408"/>
      <c r="BO434" s="408"/>
      <c r="BP434" s="408"/>
      <c r="BQ434" s="408"/>
      <c r="BR434" s="408"/>
      <c r="BS434" s="408"/>
      <c r="BT434" s="408">
        <v>2971.9075200000002</v>
      </c>
      <c r="BU434" s="408"/>
      <c r="BV434" s="408">
        <v>12133.164229087502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26750.788</v>
      </c>
      <c r="CJ434" s="408">
        <v>-9876.2956999999951</v>
      </c>
      <c r="CK434" s="408"/>
      <c r="CL434" s="408"/>
      <c r="CM434" s="408"/>
      <c r="CN434" s="408"/>
      <c r="CO434" s="408">
        <v>-12362.820240000001</v>
      </c>
      <c r="CP434" s="408">
        <v>1390.7844599999999</v>
      </c>
      <c r="CQ434" s="408">
        <v>29</v>
      </c>
      <c r="CR434" s="408">
        <v>1663.0207234628178</v>
      </c>
      <c r="CS434" s="408">
        <v>36.951816221819456</v>
      </c>
      <c r="CT434" s="408">
        <v>121.01220181170811</v>
      </c>
      <c r="CU434" s="408">
        <v>0</v>
      </c>
      <c r="CV434" s="408">
        <v>0</v>
      </c>
      <c r="CW434" s="408">
        <v>0</v>
      </c>
      <c r="CX434" s="408">
        <v>0</v>
      </c>
      <c r="CY434" s="408">
        <v>0</v>
      </c>
      <c r="CZ434" s="408">
        <v>-43.325200861122539</v>
      </c>
      <c r="DA434" s="408">
        <v>0</v>
      </c>
      <c r="DB434" s="408">
        <v>0</v>
      </c>
      <c r="DC434" s="408">
        <v>1355.7447394263199</v>
      </c>
      <c r="DD434" s="408">
        <v>40.487199979753484</v>
      </c>
      <c r="DE434" s="408">
        <v>4.6742126830774779</v>
      </c>
      <c r="DF434" s="408">
        <v>0</v>
      </c>
      <c r="DG434" s="408">
        <v>156.51957308015562</v>
      </c>
      <c r="DH434" s="408">
        <v>0</v>
      </c>
      <c r="DI434" s="408">
        <v>0</v>
      </c>
      <c r="DJ434" s="408"/>
      <c r="DK434" s="408">
        <v>0</v>
      </c>
      <c r="DL434" s="408">
        <v>0</v>
      </c>
      <c r="DM434" s="408">
        <v>-5.905916163806296</v>
      </c>
      <c r="DN434" s="408">
        <v>0</v>
      </c>
      <c r="DO434" s="408">
        <v>0</v>
      </c>
      <c r="DP434" s="408">
        <v>-3.1379027150844649</v>
      </c>
      <c r="DQ434" s="408">
        <v>0</v>
      </c>
      <c r="DR434" s="408">
        <v>0</v>
      </c>
      <c r="DS434" s="408"/>
      <c r="DT434" s="408"/>
      <c r="DU434" s="408"/>
      <c r="DV434" s="408">
        <v>23865.559099971124</v>
      </c>
      <c r="DW434" s="408">
        <v>0</v>
      </c>
      <c r="DX434" s="408">
        <v>0</v>
      </c>
      <c r="DY434" s="408">
        <v>-12362.820240000001</v>
      </c>
      <c r="DZ434" s="408">
        <v>1390.7844599999989</v>
      </c>
      <c r="EA434" s="408">
        <v>0</v>
      </c>
      <c r="EB434" s="408">
        <v>0</v>
      </c>
      <c r="EC434" s="408">
        <v>-12635.548299509608</v>
      </c>
      <c r="ED434" s="408">
        <v>0</v>
      </c>
      <c r="EE434" s="408">
        <v>0</v>
      </c>
      <c r="EF434" s="408">
        <v>0</v>
      </c>
      <c r="EG434" s="408">
        <v>0</v>
      </c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>
        <v>0</v>
      </c>
      <c r="EN434" s="408">
        <v>0</v>
      </c>
      <c r="EO434" s="408">
        <v>0</v>
      </c>
      <c r="EP434" s="408">
        <v>0</v>
      </c>
      <c r="EQ434" s="408">
        <v>0</v>
      </c>
      <c r="ER434" s="408">
        <v>0</v>
      </c>
      <c r="ES434" s="408">
        <v>0</v>
      </c>
      <c r="ET434" s="408">
        <v>0</v>
      </c>
      <c r="EU434" s="408">
        <v>0</v>
      </c>
      <c r="EV434" s="408">
        <v>239</v>
      </c>
      <c r="EW434" s="408">
        <v>0</v>
      </c>
      <c r="EX434" s="408">
        <v>0</v>
      </c>
      <c r="EY434" s="408">
        <v>0</v>
      </c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439</v>
      </c>
      <c r="B435" s="408" t="s">
        <v>2236</v>
      </c>
      <c r="C435" s="408" t="s">
        <v>2233</v>
      </c>
      <c r="D435" s="408" t="s">
        <v>1953</v>
      </c>
      <c r="E435" s="408" t="s">
        <v>967</v>
      </c>
      <c r="F435" s="408" t="s">
        <v>2239</v>
      </c>
      <c r="G435" s="408" t="s">
        <v>1320</v>
      </c>
      <c r="H435" s="408" t="s">
        <v>1320</v>
      </c>
      <c r="I435" s="408" t="s">
        <v>1320</v>
      </c>
      <c r="J435" s="408" t="s">
        <v>2234</v>
      </c>
      <c r="K435" s="827">
        <v>44593</v>
      </c>
      <c r="L435" s="408">
        <v>0</v>
      </c>
      <c r="M435" s="408">
        <v>0</v>
      </c>
      <c r="N435" s="408">
        <v>0</v>
      </c>
      <c r="O435" s="408">
        <v>0</v>
      </c>
      <c r="P435" s="408">
        <v>0</v>
      </c>
      <c r="Q435" s="408">
        <v>0</v>
      </c>
      <c r="R435" s="408"/>
      <c r="S435" s="408"/>
      <c r="T435" s="408"/>
      <c r="U435" s="408"/>
      <c r="V435" s="408"/>
      <c r="W435" s="408"/>
      <c r="X435" s="408"/>
      <c r="Y435" s="408"/>
      <c r="Z435" s="408"/>
      <c r="AA435" s="408">
        <v>0</v>
      </c>
      <c r="AB435" s="408"/>
      <c r="AC435" s="408"/>
      <c r="AD435" s="408"/>
      <c r="AE435" s="408"/>
      <c r="AF435" s="408"/>
      <c r="AG435" s="408"/>
      <c r="AH435" s="408"/>
      <c r="AI435" s="408"/>
      <c r="AJ435" s="408"/>
      <c r="AK435" s="408"/>
      <c r="AL435" s="408"/>
      <c r="AM435" s="408"/>
      <c r="AN435" s="408"/>
      <c r="AO435" s="408"/>
      <c r="AP435" s="408"/>
      <c r="AQ435" s="408"/>
      <c r="AR435" s="408"/>
      <c r="AS435" s="408"/>
      <c r="AT435" s="408"/>
      <c r="AU435" s="408"/>
      <c r="AV435" s="408"/>
      <c r="AW435" s="408"/>
      <c r="AX435" s="408"/>
      <c r="AY435" s="408"/>
      <c r="AZ435" s="408">
        <v>0</v>
      </c>
      <c r="BA435" s="408"/>
      <c r="BB435" s="408"/>
      <c r="BC435" s="408"/>
      <c r="BD435" s="408"/>
      <c r="BE435" s="408"/>
      <c r="BF435" s="408"/>
      <c r="BG435" s="408"/>
      <c r="BH435" s="408"/>
      <c r="BI435" s="408">
        <v>0</v>
      </c>
      <c r="BJ435" s="408">
        <v>0</v>
      </c>
      <c r="BK435" s="408">
        <v>27.84</v>
      </c>
      <c r="BL435" s="408">
        <v>0</v>
      </c>
      <c r="BM435" s="408"/>
      <c r="BN435" s="408"/>
      <c r="BO435" s="408"/>
      <c r="BP435" s="408"/>
      <c r="BQ435" s="408"/>
      <c r="BR435" s="408"/>
      <c r="BS435" s="408"/>
      <c r="BT435" s="408"/>
      <c r="BU435" s="408"/>
      <c r="BV435" s="408"/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/>
      <c r="CJ435" s="408">
        <v>-0.03</v>
      </c>
      <c r="CK435" s="408"/>
      <c r="CL435" s="408"/>
      <c r="CM435" s="408"/>
      <c r="CN435" s="408"/>
      <c r="CO435" s="408">
        <v>0</v>
      </c>
      <c r="CP435" s="408">
        <v>0</v>
      </c>
      <c r="CQ435" s="408">
        <v>29</v>
      </c>
      <c r="CR435" s="408"/>
      <c r="CS435" s="408"/>
      <c r="CT435" s="408"/>
      <c r="CU435" s="408"/>
      <c r="CV435" s="408"/>
      <c r="CW435" s="408"/>
      <c r="CX435" s="408"/>
      <c r="CY435" s="408"/>
      <c r="CZ435" s="408"/>
      <c r="DA435" s="408"/>
      <c r="DB435" s="408"/>
      <c r="DC435" s="408"/>
      <c r="DD435" s="408"/>
      <c r="DE435" s="408"/>
      <c r="DF435" s="408"/>
      <c r="DG435" s="408"/>
      <c r="DH435" s="408"/>
      <c r="DI435" s="408"/>
      <c r="DJ435" s="408"/>
      <c r="DK435" s="408">
        <v>0</v>
      </c>
      <c r="DL435" s="408"/>
      <c r="DM435" s="408"/>
      <c r="DN435" s="408"/>
      <c r="DO435" s="408"/>
      <c r="DP435" s="408"/>
      <c r="DQ435" s="408"/>
      <c r="DR435" s="408"/>
      <c r="DS435" s="408"/>
      <c r="DT435" s="408"/>
      <c r="DU435" s="408"/>
      <c r="DV435" s="408"/>
      <c r="DW435" s="408"/>
      <c r="DX435" s="408"/>
      <c r="DY435" s="408"/>
      <c r="DZ435" s="408"/>
      <c r="EA435" s="408"/>
      <c r="EB435" s="408"/>
      <c r="EC435" s="408"/>
      <c r="ED435" s="408"/>
      <c r="EE435" s="408"/>
      <c r="EF435" s="408"/>
      <c r="EG435" s="408"/>
      <c r="EH435" s="408"/>
      <c r="EI435" s="408"/>
      <c r="EJ435" s="408"/>
      <c r="EK435" s="408"/>
      <c r="EL435" s="408"/>
      <c r="EM435" s="408"/>
      <c r="EN435" s="408"/>
      <c r="EO435" s="408"/>
      <c r="EP435" s="408"/>
      <c r="EQ435" s="408"/>
      <c r="ER435" s="408"/>
      <c r="ES435" s="408"/>
      <c r="ET435" s="408"/>
      <c r="EU435" s="408"/>
      <c r="EV435" s="408">
        <v>239</v>
      </c>
      <c r="EW435" s="408"/>
      <c r="EX435" s="408"/>
      <c r="EY435" s="408"/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440</v>
      </c>
      <c r="B436" s="408" t="s">
        <v>1034</v>
      </c>
      <c r="C436" s="408" t="s">
        <v>2233</v>
      </c>
      <c r="D436" s="408" t="s">
        <v>1953</v>
      </c>
      <c r="E436" s="408" t="s">
        <v>967</v>
      </c>
      <c r="F436" s="408" t="s">
        <v>2240</v>
      </c>
      <c r="G436" s="408" t="s">
        <v>1320</v>
      </c>
      <c r="H436" s="408" t="s">
        <v>1320</v>
      </c>
      <c r="I436" s="408" t="s">
        <v>1320</v>
      </c>
      <c r="J436" s="408" t="s">
        <v>2234</v>
      </c>
      <c r="K436" s="827">
        <v>44593</v>
      </c>
      <c r="L436" s="408">
        <v>0</v>
      </c>
      <c r="M436" s="408">
        <v>0</v>
      </c>
      <c r="N436" s="408">
        <v>33.692999999999998</v>
      </c>
      <c r="O436" s="408">
        <v>33.692999999999998</v>
      </c>
      <c r="P436" s="408">
        <v>33.692999999999998</v>
      </c>
      <c r="Q436" s="408">
        <v>33.692999999999998</v>
      </c>
      <c r="R436" s="408"/>
      <c r="S436" s="408">
        <v>446.23</v>
      </c>
      <c r="T436" s="408">
        <v>173.82</v>
      </c>
      <c r="U436" s="408"/>
      <c r="V436" s="408">
        <v>20891.344649999999</v>
      </c>
      <c r="W436" s="408">
        <v>20891.344649999999</v>
      </c>
      <c r="X436" s="408">
        <v>15258.885839999999</v>
      </c>
      <c r="Y436" s="408">
        <v>0</v>
      </c>
      <c r="Z436" s="408">
        <v>0</v>
      </c>
      <c r="AA436" s="408">
        <v>0</v>
      </c>
      <c r="AB436" s="408">
        <v>0</v>
      </c>
      <c r="AC436" s="408">
        <v>91.592536164758585</v>
      </c>
      <c r="AD436" s="408">
        <v>1159.9358220129695</v>
      </c>
      <c r="AE436" s="408">
        <v>12251.306986551588</v>
      </c>
      <c r="AF436" s="408">
        <v>5421.9495127977034</v>
      </c>
      <c r="AG436" s="408">
        <v>272.7739926549043</v>
      </c>
      <c r="AH436" s="408">
        <v>0</v>
      </c>
      <c r="AI436" s="408">
        <v>0</v>
      </c>
      <c r="AJ436" s="408">
        <v>0</v>
      </c>
      <c r="AK436" s="408">
        <v>0</v>
      </c>
      <c r="AL436" s="408">
        <v>0</v>
      </c>
      <c r="AM436" s="408"/>
      <c r="AN436" s="408">
        <v>52.276103758610596</v>
      </c>
      <c r="AO436" s="408">
        <v>195.36898783041036</v>
      </c>
      <c r="AP436" s="408">
        <v>639.80701898825862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0</v>
      </c>
      <c r="BE436" s="408">
        <v>18.693301506336606</v>
      </c>
      <c r="BF436" s="408">
        <v>161.9180571540812</v>
      </c>
      <c r="BG436" s="408">
        <v>625.95944378466709</v>
      </c>
      <c r="BH436" s="408">
        <v>0</v>
      </c>
      <c r="BI436" s="408">
        <v>60.78</v>
      </c>
      <c r="BJ436" s="408">
        <v>281.11</v>
      </c>
      <c r="BK436" s="408">
        <v>5199.72</v>
      </c>
      <c r="BL436" s="408">
        <v>337</v>
      </c>
      <c r="BM436" s="408"/>
      <c r="BN436" s="408"/>
      <c r="BO436" s="408"/>
      <c r="BP436" s="408"/>
      <c r="BQ436" s="408"/>
      <c r="BR436" s="408"/>
      <c r="BS436" s="408"/>
      <c r="BT436" s="408"/>
      <c r="BU436" s="408"/>
      <c r="BV436" s="408">
        <v>6228.5203152427885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15257.527199999999</v>
      </c>
      <c r="CJ436" s="408">
        <v>-5633.8474499999993</v>
      </c>
      <c r="CK436" s="408"/>
      <c r="CL436" s="408"/>
      <c r="CM436" s="408"/>
      <c r="CN436" s="408"/>
      <c r="CO436" s="408">
        <v>-6346.4134800000002</v>
      </c>
      <c r="CP436" s="408">
        <v>713.95466999999985</v>
      </c>
      <c r="CQ436" s="408">
        <v>29</v>
      </c>
      <c r="CR436" s="408">
        <v>853.70626863565667</v>
      </c>
      <c r="CS436" s="408">
        <v>18.969094432180924</v>
      </c>
      <c r="CT436" s="408">
        <v>62.121219423498133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-22.240850666023789</v>
      </c>
      <c r="DA436" s="408">
        <v>0</v>
      </c>
      <c r="DB436" s="408">
        <v>0</v>
      </c>
      <c r="DC436" s="408">
        <v>695.96714363730644</v>
      </c>
      <c r="DD436" s="408">
        <v>20.783972162565647</v>
      </c>
      <c r="DE436" s="408">
        <v>2.3994918476845797</v>
      </c>
      <c r="DF436" s="408">
        <v>0</v>
      </c>
      <c r="DG436" s="408">
        <v>80.348812746285148</v>
      </c>
      <c r="DH436" s="408">
        <v>0</v>
      </c>
      <c r="DI436" s="408">
        <v>0</v>
      </c>
      <c r="DJ436" s="408"/>
      <c r="DK436" s="408">
        <v>0</v>
      </c>
      <c r="DL436" s="408">
        <v>0</v>
      </c>
      <c r="DM436" s="408">
        <v>-3.0317828154177278</v>
      </c>
      <c r="DN436" s="408">
        <v>0</v>
      </c>
      <c r="DO436" s="408">
        <v>0</v>
      </c>
      <c r="DP436" s="408">
        <v>-1.6108321324213151</v>
      </c>
      <c r="DQ436" s="408">
        <v>0</v>
      </c>
      <c r="DR436" s="408">
        <v>0</v>
      </c>
      <c r="DS436" s="408"/>
      <c r="DT436" s="408"/>
      <c r="DU436" s="408"/>
      <c r="DV436" s="408">
        <v>12251.306986551588</v>
      </c>
      <c r="DW436" s="408">
        <v>0</v>
      </c>
      <c r="DX436" s="408">
        <v>0</v>
      </c>
      <c r="DY436" s="408">
        <v>-6346.4134800000011</v>
      </c>
      <c r="DZ436" s="408">
        <v>713.95467000000008</v>
      </c>
      <c r="EA436" s="408">
        <v>0</v>
      </c>
      <c r="EB436" s="408">
        <v>0</v>
      </c>
      <c r="EC436" s="408">
        <v>-6486.4175405335209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0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239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441</v>
      </c>
      <c r="B437" s="408" t="s">
        <v>2236</v>
      </c>
      <c r="C437" s="408" t="s">
        <v>2233</v>
      </c>
      <c r="D437" s="408" t="s">
        <v>1953</v>
      </c>
      <c r="E437" s="408" t="s">
        <v>967</v>
      </c>
      <c r="F437" s="408" t="s">
        <v>2240</v>
      </c>
      <c r="G437" s="408" t="s">
        <v>1320</v>
      </c>
      <c r="H437" s="408" t="s">
        <v>1320</v>
      </c>
      <c r="I437" s="408" t="s">
        <v>1320</v>
      </c>
      <c r="J437" s="408" t="s">
        <v>2234</v>
      </c>
      <c r="K437" s="827">
        <v>44593</v>
      </c>
      <c r="L437" s="408">
        <v>0</v>
      </c>
      <c r="M437" s="408">
        <v>0</v>
      </c>
      <c r="N437" s="408">
        <v>0</v>
      </c>
      <c r="O437" s="408">
        <v>0</v>
      </c>
      <c r="P437" s="408">
        <v>0</v>
      </c>
      <c r="Q437" s="408">
        <v>0</v>
      </c>
      <c r="R437" s="408"/>
      <c r="S437" s="408"/>
      <c r="T437" s="408"/>
      <c r="U437" s="408"/>
      <c r="V437" s="408"/>
      <c r="W437" s="408"/>
      <c r="X437" s="408"/>
      <c r="Y437" s="408"/>
      <c r="Z437" s="408"/>
      <c r="AA437" s="408">
        <v>0</v>
      </c>
      <c r="AB437" s="408"/>
      <c r="AC437" s="408"/>
      <c r="AD437" s="408"/>
      <c r="AE437" s="408"/>
      <c r="AF437" s="408"/>
      <c r="AG437" s="408"/>
      <c r="AH437" s="408"/>
      <c r="AI437" s="408"/>
      <c r="AJ437" s="408"/>
      <c r="AK437" s="408"/>
      <c r="AL437" s="408"/>
      <c r="AM437" s="408"/>
      <c r="AN437" s="408"/>
      <c r="AO437" s="408"/>
      <c r="AP437" s="408"/>
      <c r="AQ437" s="408"/>
      <c r="AR437" s="408"/>
      <c r="AS437" s="408"/>
      <c r="AT437" s="408"/>
      <c r="AU437" s="408"/>
      <c r="AV437" s="408"/>
      <c r="AW437" s="408"/>
      <c r="AX437" s="408"/>
      <c r="AY437" s="408"/>
      <c r="AZ437" s="408">
        <v>0</v>
      </c>
      <c r="BA437" s="408"/>
      <c r="BB437" s="408"/>
      <c r="BC437" s="408"/>
      <c r="BD437" s="408"/>
      <c r="BE437" s="408"/>
      <c r="BF437" s="408"/>
      <c r="BG437" s="408"/>
      <c r="BH437" s="408"/>
      <c r="BI437" s="408">
        <v>0</v>
      </c>
      <c r="BJ437" s="408">
        <v>0</v>
      </c>
      <c r="BK437" s="408">
        <v>34.97</v>
      </c>
      <c r="BL437" s="408">
        <v>3</v>
      </c>
      <c r="BM437" s="408"/>
      <c r="BN437" s="408"/>
      <c r="BO437" s="408"/>
      <c r="BP437" s="408"/>
      <c r="BQ437" s="408"/>
      <c r="BR437" s="408"/>
      <c r="BS437" s="408"/>
      <c r="BT437" s="408"/>
      <c r="BU437" s="408"/>
      <c r="BV437" s="408"/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/>
      <c r="CJ437" s="408">
        <v>-0.03</v>
      </c>
      <c r="CK437" s="408"/>
      <c r="CL437" s="408"/>
      <c r="CM437" s="408"/>
      <c r="CN437" s="408"/>
      <c r="CO437" s="408">
        <v>0</v>
      </c>
      <c r="CP437" s="408">
        <v>0</v>
      </c>
      <c r="CQ437" s="408">
        <v>29</v>
      </c>
      <c r="CR437" s="408"/>
      <c r="CS437" s="408"/>
      <c r="CT437" s="408"/>
      <c r="CU437" s="408"/>
      <c r="CV437" s="408"/>
      <c r="CW437" s="408"/>
      <c r="CX437" s="408"/>
      <c r="CY437" s="408"/>
      <c r="CZ437" s="408"/>
      <c r="DA437" s="408"/>
      <c r="DB437" s="408"/>
      <c r="DC437" s="408"/>
      <c r="DD437" s="408"/>
      <c r="DE437" s="408"/>
      <c r="DF437" s="408"/>
      <c r="DG437" s="408"/>
      <c r="DH437" s="408"/>
      <c r="DI437" s="408"/>
      <c r="DJ437" s="408"/>
      <c r="DK437" s="408">
        <v>0</v>
      </c>
      <c r="DL437" s="408"/>
      <c r="DM437" s="408"/>
      <c r="DN437" s="408"/>
      <c r="DO437" s="408"/>
      <c r="DP437" s="408"/>
      <c r="DQ437" s="408"/>
      <c r="DR437" s="408"/>
      <c r="DS437" s="408"/>
      <c r="DT437" s="408"/>
      <c r="DU437" s="408"/>
      <c r="DV437" s="408"/>
      <c r="DW437" s="408"/>
      <c r="DX437" s="408"/>
      <c r="DY437" s="408"/>
      <c r="DZ437" s="408"/>
      <c r="EA437" s="408"/>
      <c r="EB437" s="408"/>
      <c r="EC437" s="408"/>
      <c r="ED437" s="408"/>
      <c r="EE437" s="408"/>
      <c r="EF437" s="408"/>
      <c r="EG437" s="408"/>
      <c r="EH437" s="408"/>
      <c r="EI437" s="408"/>
      <c r="EJ437" s="408"/>
      <c r="EK437" s="408"/>
      <c r="EL437" s="408"/>
      <c r="EM437" s="408"/>
      <c r="EN437" s="408"/>
      <c r="EO437" s="408"/>
      <c r="EP437" s="408"/>
      <c r="EQ437" s="408"/>
      <c r="ER437" s="408"/>
      <c r="ES437" s="408"/>
      <c r="ET437" s="408"/>
      <c r="EU437" s="408"/>
      <c r="EV437" s="408">
        <v>239</v>
      </c>
      <c r="EW437" s="408"/>
      <c r="EX437" s="408"/>
      <c r="EY437" s="408"/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442</v>
      </c>
      <c r="B438" s="408" t="s">
        <v>1034</v>
      </c>
      <c r="C438" s="408" t="s">
        <v>2233</v>
      </c>
      <c r="D438" s="408" t="s">
        <v>1956</v>
      </c>
      <c r="E438" s="408" t="s">
        <v>968</v>
      </c>
      <c r="F438" s="408" t="s">
        <v>1320</v>
      </c>
      <c r="G438" s="408" t="s">
        <v>1320</v>
      </c>
      <c r="H438" s="408" t="s">
        <v>1320</v>
      </c>
      <c r="I438" s="408" t="s">
        <v>1320</v>
      </c>
      <c r="J438" s="408" t="s">
        <v>2234</v>
      </c>
      <c r="K438" s="827">
        <v>44593</v>
      </c>
      <c r="L438" s="408">
        <v>0</v>
      </c>
      <c r="M438" s="408">
        <v>0</v>
      </c>
      <c r="N438" s="408">
        <v>69.040000000000006</v>
      </c>
      <c r="O438" s="408">
        <v>69.040000000000006</v>
      </c>
      <c r="P438" s="408">
        <v>69.040000000000006</v>
      </c>
      <c r="Q438" s="408">
        <v>69.040000000000006</v>
      </c>
      <c r="R438" s="408"/>
      <c r="S438" s="408">
        <v>516.83000000000004</v>
      </c>
      <c r="T438" s="408">
        <v>173.82</v>
      </c>
      <c r="U438" s="408"/>
      <c r="V438" s="408">
        <v>47682.47600000001</v>
      </c>
      <c r="W438" s="408">
        <v>47682.47600000001</v>
      </c>
      <c r="X438" s="408">
        <v>36000.908000000003</v>
      </c>
      <c r="Y438" s="408">
        <v>0</v>
      </c>
      <c r="Z438" s="408">
        <v>4221.7584255339561</v>
      </c>
      <c r="AA438" s="408">
        <v>0</v>
      </c>
      <c r="AB438" s="408">
        <v>0</v>
      </c>
      <c r="AC438" s="408">
        <v>187.6813788269057</v>
      </c>
      <c r="AD438" s="408">
        <v>2376.8132594834365</v>
      </c>
      <c r="AE438" s="408">
        <v>25104.034498308902</v>
      </c>
      <c r="AF438" s="408">
        <v>11110.064237780949</v>
      </c>
      <c r="AG438" s="408">
        <v>558.93854666828702</v>
      </c>
      <c r="AH438" s="408">
        <v>0</v>
      </c>
      <c r="AI438" s="408">
        <v>0</v>
      </c>
      <c r="AJ438" s="408">
        <v>0</v>
      </c>
      <c r="AK438" s="408">
        <v>0</v>
      </c>
      <c r="AL438" s="408">
        <v>652.53132924203237</v>
      </c>
      <c r="AM438" s="408"/>
      <c r="AN438" s="408">
        <v>107.1184579436226</v>
      </c>
      <c r="AO438" s="408">
        <v>400.32870091151079</v>
      </c>
      <c r="AP438" s="408">
        <v>1311.0223663950785</v>
      </c>
      <c r="AQ438" s="408">
        <v>0</v>
      </c>
      <c r="AR438" s="408">
        <v>0</v>
      </c>
      <c r="AS438" s="408">
        <v>0</v>
      </c>
      <c r="AT438" s="408">
        <v>0</v>
      </c>
      <c r="AU438" s="408">
        <v>0</v>
      </c>
      <c r="AV438" s="408">
        <v>0</v>
      </c>
      <c r="AW438" s="408">
        <v>0</v>
      </c>
      <c r="AX438" s="408">
        <v>0</v>
      </c>
      <c r="AY438" s="408">
        <v>0</v>
      </c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38.304263081277405</v>
      </c>
      <c r="BF438" s="408">
        <v>331.7847228183233</v>
      </c>
      <c r="BG438" s="408">
        <v>1282.6474341522992</v>
      </c>
      <c r="BH438" s="408">
        <v>0</v>
      </c>
      <c r="BI438" s="408">
        <v>159.94</v>
      </c>
      <c r="BJ438" s="408">
        <v>729.28</v>
      </c>
      <c r="BK438" s="408">
        <v>9563.49</v>
      </c>
      <c r="BL438" s="408">
        <v>37</v>
      </c>
      <c r="BM438" s="408"/>
      <c r="BN438" s="408"/>
      <c r="BO438" s="408"/>
      <c r="BP438" s="408"/>
      <c r="BQ438" s="408"/>
      <c r="BR438" s="408"/>
      <c r="BS438" s="408"/>
      <c r="BT438" s="408"/>
      <c r="BU438" s="408"/>
      <c r="BV438" s="408">
        <v>12762.80065783285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36000.908000000003</v>
      </c>
      <c r="CJ438" s="408">
        <v>-11681.598000000013</v>
      </c>
      <c r="CK438" s="408"/>
      <c r="CL438" s="408"/>
      <c r="CM438" s="408"/>
      <c r="CN438" s="408"/>
      <c r="CO438" s="408">
        <v>-13144.525600000004</v>
      </c>
      <c r="CP438" s="408">
        <v>1462.9576</v>
      </c>
      <c r="CQ438" s="408">
        <v>29</v>
      </c>
      <c r="CR438" s="408">
        <v>1609.0378871271241</v>
      </c>
      <c r="CS438" s="408">
        <v>38.869387694707257</v>
      </c>
      <c r="CT438" s="408">
        <v>127.29198910747982</v>
      </c>
      <c r="CU438" s="408">
        <v>0</v>
      </c>
      <c r="CV438" s="408">
        <v>0</v>
      </c>
      <c r="CW438" s="408">
        <v>0</v>
      </c>
      <c r="CX438" s="408">
        <v>0</v>
      </c>
      <c r="CY438" s="408">
        <v>0</v>
      </c>
      <c r="CZ438" s="408">
        <v>-45.57351170813763</v>
      </c>
      <c r="DA438" s="408">
        <v>0</v>
      </c>
      <c r="DB438" s="408">
        <v>0</v>
      </c>
      <c r="DC438" s="408">
        <v>1426.0995339304791</v>
      </c>
      <c r="DD438" s="408">
        <v>42.58823607584759</v>
      </c>
      <c r="DE438" s="408">
        <v>4.9167755072015922</v>
      </c>
      <c r="DF438" s="408">
        <v>0</v>
      </c>
      <c r="DG438" s="408">
        <v>164.64197405999857</v>
      </c>
      <c r="DH438" s="408">
        <v>0</v>
      </c>
      <c r="DI438" s="408">
        <v>-123.3830241726273</v>
      </c>
      <c r="DJ438" s="408"/>
      <c r="DK438" s="408">
        <v>0</v>
      </c>
      <c r="DL438" s="408">
        <v>0</v>
      </c>
      <c r="DM438" s="408">
        <v>-6.2123968057589991</v>
      </c>
      <c r="DN438" s="408">
        <v>0</v>
      </c>
      <c r="DO438" s="408">
        <v>-16.900336039635363</v>
      </c>
      <c r="DP438" s="408">
        <v>-3.3007405224339834</v>
      </c>
      <c r="DQ438" s="408">
        <v>0</v>
      </c>
      <c r="DR438" s="408">
        <v>0</v>
      </c>
      <c r="DS438" s="408"/>
      <c r="DT438" s="408"/>
      <c r="DU438" s="408"/>
      <c r="DV438" s="408">
        <v>25104.034498308902</v>
      </c>
      <c r="DW438" s="408">
        <v>0</v>
      </c>
      <c r="DX438" s="408">
        <v>0</v>
      </c>
      <c r="DY438" s="408">
        <v>-13144.525600000008</v>
      </c>
      <c r="DZ438" s="408">
        <v>1462.9575999999997</v>
      </c>
      <c r="EA438" s="408">
        <v>0</v>
      </c>
      <c r="EB438" s="408">
        <v>0</v>
      </c>
      <c r="EC438" s="408">
        <v>-13291.255364569328</v>
      </c>
      <c r="ED438" s="408">
        <v>0</v>
      </c>
      <c r="EE438" s="408">
        <v>0</v>
      </c>
      <c r="EF438" s="408">
        <v>0</v>
      </c>
      <c r="EG438" s="408">
        <v>0</v>
      </c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>
        <v>0</v>
      </c>
      <c r="EN438" s="408">
        <v>0</v>
      </c>
      <c r="EO438" s="408">
        <v>0</v>
      </c>
      <c r="EP438" s="408">
        <v>0</v>
      </c>
      <c r="EQ438" s="408">
        <v>0</v>
      </c>
      <c r="ER438" s="408">
        <v>0</v>
      </c>
      <c r="ES438" s="408">
        <v>0</v>
      </c>
      <c r="ET438" s="408">
        <v>0</v>
      </c>
      <c r="EU438" s="408">
        <v>0</v>
      </c>
      <c r="EV438" s="408">
        <v>239</v>
      </c>
      <c r="EW438" s="408">
        <v>0</v>
      </c>
      <c r="EX438" s="408">
        <v>0</v>
      </c>
      <c r="EY438" s="408">
        <v>0</v>
      </c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443</v>
      </c>
      <c r="B439" s="408" t="s">
        <v>2236</v>
      </c>
      <c r="C439" s="408" t="s">
        <v>2233</v>
      </c>
      <c r="D439" s="408" t="s">
        <v>1956</v>
      </c>
      <c r="E439" s="408" t="s">
        <v>968</v>
      </c>
      <c r="F439" s="408" t="s">
        <v>1320</v>
      </c>
      <c r="G439" s="408" t="s">
        <v>1320</v>
      </c>
      <c r="H439" s="408" t="s">
        <v>1320</v>
      </c>
      <c r="I439" s="408" t="s">
        <v>1320</v>
      </c>
      <c r="J439" s="408" t="s">
        <v>2234</v>
      </c>
      <c r="K439" s="827">
        <v>44593</v>
      </c>
      <c r="L439" s="408">
        <v>0</v>
      </c>
      <c r="M439" s="408">
        <v>0</v>
      </c>
      <c r="N439" s="408">
        <v>0.625</v>
      </c>
      <c r="O439" s="408">
        <v>0.625</v>
      </c>
      <c r="P439" s="408">
        <v>0.625</v>
      </c>
      <c r="Q439" s="408">
        <v>0.625</v>
      </c>
      <c r="R439" s="408"/>
      <c r="S439" s="408">
        <v>516.83000000000004</v>
      </c>
      <c r="T439" s="408">
        <v>173.82</v>
      </c>
      <c r="U439" s="408"/>
      <c r="V439" s="408">
        <v>431.65625</v>
      </c>
      <c r="W439" s="408">
        <v>431.65625</v>
      </c>
      <c r="X439" s="408">
        <v>325.90625</v>
      </c>
      <c r="Y439" s="408">
        <v>0</v>
      </c>
      <c r="Z439" s="408">
        <v>38.218409848764814</v>
      </c>
      <c r="AA439" s="408">
        <v>0</v>
      </c>
      <c r="AB439" s="408">
        <v>0</v>
      </c>
      <c r="AC439" s="408">
        <v>1.6990275458692938</v>
      </c>
      <c r="AD439" s="408">
        <v>21.516632201291248</v>
      </c>
      <c r="AE439" s="408">
        <v>227.25987197918687</v>
      </c>
      <c r="AF439" s="408">
        <v>100.57633471339938</v>
      </c>
      <c r="AG439" s="408">
        <v>5.0599158700417055</v>
      </c>
      <c r="AH439" s="408">
        <v>0</v>
      </c>
      <c r="AI439" s="408">
        <v>0</v>
      </c>
      <c r="AJ439" s="408">
        <v>0</v>
      </c>
      <c r="AK439" s="408">
        <v>0</v>
      </c>
      <c r="AL439" s="408">
        <v>5.9071854110120245</v>
      </c>
      <c r="AM439" s="408"/>
      <c r="AN439" s="408">
        <v>0.96971373428105623</v>
      </c>
      <c r="AO439" s="408">
        <v>3.6240648619596501</v>
      </c>
      <c r="AP439" s="408">
        <v>11.868322407255562</v>
      </c>
      <c r="AQ439" s="408">
        <v>0</v>
      </c>
      <c r="AR439" s="408">
        <v>0</v>
      </c>
      <c r="AS439" s="408">
        <v>0</v>
      </c>
      <c r="AT439" s="408">
        <v>0</v>
      </c>
      <c r="AU439" s="408">
        <v>0</v>
      </c>
      <c r="AV439" s="408">
        <v>0</v>
      </c>
      <c r="AW439" s="408">
        <v>0</v>
      </c>
      <c r="AX439" s="408">
        <v>0</v>
      </c>
      <c r="AY439" s="408">
        <v>0</v>
      </c>
      <c r="AZ439" s="408">
        <v>0</v>
      </c>
      <c r="BA439" s="408"/>
      <c r="BB439" s="408">
        <v>0</v>
      </c>
      <c r="BC439" s="408">
        <v>0</v>
      </c>
      <c r="BD439" s="408">
        <v>0</v>
      </c>
      <c r="BE439" s="408">
        <v>0.34675788565756627</v>
      </c>
      <c r="BF439" s="408">
        <v>3.0035552109132686</v>
      </c>
      <c r="BG439" s="408">
        <v>11.611452003841062</v>
      </c>
      <c r="BH439" s="408">
        <v>0</v>
      </c>
      <c r="BI439" s="408">
        <v>1.43</v>
      </c>
      <c r="BJ439" s="408">
        <v>6.58</v>
      </c>
      <c r="BK439" s="408">
        <v>361.98</v>
      </c>
      <c r="BL439" s="408">
        <v>6</v>
      </c>
      <c r="BM439" s="408"/>
      <c r="BN439" s="408"/>
      <c r="BO439" s="408"/>
      <c r="BP439" s="408"/>
      <c r="BQ439" s="408"/>
      <c r="BR439" s="408"/>
      <c r="BS439" s="408"/>
      <c r="BT439" s="408"/>
      <c r="BU439" s="408"/>
      <c r="BV439" s="408">
        <v>115.53809981381127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328.51349999999996</v>
      </c>
      <c r="CJ439" s="408">
        <v>-103.17275000000001</v>
      </c>
      <c r="CK439" s="408"/>
      <c r="CL439" s="408"/>
      <c r="CM439" s="408"/>
      <c r="CN439" s="408"/>
      <c r="CO439" s="408">
        <v>-118.99375000000003</v>
      </c>
      <c r="CP439" s="408">
        <v>13.243749999999999</v>
      </c>
      <c r="CQ439" s="408">
        <v>29</v>
      </c>
      <c r="CR439" s="408">
        <v>14.566174383755055</v>
      </c>
      <c r="CS439" s="408">
        <v>0.3518738022768253</v>
      </c>
      <c r="CT439" s="408">
        <v>1.1523391250315012</v>
      </c>
      <c r="CU439" s="408">
        <v>0</v>
      </c>
      <c r="CV439" s="408">
        <v>0</v>
      </c>
      <c r="CW439" s="408">
        <v>0</v>
      </c>
      <c r="CX439" s="408">
        <v>0</v>
      </c>
      <c r="CY439" s="408">
        <v>0</v>
      </c>
      <c r="CZ439" s="408">
        <v>-0.41256438032424825</v>
      </c>
      <c r="DA439" s="408">
        <v>0</v>
      </c>
      <c r="DB439" s="408">
        <v>0</v>
      </c>
      <c r="DC439" s="408">
        <v>12.910084135378753</v>
      </c>
      <c r="DD439" s="408">
        <v>0.38553950677005666</v>
      </c>
      <c r="DE439" s="408">
        <v>4.451020701044317E-2</v>
      </c>
      <c r="DF439" s="408">
        <v>0</v>
      </c>
      <c r="DG439" s="408">
        <v>1.4904581950680633</v>
      </c>
      <c r="DH439" s="408">
        <v>0</v>
      </c>
      <c r="DI439" s="408">
        <v>-1.116952348028569</v>
      </c>
      <c r="DJ439" s="408"/>
      <c r="DK439" s="408">
        <v>0</v>
      </c>
      <c r="DL439" s="408">
        <v>0</v>
      </c>
      <c r="DM439" s="408">
        <v>-5.6239107815749811E-2</v>
      </c>
      <c r="DN439" s="408">
        <v>0</v>
      </c>
      <c r="DO439" s="408">
        <v>-0.15299406177248098</v>
      </c>
      <c r="DP439" s="408">
        <v>-2.9880689839531294E-2</v>
      </c>
      <c r="DQ439" s="408">
        <v>0</v>
      </c>
      <c r="DR439" s="408">
        <v>0</v>
      </c>
      <c r="DS439" s="408"/>
      <c r="DT439" s="408"/>
      <c r="DU439" s="408"/>
      <c r="DV439" s="408">
        <v>227.25987197918687</v>
      </c>
      <c r="DW439" s="408">
        <v>0</v>
      </c>
      <c r="DX439" s="408">
        <v>0</v>
      </c>
      <c r="DY439" s="408">
        <v>-118.99375000000001</v>
      </c>
      <c r="DZ439" s="408">
        <v>13.243750000000006</v>
      </c>
      <c r="EA439" s="408">
        <v>0</v>
      </c>
      <c r="EB439" s="408">
        <v>0</v>
      </c>
      <c r="EC439" s="408">
        <v>-120.32205392317249</v>
      </c>
      <c r="ED439" s="408">
        <v>0</v>
      </c>
      <c r="EE439" s="408">
        <v>0</v>
      </c>
      <c r="EF439" s="408">
        <v>0</v>
      </c>
      <c r="EG439" s="408">
        <v>0</v>
      </c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>
        <v>0</v>
      </c>
      <c r="EN439" s="408">
        <v>0</v>
      </c>
      <c r="EO439" s="408">
        <v>0</v>
      </c>
      <c r="EP439" s="408">
        <v>0</v>
      </c>
      <c r="EQ439" s="408">
        <v>0</v>
      </c>
      <c r="ER439" s="408">
        <v>0</v>
      </c>
      <c r="ES439" s="408">
        <v>0</v>
      </c>
      <c r="ET439" s="408">
        <v>0</v>
      </c>
      <c r="EU439" s="408">
        <v>0</v>
      </c>
      <c r="EV439" s="408">
        <v>239</v>
      </c>
      <c r="EW439" s="408">
        <v>0</v>
      </c>
      <c r="EX439" s="408">
        <v>0</v>
      </c>
      <c r="EY439" s="408">
        <v>0</v>
      </c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444</v>
      </c>
      <c r="B440" s="408" t="s">
        <v>2236</v>
      </c>
      <c r="C440" s="408" t="s">
        <v>2233</v>
      </c>
      <c r="D440" s="408" t="s">
        <v>1956</v>
      </c>
      <c r="E440" s="408" t="s">
        <v>968</v>
      </c>
      <c r="F440" s="408" t="s">
        <v>1320</v>
      </c>
      <c r="G440" s="408" t="s">
        <v>1320</v>
      </c>
      <c r="H440" s="408" t="s">
        <v>1320</v>
      </c>
      <c r="I440" s="408" t="s">
        <v>1320</v>
      </c>
      <c r="J440" s="408" t="s">
        <v>2234</v>
      </c>
      <c r="K440" s="827">
        <v>44593</v>
      </c>
      <c r="L440" s="408">
        <v>0</v>
      </c>
      <c r="M440" s="408">
        <v>0</v>
      </c>
      <c r="N440" s="408">
        <v>-1.133</v>
      </c>
      <c r="O440" s="408">
        <v>-1.133</v>
      </c>
      <c r="P440" s="408">
        <v>-1.133</v>
      </c>
      <c r="Q440" s="408">
        <v>-1.133</v>
      </c>
      <c r="R440" s="408"/>
      <c r="S440" s="408">
        <v>516.83000000000004</v>
      </c>
      <c r="T440" s="408">
        <v>173.82</v>
      </c>
      <c r="U440" s="408"/>
      <c r="V440" s="408">
        <v>-782.50645000000009</v>
      </c>
      <c r="W440" s="408">
        <v>-782.50645000000009</v>
      </c>
      <c r="X440" s="408">
        <v>-590.80285000000003</v>
      </c>
      <c r="Y440" s="408">
        <v>0</v>
      </c>
      <c r="Z440" s="408">
        <v>-69.282333373840856</v>
      </c>
      <c r="AA440" s="408">
        <v>0</v>
      </c>
      <c r="AB440" s="408">
        <v>0</v>
      </c>
      <c r="AC440" s="408">
        <v>-3.079997135151856</v>
      </c>
      <c r="AD440" s="408">
        <v>-39.005350854500776</v>
      </c>
      <c r="AE440" s="408">
        <v>-411.97669592386995</v>
      </c>
      <c r="AF440" s="408">
        <v>-182.32477956845037</v>
      </c>
      <c r="AG440" s="408">
        <v>-9.172615489211605</v>
      </c>
      <c r="AH440" s="408">
        <v>0</v>
      </c>
      <c r="AI440" s="408">
        <v>0</v>
      </c>
      <c r="AJ440" s="408">
        <v>0</v>
      </c>
      <c r="AK440" s="408">
        <v>0</v>
      </c>
      <c r="AL440" s="408">
        <v>-10.708545713082598</v>
      </c>
      <c r="AM440" s="408"/>
      <c r="AN440" s="408">
        <v>-1.7578970575046986</v>
      </c>
      <c r="AO440" s="408">
        <v>-6.5697047817604535</v>
      </c>
      <c r="AP440" s="408">
        <v>-21.514894859872886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0</v>
      </c>
      <c r="BE440" s="408">
        <v>-0.62860269512003619</v>
      </c>
      <c r="BF440" s="408">
        <v>-5.4448448863435734</v>
      </c>
      <c r="BG440" s="408">
        <v>-21.049240192563079</v>
      </c>
      <c r="BH440" s="408">
        <v>0</v>
      </c>
      <c r="BI440" s="408">
        <v>0</v>
      </c>
      <c r="BJ440" s="408">
        <v>0</v>
      </c>
      <c r="BK440" s="408">
        <v>-157.97</v>
      </c>
      <c r="BL440" s="408">
        <v>2</v>
      </c>
      <c r="BM440" s="408"/>
      <c r="BN440" s="408"/>
      <c r="BO440" s="408"/>
      <c r="BP440" s="408"/>
      <c r="BQ440" s="408"/>
      <c r="BR440" s="408"/>
      <c r="BS440" s="408"/>
      <c r="BT440" s="408"/>
      <c r="BU440" s="408"/>
      <c r="BV440" s="408">
        <v>-209.44746734247704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-589.23849999999993</v>
      </c>
      <c r="CJ440" s="408">
        <v>193.23795000000018</v>
      </c>
      <c r="CK440" s="408"/>
      <c r="CL440" s="408"/>
      <c r="CM440" s="408"/>
      <c r="CN440" s="408"/>
      <c r="CO440" s="408">
        <v>215.71187000000006</v>
      </c>
      <c r="CP440" s="408">
        <v>-24.008269999999996</v>
      </c>
      <c r="CQ440" s="408">
        <v>29</v>
      </c>
      <c r="CR440" s="408">
        <v>-26.405560922871302</v>
      </c>
      <c r="CS440" s="408">
        <v>-0.63787682876742924</v>
      </c>
      <c r="CT440" s="408">
        <v>-2.0889603658571012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0.74789670865179403</v>
      </c>
      <c r="DA440" s="408">
        <v>0</v>
      </c>
      <c r="DB440" s="408">
        <v>0</v>
      </c>
      <c r="DC440" s="408">
        <v>-23.403400520614611</v>
      </c>
      <c r="DD440" s="408">
        <v>-0.69890601787275841</v>
      </c>
      <c r="DE440" s="408">
        <v>-8.0688103268531264E-2</v>
      </c>
      <c r="DF440" s="408">
        <v>0</v>
      </c>
      <c r="DG440" s="408">
        <v>-2.7019026160193853</v>
      </c>
      <c r="DH440" s="408">
        <v>0</v>
      </c>
      <c r="DI440" s="408">
        <v>2.0248112165061798</v>
      </c>
      <c r="DJ440" s="408"/>
      <c r="DK440" s="408">
        <v>0</v>
      </c>
      <c r="DL440" s="408">
        <v>0</v>
      </c>
      <c r="DM440" s="408">
        <v>0.10195025464839169</v>
      </c>
      <c r="DN440" s="408">
        <v>0</v>
      </c>
      <c r="DO440" s="408">
        <v>0.2773476351811528</v>
      </c>
      <c r="DP440" s="408">
        <v>5.4167714541102141E-2</v>
      </c>
      <c r="DQ440" s="408">
        <v>0</v>
      </c>
      <c r="DR440" s="408">
        <v>0</v>
      </c>
      <c r="DS440" s="408"/>
      <c r="DT440" s="408"/>
      <c r="DU440" s="408"/>
      <c r="DV440" s="408">
        <v>-411.97669592386995</v>
      </c>
      <c r="DW440" s="408">
        <v>0</v>
      </c>
      <c r="DX440" s="408">
        <v>0</v>
      </c>
      <c r="DY440" s="408">
        <v>215.71187000000003</v>
      </c>
      <c r="DZ440" s="408">
        <v>-24.008269999999982</v>
      </c>
      <c r="EA440" s="408">
        <v>0</v>
      </c>
      <c r="EB440" s="408">
        <v>0</v>
      </c>
      <c r="EC440" s="408">
        <v>218.11981935192711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0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239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445</v>
      </c>
      <c r="B441" s="408" t="s">
        <v>1034</v>
      </c>
      <c r="C441" s="408" t="s">
        <v>2245</v>
      </c>
      <c r="D441" s="408" t="s">
        <v>596</v>
      </c>
      <c r="E441" s="408" t="s">
        <v>968</v>
      </c>
      <c r="F441" s="408" t="s">
        <v>1320</v>
      </c>
      <c r="G441" s="408" t="s">
        <v>1320</v>
      </c>
      <c r="H441" s="408" t="s">
        <v>1320</v>
      </c>
      <c r="I441" s="408" t="s">
        <v>971</v>
      </c>
      <c r="J441" s="408" t="s">
        <v>2234</v>
      </c>
      <c r="K441" s="827">
        <v>44593</v>
      </c>
      <c r="L441" s="408">
        <v>1200</v>
      </c>
      <c r="M441" s="408">
        <v>1200</v>
      </c>
      <c r="N441" s="408">
        <v>34.667999999999999</v>
      </c>
      <c r="O441" s="408">
        <v>34.667999999999999</v>
      </c>
      <c r="P441" s="408">
        <v>34.667999999999999</v>
      </c>
      <c r="Q441" s="408">
        <v>34.667999999999999</v>
      </c>
      <c r="R441" s="408">
        <v>67.099999999999994</v>
      </c>
      <c r="S441" s="408">
        <v>70.33</v>
      </c>
      <c r="T441" s="408">
        <v>173.82</v>
      </c>
      <c r="U441" s="408">
        <v>80520</v>
      </c>
      <c r="V441" s="408">
        <v>8464.1921999999995</v>
      </c>
      <c r="W441" s="408">
        <v>88984.192200000005</v>
      </c>
      <c r="X441" s="408">
        <v>59611.792439999997</v>
      </c>
      <c r="Y441" s="408">
        <v>0</v>
      </c>
      <c r="Z441" s="408">
        <v>1844.3385190306769</v>
      </c>
      <c r="AA441" s="408">
        <v>0</v>
      </c>
      <c r="AB441" s="408">
        <v>0</v>
      </c>
      <c r="AC441" s="408">
        <v>898.10170336085525</v>
      </c>
      <c r="AD441" s="408">
        <v>13700.67976876248</v>
      </c>
      <c r="AE441" s="408">
        <v>57794.157302940846</v>
      </c>
      <c r="AF441" s="408">
        <v>5578.8485949506066</v>
      </c>
      <c r="AG441" s="408">
        <v>280.66746141216936</v>
      </c>
      <c r="AH441" s="408">
        <v>0</v>
      </c>
      <c r="AI441" s="408">
        <v>0</v>
      </c>
      <c r="AJ441" s="408">
        <v>0</v>
      </c>
      <c r="AK441" s="408">
        <v>0</v>
      </c>
      <c r="AL441" s="408">
        <v>327.66448612634377</v>
      </c>
      <c r="AM441" s="408"/>
      <c r="AN441" s="408">
        <v>43.082986717751254</v>
      </c>
      <c r="AO441" s="408">
        <v>1928.760364929756</v>
      </c>
      <c r="AP441" s="408">
        <v>6201.9566025339363</v>
      </c>
      <c r="AQ441" s="408">
        <v>0</v>
      </c>
      <c r="AR441" s="408">
        <v>0</v>
      </c>
      <c r="AS441" s="408">
        <v>0</v>
      </c>
      <c r="AT441" s="408">
        <v>0</v>
      </c>
      <c r="AU441" s="408">
        <v>0</v>
      </c>
      <c r="AV441" s="408">
        <v>0</v>
      </c>
      <c r="AW441" s="408">
        <v>0</v>
      </c>
      <c r="AX441" s="408">
        <v>0</v>
      </c>
      <c r="AY441" s="408">
        <v>0</v>
      </c>
      <c r="AZ441" s="408">
        <v>0</v>
      </c>
      <c r="BA441" s="408"/>
      <c r="BB441" s="408">
        <v>0</v>
      </c>
      <c r="BC441" s="408">
        <v>0</v>
      </c>
      <c r="BD441" s="408">
        <v>0</v>
      </c>
      <c r="BE441" s="408">
        <v>6.4688277809729229</v>
      </c>
      <c r="BF441" s="408">
        <v>166.60360328310591</v>
      </c>
      <c r="BG441" s="408">
        <v>216.61362699061024</v>
      </c>
      <c r="BH441" s="408">
        <v>0</v>
      </c>
      <c r="BI441" s="408">
        <v>0</v>
      </c>
      <c r="BJ441" s="408">
        <v>0</v>
      </c>
      <c r="BK441" s="408">
        <v>0</v>
      </c>
      <c r="BL441" s="408">
        <v>0</v>
      </c>
      <c r="BM441" s="408"/>
      <c r="BN441" s="408"/>
      <c r="BO441" s="408"/>
      <c r="BP441" s="408"/>
      <c r="BQ441" s="408"/>
      <c r="BR441" s="408"/>
      <c r="BS441" s="408"/>
      <c r="BT441" s="408"/>
      <c r="BU441" s="408"/>
      <c r="BV441" s="408">
        <v>5968.5346530052957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59612.321100000001</v>
      </c>
      <c r="CJ441" s="408">
        <v>-29371.901099999988</v>
      </c>
      <c r="CK441" s="408"/>
      <c r="CL441" s="408"/>
      <c r="CM441" s="408"/>
      <c r="CN441" s="408"/>
      <c r="CO441" s="408">
        <v>-30107.014679999993</v>
      </c>
      <c r="CP441" s="408">
        <v>734.61491999999987</v>
      </c>
      <c r="CQ441" s="408">
        <v>29</v>
      </c>
      <c r="CR441" s="408">
        <v>1226.033759733622</v>
      </c>
      <c r="CS441" s="408">
        <v>187.27044607078801</v>
      </c>
      <c r="CT441" s="408">
        <v>602.17080389378407</v>
      </c>
      <c r="CU441" s="408">
        <v>0</v>
      </c>
      <c r="CV441" s="408">
        <v>0</v>
      </c>
      <c r="CW441" s="408">
        <v>0</v>
      </c>
      <c r="CX441" s="408">
        <v>0</v>
      </c>
      <c r="CY441" s="408">
        <v>0</v>
      </c>
      <c r="CZ441" s="408">
        <v>-262.69968301452172</v>
      </c>
      <c r="DA441" s="408">
        <v>0</v>
      </c>
      <c r="DB441" s="408">
        <v>0</v>
      </c>
      <c r="DC441" s="408">
        <v>716.10687488849726</v>
      </c>
      <c r="DD441" s="408">
        <v>21.385413793126929</v>
      </c>
      <c r="DE441" s="408">
        <v>0.83034553951096868</v>
      </c>
      <c r="DF441" s="408">
        <v>0</v>
      </c>
      <c r="DG441" s="408">
        <v>27.804753049383663</v>
      </c>
      <c r="DH441" s="408">
        <v>0</v>
      </c>
      <c r="DI441" s="408">
        <v>-53.901725570025746</v>
      </c>
      <c r="DJ441" s="408"/>
      <c r="DK441" s="408">
        <v>0</v>
      </c>
      <c r="DL441" s="408">
        <v>0</v>
      </c>
      <c r="DM441" s="408">
        <v>-3.1195158236102429</v>
      </c>
      <c r="DN441" s="408">
        <v>0</v>
      </c>
      <c r="DO441" s="408">
        <v>-8.4863970136453872</v>
      </c>
      <c r="DP441" s="408">
        <v>-1.3275560796592956</v>
      </c>
      <c r="DQ441" s="408">
        <v>0</v>
      </c>
      <c r="DR441" s="408">
        <v>0</v>
      </c>
      <c r="DS441" s="408"/>
      <c r="DT441" s="408"/>
      <c r="DU441" s="408">
        <v>57794.157302940846</v>
      </c>
      <c r="DV441" s="408">
        <v>0</v>
      </c>
      <c r="DW441" s="408">
        <v>0</v>
      </c>
      <c r="DX441" s="408">
        <v>0</v>
      </c>
      <c r="DY441" s="408">
        <v>-30107.01468</v>
      </c>
      <c r="DZ441" s="408">
        <v>734.61491999999998</v>
      </c>
      <c r="EA441" s="408">
        <v>0</v>
      </c>
      <c r="EB441" s="408">
        <v>0</v>
      </c>
      <c r="EC441" s="408">
        <v>-30598.942307270285</v>
      </c>
      <c r="ED441" s="408">
        <v>0</v>
      </c>
      <c r="EE441" s="408">
        <v>0</v>
      </c>
      <c r="EF441" s="408">
        <v>0</v>
      </c>
      <c r="EG441" s="408">
        <v>0</v>
      </c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>
        <v>0</v>
      </c>
      <c r="EN441" s="408">
        <v>0</v>
      </c>
      <c r="EO441" s="408">
        <v>0</v>
      </c>
      <c r="EP441" s="408">
        <v>0</v>
      </c>
      <c r="EQ441" s="408">
        <v>0</v>
      </c>
      <c r="ER441" s="408">
        <v>0</v>
      </c>
      <c r="ES441" s="408">
        <v>0</v>
      </c>
      <c r="ET441" s="408">
        <v>0</v>
      </c>
      <c r="EU441" s="408">
        <v>0</v>
      </c>
      <c r="EV441" s="408">
        <v>239</v>
      </c>
      <c r="EW441" s="408">
        <v>0</v>
      </c>
      <c r="EX441" s="408">
        <v>0</v>
      </c>
      <c r="EY441" s="408">
        <v>0</v>
      </c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446</v>
      </c>
      <c r="B442" s="408" t="s">
        <v>1034</v>
      </c>
      <c r="C442" s="408" t="s">
        <v>2245</v>
      </c>
      <c r="D442" s="408" t="s">
        <v>596</v>
      </c>
      <c r="E442" s="408" t="s">
        <v>968</v>
      </c>
      <c r="F442" s="408" t="s">
        <v>1320</v>
      </c>
      <c r="G442" s="408" t="s">
        <v>1320</v>
      </c>
      <c r="H442" s="408" t="s">
        <v>1320</v>
      </c>
      <c r="I442" s="408" t="s">
        <v>2242</v>
      </c>
      <c r="J442" s="408" t="s">
        <v>2234</v>
      </c>
      <c r="K442" s="827">
        <v>44593</v>
      </c>
      <c r="L442" s="408">
        <v>1200</v>
      </c>
      <c r="M442" s="408">
        <v>1200</v>
      </c>
      <c r="N442" s="408">
        <v>335.35199999999998</v>
      </c>
      <c r="O442" s="408">
        <v>335.35199999999998</v>
      </c>
      <c r="P442" s="408">
        <v>335.35199999999998</v>
      </c>
      <c r="Q442" s="408">
        <v>335.35199999999998</v>
      </c>
      <c r="R442" s="408">
        <v>59.12</v>
      </c>
      <c r="S442" s="408">
        <v>70.33</v>
      </c>
      <c r="T442" s="408">
        <v>173.82</v>
      </c>
      <c r="U442" s="408">
        <v>70944</v>
      </c>
      <c r="V442" s="408">
        <v>81876.190799999997</v>
      </c>
      <c r="W442" s="408">
        <v>152820.19079999998</v>
      </c>
      <c r="X442" s="408">
        <v>129479.59415999998</v>
      </c>
      <c r="Y442" s="408">
        <v>0</v>
      </c>
      <c r="Z442" s="408">
        <v>17840.735290007371</v>
      </c>
      <c r="AA442" s="408">
        <v>0</v>
      </c>
      <c r="AB442" s="408">
        <v>0</v>
      </c>
      <c r="AC442" s="408">
        <v>686.4724360004185</v>
      </c>
      <c r="AD442" s="408">
        <v>6140.4271808585163</v>
      </c>
      <c r="AE442" s="408">
        <v>57794.157302940846</v>
      </c>
      <c r="AF442" s="408">
        <v>53965.559998092642</v>
      </c>
      <c r="AG442" s="408">
        <v>2714.9646509603617</v>
      </c>
      <c r="AH442" s="408">
        <v>0</v>
      </c>
      <c r="AI442" s="408">
        <v>0</v>
      </c>
      <c r="AJ442" s="408">
        <v>0</v>
      </c>
      <c r="AK442" s="408">
        <v>0</v>
      </c>
      <c r="AL442" s="408">
        <v>3169.578307125927</v>
      </c>
      <c r="AM442" s="408"/>
      <c r="AN442" s="408">
        <v>416.75221419670351</v>
      </c>
      <c r="AO442" s="408">
        <v>1449.6865388280721</v>
      </c>
      <c r="AP442" s="408">
        <v>4873.1854368239283</v>
      </c>
      <c r="AQ442" s="408">
        <v>0</v>
      </c>
      <c r="AR442" s="408">
        <v>0</v>
      </c>
      <c r="AS442" s="408">
        <v>0</v>
      </c>
      <c r="AT442" s="408">
        <v>0</v>
      </c>
      <c r="AU442" s="408">
        <v>0</v>
      </c>
      <c r="AV442" s="408">
        <v>0</v>
      </c>
      <c r="AW442" s="408">
        <v>0</v>
      </c>
      <c r="AX442" s="408">
        <v>0</v>
      </c>
      <c r="AY442" s="408">
        <v>0</v>
      </c>
      <c r="AZ442" s="408">
        <v>0</v>
      </c>
      <c r="BA442" s="408"/>
      <c r="BB442" s="408">
        <v>0</v>
      </c>
      <c r="BC442" s="408">
        <v>0</v>
      </c>
      <c r="BD442" s="408">
        <v>0</v>
      </c>
      <c r="BE442" s="408">
        <v>62.574545229169019</v>
      </c>
      <c r="BF442" s="408">
        <v>1611.5971953442981</v>
      </c>
      <c r="BG442" s="408">
        <v>2095.3563239458613</v>
      </c>
      <c r="BH442" s="408">
        <v>0</v>
      </c>
      <c r="BI442" s="408">
        <v>0</v>
      </c>
      <c r="BJ442" s="408">
        <v>0</v>
      </c>
      <c r="BK442" s="408">
        <v>0</v>
      </c>
      <c r="BL442" s="408">
        <v>0</v>
      </c>
      <c r="BM442" s="408"/>
      <c r="BN442" s="408"/>
      <c r="BO442" s="408"/>
      <c r="BP442" s="408"/>
      <c r="BQ442" s="408"/>
      <c r="BR442" s="408"/>
      <c r="BS442" s="408"/>
      <c r="BT442" s="408"/>
      <c r="BU442" s="408"/>
      <c r="BV442" s="408">
        <v>57735.088062611969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129479.0655</v>
      </c>
      <c r="CJ442" s="408">
        <v>-23341.155299999984</v>
      </c>
      <c r="CK442" s="408"/>
      <c r="CL442" s="408"/>
      <c r="CM442" s="408"/>
      <c r="CN442" s="408"/>
      <c r="CO442" s="408">
        <v>-30446.70552</v>
      </c>
      <c r="CP442" s="408">
        <v>7106.1088799999989</v>
      </c>
      <c r="CQ442" s="408">
        <v>29</v>
      </c>
      <c r="CR442" s="408">
        <v>7260.5966393307754</v>
      </c>
      <c r="CS442" s="408">
        <v>140.75540420960397</v>
      </c>
      <c r="CT442" s="408">
        <v>473.15551850471911</v>
      </c>
      <c r="CU442" s="408">
        <v>0</v>
      </c>
      <c r="CV442" s="408">
        <v>0</v>
      </c>
      <c r="CW442" s="408">
        <v>0</v>
      </c>
      <c r="CX442" s="408">
        <v>0</v>
      </c>
      <c r="CY442" s="408">
        <v>0</v>
      </c>
      <c r="CZ442" s="408">
        <v>-117.73782769987247</v>
      </c>
      <c r="DA442" s="408">
        <v>0</v>
      </c>
      <c r="DB442" s="408">
        <v>0</v>
      </c>
      <c r="DC442" s="408">
        <v>6927.0760559480623</v>
      </c>
      <c r="DD442" s="408">
        <v>206.86631147896333</v>
      </c>
      <c r="DE442" s="408">
        <v>8.032134457311713</v>
      </c>
      <c r="DF442" s="408">
        <v>0</v>
      </c>
      <c r="DG442" s="408">
        <v>268.96214216617363</v>
      </c>
      <c r="DH442" s="408">
        <v>0</v>
      </c>
      <c r="DI442" s="408">
        <v>-521.40450771198812</v>
      </c>
      <c r="DJ442" s="408"/>
      <c r="DK442" s="408">
        <v>0</v>
      </c>
      <c r="DL442" s="408">
        <v>0</v>
      </c>
      <c r="DM442" s="408">
        <v>-30.175835654763887</v>
      </c>
      <c r="DN442" s="408">
        <v>0</v>
      </c>
      <c r="DO442" s="408">
        <v>-82.090983365640113</v>
      </c>
      <c r="DP442" s="408">
        <v>-12.841773001785612</v>
      </c>
      <c r="DQ442" s="408">
        <v>0</v>
      </c>
      <c r="DR442" s="408">
        <v>0</v>
      </c>
      <c r="DS442" s="408"/>
      <c r="DT442" s="408"/>
      <c r="DU442" s="408">
        <v>57794.157302940846</v>
      </c>
      <c r="DV442" s="408">
        <v>0</v>
      </c>
      <c r="DW442" s="408">
        <v>0</v>
      </c>
      <c r="DX442" s="408">
        <v>0</v>
      </c>
      <c r="DY442" s="408">
        <v>-30446.705519999996</v>
      </c>
      <c r="DZ442" s="408">
        <v>7106.1088799999925</v>
      </c>
      <c r="EA442" s="408">
        <v>0</v>
      </c>
      <c r="EB442" s="408">
        <v>0</v>
      </c>
      <c r="EC442" s="408">
        <v>-30598.942307270285</v>
      </c>
      <c r="ED442" s="408">
        <v>0</v>
      </c>
      <c r="EE442" s="408">
        <v>0</v>
      </c>
      <c r="EF442" s="408">
        <v>0</v>
      </c>
      <c r="EG442" s="408">
        <v>0</v>
      </c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>
        <v>0</v>
      </c>
      <c r="EN442" s="408">
        <v>0</v>
      </c>
      <c r="EO442" s="408">
        <v>0</v>
      </c>
      <c r="EP442" s="408">
        <v>0</v>
      </c>
      <c r="EQ442" s="408">
        <v>0</v>
      </c>
      <c r="ER442" s="408">
        <v>0</v>
      </c>
      <c r="ES442" s="408">
        <v>0</v>
      </c>
      <c r="ET442" s="408">
        <v>0</v>
      </c>
      <c r="EU442" s="408">
        <v>0</v>
      </c>
      <c r="EV442" s="408">
        <v>239</v>
      </c>
      <c r="EW442" s="408">
        <v>0</v>
      </c>
      <c r="EX442" s="408">
        <v>0</v>
      </c>
      <c r="EY442" s="408">
        <v>0</v>
      </c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447</v>
      </c>
      <c r="B443" s="408" t="s">
        <v>1034</v>
      </c>
      <c r="C443" s="408" t="s">
        <v>2245</v>
      </c>
      <c r="D443" s="408" t="s">
        <v>596</v>
      </c>
      <c r="E443" s="408" t="s">
        <v>968</v>
      </c>
      <c r="F443" s="408" t="s">
        <v>1320</v>
      </c>
      <c r="G443" s="408" t="s">
        <v>1320</v>
      </c>
      <c r="H443" s="408" t="s">
        <v>1320</v>
      </c>
      <c r="I443" s="408" t="s">
        <v>1320</v>
      </c>
      <c r="J443" s="408" t="s">
        <v>2234</v>
      </c>
      <c r="K443" s="827">
        <v>44593</v>
      </c>
      <c r="L443" s="408">
        <v>0</v>
      </c>
      <c r="M443" s="408">
        <v>0</v>
      </c>
      <c r="N443" s="408">
        <v>0</v>
      </c>
      <c r="O443" s="408">
        <v>0</v>
      </c>
      <c r="P443" s="408">
        <v>0</v>
      </c>
      <c r="Q443" s="408">
        <v>0</v>
      </c>
      <c r="R443" s="408"/>
      <c r="S443" s="408"/>
      <c r="T443" s="408"/>
      <c r="U443" s="408"/>
      <c r="V443" s="408"/>
      <c r="W443" s="408"/>
      <c r="X443" s="408"/>
      <c r="Y443" s="408"/>
      <c r="Z443" s="408"/>
      <c r="AA443" s="408">
        <v>0</v>
      </c>
      <c r="AB443" s="408"/>
      <c r="AC443" s="408"/>
      <c r="AD443" s="408"/>
      <c r="AE443" s="408"/>
      <c r="AF443" s="408"/>
      <c r="AG443" s="408"/>
      <c r="AH443" s="408"/>
      <c r="AI443" s="408"/>
      <c r="AJ443" s="408"/>
      <c r="AK443" s="408"/>
      <c r="AL443" s="408"/>
      <c r="AM443" s="408"/>
      <c r="AN443" s="408"/>
      <c r="AO443" s="408"/>
      <c r="AP443" s="408"/>
      <c r="AQ443" s="408"/>
      <c r="AR443" s="408"/>
      <c r="AS443" s="408"/>
      <c r="AT443" s="408"/>
      <c r="AU443" s="408"/>
      <c r="AV443" s="408"/>
      <c r="AW443" s="408"/>
      <c r="AX443" s="408"/>
      <c r="AY443" s="408"/>
      <c r="AZ443" s="408">
        <v>0</v>
      </c>
      <c r="BA443" s="408"/>
      <c r="BB443" s="408"/>
      <c r="BC443" s="408"/>
      <c r="BD443" s="408"/>
      <c r="BE443" s="408"/>
      <c r="BF443" s="408"/>
      <c r="BG443" s="408"/>
      <c r="BH443" s="408"/>
      <c r="BI443" s="408">
        <v>844.65</v>
      </c>
      <c r="BJ443" s="408">
        <v>3847.37</v>
      </c>
      <c r="BK443" s="408">
        <v>44510.38</v>
      </c>
      <c r="BL443" s="408">
        <v>1</v>
      </c>
      <c r="BM443" s="408"/>
      <c r="BN443" s="408"/>
      <c r="BO443" s="408"/>
      <c r="BP443" s="408"/>
      <c r="BQ443" s="408"/>
      <c r="BR443" s="408"/>
      <c r="BS443" s="408"/>
      <c r="BT443" s="408"/>
      <c r="BU443" s="408"/>
      <c r="BV443" s="408"/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/>
      <c r="CJ443" s="408">
        <v>-0.03</v>
      </c>
      <c r="CK443" s="408"/>
      <c r="CL443" s="408"/>
      <c r="CM443" s="408"/>
      <c r="CN443" s="408"/>
      <c r="CO443" s="408">
        <v>0</v>
      </c>
      <c r="CP443" s="408">
        <v>0</v>
      </c>
      <c r="CQ443" s="408">
        <v>29</v>
      </c>
      <c r="CR443" s="408"/>
      <c r="CS443" s="408"/>
      <c r="CT443" s="408"/>
      <c r="CU443" s="408"/>
      <c r="CV443" s="408"/>
      <c r="CW443" s="408"/>
      <c r="CX443" s="408"/>
      <c r="CY443" s="408"/>
      <c r="CZ443" s="408"/>
      <c r="DA443" s="408"/>
      <c r="DB443" s="408"/>
      <c r="DC443" s="408"/>
      <c r="DD443" s="408"/>
      <c r="DE443" s="408"/>
      <c r="DF443" s="408"/>
      <c r="DG443" s="408"/>
      <c r="DH443" s="408"/>
      <c r="DI443" s="408"/>
      <c r="DJ443" s="408"/>
      <c r="DK443" s="408">
        <v>0</v>
      </c>
      <c r="DL443" s="408"/>
      <c r="DM443" s="408"/>
      <c r="DN443" s="408"/>
      <c r="DO443" s="408"/>
      <c r="DP443" s="408"/>
      <c r="DQ443" s="408"/>
      <c r="DR443" s="408"/>
      <c r="DS443" s="408"/>
      <c r="DT443" s="408"/>
      <c r="DU443" s="408"/>
      <c r="DV443" s="408"/>
      <c r="DW443" s="408"/>
      <c r="DX443" s="408"/>
      <c r="DY443" s="408"/>
      <c r="DZ443" s="408"/>
      <c r="EA443" s="408"/>
      <c r="EB443" s="408"/>
      <c r="EC443" s="408"/>
      <c r="ED443" s="408"/>
      <c r="EE443" s="408"/>
      <c r="EF443" s="408"/>
      <c r="EG443" s="408"/>
      <c r="EH443" s="408"/>
      <c r="EI443" s="408"/>
      <c r="EJ443" s="408"/>
      <c r="EK443" s="408"/>
      <c r="EL443" s="408"/>
      <c r="EM443" s="408"/>
      <c r="EN443" s="408"/>
      <c r="EO443" s="408"/>
      <c r="EP443" s="408"/>
      <c r="EQ443" s="408"/>
      <c r="ER443" s="408"/>
      <c r="ES443" s="408"/>
      <c r="ET443" s="408"/>
      <c r="EU443" s="408"/>
      <c r="EV443" s="408">
        <v>239</v>
      </c>
      <c r="EW443" s="408"/>
      <c r="EX443" s="408"/>
      <c r="EY443" s="408"/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448</v>
      </c>
      <c r="B444" s="408" t="s">
        <v>1034</v>
      </c>
      <c r="C444" s="408" t="s">
        <v>2241</v>
      </c>
      <c r="D444" s="408" t="s">
        <v>596</v>
      </c>
      <c r="E444" s="408" t="s">
        <v>968</v>
      </c>
      <c r="F444" s="408" t="s">
        <v>1320</v>
      </c>
      <c r="G444" s="408" t="s">
        <v>1320</v>
      </c>
      <c r="H444" s="408" t="s">
        <v>1320</v>
      </c>
      <c r="I444" s="408" t="s">
        <v>971</v>
      </c>
      <c r="J444" s="408" t="s">
        <v>2234</v>
      </c>
      <c r="K444" s="827">
        <v>44593</v>
      </c>
      <c r="L444" s="408">
        <v>0</v>
      </c>
      <c r="M444" s="408">
        <v>0</v>
      </c>
      <c r="N444" s="408">
        <v>30.957000000000001</v>
      </c>
      <c r="O444" s="408">
        <v>30.957000000000001</v>
      </c>
      <c r="P444" s="408">
        <v>30.957000000000001</v>
      </c>
      <c r="Q444" s="408">
        <v>30.957000000000001</v>
      </c>
      <c r="R444" s="408"/>
      <c r="S444" s="408">
        <v>1684.16</v>
      </c>
      <c r="T444" s="408">
        <v>173.82</v>
      </c>
      <c r="U444" s="408"/>
      <c r="V444" s="408">
        <v>57517.486860000005</v>
      </c>
      <c r="W444" s="408">
        <v>57517.486860000005</v>
      </c>
      <c r="X444" s="408">
        <v>39484.415220000003</v>
      </c>
      <c r="Y444" s="408">
        <v>0</v>
      </c>
      <c r="Z444" s="408">
        <v>1646.9132206539941</v>
      </c>
      <c r="AA444" s="408">
        <v>0</v>
      </c>
      <c r="AB444" s="408">
        <v>0</v>
      </c>
      <c r="AC444" s="408">
        <v>557.20742145782879</v>
      </c>
      <c r="AD444" s="408">
        <v>8500.3566096262184</v>
      </c>
      <c r="AE444" s="408">
        <v>35857.259544778841</v>
      </c>
      <c r="AF444" s="408">
        <v>4981.6665499563269</v>
      </c>
      <c r="AG444" s="408">
        <v>250.62370494220974</v>
      </c>
      <c r="AH444" s="408">
        <v>0</v>
      </c>
      <c r="AI444" s="408">
        <v>0</v>
      </c>
      <c r="AJ444" s="408">
        <v>0</v>
      </c>
      <c r="AK444" s="408">
        <v>0</v>
      </c>
      <c r="AL444" s="408">
        <v>292.58998202991881</v>
      </c>
      <c r="AM444" s="408"/>
      <c r="AN444" s="408">
        <v>38.471213217417372</v>
      </c>
      <c r="AO444" s="408">
        <v>1196.6782383252562</v>
      </c>
      <c r="AP444" s="408">
        <v>3847.913958418555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</v>
      </c>
      <c r="BE444" s="408">
        <v>5.7763788397247833</v>
      </c>
      <c r="BF444" s="408">
        <v>148.76969386278728</v>
      </c>
      <c r="BG444" s="408">
        <v>193.42644660056311</v>
      </c>
      <c r="BH444" s="408">
        <v>0</v>
      </c>
      <c r="BI444" s="408">
        <v>0</v>
      </c>
      <c r="BJ444" s="408">
        <v>0</v>
      </c>
      <c r="BK444" s="408">
        <v>0</v>
      </c>
      <c r="BL444" s="408">
        <v>0</v>
      </c>
      <c r="BM444" s="408"/>
      <c r="BN444" s="408"/>
      <c r="BO444" s="408"/>
      <c r="BP444" s="408"/>
      <c r="BQ444" s="408"/>
      <c r="BR444" s="408"/>
      <c r="BS444" s="408"/>
      <c r="BT444" s="408"/>
      <c r="BU444" s="408"/>
      <c r="BV444" s="408">
        <v>5329.6390692594023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39488.241600000001</v>
      </c>
      <c r="CJ444" s="408">
        <v>-18029.275260000009</v>
      </c>
      <c r="CK444" s="408"/>
      <c r="CL444" s="408"/>
      <c r="CM444" s="408"/>
      <c r="CN444" s="408"/>
      <c r="CO444" s="408">
        <v>-18689.050470000002</v>
      </c>
      <c r="CP444" s="408">
        <v>655.9788299999999</v>
      </c>
      <c r="CQ444" s="408">
        <v>29</v>
      </c>
      <c r="CR444" s="408">
        <v>951.24761404401215</v>
      </c>
      <c r="CS444" s="408">
        <v>116.18989666585026</v>
      </c>
      <c r="CT444" s="408">
        <v>373.60813532751854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-162.98760532680171</v>
      </c>
      <c r="DA444" s="408">
        <v>0</v>
      </c>
      <c r="DB444" s="408">
        <v>0</v>
      </c>
      <c r="DC444" s="408">
        <v>639.45195932627212</v>
      </c>
      <c r="DD444" s="408">
        <v>19.09623441772905</v>
      </c>
      <c r="DE444" s="408">
        <v>0.74146206491984135</v>
      </c>
      <c r="DF444" s="408">
        <v>0</v>
      </c>
      <c r="DG444" s="408">
        <v>24.828422180390248</v>
      </c>
      <c r="DH444" s="408">
        <v>0</v>
      </c>
      <c r="DI444" s="408">
        <v>-48.131871422386212</v>
      </c>
      <c r="DJ444" s="408"/>
      <c r="DK444" s="408">
        <v>0</v>
      </c>
      <c r="DL444" s="408">
        <v>0</v>
      </c>
      <c r="DM444" s="408">
        <v>-2.7855904970434722</v>
      </c>
      <c r="DN444" s="408">
        <v>0</v>
      </c>
      <c r="DO444" s="408">
        <v>-7.577979472465131</v>
      </c>
      <c r="DP444" s="408">
        <v>-1.1854492199726749</v>
      </c>
      <c r="DQ444" s="408">
        <v>0</v>
      </c>
      <c r="DR444" s="408">
        <v>0</v>
      </c>
      <c r="DS444" s="408"/>
      <c r="DT444" s="408"/>
      <c r="DU444" s="408"/>
      <c r="DV444" s="408">
        <v>35857.259544778841</v>
      </c>
      <c r="DW444" s="408">
        <v>0</v>
      </c>
      <c r="DX444" s="408">
        <v>0</v>
      </c>
      <c r="DY444" s="408">
        <v>-18689.050470000002</v>
      </c>
      <c r="DZ444" s="408">
        <v>655.97883000000002</v>
      </c>
      <c r="EA444" s="408">
        <v>0</v>
      </c>
      <c r="EB444" s="408">
        <v>0</v>
      </c>
      <c r="EC444" s="408">
        <v>-18984.517939353565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0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239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449</v>
      </c>
      <c r="B445" s="408" t="s">
        <v>2236</v>
      </c>
      <c r="C445" s="408" t="s">
        <v>2241</v>
      </c>
      <c r="D445" s="408" t="s">
        <v>596</v>
      </c>
      <c r="E445" s="408" t="s">
        <v>968</v>
      </c>
      <c r="F445" s="408" t="s">
        <v>1320</v>
      </c>
      <c r="G445" s="408" t="s">
        <v>1320</v>
      </c>
      <c r="H445" s="408" t="s">
        <v>1320</v>
      </c>
      <c r="I445" s="408" t="s">
        <v>971</v>
      </c>
      <c r="J445" s="408" t="s">
        <v>2234</v>
      </c>
      <c r="K445" s="827">
        <v>44593</v>
      </c>
      <c r="L445" s="408">
        <v>0</v>
      </c>
      <c r="M445" s="408">
        <v>0</v>
      </c>
      <c r="N445" s="408">
        <v>3.1E-2</v>
      </c>
      <c r="O445" s="408">
        <v>3.1E-2</v>
      </c>
      <c r="P445" s="408">
        <v>3.1E-2</v>
      </c>
      <c r="Q445" s="408">
        <v>3.1E-2</v>
      </c>
      <c r="R445" s="408"/>
      <c r="S445" s="408">
        <v>1684.16</v>
      </c>
      <c r="T445" s="408">
        <v>173.82</v>
      </c>
      <c r="U445" s="408"/>
      <c r="V445" s="408">
        <v>57.597380000000001</v>
      </c>
      <c r="W445" s="408">
        <v>57.597380000000001</v>
      </c>
      <c r="X445" s="408">
        <v>39.539259999999999</v>
      </c>
      <c r="Y445" s="408">
        <v>0</v>
      </c>
      <c r="Z445" s="408">
        <v>1.6492008217939016</v>
      </c>
      <c r="AA445" s="408">
        <v>0</v>
      </c>
      <c r="AB445" s="408">
        <v>0</v>
      </c>
      <c r="AC445" s="408">
        <v>0.5579813956517975</v>
      </c>
      <c r="AD445" s="408">
        <v>8.5121638045809593</v>
      </c>
      <c r="AE445" s="408">
        <v>35.907066120365151</v>
      </c>
      <c r="AF445" s="408">
        <v>4.9885862017846083</v>
      </c>
      <c r="AG445" s="408">
        <v>0.25097182715406863</v>
      </c>
      <c r="AH445" s="408">
        <v>0</v>
      </c>
      <c r="AI445" s="408">
        <v>0</v>
      </c>
      <c r="AJ445" s="408">
        <v>0</v>
      </c>
      <c r="AK445" s="408">
        <v>0</v>
      </c>
      <c r="AL445" s="408">
        <v>0.2929963963861964</v>
      </c>
      <c r="AM445" s="408"/>
      <c r="AN445" s="408">
        <v>3.852465063604156E-2</v>
      </c>
      <c r="AO445" s="408">
        <v>1.1983404525013064</v>
      </c>
      <c r="AP445" s="408">
        <v>3.8532588012719322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0</v>
      </c>
      <c r="BE445" s="408">
        <v>5.7844023655867259E-3</v>
      </c>
      <c r="BF445" s="408">
        <v>0.14897633846129812</v>
      </c>
      <c r="BG445" s="408">
        <v>0.19369512047735427</v>
      </c>
      <c r="BH445" s="408">
        <v>0</v>
      </c>
      <c r="BI445" s="408">
        <v>0</v>
      </c>
      <c r="BJ445" s="408">
        <v>0</v>
      </c>
      <c r="BK445" s="408">
        <v>0</v>
      </c>
      <c r="BL445" s="408">
        <v>0</v>
      </c>
      <c r="BM445" s="408"/>
      <c r="BN445" s="408"/>
      <c r="BO445" s="408"/>
      <c r="BP445" s="408"/>
      <c r="BQ445" s="408"/>
      <c r="BR445" s="408"/>
      <c r="BS445" s="408"/>
      <c r="BT445" s="408"/>
      <c r="BU445" s="408"/>
      <c r="BV445" s="408">
        <v>5.3370420630888473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38.263799999999996</v>
      </c>
      <c r="CJ445" s="408">
        <v>-19.363579999999999</v>
      </c>
      <c r="CK445" s="408"/>
      <c r="CL445" s="408"/>
      <c r="CM445" s="408"/>
      <c r="CN445" s="408"/>
      <c r="CO445" s="408">
        <v>-18.715009999999999</v>
      </c>
      <c r="CP445" s="408">
        <v>0.65688999999999997</v>
      </c>
      <c r="CQ445" s="408">
        <v>29</v>
      </c>
      <c r="CR445" s="408">
        <v>0.95256891931919796</v>
      </c>
      <c r="CS445" s="408">
        <v>0.11635128716094445</v>
      </c>
      <c r="CT445" s="408">
        <v>0.37412708580137144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-0.16321399893823241</v>
      </c>
      <c r="DA445" s="408">
        <v>0</v>
      </c>
      <c r="DB445" s="408">
        <v>0</v>
      </c>
      <c r="DC445" s="408">
        <v>0.64034017311478664</v>
      </c>
      <c r="DD445" s="408">
        <v>1.9122759535794814E-2</v>
      </c>
      <c r="DE445" s="408">
        <v>7.424919731406493E-4</v>
      </c>
      <c r="DF445" s="408">
        <v>0</v>
      </c>
      <c r="DG445" s="408">
        <v>2.4862909441874165E-2</v>
      </c>
      <c r="DH445" s="408">
        <v>0</v>
      </c>
      <c r="DI445" s="408">
        <v>-4.8198727722129631E-2</v>
      </c>
      <c r="DJ445" s="408"/>
      <c r="DK445" s="408">
        <v>0</v>
      </c>
      <c r="DL445" s="408">
        <v>0</v>
      </c>
      <c r="DM445" s="408">
        <v>-2.7894597476612049E-3</v>
      </c>
      <c r="DN445" s="408">
        <v>0</v>
      </c>
      <c r="DO445" s="408">
        <v>-7.5885054639150407E-3</v>
      </c>
      <c r="DP445" s="408">
        <v>-1.1870958367785345E-3</v>
      </c>
      <c r="DQ445" s="408">
        <v>0</v>
      </c>
      <c r="DR445" s="408">
        <v>0</v>
      </c>
      <c r="DS445" s="408"/>
      <c r="DT445" s="408"/>
      <c r="DU445" s="408"/>
      <c r="DV445" s="408">
        <v>35.907066120365151</v>
      </c>
      <c r="DW445" s="408">
        <v>0</v>
      </c>
      <c r="DX445" s="408">
        <v>0</v>
      </c>
      <c r="DY445" s="408">
        <v>-18.715010000000007</v>
      </c>
      <c r="DZ445" s="408">
        <v>0.65688999999999975</v>
      </c>
      <c r="EA445" s="408">
        <v>0</v>
      </c>
      <c r="EB445" s="408">
        <v>0</v>
      </c>
      <c r="EC445" s="408">
        <v>-19.010887880607306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239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450</v>
      </c>
      <c r="B446" s="408" t="s">
        <v>1034</v>
      </c>
      <c r="C446" s="408" t="s">
        <v>2241</v>
      </c>
      <c r="D446" s="408" t="s">
        <v>596</v>
      </c>
      <c r="E446" s="408" t="s">
        <v>968</v>
      </c>
      <c r="F446" s="408" t="s">
        <v>1320</v>
      </c>
      <c r="G446" s="408" t="s">
        <v>1320</v>
      </c>
      <c r="H446" s="408" t="s">
        <v>1320</v>
      </c>
      <c r="I446" s="408" t="s">
        <v>2242</v>
      </c>
      <c r="J446" s="408" t="s">
        <v>2234</v>
      </c>
      <c r="K446" s="827">
        <v>44593</v>
      </c>
      <c r="L446" s="408">
        <v>0</v>
      </c>
      <c r="M446" s="408">
        <v>0</v>
      </c>
      <c r="N446" s="408">
        <v>608.33900000000006</v>
      </c>
      <c r="O446" s="408">
        <v>608.33900000000006</v>
      </c>
      <c r="P446" s="408">
        <v>608.33900000000006</v>
      </c>
      <c r="Q446" s="408">
        <v>608.33900000000006</v>
      </c>
      <c r="R446" s="408"/>
      <c r="S446" s="408">
        <v>70.33</v>
      </c>
      <c r="T446" s="408">
        <v>173.82</v>
      </c>
      <c r="U446" s="408"/>
      <c r="V446" s="408">
        <v>148525.96685000003</v>
      </c>
      <c r="W446" s="408">
        <v>148525.96685000003</v>
      </c>
      <c r="X446" s="408">
        <v>160802.24787000002</v>
      </c>
      <c r="Y446" s="408">
        <v>0</v>
      </c>
      <c r="Z446" s="408">
        <v>32363.650926750983</v>
      </c>
      <c r="AA446" s="408">
        <v>0</v>
      </c>
      <c r="AB446" s="408">
        <v>0</v>
      </c>
      <c r="AC446" s="408">
        <v>0</v>
      </c>
      <c r="AD446" s="408">
        <v>0</v>
      </c>
      <c r="AE446" s="408">
        <v>0</v>
      </c>
      <c r="AF446" s="408">
        <v>97895.21101314346</v>
      </c>
      <c r="AG446" s="408">
        <v>4925.0306567444823</v>
      </c>
      <c r="AH446" s="408">
        <v>0</v>
      </c>
      <c r="AI446" s="408">
        <v>0</v>
      </c>
      <c r="AJ446" s="408">
        <v>0</v>
      </c>
      <c r="AK446" s="408">
        <v>0</v>
      </c>
      <c r="AL446" s="408">
        <v>5749.7140251994315</v>
      </c>
      <c r="AM446" s="408"/>
      <c r="AN446" s="408">
        <v>756.0015304283512</v>
      </c>
      <c r="AO446" s="408">
        <v>0</v>
      </c>
      <c r="AP446" s="408">
        <v>0</v>
      </c>
      <c r="AQ446" s="408">
        <v>0</v>
      </c>
      <c r="AR446" s="408">
        <v>0</v>
      </c>
      <c r="AS446" s="408">
        <v>0</v>
      </c>
      <c r="AT446" s="408">
        <v>0</v>
      </c>
      <c r="AU446" s="408">
        <v>0</v>
      </c>
      <c r="AV446" s="408">
        <v>0</v>
      </c>
      <c r="AW446" s="408">
        <v>0</v>
      </c>
      <c r="AX446" s="408">
        <v>0</v>
      </c>
      <c r="AY446" s="408">
        <v>0</v>
      </c>
      <c r="AZ446" s="408">
        <v>0</v>
      </c>
      <c r="BA446" s="408"/>
      <c r="BB446" s="408">
        <v>0</v>
      </c>
      <c r="BC446" s="408">
        <v>0</v>
      </c>
      <c r="BD446" s="408">
        <v>0</v>
      </c>
      <c r="BE446" s="408">
        <v>113.51217905415044</v>
      </c>
      <c r="BF446" s="408">
        <v>2923.4876375228273</v>
      </c>
      <c r="BG446" s="408">
        <v>3801.0418030991364</v>
      </c>
      <c r="BH446" s="408">
        <v>0</v>
      </c>
      <c r="BI446" s="408">
        <v>0</v>
      </c>
      <c r="BJ446" s="408">
        <v>0</v>
      </c>
      <c r="BK446" s="408">
        <v>0</v>
      </c>
      <c r="BL446" s="408">
        <v>0</v>
      </c>
      <c r="BM446" s="408"/>
      <c r="BN446" s="408"/>
      <c r="BO446" s="408"/>
      <c r="BP446" s="408"/>
      <c r="BQ446" s="408"/>
      <c r="BR446" s="408"/>
      <c r="BS446" s="408"/>
      <c r="BT446" s="408"/>
      <c r="BU446" s="408"/>
      <c r="BV446" s="408">
        <v>104733.25263281958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160802.5122</v>
      </c>
      <c r="CJ446" s="408">
        <v>12276.515349999972</v>
      </c>
      <c r="CK446" s="408"/>
      <c r="CL446" s="408"/>
      <c r="CM446" s="408"/>
      <c r="CN446" s="408"/>
      <c r="CO446" s="408">
        <v>-614.42239000000313</v>
      </c>
      <c r="CP446" s="408">
        <v>12890.70341</v>
      </c>
      <c r="CQ446" s="408">
        <v>29</v>
      </c>
      <c r="CR446" s="408">
        <v>12270.875541299407</v>
      </c>
      <c r="CS446" s="408">
        <v>0</v>
      </c>
      <c r="CT446" s="408">
        <v>0</v>
      </c>
      <c r="CU446" s="408">
        <v>0</v>
      </c>
      <c r="CV446" s="408">
        <v>0</v>
      </c>
      <c r="CW446" s="408">
        <v>0</v>
      </c>
      <c r="CX446" s="408">
        <v>0</v>
      </c>
      <c r="CY446" s="408">
        <v>0</v>
      </c>
      <c r="CZ446" s="408">
        <v>0</v>
      </c>
      <c r="DA446" s="408">
        <v>0</v>
      </c>
      <c r="DB446" s="408">
        <v>0</v>
      </c>
      <c r="DC446" s="408">
        <v>12565.932276531486</v>
      </c>
      <c r="DD446" s="408">
        <v>375.26194881438323</v>
      </c>
      <c r="DE446" s="408">
        <v>14.570542724142257</v>
      </c>
      <c r="DF446" s="408">
        <v>0</v>
      </c>
      <c r="DG446" s="408">
        <v>487.90572474065402</v>
      </c>
      <c r="DH446" s="408">
        <v>0</v>
      </c>
      <c r="DI446" s="408">
        <v>-945.84405883073123</v>
      </c>
      <c r="DJ446" s="408"/>
      <c r="DK446" s="408">
        <v>0</v>
      </c>
      <c r="DL446" s="408">
        <v>0</v>
      </c>
      <c r="DM446" s="408">
        <v>-54.739908175240089</v>
      </c>
      <c r="DN446" s="408">
        <v>0</v>
      </c>
      <c r="DO446" s="408">
        <v>-148.91560727137585</v>
      </c>
      <c r="DP446" s="408">
        <v>-23.295377233871363</v>
      </c>
      <c r="DQ446" s="408">
        <v>0</v>
      </c>
      <c r="DR446" s="408">
        <v>0</v>
      </c>
      <c r="DS446" s="408"/>
      <c r="DT446" s="408"/>
      <c r="DU446" s="408"/>
      <c r="DV446" s="408">
        <v>0</v>
      </c>
      <c r="DW446" s="408">
        <v>0</v>
      </c>
      <c r="DX446" s="408">
        <v>0</v>
      </c>
      <c r="DY446" s="408">
        <v>-614.422390000007</v>
      </c>
      <c r="DZ446" s="408">
        <v>12890.703410000002</v>
      </c>
      <c r="EA446" s="408">
        <v>0</v>
      </c>
      <c r="EB446" s="408">
        <v>0</v>
      </c>
      <c r="EC446" s="408">
        <v>0</v>
      </c>
      <c r="ED446" s="408">
        <v>0</v>
      </c>
      <c r="EE446" s="408">
        <v>0</v>
      </c>
      <c r="EF446" s="408">
        <v>0</v>
      </c>
      <c r="EG446" s="408">
        <v>0</v>
      </c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>
        <v>0</v>
      </c>
      <c r="EN446" s="408">
        <v>0</v>
      </c>
      <c r="EO446" s="408">
        <v>0</v>
      </c>
      <c r="EP446" s="408">
        <v>0</v>
      </c>
      <c r="EQ446" s="408">
        <v>0</v>
      </c>
      <c r="ER446" s="408">
        <v>0</v>
      </c>
      <c r="ES446" s="408">
        <v>0</v>
      </c>
      <c r="ET446" s="408">
        <v>0</v>
      </c>
      <c r="EU446" s="408">
        <v>0</v>
      </c>
      <c r="EV446" s="408">
        <v>239</v>
      </c>
      <c r="EW446" s="408">
        <v>0</v>
      </c>
      <c r="EX446" s="408">
        <v>0</v>
      </c>
      <c r="EY446" s="408">
        <v>0</v>
      </c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451</v>
      </c>
      <c r="B447" s="408" t="s">
        <v>2236</v>
      </c>
      <c r="C447" s="408" t="s">
        <v>2241</v>
      </c>
      <c r="D447" s="408" t="s">
        <v>596</v>
      </c>
      <c r="E447" s="408" t="s">
        <v>968</v>
      </c>
      <c r="F447" s="408" t="s">
        <v>1320</v>
      </c>
      <c r="G447" s="408" t="s">
        <v>1320</v>
      </c>
      <c r="H447" s="408" t="s">
        <v>1320</v>
      </c>
      <c r="I447" s="408" t="s">
        <v>2242</v>
      </c>
      <c r="J447" s="408" t="s">
        <v>2234</v>
      </c>
      <c r="K447" s="827">
        <v>44593</v>
      </c>
      <c r="L447" s="408">
        <v>0</v>
      </c>
      <c r="M447" s="408">
        <v>0</v>
      </c>
      <c r="N447" s="408">
        <v>10.303000000000001</v>
      </c>
      <c r="O447" s="408">
        <v>10.303000000000001</v>
      </c>
      <c r="P447" s="408">
        <v>10.303000000000001</v>
      </c>
      <c r="Q447" s="408">
        <v>10.303000000000001</v>
      </c>
      <c r="R447" s="408"/>
      <c r="S447" s="408">
        <v>70.33</v>
      </c>
      <c r="T447" s="408">
        <v>173.82</v>
      </c>
      <c r="U447" s="408"/>
      <c r="V447" s="408">
        <v>2515.4774500000003</v>
      </c>
      <c r="W447" s="408">
        <v>2515.4774500000003</v>
      </c>
      <c r="X447" s="408">
        <v>2723.3919900000001</v>
      </c>
      <c r="Y447" s="408">
        <v>0</v>
      </c>
      <c r="Z447" s="408">
        <v>548.11987312717974</v>
      </c>
      <c r="AA447" s="408">
        <v>0</v>
      </c>
      <c r="AB447" s="408">
        <v>0</v>
      </c>
      <c r="AC447" s="408">
        <v>0</v>
      </c>
      <c r="AD447" s="408">
        <v>0</v>
      </c>
      <c r="AE447" s="408">
        <v>0</v>
      </c>
      <c r="AF447" s="408">
        <v>1657.9807624834461</v>
      </c>
      <c r="AG447" s="408">
        <v>83.411701134463513</v>
      </c>
      <c r="AH447" s="408">
        <v>0</v>
      </c>
      <c r="AI447" s="408">
        <v>0</v>
      </c>
      <c r="AJ447" s="408">
        <v>0</v>
      </c>
      <c r="AK447" s="408">
        <v>0</v>
      </c>
      <c r="AL447" s="408">
        <v>97.378770063451029</v>
      </c>
      <c r="AM447" s="408"/>
      <c r="AN447" s="408">
        <v>12.803854048488265</v>
      </c>
      <c r="AO447" s="408">
        <v>0</v>
      </c>
      <c r="AP447" s="408">
        <v>0</v>
      </c>
      <c r="AQ447" s="408">
        <v>0</v>
      </c>
      <c r="AR447" s="408">
        <v>0</v>
      </c>
      <c r="AS447" s="408">
        <v>0</v>
      </c>
      <c r="AT447" s="408">
        <v>0</v>
      </c>
      <c r="AU447" s="408">
        <v>0</v>
      </c>
      <c r="AV447" s="408">
        <v>0</v>
      </c>
      <c r="AW447" s="408">
        <v>0</v>
      </c>
      <c r="AX447" s="408">
        <v>0</v>
      </c>
      <c r="AY447" s="408">
        <v>0</v>
      </c>
      <c r="AZ447" s="408">
        <v>0</v>
      </c>
      <c r="BA447" s="408"/>
      <c r="BB447" s="408">
        <v>0</v>
      </c>
      <c r="BC447" s="408">
        <v>0</v>
      </c>
      <c r="BD447" s="408">
        <v>0</v>
      </c>
      <c r="BE447" s="408">
        <v>1.9224741152464528</v>
      </c>
      <c r="BF447" s="408">
        <v>49.51300694086305</v>
      </c>
      <c r="BG447" s="408">
        <v>64.375510525102627</v>
      </c>
      <c r="BH447" s="408">
        <v>0</v>
      </c>
      <c r="BI447" s="408">
        <v>0</v>
      </c>
      <c r="BJ447" s="408">
        <v>0</v>
      </c>
      <c r="BK447" s="408">
        <v>0</v>
      </c>
      <c r="BL447" s="408">
        <v>0</v>
      </c>
      <c r="BM447" s="408"/>
      <c r="BN447" s="408"/>
      <c r="BO447" s="408"/>
      <c r="BP447" s="408"/>
      <c r="BQ447" s="408"/>
      <c r="BR447" s="408"/>
      <c r="BS447" s="408"/>
      <c r="BT447" s="408"/>
      <c r="BU447" s="408"/>
      <c r="BV447" s="408">
        <v>1773.7917540646581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2722.5990000000002</v>
      </c>
      <c r="CJ447" s="408">
        <v>207.09154999999964</v>
      </c>
      <c r="CK447" s="408"/>
      <c r="CL447" s="408"/>
      <c r="CM447" s="408"/>
      <c r="CN447" s="408"/>
      <c r="CO447" s="408">
        <v>-10.406030000000053</v>
      </c>
      <c r="CP447" s="408">
        <v>218.32057</v>
      </c>
      <c r="CQ447" s="408">
        <v>29</v>
      </c>
      <c r="CR447" s="408">
        <v>207.82299129598505</v>
      </c>
      <c r="CS447" s="408">
        <v>0</v>
      </c>
      <c r="CT447" s="408">
        <v>0</v>
      </c>
      <c r="CU447" s="408">
        <v>0</v>
      </c>
      <c r="CV447" s="408">
        <v>0</v>
      </c>
      <c r="CW447" s="408">
        <v>0</v>
      </c>
      <c r="CX447" s="408">
        <v>0</v>
      </c>
      <c r="CY447" s="408">
        <v>0</v>
      </c>
      <c r="CZ447" s="408">
        <v>0</v>
      </c>
      <c r="DA447" s="408">
        <v>0</v>
      </c>
      <c r="DB447" s="408">
        <v>0</v>
      </c>
      <c r="DC447" s="408">
        <v>212.82015495489168</v>
      </c>
      <c r="DD447" s="408">
        <v>6.3555416612030342</v>
      </c>
      <c r="DE447" s="408">
        <v>0.24677079997639084</v>
      </c>
      <c r="DF447" s="408">
        <v>0</v>
      </c>
      <c r="DG447" s="408">
        <v>8.2633082574073882</v>
      </c>
      <c r="DH447" s="408">
        <v>0</v>
      </c>
      <c r="DI447" s="408">
        <v>-16.01908037810017</v>
      </c>
      <c r="DJ447" s="408"/>
      <c r="DK447" s="408">
        <v>0</v>
      </c>
      <c r="DL447" s="408">
        <v>0</v>
      </c>
      <c r="DM447" s="408">
        <v>-0.92709044452107037</v>
      </c>
      <c r="DN447" s="408">
        <v>0</v>
      </c>
      <c r="DO447" s="408">
        <v>-2.5220765095069879</v>
      </c>
      <c r="DP447" s="408">
        <v>-0.39453704536545864</v>
      </c>
      <c r="DQ447" s="408">
        <v>0</v>
      </c>
      <c r="DR447" s="408">
        <v>0</v>
      </c>
      <c r="DS447" s="408"/>
      <c r="DT447" s="408"/>
      <c r="DU447" s="408"/>
      <c r="DV447" s="408">
        <v>0</v>
      </c>
      <c r="DW447" s="408">
        <v>0</v>
      </c>
      <c r="DX447" s="408">
        <v>0</v>
      </c>
      <c r="DY447" s="408">
        <v>-10.406030000000101</v>
      </c>
      <c r="DZ447" s="408">
        <v>218.32056999999986</v>
      </c>
      <c r="EA447" s="408">
        <v>0</v>
      </c>
      <c r="EB447" s="408">
        <v>0</v>
      </c>
      <c r="EC447" s="408">
        <v>0</v>
      </c>
      <c r="ED447" s="408">
        <v>0</v>
      </c>
      <c r="EE447" s="408">
        <v>0</v>
      </c>
      <c r="EF447" s="408">
        <v>0</v>
      </c>
      <c r="EG447" s="408">
        <v>0</v>
      </c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>
        <v>0</v>
      </c>
      <c r="EN447" s="408">
        <v>0</v>
      </c>
      <c r="EO447" s="408">
        <v>0</v>
      </c>
      <c r="EP447" s="408">
        <v>0</v>
      </c>
      <c r="EQ447" s="408">
        <v>0</v>
      </c>
      <c r="ER447" s="408">
        <v>0</v>
      </c>
      <c r="ES447" s="408">
        <v>0</v>
      </c>
      <c r="ET447" s="408">
        <v>0</v>
      </c>
      <c r="EU447" s="408">
        <v>0</v>
      </c>
      <c r="EV447" s="408">
        <v>239</v>
      </c>
      <c r="EW447" s="408">
        <v>0</v>
      </c>
      <c r="EX447" s="408">
        <v>0</v>
      </c>
      <c r="EY447" s="408">
        <v>0</v>
      </c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452</v>
      </c>
      <c r="B448" s="408" t="s">
        <v>1034</v>
      </c>
      <c r="C448" s="408" t="s">
        <v>2241</v>
      </c>
      <c r="D448" s="408" t="s">
        <v>596</v>
      </c>
      <c r="E448" s="408" t="s">
        <v>968</v>
      </c>
      <c r="F448" s="408" t="s">
        <v>1320</v>
      </c>
      <c r="G448" s="408" t="s">
        <v>1320</v>
      </c>
      <c r="H448" s="408" t="s">
        <v>1320</v>
      </c>
      <c r="I448" s="408" t="s">
        <v>1320</v>
      </c>
      <c r="J448" s="408" t="s">
        <v>2234</v>
      </c>
      <c r="K448" s="827">
        <v>44593</v>
      </c>
      <c r="L448" s="408">
        <v>4407</v>
      </c>
      <c r="M448" s="408">
        <v>4407</v>
      </c>
      <c r="N448" s="408">
        <v>0</v>
      </c>
      <c r="O448" s="408">
        <v>0</v>
      </c>
      <c r="P448" s="408">
        <v>0</v>
      </c>
      <c r="Q448" s="408">
        <v>0</v>
      </c>
      <c r="R448" s="408">
        <v>59.12</v>
      </c>
      <c r="S448" s="408"/>
      <c r="T448" s="408"/>
      <c r="U448" s="408">
        <v>260541.84</v>
      </c>
      <c r="V448" s="408"/>
      <c r="W448" s="408">
        <v>260541.84</v>
      </c>
      <c r="X448" s="408">
        <v>149970.21</v>
      </c>
      <c r="Y448" s="408">
        <v>0</v>
      </c>
      <c r="Z448" s="408">
        <v>0</v>
      </c>
      <c r="AA448" s="408">
        <v>0</v>
      </c>
      <c r="AB448" s="408">
        <v>0</v>
      </c>
      <c r="AC448" s="408">
        <v>2521.0700212115366</v>
      </c>
      <c r="AD448" s="408">
        <v>22550.718821702903</v>
      </c>
      <c r="AE448" s="408">
        <v>212249.04269505024</v>
      </c>
      <c r="AF448" s="408"/>
      <c r="AG448" s="408"/>
      <c r="AH448" s="408"/>
      <c r="AI448" s="408">
        <v>0</v>
      </c>
      <c r="AJ448" s="408">
        <v>0</v>
      </c>
      <c r="AK448" s="408">
        <v>0</v>
      </c>
      <c r="AL448" s="408">
        <v>0</v>
      </c>
      <c r="AM448" s="408"/>
      <c r="AN448" s="408">
        <v>0</v>
      </c>
      <c r="AO448" s="408">
        <v>5323.9738138460943</v>
      </c>
      <c r="AP448" s="408">
        <v>17896.773516735877</v>
      </c>
      <c r="AQ448" s="408">
        <v>0</v>
      </c>
      <c r="AR448" s="408">
        <v>0</v>
      </c>
      <c r="AS448" s="408"/>
      <c r="AT448" s="408"/>
      <c r="AU448" s="408">
        <v>0</v>
      </c>
      <c r="AV448" s="408">
        <v>0</v>
      </c>
      <c r="AW448" s="408">
        <v>0</v>
      </c>
      <c r="AX448" s="408"/>
      <c r="AY448" s="408"/>
      <c r="AZ448" s="408">
        <v>0</v>
      </c>
      <c r="BA448" s="408"/>
      <c r="BB448" s="408">
        <v>0</v>
      </c>
      <c r="BC448" s="408">
        <v>0</v>
      </c>
      <c r="BD448" s="408">
        <v>0</v>
      </c>
      <c r="BE448" s="408">
        <v>0</v>
      </c>
      <c r="BF448" s="408"/>
      <c r="BG448" s="408">
        <v>0</v>
      </c>
      <c r="BH448" s="408">
        <v>0</v>
      </c>
      <c r="BI448" s="408">
        <v>1585.59</v>
      </c>
      <c r="BJ448" s="408">
        <v>7222.77</v>
      </c>
      <c r="BK448" s="408">
        <v>92463.24</v>
      </c>
      <c r="BL448" s="408">
        <v>25</v>
      </c>
      <c r="BM448" s="408"/>
      <c r="BN448" s="408"/>
      <c r="BO448" s="408"/>
      <c r="BP448" s="408"/>
      <c r="BQ448" s="408"/>
      <c r="BR448" s="408"/>
      <c r="BS448" s="408"/>
      <c r="BT448" s="408"/>
      <c r="BU448" s="408"/>
      <c r="BV448" s="408">
        <v>0</v>
      </c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>
        <v>149970.21</v>
      </c>
      <c r="CJ448" s="408">
        <v>-110571.66000000003</v>
      </c>
      <c r="CK448" s="408"/>
      <c r="CL448" s="408"/>
      <c r="CM448" s="408"/>
      <c r="CN448" s="408"/>
      <c r="CO448" s="408">
        <v>-110571.62999999999</v>
      </c>
      <c r="CP448" s="408">
        <v>0</v>
      </c>
      <c r="CQ448" s="408">
        <v>29</v>
      </c>
      <c r="CR448" s="408">
        <v>1822.1956914405746</v>
      </c>
      <c r="CS448" s="408">
        <v>516.92422195977088</v>
      </c>
      <c r="CT448" s="408">
        <v>1737.6636417085829</v>
      </c>
      <c r="CU448" s="408">
        <v>0</v>
      </c>
      <c r="CV448" s="408">
        <v>0</v>
      </c>
      <c r="CW448" s="408"/>
      <c r="CX448" s="408"/>
      <c r="CY448" s="408"/>
      <c r="CZ448" s="408">
        <v>-432.39217222778461</v>
      </c>
      <c r="DA448" s="408">
        <v>0</v>
      </c>
      <c r="DB448" s="408">
        <v>0</v>
      </c>
      <c r="DC448" s="408"/>
      <c r="DD448" s="408"/>
      <c r="DE448" s="408">
        <v>0</v>
      </c>
      <c r="DF448" s="408">
        <v>0</v>
      </c>
      <c r="DG448" s="408">
        <v>0</v>
      </c>
      <c r="DH448" s="408">
        <v>0</v>
      </c>
      <c r="DI448" s="408">
        <v>0</v>
      </c>
      <c r="DJ448" s="408"/>
      <c r="DK448" s="408">
        <v>0</v>
      </c>
      <c r="DL448" s="408">
        <v>0</v>
      </c>
      <c r="DM448" s="408"/>
      <c r="DN448" s="408">
        <v>0</v>
      </c>
      <c r="DO448" s="408">
        <v>0</v>
      </c>
      <c r="DP448" s="408">
        <v>0</v>
      </c>
      <c r="DQ448" s="408">
        <v>0</v>
      </c>
      <c r="DR448" s="408">
        <v>0</v>
      </c>
      <c r="DS448" s="408"/>
      <c r="DT448" s="408"/>
      <c r="DU448" s="408">
        <v>212249.04269505024</v>
      </c>
      <c r="DV448" s="408"/>
      <c r="DW448" s="408">
        <v>0</v>
      </c>
      <c r="DX448" s="408">
        <v>0</v>
      </c>
      <c r="DY448" s="408">
        <v>-110571.63</v>
      </c>
      <c r="DZ448" s="408"/>
      <c r="EA448" s="408">
        <v>0</v>
      </c>
      <c r="EB448" s="408"/>
      <c r="EC448" s="408">
        <v>-112374.61562345011</v>
      </c>
      <c r="ED448" s="408"/>
      <c r="EE448" s="408">
        <v>0</v>
      </c>
      <c r="EF448" s="408">
        <v>0</v>
      </c>
      <c r="EG448" s="408"/>
      <c r="EH448" s="408">
        <v>0</v>
      </c>
      <c r="EI448" s="408">
        <v>0</v>
      </c>
      <c r="EJ448" s="408">
        <v>0</v>
      </c>
      <c r="EK448" s="408">
        <v>0</v>
      </c>
      <c r="EL448" s="408">
        <v>0</v>
      </c>
      <c r="EM448" s="408"/>
      <c r="EN448" s="408"/>
      <c r="EO448" s="408">
        <v>0</v>
      </c>
      <c r="EP448" s="408">
        <v>0</v>
      </c>
      <c r="EQ448" s="408"/>
      <c r="ER448" s="408">
        <v>0</v>
      </c>
      <c r="ES448" s="408"/>
      <c r="ET448" s="408">
        <v>0</v>
      </c>
      <c r="EU448" s="408"/>
      <c r="EV448" s="408">
        <v>239</v>
      </c>
      <c r="EW448" s="408"/>
      <c r="EX448" s="408"/>
      <c r="EY448" s="408"/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453</v>
      </c>
      <c r="B449" s="408" t="s">
        <v>2236</v>
      </c>
      <c r="C449" s="408" t="s">
        <v>2241</v>
      </c>
      <c r="D449" s="408" t="s">
        <v>596</v>
      </c>
      <c r="E449" s="408" t="s">
        <v>968</v>
      </c>
      <c r="F449" s="408" t="s">
        <v>1320</v>
      </c>
      <c r="G449" s="408" t="s">
        <v>1320</v>
      </c>
      <c r="H449" s="408" t="s">
        <v>1320</v>
      </c>
      <c r="I449" s="408" t="s">
        <v>1320</v>
      </c>
      <c r="J449" s="408" t="s">
        <v>2234</v>
      </c>
      <c r="K449" s="827">
        <v>44593</v>
      </c>
      <c r="L449" s="408">
        <v>115</v>
      </c>
      <c r="M449" s="408">
        <v>115</v>
      </c>
      <c r="N449" s="408">
        <v>0</v>
      </c>
      <c r="O449" s="408">
        <v>0</v>
      </c>
      <c r="P449" s="408">
        <v>0</v>
      </c>
      <c r="Q449" s="408">
        <v>0</v>
      </c>
      <c r="R449" s="408">
        <v>59.12</v>
      </c>
      <c r="S449" s="408"/>
      <c r="T449" s="408"/>
      <c r="U449" s="408">
        <v>6798.7999999999993</v>
      </c>
      <c r="V449" s="408"/>
      <c r="W449" s="408">
        <v>6798.7999999999993</v>
      </c>
      <c r="X449" s="408">
        <v>3913.4500000000003</v>
      </c>
      <c r="Y449" s="408">
        <v>0</v>
      </c>
      <c r="Z449" s="408">
        <v>0</v>
      </c>
      <c r="AA449" s="408">
        <v>0</v>
      </c>
      <c r="AB449" s="408">
        <v>0</v>
      </c>
      <c r="AC449" s="408">
        <v>65.786941783373436</v>
      </c>
      <c r="AD449" s="408">
        <v>588.45760483227446</v>
      </c>
      <c r="AE449" s="408">
        <v>5538.6067415318312</v>
      </c>
      <c r="AF449" s="408"/>
      <c r="AG449" s="408"/>
      <c r="AH449" s="408"/>
      <c r="AI449" s="408">
        <v>0</v>
      </c>
      <c r="AJ449" s="408">
        <v>0</v>
      </c>
      <c r="AK449" s="408">
        <v>0</v>
      </c>
      <c r="AL449" s="408">
        <v>0</v>
      </c>
      <c r="AM449" s="408"/>
      <c r="AN449" s="408">
        <v>0</v>
      </c>
      <c r="AO449" s="408">
        <v>138.92829330435691</v>
      </c>
      <c r="AP449" s="408">
        <v>467.01360436229311</v>
      </c>
      <c r="AQ449" s="408">
        <v>0</v>
      </c>
      <c r="AR449" s="408">
        <v>0</v>
      </c>
      <c r="AS449" s="408"/>
      <c r="AT449" s="408"/>
      <c r="AU449" s="408">
        <v>0</v>
      </c>
      <c r="AV449" s="408">
        <v>0</v>
      </c>
      <c r="AW449" s="408">
        <v>0</v>
      </c>
      <c r="AX449" s="408"/>
      <c r="AY449" s="408"/>
      <c r="AZ449" s="408">
        <v>0</v>
      </c>
      <c r="BA449" s="408"/>
      <c r="BB449" s="408">
        <v>0</v>
      </c>
      <c r="BC449" s="408">
        <v>0</v>
      </c>
      <c r="BD449" s="408">
        <v>0</v>
      </c>
      <c r="BE449" s="408">
        <v>0</v>
      </c>
      <c r="BF449" s="408"/>
      <c r="BG449" s="408">
        <v>0</v>
      </c>
      <c r="BH449" s="408">
        <v>0</v>
      </c>
      <c r="BI449" s="408">
        <v>30.29</v>
      </c>
      <c r="BJ449" s="408">
        <v>137.97999999999999</v>
      </c>
      <c r="BK449" s="408">
        <v>1692.21</v>
      </c>
      <c r="BL449" s="408">
        <v>1</v>
      </c>
      <c r="BM449" s="408"/>
      <c r="BN449" s="408"/>
      <c r="BO449" s="408"/>
      <c r="BP449" s="408"/>
      <c r="BQ449" s="408"/>
      <c r="BR449" s="408"/>
      <c r="BS449" s="408"/>
      <c r="BT449" s="408"/>
      <c r="BU449" s="408"/>
      <c r="BV449" s="408">
        <v>0</v>
      </c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>
        <v>3913.4500000000003</v>
      </c>
      <c r="CJ449" s="408">
        <v>-2885.3799999999997</v>
      </c>
      <c r="CK449" s="408"/>
      <c r="CL449" s="408"/>
      <c r="CM449" s="408"/>
      <c r="CN449" s="408"/>
      <c r="CO449" s="408">
        <v>-2885.3499999999995</v>
      </c>
      <c r="CP449" s="408">
        <v>0</v>
      </c>
      <c r="CQ449" s="408">
        <v>29</v>
      </c>
      <c r="CR449" s="408">
        <v>47.54992160555139</v>
      </c>
      <c r="CS449" s="408">
        <v>13.489059570087022</v>
      </c>
      <c r="CT449" s="408">
        <v>45.344070523368941</v>
      </c>
      <c r="CU449" s="408">
        <v>0</v>
      </c>
      <c r="CV449" s="408">
        <v>0</v>
      </c>
      <c r="CW449" s="408"/>
      <c r="CX449" s="408"/>
      <c r="CY449" s="408"/>
      <c r="CZ449" s="408">
        <v>-11.283208487904403</v>
      </c>
      <c r="DA449" s="408">
        <v>0</v>
      </c>
      <c r="DB449" s="408">
        <v>0</v>
      </c>
      <c r="DC449" s="408"/>
      <c r="DD449" s="408"/>
      <c r="DE449" s="408">
        <v>0</v>
      </c>
      <c r="DF449" s="408">
        <v>0</v>
      </c>
      <c r="DG449" s="408">
        <v>0</v>
      </c>
      <c r="DH449" s="408">
        <v>0</v>
      </c>
      <c r="DI449" s="408">
        <v>0</v>
      </c>
      <c r="DJ449" s="408"/>
      <c r="DK449" s="408">
        <v>0</v>
      </c>
      <c r="DL449" s="408">
        <v>0</v>
      </c>
      <c r="DM449" s="408"/>
      <c r="DN449" s="408">
        <v>0</v>
      </c>
      <c r="DO449" s="408">
        <v>0</v>
      </c>
      <c r="DP449" s="408">
        <v>0</v>
      </c>
      <c r="DQ449" s="408">
        <v>0</v>
      </c>
      <c r="DR449" s="408">
        <v>0</v>
      </c>
      <c r="DS449" s="408"/>
      <c r="DT449" s="408"/>
      <c r="DU449" s="408">
        <v>5538.6067415318312</v>
      </c>
      <c r="DV449" s="408"/>
      <c r="DW449" s="408">
        <v>0</v>
      </c>
      <c r="DX449" s="408">
        <v>0</v>
      </c>
      <c r="DY449" s="408">
        <v>-2885.349999999999</v>
      </c>
      <c r="DZ449" s="408"/>
      <c r="EA449" s="408">
        <v>0</v>
      </c>
      <c r="EB449" s="408"/>
      <c r="EC449" s="408">
        <v>-2932.3986377800693</v>
      </c>
      <c r="ED449" s="408"/>
      <c r="EE449" s="408">
        <v>0</v>
      </c>
      <c r="EF449" s="408">
        <v>0</v>
      </c>
      <c r="EG449" s="408"/>
      <c r="EH449" s="408">
        <v>0</v>
      </c>
      <c r="EI449" s="408">
        <v>0</v>
      </c>
      <c r="EJ449" s="408">
        <v>0</v>
      </c>
      <c r="EK449" s="408">
        <v>0</v>
      </c>
      <c r="EL449" s="408">
        <v>0</v>
      </c>
      <c r="EM449" s="408"/>
      <c r="EN449" s="408"/>
      <c r="EO449" s="408">
        <v>0</v>
      </c>
      <c r="EP449" s="408">
        <v>0</v>
      </c>
      <c r="EQ449" s="408"/>
      <c r="ER449" s="408">
        <v>0</v>
      </c>
      <c r="ES449" s="408"/>
      <c r="ET449" s="408">
        <v>0</v>
      </c>
      <c r="EU449" s="408"/>
      <c r="EV449" s="408">
        <v>239</v>
      </c>
      <c r="EW449" s="408"/>
      <c r="EX449" s="408"/>
      <c r="EY449" s="408"/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454</v>
      </c>
      <c r="B450" s="408" t="s">
        <v>1034</v>
      </c>
      <c r="C450" s="408" t="s">
        <v>2233</v>
      </c>
      <c r="D450" s="408" t="s">
        <v>1956</v>
      </c>
      <c r="E450" s="408" t="s">
        <v>996</v>
      </c>
      <c r="F450" s="408" t="s">
        <v>1320</v>
      </c>
      <c r="G450" s="408" t="s">
        <v>1320</v>
      </c>
      <c r="H450" s="408" t="s">
        <v>1320</v>
      </c>
      <c r="I450" s="408" t="s">
        <v>1320</v>
      </c>
      <c r="J450" s="408" t="s">
        <v>2234</v>
      </c>
      <c r="K450" s="827">
        <v>44593</v>
      </c>
      <c r="L450" s="408">
        <v>0</v>
      </c>
      <c r="M450" s="408">
        <v>0</v>
      </c>
      <c r="N450" s="408">
        <v>411.83800000000002</v>
      </c>
      <c r="O450" s="408">
        <v>411.83800000000002</v>
      </c>
      <c r="P450" s="408">
        <v>411.83800000000002</v>
      </c>
      <c r="Q450" s="408">
        <v>411.83800000000002</v>
      </c>
      <c r="R450" s="408"/>
      <c r="S450" s="408">
        <v>516.83000000000004</v>
      </c>
      <c r="T450" s="408">
        <v>173.82</v>
      </c>
      <c r="U450" s="408"/>
      <c r="V450" s="408">
        <v>284435.91470000002</v>
      </c>
      <c r="W450" s="408">
        <v>284435.91470000002</v>
      </c>
      <c r="X450" s="408">
        <v>214752.92510000002</v>
      </c>
      <c r="Y450" s="408">
        <v>0</v>
      </c>
      <c r="Z450" s="408">
        <v>25183.669560472965</v>
      </c>
      <c r="AA450" s="408">
        <v>0</v>
      </c>
      <c r="AB450" s="408">
        <v>0</v>
      </c>
      <c r="AC450" s="408">
        <v>1119.5585702971493</v>
      </c>
      <c r="AD450" s="408">
        <v>14178.186836024617</v>
      </c>
      <c r="AE450" s="408">
        <v>149750.801849863</v>
      </c>
      <c r="AF450" s="408">
        <v>66273.850457115157</v>
      </c>
      <c r="AG450" s="408">
        <v>3334.1850113379778</v>
      </c>
      <c r="AH450" s="408">
        <v>0</v>
      </c>
      <c r="AI450" s="408">
        <v>0</v>
      </c>
      <c r="AJ450" s="408">
        <v>0</v>
      </c>
      <c r="AK450" s="408">
        <v>0</v>
      </c>
      <c r="AL450" s="408">
        <v>3892.4854804805927</v>
      </c>
      <c r="AM450" s="408"/>
      <c r="AN450" s="408">
        <v>638.98394383814662</v>
      </c>
      <c r="AO450" s="408">
        <v>2388.0441993915815</v>
      </c>
      <c r="AP450" s="408">
        <v>7820.5218616949069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0</v>
      </c>
      <c r="BE450" s="408">
        <v>228.49291858150525</v>
      </c>
      <c r="BF450" s="408">
        <v>1979.1650735233579</v>
      </c>
      <c r="BG450" s="408">
        <v>7651.2594725726331</v>
      </c>
      <c r="BH450" s="408">
        <v>0</v>
      </c>
      <c r="BI450" s="408">
        <v>951.9</v>
      </c>
      <c r="BJ450" s="408">
        <v>4350.68</v>
      </c>
      <c r="BK450" s="408">
        <v>92840.52</v>
      </c>
      <c r="BL450" s="408">
        <v>521</v>
      </c>
      <c r="BM450" s="408"/>
      <c r="BN450" s="408"/>
      <c r="BO450" s="408"/>
      <c r="BP450" s="408"/>
      <c r="BQ450" s="408"/>
      <c r="BR450" s="408"/>
      <c r="BS450" s="408"/>
      <c r="BT450" s="408"/>
      <c r="BU450" s="408"/>
      <c r="BV450" s="408">
        <v>76132.767921792649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214753.96799999999</v>
      </c>
      <c r="CJ450" s="408">
        <v>-69681.976700000057</v>
      </c>
      <c r="CK450" s="408"/>
      <c r="CL450" s="408"/>
      <c r="CM450" s="408"/>
      <c r="CN450" s="408"/>
      <c r="CO450" s="408">
        <v>-78409.836820000026</v>
      </c>
      <c r="CP450" s="408">
        <v>8726.8472199999997</v>
      </c>
      <c r="CQ450" s="408">
        <v>29</v>
      </c>
      <c r="CR450" s="408">
        <v>9598.2466013710655</v>
      </c>
      <c r="CS450" s="408">
        <v>231.86400477133293</v>
      </c>
      <c r="CT450" s="408">
        <v>759.323264919557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-271.85550282236363</v>
      </c>
      <c r="DA450" s="408">
        <v>0</v>
      </c>
      <c r="DB450" s="408">
        <v>0</v>
      </c>
      <c r="DC450" s="408">
        <v>8506.9811682337895</v>
      </c>
      <c r="DD450" s="408">
        <v>254.04771102266659</v>
      </c>
      <c r="DE450" s="408">
        <v>29.329591415627021</v>
      </c>
      <c r="DF450" s="408">
        <v>0</v>
      </c>
      <c r="DG450" s="408">
        <v>982.12371542470555</v>
      </c>
      <c r="DH450" s="408">
        <v>0</v>
      </c>
      <c r="DI450" s="408">
        <v>-736.00547377182011</v>
      </c>
      <c r="DJ450" s="408"/>
      <c r="DK450" s="408">
        <v>0</v>
      </c>
      <c r="DL450" s="408">
        <v>0</v>
      </c>
      <c r="DM450" s="408">
        <v>-37.05824269539653</v>
      </c>
      <c r="DN450" s="408">
        <v>0</v>
      </c>
      <c r="DO450" s="408">
        <v>-100.81402945960826</v>
      </c>
      <c r="DP450" s="408">
        <v>-19.689605667412593</v>
      </c>
      <c r="DQ450" s="408">
        <v>0</v>
      </c>
      <c r="DR450" s="408">
        <v>0</v>
      </c>
      <c r="DS450" s="408"/>
      <c r="DT450" s="408"/>
      <c r="DU450" s="408"/>
      <c r="DV450" s="408">
        <v>149750.801849863</v>
      </c>
      <c r="DW450" s="408">
        <v>0</v>
      </c>
      <c r="DX450" s="408">
        <v>0</v>
      </c>
      <c r="DY450" s="408">
        <v>-78409.836819999997</v>
      </c>
      <c r="DZ450" s="408">
        <v>8726.847219999996</v>
      </c>
      <c r="EA450" s="408">
        <v>0</v>
      </c>
      <c r="EB450" s="408">
        <v>0</v>
      </c>
      <c r="EC450" s="408">
        <v>-79285.110469778432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0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239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455</v>
      </c>
      <c r="B451" s="408" t="s">
        <v>2236</v>
      </c>
      <c r="C451" s="408" t="s">
        <v>2233</v>
      </c>
      <c r="D451" s="408" t="s">
        <v>1956</v>
      </c>
      <c r="E451" s="408" t="s">
        <v>996</v>
      </c>
      <c r="F451" s="408" t="s">
        <v>1320</v>
      </c>
      <c r="G451" s="408" t="s">
        <v>1320</v>
      </c>
      <c r="H451" s="408" t="s">
        <v>1320</v>
      </c>
      <c r="I451" s="408" t="s">
        <v>1320</v>
      </c>
      <c r="J451" s="408" t="s">
        <v>2234</v>
      </c>
      <c r="K451" s="827">
        <v>44593</v>
      </c>
      <c r="L451" s="408">
        <v>0</v>
      </c>
      <c r="M451" s="408">
        <v>0</v>
      </c>
      <c r="N451" s="408">
        <v>34.106999999999999</v>
      </c>
      <c r="O451" s="408">
        <v>34.106999999999999</v>
      </c>
      <c r="P451" s="408">
        <v>34.106999999999999</v>
      </c>
      <c r="Q451" s="408">
        <v>34.106999999999999</v>
      </c>
      <c r="R451" s="408"/>
      <c r="S451" s="408">
        <v>516.83000000000004</v>
      </c>
      <c r="T451" s="408">
        <v>173.82</v>
      </c>
      <c r="U451" s="408"/>
      <c r="V451" s="408">
        <v>23555.99955</v>
      </c>
      <c r="W451" s="408">
        <v>23555.99955</v>
      </c>
      <c r="X451" s="408">
        <v>17785.095149999997</v>
      </c>
      <c r="Y451" s="408">
        <v>0</v>
      </c>
      <c r="Z451" s="408">
        <v>2085.6244875389143</v>
      </c>
      <c r="AA451" s="408">
        <v>0</v>
      </c>
      <c r="AB451" s="408">
        <v>0</v>
      </c>
      <c r="AC451" s="408">
        <v>92.717972011142407</v>
      </c>
      <c r="AD451" s="408">
        <v>1174.1884391831049</v>
      </c>
      <c r="AE451" s="408">
        <v>12401.843925750603</v>
      </c>
      <c r="AF451" s="408">
        <v>5488.57127691186</v>
      </c>
      <c r="AG451" s="408">
        <v>276.12568092721995</v>
      </c>
      <c r="AH451" s="408">
        <v>0</v>
      </c>
      <c r="AI451" s="408">
        <v>0</v>
      </c>
      <c r="AJ451" s="408">
        <v>0</v>
      </c>
      <c r="AK451" s="408">
        <v>0</v>
      </c>
      <c r="AL451" s="408">
        <v>322.36219650141942</v>
      </c>
      <c r="AM451" s="408"/>
      <c r="AN451" s="408">
        <v>52.918442136198372</v>
      </c>
      <c r="AO451" s="408">
        <v>197.76956839497245</v>
      </c>
      <c r="AP451" s="408">
        <v>647.66859575082469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</v>
      </c>
      <c r="BE451" s="408">
        <v>18.922993929796181</v>
      </c>
      <c r="BF451" s="408">
        <v>163.90761212579017</v>
      </c>
      <c r="BG451" s="408">
        <v>633.65086959201142</v>
      </c>
      <c r="BH451" s="408">
        <v>0</v>
      </c>
      <c r="BI451" s="408">
        <v>79.5</v>
      </c>
      <c r="BJ451" s="408">
        <v>362.81</v>
      </c>
      <c r="BK451" s="408">
        <v>14542.39</v>
      </c>
      <c r="BL451" s="408">
        <v>49</v>
      </c>
      <c r="BM451" s="408"/>
      <c r="BN451" s="408"/>
      <c r="BO451" s="408"/>
      <c r="BP451" s="408"/>
      <c r="BQ451" s="408"/>
      <c r="BR451" s="408"/>
      <c r="BS451" s="408"/>
      <c r="BT451" s="408"/>
      <c r="BU451" s="408"/>
      <c r="BV451" s="408">
        <v>6305.052752559458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17786.659499999998</v>
      </c>
      <c r="CJ451" s="408">
        <v>-5769.3700499999977</v>
      </c>
      <c r="CK451" s="408"/>
      <c r="CL451" s="408"/>
      <c r="CM451" s="408"/>
      <c r="CN451" s="408"/>
      <c r="CO451" s="408">
        <v>-6493.631730000001</v>
      </c>
      <c r="CP451" s="408">
        <v>722.72732999999994</v>
      </c>
      <c r="CQ451" s="408">
        <v>29</v>
      </c>
      <c r="CR451" s="408">
        <v>794.89361553077106</v>
      </c>
      <c r="CS451" s="408">
        <v>19.202175638809081</v>
      </c>
      <c r="CT451" s="408">
        <v>62.884528859919101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-22.514133311550495</v>
      </c>
      <c r="DA451" s="408">
        <v>0</v>
      </c>
      <c r="DB451" s="408">
        <v>0</v>
      </c>
      <c r="DC451" s="408">
        <v>704.51878336858044</v>
      </c>
      <c r="DD451" s="408">
        <v>21.039353531850111</v>
      </c>
      <c r="DE451" s="408">
        <v>2.4289754088082951</v>
      </c>
      <c r="DF451" s="408">
        <v>0</v>
      </c>
      <c r="DG451" s="408">
        <v>81.336092254698201</v>
      </c>
      <c r="DH451" s="408">
        <v>0</v>
      </c>
      <c r="DI451" s="408">
        <v>-60.953429974736309</v>
      </c>
      <c r="DJ451" s="408"/>
      <c r="DK451" s="408">
        <v>0</v>
      </c>
      <c r="DL451" s="408">
        <v>0</v>
      </c>
      <c r="DM451" s="408">
        <v>-3.0690356004348587</v>
      </c>
      <c r="DN451" s="408">
        <v>0</v>
      </c>
      <c r="DO451" s="408">
        <v>-8.3490695437984641</v>
      </c>
      <c r="DP451" s="408">
        <v>-1.6306251013710238</v>
      </c>
      <c r="DQ451" s="408">
        <v>0</v>
      </c>
      <c r="DR451" s="408">
        <v>0</v>
      </c>
      <c r="DS451" s="408"/>
      <c r="DT451" s="408"/>
      <c r="DU451" s="408"/>
      <c r="DV451" s="408">
        <v>12401.843925750603</v>
      </c>
      <c r="DW451" s="408">
        <v>0</v>
      </c>
      <c r="DX451" s="408">
        <v>0</v>
      </c>
      <c r="DY451" s="408">
        <v>-6493.6317300000028</v>
      </c>
      <c r="DZ451" s="408">
        <v>722.72732999999971</v>
      </c>
      <c r="EA451" s="408">
        <v>0</v>
      </c>
      <c r="EB451" s="408">
        <v>0</v>
      </c>
      <c r="EC451" s="408">
        <v>-6566.1188690522322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239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456</v>
      </c>
      <c r="B452" s="408" t="s">
        <v>1034</v>
      </c>
      <c r="C452" s="408" t="s">
        <v>2241</v>
      </c>
      <c r="D452" s="408" t="s">
        <v>596</v>
      </c>
      <c r="E452" s="408" t="s">
        <v>996</v>
      </c>
      <c r="F452" s="408" t="s">
        <v>1320</v>
      </c>
      <c r="G452" s="408" t="s">
        <v>1320</v>
      </c>
      <c r="H452" s="408" t="s">
        <v>1320</v>
      </c>
      <c r="I452" s="408" t="s">
        <v>971</v>
      </c>
      <c r="J452" s="408" t="s">
        <v>2234</v>
      </c>
      <c r="K452" s="827">
        <v>44593</v>
      </c>
      <c r="L452" s="408">
        <v>0</v>
      </c>
      <c r="M452" s="408">
        <v>0</v>
      </c>
      <c r="N452" s="408">
        <v>18.029</v>
      </c>
      <c r="O452" s="408">
        <v>18.029</v>
      </c>
      <c r="P452" s="408">
        <v>18.029</v>
      </c>
      <c r="Q452" s="408">
        <v>18.029</v>
      </c>
      <c r="R452" s="408"/>
      <c r="S452" s="408">
        <v>1684.16</v>
      </c>
      <c r="T452" s="408">
        <v>173.82</v>
      </c>
      <c r="U452" s="408"/>
      <c r="V452" s="408">
        <v>33497.521419999997</v>
      </c>
      <c r="W452" s="408">
        <v>33497.521419999997</v>
      </c>
      <c r="X452" s="408">
        <v>22995.268339999999</v>
      </c>
      <c r="Y452" s="408">
        <v>0</v>
      </c>
      <c r="Z452" s="408">
        <v>959.14327793942755</v>
      </c>
      <c r="AA452" s="408">
        <v>0</v>
      </c>
      <c r="AB452" s="408">
        <v>0</v>
      </c>
      <c r="AC452" s="408">
        <v>324.51118007116958</v>
      </c>
      <c r="AD452" s="408">
        <v>4950.5097171867783</v>
      </c>
      <c r="AE452" s="408">
        <v>20882.854680131077</v>
      </c>
      <c r="AF452" s="408">
        <v>2901.2651816766033</v>
      </c>
      <c r="AG452" s="408">
        <v>145.96035715357107</v>
      </c>
      <c r="AH452" s="408">
        <v>0</v>
      </c>
      <c r="AI452" s="408">
        <v>0</v>
      </c>
      <c r="AJ452" s="408">
        <v>0</v>
      </c>
      <c r="AK452" s="408">
        <v>0</v>
      </c>
      <c r="AL452" s="408">
        <v>170.40103324021726</v>
      </c>
      <c r="AM452" s="408"/>
      <c r="AN452" s="408">
        <v>22.405191171522365</v>
      </c>
      <c r="AO452" s="408">
        <v>696.93161348858234</v>
      </c>
      <c r="AP452" s="408">
        <v>2240.9807396171504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0</v>
      </c>
      <c r="BE452" s="408">
        <v>3.3640964596504217</v>
      </c>
      <c r="BF452" s="408">
        <v>86.641755036088512</v>
      </c>
      <c r="BG452" s="408">
        <v>112.64933313181355</v>
      </c>
      <c r="BH452" s="408">
        <v>0</v>
      </c>
      <c r="BI452" s="408">
        <v>0</v>
      </c>
      <c r="BJ452" s="408">
        <v>0</v>
      </c>
      <c r="BK452" s="408">
        <v>0</v>
      </c>
      <c r="BL452" s="408">
        <v>0</v>
      </c>
      <c r="BM452" s="408"/>
      <c r="BN452" s="408"/>
      <c r="BO452" s="408"/>
      <c r="BP452" s="408"/>
      <c r="BQ452" s="408"/>
      <c r="BR452" s="408"/>
      <c r="BS452" s="408"/>
      <c r="BT452" s="408"/>
      <c r="BU452" s="408"/>
      <c r="BV452" s="408">
        <v>3103.9203663041553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22996.543799999999</v>
      </c>
      <c r="CJ452" s="408">
        <v>-10501.007619999997</v>
      </c>
      <c r="CK452" s="408"/>
      <c r="CL452" s="408"/>
      <c r="CM452" s="408"/>
      <c r="CN452" s="408"/>
      <c r="CO452" s="408">
        <v>-10884.28759</v>
      </c>
      <c r="CP452" s="408">
        <v>382.03450999999995</v>
      </c>
      <c r="CQ452" s="408">
        <v>29</v>
      </c>
      <c r="CR452" s="408">
        <v>553.99564665824983</v>
      </c>
      <c r="CS452" s="408">
        <v>67.667656652408596</v>
      </c>
      <c r="CT452" s="408">
        <v>217.58507193267542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-94.922102801851906</v>
      </c>
      <c r="DA452" s="408">
        <v>0</v>
      </c>
      <c r="DB452" s="408">
        <v>0</v>
      </c>
      <c r="DC452" s="408">
        <v>372.40945100278987</v>
      </c>
      <c r="DD452" s="408">
        <v>11.121426828091757</v>
      </c>
      <c r="DE452" s="408">
        <v>0.4318189607662184</v>
      </c>
      <c r="DF452" s="408">
        <v>0</v>
      </c>
      <c r="DG452" s="408">
        <v>14.459786913791916</v>
      </c>
      <c r="DH452" s="408">
        <v>0</v>
      </c>
      <c r="DI452" s="408">
        <v>-28.031447164589622</v>
      </c>
      <c r="DJ452" s="408"/>
      <c r="DK452" s="408">
        <v>0</v>
      </c>
      <c r="DL452" s="408">
        <v>0</v>
      </c>
      <c r="DM452" s="408">
        <v>-1.6222957996962464</v>
      </c>
      <c r="DN452" s="408">
        <v>0</v>
      </c>
      <c r="DO452" s="408">
        <v>-4.4133279035137036</v>
      </c>
      <c r="DP452" s="408">
        <v>-0.69039196262194125</v>
      </c>
      <c r="DQ452" s="408">
        <v>0</v>
      </c>
      <c r="DR452" s="408">
        <v>0</v>
      </c>
      <c r="DS452" s="408"/>
      <c r="DT452" s="408"/>
      <c r="DU452" s="408"/>
      <c r="DV452" s="408">
        <v>20882.854680131077</v>
      </c>
      <c r="DW452" s="408">
        <v>0</v>
      </c>
      <c r="DX452" s="408">
        <v>0</v>
      </c>
      <c r="DY452" s="408">
        <v>-10884.28759</v>
      </c>
      <c r="DZ452" s="408">
        <v>382.03450999999995</v>
      </c>
      <c r="EA452" s="408">
        <v>0</v>
      </c>
      <c r="EB452" s="408">
        <v>0</v>
      </c>
      <c r="EC452" s="408">
        <v>-11056.364438692555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0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239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457</v>
      </c>
      <c r="B453" s="408" t="s">
        <v>2236</v>
      </c>
      <c r="C453" s="408" t="s">
        <v>2241</v>
      </c>
      <c r="D453" s="408" t="s">
        <v>596</v>
      </c>
      <c r="E453" s="408" t="s">
        <v>996</v>
      </c>
      <c r="F453" s="408" t="s">
        <v>1320</v>
      </c>
      <c r="G453" s="408" t="s">
        <v>1320</v>
      </c>
      <c r="H453" s="408" t="s">
        <v>1320</v>
      </c>
      <c r="I453" s="408" t="s">
        <v>971</v>
      </c>
      <c r="J453" s="408" t="s">
        <v>2234</v>
      </c>
      <c r="K453" s="827">
        <v>44593</v>
      </c>
      <c r="L453" s="408">
        <v>0</v>
      </c>
      <c r="M453" s="408">
        <v>0</v>
      </c>
      <c r="N453" s="408">
        <v>4.24</v>
      </c>
      <c r="O453" s="408">
        <v>4.24</v>
      </c>
      <c r="P453" s="408">
        <v>4.24</v>
      </c>
      <c r="Q453" s="408">
        <v>4.24</v>
      </c>
      <c r="R453" s="408"/>
      <c r="S453" s="408">
        <v>1684.16</v>
      </c>
      <c r="T453" s="408">
        <v>173.82</v>
      </c>
      <c r="U453" s="408"/>
      <c r="V453" s="408">
        <v>7877.8352000000004</v>
      </c>
      <c r="W453" s="408">
        <v>7877.8352000000004</v>
      </c>
      <c r="X453" s="408">
        <v>5407.9503999999997</v>
      </c>
      <c r="Y453" s="408">
        <v>0</v>
      </c>
      <c r="Z453" s="408">
        <v>225.56811240019817</v>
      </c>
      <c r="AA453" s="408">
        <v>0</v>
      </c>
      <c r="AB453" s="408">
        <v>0</v>
      </c>
      <c r="AC453" s="408">
        <v>76.31745540527811</v>
      </c>
      <c r="AD453" s="408">
        <v>1164.2443397233314</v>
      </c>
      <c r="AE453" s="408">
        <v>4911.1600113015566</v>
      </c>
      <c r="AF453" s="408">
        <v>682.30985469570135</v>
      </c>
      <c r="AG453" s="408">
        <v>34.326469262362934</v>
      </c>
      <c r="AH453" s="408">
        <v>0</v>
      </c>
      <c r="AI453" s="408">
        <v>0</v>
      </c>
      <c r="AJ453" s="408">
        <v>0</v>
      </c>
      <c r="AK453" s="408">
        <v>0</v>
      </c>
      <c r="AL453" s="408">
        <v>40.074345828305582</v>
      </c>
      <c r="AM453" s="408"/>
      <c r="AN453" s="408">
        <v>5.2691780224779423</v>
      </c>
      <c r="AO453" s="408">
        <v>163.90204898727546</v>
      </c>
      <c r="AP453" s="408">
        <v>527.0263650771933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0</v>
      </c>
      <c r="BE453" s="408">
        <v>0.79115696871250707</v>
      </c>
      <c r="BF453" s="408">
        <v>20.376118550835614</v>
      </c>
      <c r="BG453" s="408">
        <v>26.49249389754781</v>
      </c>
      <c r="BH453" s="408">
        <v>0</v>
      </c>
      <c r="BI453" s="408">
        <v>0</v>
      </c>
      <c r="BJ453" s="408">
        <v>0</v>
      </c>
      <c r="BK453" s="408">
        <v>0</v>
      </c>
      <c r="BL453" s="408">
        <v>0</v>
      </c>
      <c r="BM453" s="408"/>
      <c r="BN453" s="408"/>
      <c r="BO453" s="408"/>
      <c r="BP453" s="408"/>
      <c r="BQ453" s="408"/>
      <c r="BR453" s="408"/>
      <c r="BS453" s="408"/>
      <c r="BT453" s="408"/>
      <c r="BU453" s="408"/>
      <c r="BV453" s="408">
        <v>729.96962411279719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5407.9503999999997</v>
      </c>
      <c r="CJ453" s="408">
        <v>-2469.9148000000014</v>
      </c>
      <c r="CK453" s="408"/>
      <c r="CL453" s="408"/>
      <c r="CM453" s="408"/>
      <c r="CN453" s="408"/>
      <c r="CO453" s="408">
        <v>-2559.7304000000004</v>
      </c>
      <c r="CP453" s="408">
        <v>89.84559999999999</v>
      </c>
      <c r="CQ453" s="408">
        <v>29</v>
      </c>
      <c r="CR453" s="408">
        <v>130.28684573914279</v>
      </c>
      <c r="CS453" s="408">
        <v>15.913853469754969</v>
      </c>
      <c r="CT453" s="408">
        <v>51.170930445090903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-22.323463080584133</v>
      </c>
      <c r="DA453" s="408">
        <v>0</v>
      </c>
      <c r="DB453" s="408">
        <v>0</v>
      </c>
      <c r="DC453" s="408">
        <v>87.582010774409468</v>
      </c>
      <c r="DD453" s="408">
        <v>2.6155000139280666</v>
      </c>
      <c r="DE453" s="408">
        <v>0.10155374084246305</v>
      </c>
      <c r="DF453" s="408">
        <v>0</v>
      </c>
      <c r="DG453" s="408">
        <v>3.4006043881789196</v>
      </c>
      <c r="DH453" s="408">
        <v>0</v>
      </c>
      <c r="DI453" s="408">
        <v>-6.592342114252574</v>
      </c>
      <c r="DJ453" s="408"/>
      <c r="DK453" s="408">
        <v>0</v>
      </c>
      <c r="DL453" s="408">
        <v>0</v>
      </c>
      <c r="DM453" s="408">
        <v>-0.38152610742204729</v>
      </c>
      <c r="DN453" s="408">
        <v>0</v>
      </c>
      <c r="DO453" s="408">
        <v>-1.0379117150645172</v>
      </c>
      <c r="DP453" s="408">
        <v>-0.16236407574003131</v>
      </c>
      <c r="DQ453" s="408">
        <v>0</v>
      </c>
      <c r="DR453" s="408">
        <v>0</v>
      </c>
      <c r="DS453" s="408"/>
      <c r="DT453" s="408"/>
      <c r="DU453" s="408"/>
      <c r="DV453" s="408">
        <v>4911.1600113015566</v>
      </c>
      <c r="DW453" s="408">
        <v>0</v>
      </c>
      <c r="DX453" s="408">
        <v>0</v>
      </c>
      <c r="DY453" s="408">
        <v>-2559.7304000000004</v>
      </c>
      <c r="DZ453" s="408">
        <v>89.84559999999999</v>
      </c>
      <c r="EA453" s="408">
        <v>0</v>
      </c>
      <c r="EB453" s="408">
        <v>0</v>
      </c>
      <c r="EC453" s="408">
        <v>-2600.1988585088707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239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458</v>
      </c>
      <c r="B454" s="408" t="s">
        <v>1034</v>
      </c>
      <c r="C454" s="408" t="s">
        <v>2241</v>
      </c>
      <c r="D454" s="408" t="s">
        <v>596</v>
      </c>
      <c r="E454" s="408" t="s">
        <v>996</v>
      </c>
      <c r="F454" s="408" t="s">
        <v>1320</v>
      </c>
      <c r="G454" s="408" t="s">
        <v>1320</v>
      </c>
      <c r="H454" s="408" t="s">
        <v>1320</v>
      </c>
      <c r="I454" s="408" t="s">
        <v>2242</v>
      </c>
      <c r="J454" s="408" t="s">
        <v>2234</v>
      </c>
      <c r="K454" s="827">
        <v>44593</v>
      </c>
      <c r="L454" s="408">
        <v>0</v>
      </c>
      <c r="M454" s="408">
        <v>0</v>
      </c>
      <c r="N454" s="408">
        <v>289.45299999999997</v>
      </c>
      <c r="O454" s="408">
        <v>289.45299999999997</v>
      </c>
      <c r="P454" s="408">
        <v>289.45299999999997</v>
      </c>
      <c r="Q454" s="408">
        <v>289.45299999999997</v>
      </c>
      <c r="R454" s="408"/>
      <c r="S454" s="408">
        <v>70.33</v>
      </c>
      <c r="T454" s="408">
        <v>173.82</v>
      </c>
      <c r="U454" s="408"/>
      <c r="V454" s="408">
        <v>70669.949949999995</v>
      </c>
      <c r="W454" s="408">
        <v>70669.949949999995</v>
      </c>
      <c r="X454" s="408">
        <v>76511.111489999981</v>
      </c>
      <c r="Y454" s="408">
        <v>0</v>
      </c>
      <c r="Z454" s="408">
        <v>15398.907273248717</v>
      </c>
      <c r="AA454" s="408">
        <v>0</v>
      </c>
      <c r="AB454" s="408">
        <v>0</v>
      </c>
      <c r="AC454" s="408">
        <v>0</v>
      </c>
      <c r="AD454" s="408">
        <v>0</v>
      </c>
      <c r="AE454" s="408">
        <v>0</v>
      </c>
      <c r="AF454" s="408">
        <v>46579.394898876133</v>
      </c>
      <c r="AG454" s="408">
        <v>2343.3725253298908</v>
      </c>
      <c r="AH454" s="408">
        <v>0</v>
      </c>
      <c r="AI454" s="408">
        <v>0</v>
      </c>
      <c r="AJ454" s="408">
        <v>0</v>
      </c>
      <c r="AK454" s="408">
        <v>0</v>
      </c>
      <c r="AL454" s="408">
        <v>2735.7640620378615</v>
      </c>
      <c r="AM454" s="408"/>
      <c r="AN454" s="408">
        <v>359.71211937271408</v>
      </c>
      <c r="AO454" s="408">
        <v>0</v>
      </c>
      <c r="AP454" s="408">
        <v>0</v>
      </c>
      <c r="AQ454" s="408">
        <v>0</v>
      </c>
      <c r="AR454" s="408">
        <v>0</v>
      </c>
      <c r="AS454" s="408">
        <v>0</v>
      </c>
      <c r="AT454" s="408">
        <v>0</v>
      </c>
      <c r="AU454" s="408">
        <v>0</v>
      </c>
      <c r="AV454" s="408">
        <v>0</v>
      </c>
      <c r="AW454" s="408">
        <v>0</v>
      </c>
      <c r="AX454" s="408">
        <v>0</v>
      </c>
      <c r="AY454" s="408">
        <v>0</v>
      </c>
      <c r="AZ454" s="408">
        <v>0</v>
      </c>
      <c r="BA454" s="408"/>
      <c r="BB454" s="408">
        <v>0</v>
      </c>
      <c r="BC454" s="408">
        <v>0</v>
      </c>
      <c r="BD454" s="408">
        <v>0</v>
      </c>
      <c r="BE454" s="408">
        <v>54.010084449231435</v>
      </c>
      <c r="BF454" s="408">
        <v>1391.0209063431651</v>
      </c>
      <c r="BG454" s="408">
        <v>1808.5688292752136</v>
      </c>
      <c r="BH454" s="408">
        <v>0</v>
      </c>
      <c r="BI454" s="408">
        <v>0</v>
      </c>
      <c r="BJ454" s="408">
        <v>0</v>
      </c>
      <c r="BK454" s="408">
        <v>0</v>
      </c>
      <c r="BL454" s="408">
        <v>0</v>
      </c>
      <c r="BM454" s="408"/>
      <c r="BN454" s="408"/>
      <c r="BO454" s="408"/>
      <c r="BP454" s="408"/>
      <c r="BQ454" s="408"/>
      <c r="BR454" s="408"/>
      <c r="BS454" s="408"/>
      <c r="BT454" s="408"/>
      <c r="BU454" s="408"/>
      <c r="BV454" s="408">
        <v>49832.994718943752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76510.318499999994</v>
      </c>
      <c r="CJ454" s="408">
        <v>5840.3385500000004</v>
      </c>
      <c r="CK454" s="408"/>
      <c r="CL454" s="408"/>
      <c r="CM454" s="408"/>
      <c r="CN454" s="408"/>
      <c r="CO454" s="408">
        <v>-292.34753000000143</v>
      </c>
      <c r="CP454" s="408">
        <v>6133.5090699999992</v>
      </c>
      <c r="CQ454" s="408">
        <v>29</v>
      </c>
      <c r="CR454" s="408">
        <v>5838.5895661066315</v>
      </c>
      <c r="CS454" s="408">
        <v>0</v>
      </c>
      <c r="CT454" s="408">
        <v>0</v>
      </c>
      <c r="CU454" s="408">
        <v>0</v>
      </c>
      <c r="CV454" s="408">
        <v>0</v>
      </c>
      <c r="CW454" s="408">
        <v>0</v>
      </c>
      <c r="CX454" s="408">
        <v>0</v>
      </c>
      <c r="CY454" s="408">
        <v>0</v>
      </c>
      <c r="CZ454" s="408">
        <v>0</v>
      </c>
      <c r="DA454" s="408">
        <v>0</v>
      </c>
      <c r="DB454" s="408">
        <v>0</v>
      </c>
      <c r="DC454" s="408">
        <v>5978.9801331804629</v>
      </c>
      <c r="DD454" s="408">
        <v>178.55290696498128</v>
      </c>
      <c r="DE454" s="408">
        <v>6.9327912613380747</v>
      </c>
      <c r="DF454" s="408">
        <v>0</v>
      </c>
      <c r="DG454" s="408">
        <v>232.14979763479982</v>
      </c>
      <c r="DH454" s="408">
        <v>0</v>
      </c>
      <c r="DI454" s="408">
        <v>-450.04084952753692</v>
      </c>
      <c r="DJ454" s="408"/>
      <c r="DK454" s="408">
        <v>0</v>
      </c>
      <c r="DL454" s="408">
        <v>0</v>
      </c>
      <c r="DM454" s="408">
        <v>-26.045725559347375</v>
      </c>
      <c r="DN454" s="408">
        <v>0</v>
      </c>
      <c r="DO454" s="408">
        <v>-70.855344259568028</v>
      </c>
      <c r="DP454" s="408">
        <v>-11.084143588485688</v>
      </c>
      <c r="DQ454" s="408">
        <v>0</v>
      </c>
      <c r="DR454" s="408">
        <v>0</v>
      </c>
      <c r="DS454" s="408"/>
      <c r="DT454" s="408"/>
      <c r="DU454" s="408"/>
      <c r="DV454" s="408">
        <v>0</v>
      </c>
      <c r="DW454" s="408">
        <v>0</v>
      </c>
      <c r="DX454" s="408">
        <v>0</v>
      </c>
      <c r="DY454" s="408">
        <v>-292.34753000000273</v>
      </c>
      <c r="DZ454" s="408">
        <v>6133.5090699999928</v>
      </c>
      <c r="EA454" s="408">
        <v>0</v>
      </c>
      <c r="EB454" s="408">
        <v>0</v>
      </c>
      <c r="EC454" s="408">
        <v>0</v>
      </c>
      <c r="ED454" s="408">
        <v>0</v>
      </c>
      <c r="EE454" s="408">
        <v>0</v>
      </c>
      <c r="EF454" s="408">
        <v>0</v>
      </c>
      <c r="EG454" s="408">
        <v>0</v>
      </c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>
        <v>0</v>
      </c>
      <c r="EN454" s="408">
        <v>0</v>
      </c>
      <c r="EO454" s="408">
        <v>0</v>
      </c>
      <c r="EP454" s="408">
        <v>0</v>
      </c>
      <c r="EQ454" s="408">
        <v>0</v>
      </c>
      <c r="ER454" s="408">
        <v>0</v>
      </c>
      <c r="ES454" s="408">
        <v>0</v>
      </c>
      <c r="ET454" s="408">
        <v>0</v>
      </c>
      <c r="EU454" s="408">
        <v>0</v>
      </c>
      <c r="EV454" s="408">
        <v>239</v>
      </c>
      <c r="EW454" s="408">
        <v>0</v>
      </c>
      <c r="EX454" s="408">
        <v>0</v>
      </c>
      <c r="EY454" s="408">
        <v>0</v>
      </c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459</v>
      </c>
      <c r="B455" s="408" t="s">
        <v>2236</v>
      </c>
      <c r="C455" s="408" t="s">
        <v>2241</v>
      </c>
      <c r="D455" s="408" t="s">
        <v>596</v>
      </c>
      <c r="E455" s="408" t="s">
        <v>996</v>
      </c>
      <c r="F455" s="408" t="s">
        <v>1320</v>
      </c>
      <c r="G455" s="408" t="s">
        <v>1320</v>
      </c>
      <c r="H455" s="408" t="s">
        <v>1320</v>
      </c>
      <c r="I455" s="408" t="s">
        <v>2242</v>
      </c>
      <c r="J455" s="408" t="s">
        <v>2234</v>
      </c>
      <c r="K455" s="827">
        <v>44593</v>
      </c>
      <c r="L455" s="408">
        <v>0</v>
      </c>
      <c r="M455" s="408">
        <v>0</v>
      </c>
      <c r="N455" s="408">
        <v>32.768999999999998</v>
      </c>
      <c r="O455" s="408">
        <v>32.768999999999998</v>
      </c>
      <c r="P455" s="408">
        <v>32.768999999999998</v>
      </c>
      <c r="Q455" s="408">
        <v>32.768999999999998</v>
      </c>
      <c r="R455" s="408"/>
      <c r="S455" s="408">
        <v>70.33</v>
      </c>
      <c r="T455" s="408">
        <v>173.82</v>
      </c>
      <c r="U455" s="408"/>
      <c r="V455" s="408">
        <v>8000.5513499999988</v>
      </c>
      <c r="W455" s="408">
        <v>8000.5513499999988</v>
      </c>
      <c r="X455" s="408">
        <v>8661.8297699999985</v>
      </c>
      <c r="Y455" s="408">
        <v>0</v>
      </c>
      <c r="Z455" s="408">
        <v>1743.3116686891731</v>
      </c>
      <c r="AA455" s="408">
        <v>0</v>
      </c>
      <c r="AB455" s="408">
        <v>0</v>
      </c>
      <c r="AC455" s="408">
        <v>0</v>
      </c>
      <c r="AD455" s="408">
        <v>0</v>
      </c>
      <c r="AE455" s="408">
        <v>0</v>
      </c>
      <c r="AF455" s="408">
        <v>5273.2574595574142</v>
      </c>
      <c r="AG455" s="408">
        <v>265.29341303263465</v>
      </c>
      <c r="AH455" s="408">
        <v>0</v>
      </c>
      <c r="AI455" s="408">
        <v>0</v>
      </c>
      <c r="AJ455" s="408">
        <v>0</v>
      </c>
      <c r="AK455" s="408">
        <v>0</v>
      </c>
      <c r="AL455" s="408">
        <v>309.71609397352483</v>
      </c>
      <c r="AM455" s="408"/>
      <c r="AN455" s="408">
        <v>40.723041183627288</v>
      </c>
      <c r="AO455" s="408">
        <v>0</v>
      </c>
      <c r="AP455" s="408">
        <v>0</v>
      </c>
      <c r="AQ455" s="408">
        <v>0</v>
      </c>
      <c r="AR455" s="408">
        <v>0</v>
      </c>
      <c r="AS455" s="408">
        <v>0</v>
      </c>
      <c r="AT455" s="408">
        <v>0</v>
      </c>
      <c r="AU455" s="408">
        <v>0</v>
      </c>
      <c r="AV455" s="408">
        <v>0</v>
      </c>
      <c r="AW455" s="408">
        <v>0</v>
      </c>
      <c r="AX455" s="408">
        <v>0</v>
      </c>
      <c r="AY455" s="408">
        <v>0</v>
      </c>
      <c r="AZ455" s="408">
        <v>0</v>
      </c>
      <c r="BA455" s="408"/>
      <c r="BB455" s="408">
        <v>0</v>
      </c>
      <c r="BC455" s="408">
        <v>0</v>
      </c>
      <c r="BD455" s="408">
        <v>0</v>
      </c>
      <c r="BE455" s="408">
        <v>6.1144864876745615</v>
      </c>
      <c r="BF455" s="408">
        <v>157.47760113026703</v>
      </c>
      <c r="BG455" s="408">
        <v>204.74823880394908</v>
      </c>
      <c r="BH455" s="408">
        <v>0</v>
      </c>
      <c r="BI455" s="408">
        <v>0</v>
      </c>
      <c r="BJ455" s="408">
        <v>0</v>
      </c>
      <c r="BK455" s="408">
        <v>0</v>
      </c>
      <c r="BL455" s="408">
        <v>0</v>
      </c>
      <c r="BM455" s="408"/>
      <c r="BN455" s="408"/>
      <c r="BO455" s="408"/>
      <c r="BP455" s="408"/>
      <c r="BQ455" s="408"/>
      <c r="BR455" s="408"/>
      <c r="BS455" s="408"/>
      <c r="BT455" s="408"/>
      <c r="BU455" s="408"/>
      <c r="BV455" s="408">
        <v>5641.5977859793047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8662.0941000000003</v>
      </c>
      <c r="CJ455" s="408">
        <v>661.51275000000078</v>
      </c>
      <c r="CK455" s="408"/>
      <c r="CL455" s="408"/>
      <c r="CM455" s="408"/>
      <c r="CN455" s="408"/>
      <c r="CO455" s="408">
        <v>-33.096690000000166</v>
      </c>
      <c r="CP455" s="408">
        <v>694.37510999999984</v>
      </c>
      <c r="CQ455" s="408">
        <v>29</v>
      </c>
      <c r="CR455" s="408">
        <v>660.98724660565949</v>
      </c>
      <c r="CS455" s="408">
        <v>0</v>
      </c>
      <c r="CT455" s="408">
        <v>0</v>
      </c>
      <c r="CU455" s="408">
        <v>0</v>
      </c>
      <c r="CV455" s="408">
        <v>0</v>
      </c>
      <c r="CW455" s="408">
        <v>0</v>
      </c>
      <c r="CX455" s="408">
        <v>0</v>
      </c>
      <c r="CY455" s="408">
        <v>0</v>
      </c>
      <c r="CZ455" s="408">
        <v>0</v>
      </c>
      <c r="DA455" s="408">
        <v>0</v>
      </c>
      <c r="DB455" s="408">
        <v>0</v>
      </c>
      <c r="DC455" s="408">
        <v>676.88087525156243</v>
      </c>
      <c r="DD455" s="408">
        <v>20.213990555756766</v>
      </c>
      <c r="DE455" s="408">
        <v>0.78486191831761154</v>
      </c>
      <c r="DF455" s="408">
        <v>0</v>
      </c>
      <c r="DG455" s="408">
        <v>26.281699338734654</v>
      </c>
      <c r="DH455" s="408">
        <v>0</v>
      </c>
      <c r="DI455" s="408">
        <v>-50.9491647976281</v>
      </c>
      <c r="DJ455" s="408"/>
      <c r="DK455" s="408">
        <v>0</v>
      </c>
      <c r="DL455" s="408">
        <v>0</v>
      </c>
      <c r="DM455" s="408">
        <v>-2.9486389184228869</v>
      </c>
      <c r="DN455" s="408">
        <v>0</v>
      </c>
      <c r="DO455" s="408">
        <v>-8.0215398563559006</v>
      </c>
      <c r="DP455" s="408">
        <v>-1.2548368863030888</v>
      </c>
      <c r="DQ455" s="408">
        <v>0</v>
      </c>
      <c r="DR455" s="408">
        <v>0</v>
      </c>
      <c r="DS455" s="408"/>
      <c r="DT455" s="408"/>
      <c r="DU455" s="408"/>
      <c r="DV455" s="408">
        <v>0</v>
      </c>
      <c r="DW455" s="408">
        <v>0</v>
      </c>
      <c r="DX455" s="408">
        <v>0</v>
      </c>
      <c r="DY455" s="408">
        <v>-33.096689999999853</v>
      </c>
      <c r="DZ455" s="408">
        <v>694.37510999999995</v>
      </c>
      <c r="EA455" s="408">
        <v>0</v>
      </c>
      <c r="EB455" s="408">
        <v>0</v>
      </c>
      <c r="EC455" s="408">
        <v>0</v>
      </c>
      <c r="ED455" s="408">
        <v>0</v>
      </c>
      <c r="EE455" s="408">
        <v>0</v>
      </c>
      <c r="EF455" s="408">
        <v>0</v>
      </c>
      <c r="EG455" s="408">
        <v>0</v>
      </c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>
        <v>0</v>
      </c>
      <c r="EN455" s="408">
        <v>0</v>
      </c>
      <c r="EO455" s="408">
        <v>0</v>
      </c>
      <c r="EP455" s="408">
        <v>0</v>
      </c>
      <c r="EQ455" s="408">
        <v>0</v>
      </c>
      <c r="ER455" s="408">
        <v>0</v>
      </c>
      <c r="ES455" s="408">
        <v>0</v>
      </c>
      <c r="ET455" s="408">
        <v>0</v>
      </c>
      <c r="EU455" s="408">
        <v>0</v>
      </c>
      <c r="EV455" s="408">
        <v>239</v>
      </c>
      <c r="EW455" s="408">
        <v>0</v>
      </c>
      <c r="EX455" s="408">
        <v>0</v>
      </c>
      <c r="EY455" s="408">
        <v>0</v>
      </c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460</v>
      </c>
      <c r="B456" s="408" t="s">
        <v>1034</v>
      </c>
      <c r="C456" s="408" t="s">
        <v>2241</v>
      </c>
      <c r="D456" s="408" t="s">
        <v>596</v>
      </c>
      <c r="E456" s="408" t="s">
        <v>996</v>
      </c>
      <c r="F456" s="408" t="s">
        <v>1320</v>
      </c>
      <c r="G456" s="408" t="s">
        <v>1320</v>
      </c>
      <c r="H456" s="408" t="s">
        <v>1320</v>
      </c>
      <c r="I456" s="408" t="s">
        <v>1320</v>
      </c>
      <c r="J456" s="408" t="s">
        <v>2234</v>
      </c>
      <c r="K456" s="827">
        <v>44593</v>
      </c>
      <c r="L456" s="408">
        <v>2714</v>
      </c>
      <c r="M456" s="408">
        <v>2714</v>
      </c>
      <c r="N456" s="408">
        <v>0</v>
      </c>
      <c r="O456" s="408">
        <v>0</v>
      </c>
      <c r="P456" s="408">
        <v>0</v>
      </c>
      <c r="Q456" s="408">
        <v>0</v>
      </c>
      <c r="R456" s="408">
        <v>59.12</v>
      </c>
      <c r="S456" s="408"/>
      <c r="T456" s="408"/>
      <c r="U456" s="408">
        <v>160451.68</v>
      </c>
      <c r="V456" s="408"/>
      <c r="W456" s="408">
        <v>160451.68</v>
      </c>
      <c r="X456" s="408">
        <v>92357.42</v>
      </c>
      <c r="Y456" s="408">
        <v>0</v>
      </c>
      <c r="Z456" s="408">
        <v>0</v>
      </c>
      <c r="AA456" s="408">
        <v>0</v>
      </c>
      <c r="AB456" s="408">
        <v>0</v>
      </c>
      <c r="AC456" s="408">
        <v>1552.5718260876131</v>
      </c>
      <c r="AD456" s="408">
        <v>13887.599474041677</v>
      </c>
      <c r="AE456" s="408">
        <v>130711.11910015121</v>
      </c>
      <c r="AF456" s="408"/>
      <c r="AG456" s="408"/>
      <c r="AH456" s="408"/>
      <c r="AI456" s="408">
        <v>0</v>
      </c>
      <c r="AJ456" s="408">
        <v>0</v>
      </c>
      <c r="AK456" s="408">
        <v>0</v>
      </c>
      <c r="AL456" s="408">
        <v>0</v>
      </c>
      <c r="AM456" s="408"/>
      <c r="AN456" s="408">
        <v>0</v>
      </c>
      <c r="AO456" s="408">
        <v>3278.7077219828229</v>
      </c>
      <c r="AP456" s="408">
        <v>11021.521062950116</v>
      </c>
      <c r="AQ456" s="408">
        <v>0</v>
      </c>
      <c r="AR456" s="408">
        <v>0</v>
      </c>
      <c r="AS456" s="408"/>
      <c r="AT456" s="408"/>
      <c r="AU456" s="408">
        <v>0</v>
      </c>
      <c r="AV456" s="408">
        <v>0</v>
      </c>
      <c r="AW456" s="408">
        <v>0</v>
      </c>
      <c r="AX456" s="408"/>
      <c r="AY456" s="408"/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/>
      <c r="BG456" s="408">
        <v>0</v>
      </c>
      <c r="BH456" s="408">
        <v>0</v>
      </c>
      <c r="BI456" s="408">
        <v>852.03</v>
      </c>
      <c r="BJ456" s="408">
        <v>3881.22</v>
      </c>
      <c r="BK456" s="408">
        <v>76494.55</v>
      </c>
      <c r="BL456" s="408">
        <v>16</v>
      </c>
      <c r="BM456" s="408"/>
      <c r="BN456" s="408"/>
      <c r="BO456" s="408"/>
      <c r="BP456" s="408"/>
      <c r="BQ456" s="408"/>
      <c r="BR456" s="408"/>
      <c r="BS456" s="408"/>
      <c r="BT456" s="408"/>
      <c r="BU456" s="408"/>
      <c r="BV456" s="408">
        <v>0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92357.42</v>
      </c>
      <c r="CJ456" s="408">
        <v>-68094.290000000023</v>
      </c>
      <c r="CK456" s="408"/>
      <c r="CL456" s="408"/>
      <c r="CM456" s="408"/>
      <c r="CN456" s="408"/>
      <c r="CO456" s="408">
        <v>-68094.259999999995</v>
      </c>
      <c r="CP456" s="408">
        <v>0</v>
      </c>
      <c r="CQ456" s="408">
        <v>29</v>
      </c>
      <c r="CR456" s="408">
        <v>1122.1781498910168</v>
      </c>
      <c r="CS456" s="408">
        <v>318.3418058540542</v>
      </c>
      <c r="CT456" s="408">
        <v>1070.1200643515094</v>
      </c>
      <c r="CU456" s="408">
        <v>0</v>
      </c>
      <c r="CV456" s="408">
        <v>0</v>
      </c>
      <c r="CW456" s="408"/>
      <c r="CX456" s="408"/>
      <c r="CY456" s="408"/>
      <c r="CZ456" s="408">
        <v>-266.28372031454455</v>
      </c>
      <c r="DA456" s="408">
        <v>0</v>
      </c>
      <c r="DB456" s="408">
        <v>0</v>
      </c>
      <c r="DC456" s="408"/>
      <c r="DD456" s="408"/>
      <c r="DE456" s="408">
        <v>0</v>
      </c>
      <c r="DF456" s="408">
        <v>0</v>
      </c>
      <c r="DG456" s="408">
        <v>0</v>
      </c>
      <c r="DH456" s="408">
        <v>0</v>
      </c>
      <c r="DI456" s="408">
        <v>0</v>
      </c>
      <c r="DJ456" s="408"/>
      <c r="DK456" s="408">
        <v>0</v>
      </c>
      <c r="DL456" s="408">
        <v>0</v>
      </c>
      <c r="DM456" s="408"/>
      <c r="DN456" s="408">
        <v>0</v>
      </c>
      <c r="DO456" s="408">
        <v>0</v>
      </c>
      <c r="DP456" s="408">
        <v>0</v>
      </c>
      <c r="DQ456" s="408">
        <v>0</v>
      </c>
      <c r="DR456" s="408">
        <v>0</v>
      </c>
      <c r="DS456" s="408"/>
      <c r="DT456" s="408"/>
      <c r="DU456" s="408">
        <v>130711.11910015121</v>
      </c>
      <c r="DV456" s="408"/>
      <c r="DW456" s="408">
        <v>0</v>
      </c>
      <c r="DX456" s="408">
        <v>0</v>
      </c>
      <c r="DY456" s="408">
        <v>-68094.259999999995</v>
      </c>
      <c r="DZ456" s="408"/>
      <c r="EA456" s="408">
        <v>0</v>
      </c>
      <c r="EB456" s="408"/>
      <c r="EC456" s="408">
        <v>-69204.607851609617</v>
      </c>
      <c r="ED456" s="408"/>
      <c r="EE456" s="408">
        <v>0</v>
      </c>
      <c r="EF456" s="408">
        <v>0</v>
      </c>
      <c r="EG456" s="408"/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/>
      <c r="EN456" s="408"/>
      <c r="EO456" s="408">
        <v>0</v>
      </c>
      <c r="EP456" s="408">
        <v>0</v>
      </c>
      <c r="EQ456" s="408"/>
      <c r="ER456" s="408">
        <v>0</v>
      </c>
      <c r="ES456" s="408"/>
      <c r="ET456" s="408">
        <v>0</v>
      </c>
      <c r="EU456" s="408"/>
      <c r="EV456" s="408">
        <v>239</v>
      </c>
      <c r="EW456" s="408"/>
      <c r="EX456" s="408"/>
      <c r="EY456" s="408"/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461</v>
      </c>
      <c r="B457" s="408" t="s">
        <v>2236</v>
      </c>
      <c r="C457" s="408" t="s">
        <v>2241</v>
      </c>
      <c r="D457" s="408" t="s">
        <v>596</v>
      </c>
      <c r="E457" s="408" t="s">
        <v>996</v>
      </c>
      <c r="F457" s="408" t="s">
        <v>1320</v>
      </c>
      <c r="G457" s="408" t="s">
        <v>1320</v>
      </c>
      <c r="H457" s="408" t="s">
        <v>1320</v>
      </c>
      <c r="I457" s="408" t="s">
        <v>1320</v>
      </c>
      <c r="J457" s="408" t="s">
        <v>2234</v>
      </c>
      <c r="K457" s="827">
        <v>44593</v>
      </c>
      <c r="L457" s="408">
        <v>100</v>
      </c>
      <c r="M457" s="408">
        <v>100</v>
      </c>
      <c r="N457" s="408">
        <v>0</v>
      </c>
      <c r="O457" s="408">
        <v>0</v>
      </c>
      <c r="P457" s="408">
        <v>0</v>
      </c>
      <c r="Q457" s="408">
        <v>0</v>
      </c>
      <c r="R457" s="408">
        <v>59.12</v>
      </c>
      <c r="S457" s="408"/>
      <c r="T457" s="408"/>
      <c r="U457" s="408">
        <v>5912</v>
      </c>
      <c r="V457" s="408"/>
      <c r="W457" s="408">
        <v>5912</v>
      </c>
      <c r="X457" s="408">
        <v>3403</v>
      </c>
      <c r="Y457" s="408">
        <v>0</v>
      </c>
      <c r="Z457" s="408">
        <v>0</v>
      </c>
      <c r="AA457" s="408">
        <v>0</v>
      </c>
      <c r="AB457" s="408">
        <v>0</v>
      </c>
      <c r="AC457" s="408">
        <v>57.206036333368203</v>
      </c>
      <c r="AD457" s="408">
        <v>511.70226507154302</v>
      </c>
      <c r="AE457" s="408">
        <v>4816.1797752450702</v>
      </c>
      <c r="AF457" s="408"/>
      <c r="AG457" s="408"/>
      <c r="AH457" s="408"/>
      <c r="AI457" s="408">
        <v>0</v>
      </c>
      <c r="AJ457" s="408">
        <v>0</v>
      </c>
      <c r="AK457" s="408">
        <v>0</v>
      </c>
      <c r="AL457" s="408">
        <v>0</v>
      </c>
      <c r="AM457" s="408"/>
      <c r="AN457" s="408">
        <v>0</v>
      </c>
      <c r="AO457" s="408">
        <v>120.807211569006</v>
      </c>
      <c r="AP457" s="408">
        <v>406.098786401994</v>
      </c>
      <c r="AQ457" s="408">
        <v>0</v>
      </c>
      <c r="AR457" s="408">
        <v>0</v>
      </c>
      <c r="AS457" s="408"/>
      <c r="AT457" s="408"/>
      <c r="AU457" s="408">
        <v>0</v>
      </c>
      <c r="AV457" s="408">
        <v>0</v>
      </c>
      <c r="AW457" s="408">
        <v>0</v>
      </c>
      <c r="AX457" s="408"/>
      <c r="AY457" s="408"/>
      <c r="AZ457" s="408">
        <v>0</v>
      </c>
      <c r="BA457" s="408"/>
      <c r="BB457" s="408">
        <v>0</v>
      </c>
      <c r="BC457" s="408">
        <v>0</v>
      </c>
      <c r="BD457" s="408">
        <v>0</v>
      </c>
      <c r="BE457" s="408">
        <v>0</v>
      </c>
      <c r="BF457" s="408"/>
      <c r="BG457" s="408">
        <v>0</v>
      </c>
      <c r="BH457" s="408">
        <v>0</v>
      </c>
      <c r="BI457" s="408">
        <v>82.08</v>
      </c>
      <c r="BJ457" s="408">
        <v>373.91</v>
      </c>
      <c r="BK457" s="408">
        <v>7923.37</v>
      </c>
      <c r="BL457" s="408">
        <v>1</v>
      </c>
      <c r="BM457" s="408"/>
      <c r="BN457" s="408"/>
      <c r="BO457" s="408"/>
      <c r="BP457" s="408"/>
      <c r="BQ457" s="408"/>
      <c r="BR457" s="408"/>
      <c r="BS457" s="408"/>
      <c r="BT457" s="408"/>
      <c r="BU457" s="408"/>
      <c r="BV457" s="408">
        <v>0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3403</v>
      </c>
      <c r="CJ457" s="408">
        <v>-2509.0300000000007</v>
      </c>
      <c r="CK457" s="408"/>
      <c r="CL457" s="408"/>
      <c r="CM457" s="408"/>
      <c r="CN457" s="408"/>
      <c r="CO457" s="408">
        <v>-2508.9999999999995</v>
      </c>
      <c r="CP457" s="408">
        <v>0</v>
      </c>
      <c r="CQ457" s="408">
        <v>29</v>
      </c>
      <c r="CR457" s="408">
        <v>41.347757917871149</v>
      </c>
      <c r="CS457" s="408">
        <v>11.729617017467007</v>
      </c>
      <c r="CT457" s="408">
        <v>39.429626542059964</v>
      </c>
      <c r="CU457" s="408">
        <v>0</v>
      </c>
      <c r="CV457" s="408">
        <v>0</v>
      </c>
      <c r="CW457" s="408"/>
      <c r="CX457" s="408"/>
      <c r="CY457" s="408"/>
      <c r="CZ457" s="408">
        <v>-9.8114856416560201</v>
      </c>
      <c r="DA457" s="408">
        <v>0</v>
      </c>
      <c r="DB457" s="408">
        <v>0</v>
      </c>
      <c r="DC457" s="408"/>
      <c r="DD457" s="408"/>
      <c r="DE457" s="408">
        <v>0</v>
      </c>
      <c r="DF457" s="408">
        <v>0</v>
      </c>
      <c r="DG457" s="408">
        <v>0</v>
      </c>
      <c r="DH457" s="408">
        <v>0</v>
      </c>
      <c r="DI457" s="408">
        <v>0</v>
      </c>
      <c r="DJ457" s="408"/>
      <c r="DK457" s="408">
        <v>0</v>
      </c>
      <c r="DL457" s="408">
        <v>0</v>
      </c>
      <c r="DM457" s="408"/>
      <c r="DN457" s="408">
        <v>0</v>
      </c>
      <c r="DO457" s="408">
        <v>0</v>
      </c>
      <c r="DP457" s="408">
        <v>0</v>
      </c>
      <c r="DQ457" s="408">
        <v>0</v>
      </c>
      <c r="DR457" s="408">
        <v>0</v>
      </c>
      <c r="DS457" s="408"/>
      <c r="DT457" s="408"/>
      <c r="DU457" s="408">
        <v>4816.1797752450702</v>
      </c>
      <c r="DV457" s="408"/>
      <c r="DW457" s="408">
        <v>0</v>
      </c>
      <c r="DX457" s="408">
        <v>0</v>
      </c>
      <c r="DY457" s="408">
        <v>-2509</v>
      </c>
      <c r="DZ457" s="408"/>
      <c r="EA457" s="408">
        <v>0</v>
      </c>
      <c r="EB457" s="408"/>
      <c r="EC457" s="408">
        <v>-2549.9118589391901</v>
      </c>
      <c r="ED457" s="408"/>
      <c r="EE457" s="408">
        <v>0</v>
      </c>
      <c r="EF457" s="408">
        <v>0</v>
      </c>
      <c r="EG457" s="408"/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/>
      <c r="EN457" s="408"/>
      <c r="EO457" s="408">
        <v>0</v>
      </c>
      <c r="EP457" s="408">
        <v>0</v>
      </c>
      <c r="EQ457" s="408"/>
      <c r="ER457" s="408">
        <v>0</v>
      </c>
      <c r="ES457" s="408"/>
      <c r="ET457" s="408">
        <v>0</v>
      </c>
      <c r="EU457" s="408"/>
      <c r="EV457" s="408">
        <v>239</v>
      </c>
      <c r="EW457" s="408"/>
      <c r="EX457" s="408"/>
      <c r="EY457" s="408"/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462</v>
      </c>
      <c r="B458" s="408" t="s">
        <v>1034</v>
      </c>
      <c r="C458" s="408" t="s">
        <v>2233</v>
      </c>
      <c r="D458" s="408" t="s">
        <v>2243</v>
      </c>
      <c r="E458" s="408" t="s">
        <v>972</v>
      </c>
      <c r="F458" s="408" t="s">
        <v>1320</v>
      </c>
      <c r="G458" s="408" t="s">
        <v>1320</v>
      </c>
      <c r="H458" s="408" t="s">
        <v>1320</v>
      </c>
      <c r="I458" s="408" t="s">
        <v>1320</v>
      </c>
      <c r="J458" s="408" t="s">
        <v>2234</v>
      </c>
      <c r="K458" s="827">
        <v>44593</v>
      </c>
      <c r="L458" s="408">
        <v>0</v>
      </c>
      <c r="M458" s="408">
        <v>0</v>
      </c>
      <c r="N458" s="408">
        <v>3636.623</v>
      </c>
      <c r="O458" s="408">
        <v>3636.623</v>
      </c>
      <c r="P458" s="408">
        <v>3636.623</v>
      </c>
      <c r="Q458" s="408">
        <v>3636.623</v>
      </c>
      <c r="R458" s="408"/>
      <c r="S458" s="408">
        <v>516.83000000000004</v>
      </c>
      <c r="T458" s="408">
        <v>173.82</v>
      </c>
      <c r="U458" s="408"/>
      <c r="V458" s="408">
        <v>2511633.6749500004</v>
      </c>
      <c r="W458" s="408">
        <v>2511633.6749500004</v>
      </c>
      <c r="X458" s="408">
        <v>1896317.06335</v>
      </c>
      <c r="Y458" s="408">
        <v>0</v>
      </c>
      <c r="Z458" s="408">
        <v>222377.51724711142</v>
      </c>
      <c r="AA458" s="408">
        <v>0</v>
      </c>
      <c r="AB458" s="408">
        <v>0</v>
      </c>
      <c r="AC458" s="408">
        <v>9885.9562415069267</v>
      </c>
      <c r="AD458" s="408">
        <v>125196.60727321022</v>
      </c>
      <c r="AE458" s="408">
        <v>1322333.5638665063</v>
      </c>
      <c r="AF458" s="408">
        <v>585213.1393191145</v>
      </c>
      <c r="AG458" s="408">
        <v>29441.610289693886</v>
      </c>
      <c r="AH458" s="408">
        <v>0</v>
      </c>
      <c r="AI458" s="408">
        <v>0</v>
      </c>
      <c r="AJ458" s="408">
        <v>0</v>
      </c>
      <c r="AK458" s="408">
        <v>0</v>
      </c>
      <c r="AL458" s="408">
        <v>34371.530129521256</v>
      </c>
      <c r="AM458" s="408"/>
      <c r="AN458" s="408">
        <v>5642.3732312038037</v>
      </c>
      <c r="AO458" s="408">
        <v>21086.972208790859</v>
      </c>
      <c r="AP458" s="408">
        <v>69056.982780225517</v>
      </c>
      <c r="AQ458" s="408">
        <v>0</v>
      </c>
      <c r="AR458" s="408">
        <v>0</v>
      </c>
      <c r="AS458" s="408">
        <v>0</v>
      </c>
      <c r="AT458" s="408">
        <v>0</v>
      </c>
      <c r="AU458" s="408">
        <v>0</v>
      </c>
      <c r="AV458" s="408">
        <v>0</v>
      </c>
      <c r="AW458" s="408">
        <v>0</v>
      </c>
      <c r="AX458" s="408">
        <v>0</v>
      </c>
      <c r="AY458" s="408">
        <v>0</v>
      </c>
      <c r="AZ458" s="408">
        <v>0</v>
      </c>
      <c r="BA458" s="408"/>
      <c r="BB458" s="408">
        <v>0</v>
      </c>
      <c r="BC458" s="408">
        <v>0</v>
      </c>
      <c r="BD458" s="408">
        <v>0</v>
      </c>
      <c r="BE458" s="408">
        <v>2017.644323861881</v>
      </c>
      <c r="BF458" s="408">
        <v>17476.47673884327</v>
      </c>
      <c r="BG458" s="408">
        <v>67562.357472903197</v>
      </c>
      <c r="BH458" s="408">
        <v>0</v>
      </c>
      <c r="BI458" s="408">
        <v>8379.76</v>
      </c>
      <c r="BJ458" s="408">
        <v>38421.1</v>
      </c>
      <c r="BK458" s="408">
        <v>98746.9</v>
      </c>
      <c r="BL458" s="408">
        <v>10238</v>
      </c>
      <c r="BM458" s="408"/>
      <c r="BN458" s="408"/>
      <c r="BO458" s="408"/>
      <c r="BP458" s="408"/>
      <c r="BQ458" s="408"/>
      <c r="BR458" s="408">
        <v>227543.50110999998</v>
      </c>
      <c r="BS458" s="408"/>
      <c r="BT458" s="408"/>
      <c r="BU458" s="408"/>
      <c r="BV458" s="408">
        <v>672269.61785472289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1668772.1856</v>
      </c>
      <c r="CJ458" s="408">
        <v>-541458.20510999998</v>
      </c>
      <c r="CK458" s="408"/>
      <c r="CL458" s="408"/>
      <c r="CM458" s="408"/>
      <c r="CN458" s="408"/>
      <c r="CO458" s="408">
        <v>-692376.65297000017</v>
      </c>
      <c r="CP458" s="408">
        <v>77060.041369999992</v>
      </c>
      <c r="CQ458" s="408">
        <v>29</v>
      </c>
      <c r="CR458" s="408">
        <v>84754.695657558972</v>
      </c>
      <c r="CS458" s="408">
        <v>2047.4117799317719</v>
      </c>
      <c r="CT458" s="408">
        <v>6704.9967454230937</v>
      </c>
      <c r="CU458" s="408">
        <v>0</v>
      </c>
      <c r="CV458" s="408">
        <v>0</v>
      </c>
      <c r="CW458" s="408">
        <v>0</v>
      </c>
      <c r="CX458" s="408">
        <v>0</v>
      </c>
      <c r="CY458" s="408">
        <v>0</v>
      </c>
      <c r="CZ458" s="408">
        <v>-2400.5457831486565</v>
      </c>
      <c r="DA458" s="408">
        <v>0</v>
      </c>
      <c r="DB458" s="408">
        <v>0</v>
      </c>
      <c r="DC458" s="408">
        <v>75118.574237845605</v>
      </c>
      <c r="DD458" s="408">
        <v>2243.2989403658285</v>
      </c>
      <c r="DE458" s="408">
        <v>258.98694807830202</v>
      </c>
      <c r="DF458" s="408">
        <v>0</v>
      </c>
      <c r="DG458" s="408">
        <v>8672.3752843568072</v>
      </c>
      <c r="DH458" s="408">
        <v>0</v>
      </c>
      <c r="DI458" s="408">
        <v>-6499.0953579914931</v>
      </c>
      <c r="DJ458" s="408"/>
      <c r="DK458" s="408">
        <v>0</v>
      </c>
      <c r="DL458" s="408">
        <v>0</v>
      </c>
      <c r="DM458" s="408">
        <v>-327.23269277157669</v>
      </c>
      <c r="DN458" s="408">
        <v>0</v>
      </c>
      <c r="DO458" s="408">
        <v>-890.21075824836589</v>
      </c>
      <c r="DP458" s="408">
        <v>-173.86368628208857</v>
      </c>
      <c r="DQ458" s="408">
        <v>0</v>
      </c>
      <c r="DR458" s="408">
        <v>0</v>
      </c>
      <c r="DS458" s="408"/>
      <c r="DT458" s="408"/>
      <c r="DU458" s="408"/>
      <c r="DV458" s="408">
        <v>1322333.5638665063</v>
      </c>
      <c r="DW458" s="408">
        <v>0</v>
      </c>
      <c r="DX458" s="408">
        <v>0</v>
      </c>
      <c r="DY458" s="408">
        <v>-692376.65297000017</v>
      </c>
      <c r="DZ458" s="408">
        <v>77060.041369999992</v>
      </c>
      <c r="EA458" s="408">
        <v>0</v>
      </c>
      <c r="EB458" s="408">
        <v>0</v>
      </c>
      <c r="EC458" s="408">
        <v>-700105.5179267989</v>
      </c>
      <c r="ED458" s="408">
        <v>0</v>
      </c>
      <c r="EE458" s="408">
        <v>0</v>
      </c>
      <c r="EF458" s="408">
        <v>0</v>
      </c>
      <c r="EG458" s="408">
        <v>0</v>
      </c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>
        <v>0</v>
      </c>
      <c r="EN458" s="408">
        <v>0</v>
      </c>
      <c r="EO458" s="408">
        <v>0</v>
      </c>
      <c r="EP458" s="408">
        <v>0</v>
      </c>
      <c r="EQ458" s="408">
        <v>0</v>
      </c>
      <c r="ER458" s="408">
        <v>0</v>
      </c>
      <c r="ES458" s="408">
        <v>0</v>
      </c>
      <c r="ET458" s="408">
        <v>0</v>
      </c>
      <c r="EU458" s="408">
        <v>0</v>
      </c>
      <c r="EV458" s="408">
        <v>239</v>
      </c>
      <c r="EW458" s="408">
        <v>0</v>
      </c>
      <c r="EX458" s="408">
        <v>0</v>
      </c>
      <c r="EY458" s="408">
        <v>0</v>
      </c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463</v>
      </c>
      <c r="B459" s="408" t="s">
        <v>2235</v>
      </c>
      <c r="C459" s="408" t="s">
        <v>2233</v>
      </c>
      <c r="D459" s="408" t="s">
        <v>2243</v>
      </c>
      <c r="E459" s="408" t="s">
        <v>972</v>
      </c>
      <c r="F459" s="408" t="s">
        <v>1320</v>
      </c>
      <c r="G459" s="408" t="s">
        <v>1320</v>
      </c>
      <c r="H459" s="408" t="s">
        <v>1320</v>
      </c>
      <c r="I459" s="408" t="s">
        <v>1320</v>
      </c>
      <c r="J459" s="408" t="s">
        <v>2234</v>
      </c>
      <c r="K459" s="827">
        <v>44593</v>
      </c>
      <c r="L459" s="408">
        <v>0</v>
      </c>
      <c r="M459" s="408">
        <v>0</v>
      </c>
      <c r="N459" s="408">
        <v>-4.7720000000000002</v>
      </c>
      <c r="O459" s="408">
        <v>-4.7720000000000002</v>
      </c>
      <c r="P459" s="408">
        <v>-4.7720000000000002</v>
      </c>
      <c r="Q459" s="408">
        <v>-4.7720000000000002</v>
      </c>
      <c r="R459" s="408"/>
      <c r="S459" s="408">
        <v>516.83000000000004</v>
      </c>
      <c r="T459" s="408">
        <v>173.82</v>
      </c>
      <c r="U459" s="408"/>
      <c r="V459" s="408">
        <v>-3295.7818000000002</v>
      </c>
      <c r="W459" s="408">
        <v>-3295.7818000000002</v>
      </c>
      <c r="X459" s="408">
        <v>-2488.3594000000003</v>
      </c>
      <c r="Y459" s="408">
        <v>0</v>
      </c>
      <c r="Z459" s="408">
        <v>-291.8052028772891</v>
      </c>
      <c r="AA459" s="408">
        <v>0</v>
      </c>
      <c r="AB459" s="408">
        <v>0</v>
      </c>
      <c r="AC459" s="408">
        <v>-12.972415118221233</v>
      </c>
      <c r="AD459" s="408">
        <v>-164.28379018329895</v>
      </c>
      <c r="AE459" s="408">
        <v>-1735.1745745354876</v>
      </c>
      <c r="AF459" s="408">
        <v>-767.92043080374685</v>
      </c>
      <c r="AG459" s="408">
        <v>-38.63346965094243</v>
      </c>
      <c r="AH459" s="408">
        <v>0</v>
      </c>
      <c r="AI459" s="408">
        <v>0</v>
      </c>
      <c r="AJ459" s="408">
        <v>0</v>
      </c>
      <c r="AK459" s="408">
        <v>0</v>
      </c>
      <c r="AL459" s="408">
        <v>-45.102542050159016</v>
      </c>
      <c r="AM459" s="408"/>
      <c r="AN459" s="408">
        <v>-7.403958303982721</v>
      </c>
      <c r="AO459" s="408">
        <v>-27.670460034034321</v>
      </c>
      <c r="AP459" s="408">
        <v>-90.617015243877674</v>
      </c>
      <c r="AQ459" s="408">
        <v>0</v>
      </c>
      <c r="AR459" s="408">
        <v>0</v>
      </c>
      <c r="AS459" s="408">
        <v>0</v>
      </c>
      <c r="AT459" s="408">
        <v>0</v>
      </c>
      <c r="AU459" s="408">
        <v>0</v>
      </c>
      <c r="AV459" s="408">
        <v>0</v>
      </c>
      <c r="AW459" s="408">
        <v>0</v>
      </c>
      <c r="AX459" s="408">
        <v>0</v>
      </c>
      <c r="AY459" s="408">
        <v>0</v>
      </c>
      <c r="AZ459" s="408">
        <v>0</v>
      </c>
      <c r="BA459" s="408"/>
      <c r="BB459" s="408">
        <v>0</v>
      </c>
      <c r="BC459" s="408">
        <v>0</v>
      </c>
      <c r="BD459" s="408">
        <v>0</v>
      </c>
      <c r="BE459" s="408">
        <v>-2.6475658085726503</v>
      </c>
      <c r="BF459" s="408">
        <v>-22.932744746364989</v>
      </c>
      <c r="BG459" s="408">
        <v>-88.655758339727285</v>
      </c>
      <c r="BH459" s="408">
        <v>0</v>
      </c>
      <c r="BI459" s="408">
        <v>-0.36</v>
      </c>
      <c r="BJ459" s="408">
        <v>-1.53</v>
      </c>
      <c r="BK459" s="408">
        <v>-31.86</v>
      </c>
      <c r="BL459" s="408">
        <v>0</v>
      </c>
      <c r="BM459" s="408"/>
      <c r="BN459" s="408"/>
      <c r="BO459" s="408"/>
      <c r="BP459" s="408"/>
      <c r="BQ459" s="408"/>
      <c r="BR459" s="408">
        <v>-298.58403999999996</v>
      </c>
      <c r="BS459" s="408"/>
      <c r="BT459" s="408"/>
      <c r="BU459" s="408"/>
      <c r="BV459" s="408">
        <v>-882.15649969841172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-2188.8575999999998</v>
      </c>
      <c r="CJ459" s="408">
        <v>711.39083999999957</v>
      </c>
      <c r="CK459" s="408"/>
      <c r="CL459" s="408"/>
      <c r="CM459" s="408"/>
      <c r="CN459" s="408"/>
      <c r="CO459" s="408">
        <v>908.54108000000031</v>
      </c>
      <c r="CP459" s="408">
        <v>-101.11868</v>
      </c>
      <c r="CQ459" s="408">
        <v>29</v>
      </c>
      <c r="CR459" s="408">
        <v>-111.21565465484696</v>
      </c>
      <c r="CS459" s="408">
        <v>-2.6866268551440164</v>
      </c>
      <c r="CT459" s="408">
        <v>-8.7983396874405173</v>
      </c>
      <c r="CU459" s="408">
        <v>0</v>
      </c>
      <c r="CV459" s="408">
        <v>0</v>
      </c>
      <c r="CW459" s="408">
        <v>0</v>
      </c>
      <c r="CX459" s="408">
        <v>0</v>
      </c>
      <c r="CY459" s="408">
        <v>0</v>
      </c>
      <c r="CZ459" s="408">
        <v>3.1500115566516911</v>
      </c>
      <c r="DA459" s="408">
        <v>0</v>
      </c>
      <c r="DB459" s="408">
        <v>0</v>
      </c>
      <c r="DC459" s="408">
        <v>-98.571074390443982</v>
      </c>
      <c r="DD459" s="408">
        <v>-2.9436712420907369</v>
      </c>
      <c r="DE459" s="408">
        <v>-0.33984433256613533</v>
      </c>
      <c r="DF459" s="408">
        <v>0</v>
      </c>
      <c r="DG459" s="408">
        <v>-11.379946410983678</v>
      </c>
      <c r="DH459" s="408">
        <v>0</v>
      </c>
      <c r="DI459" s="408">
        <v>8.5281545676676842</v>
      </c>
      <c r="DJ459" s="408"/>
      <c r="DK459" s="408">
        <v>0</v>
      </c>
      <c r="DL459" s="408">
        <v>0</v>
      </c>
      <c r="DM459" s="408">
        <v>0.42939683599480816</v>
      </c>
      <c r="DN459" s="408">
        <v>0</v>
      </c>
      <c r="DO459" s="408">
        <v>1.1681402604452487</v>
      </c>
      <c r="DP459" s="408">
        <v>0.22814504306278938</v>
      </c>
      <c r="DQ459" s="408">
        <v>0</v>
      </c>
      <c r="DR459" s="408">
        <v>0</v>
      </c>
      <c r="DS459" s="408"/>
      <c r="DT459" s="408"/>
      <c r="DU459" s="408"/>
      <c r="DV459" s="408">
        <v>-1735.1745745354876</v>
      </c>
      <c r="DW459" s="408">
        <v>0</v>
      </c>
      <c r="DX459" s="408">
        <v>0</v>
      </c>
      <c r="DY459" s="408">
        <v>908.54108000000019</v>
      </c>
      <c r="DZ459" s="408">
        <v>-101.11867999999993</v>
      </c>
      <c r="EA459" s="408">
        <v>0</v>
      </c>
      <c r="EB459" s="408">
        <v>0</v>
      </c>
      <c r="EC459" s="408">
        <v>918.68294611420663</v>
      </c>
      <c r="ED459" s="408">
        <v>0</v>
      </c>
      <c r="EE459" s="408">
        <v>0</v>
      </c>
      <c r="EF459" s="408">
        <v>0</v>
      </c>
      <c r="EG459" s="408">
        <v>0</v>
      </c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>
        <v>0</v>
      </c>
      <c r="EN459" s="408">
        <v>0</v>
      </c>
      <c r="EO459" s="408">
        <v>0</v>
      </c>
      <c r="EP459" s="408">
        <v>0</v>
      </c>
      <c r="EQ459" s="408">
        <v>0</v>
      </c>
      <c r="ER459" s="408">
        <v>0</v>
      </c>
      <c r="ES459" s="408">
        <v>0</v>
      </c>
      <c r="ET459" s="408">
        <v>0</v>
      </c>
      <c r="EU459" s="408">
        <v>0</v>
      </c>
      <c r="EV459" s="408">
        <v>239</v>
      </c>
      <c r="EW459" s="408">
        <v>0</v>
      </c>
      <c r="EX459" s="408">
        <v>0</v>
      </c>
      <c r="EY459" s="408">
        <v>0</v>
      </c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464</v>
      </c>
      <c r="B460" s="408" t="s">
        <v>2236</v>
      </c>
      <c r="C460" s="408" t="s">
        <v>2233</v>
      </c>
      <c r="D460" s="408" t="s">
        <v>2243</v>
      </c>
      <c r="E460" s="408" t="s">
        <v>972</v>
      </c>
      <c r="F460" s="408" t="s">
        <v>1320</v>
      </c>
      <c r="G460" s="408" t="s">
        <v>1320</v>
      </c>
      <c r="H460" s="408" t="s">
        <v>1320</v>
      </c>
      <c r="I460" s="408" t="s">
        <v>1320</v>
      </c>
      <c r="J460" s="408" t="s">
        <v>2234</v>
      </c>
      <c r="K460" s="827">
        <v>44593</v>
      </c>
      <c r="L460" s="408">
        <v>0</v>
      </c>
      <c r="M460" s="408">
        <v>0</v>
      </c>
      <c r="N460" s="408">
        <v>76.325999999999993</v>
      </c>
      <c r="O460" s="408">
        <v>76.325999999999993</v>
      </c>
      <c r="P460" s="408">
        <v>76.325999999999993</v>
      </c>
      <c r="Q460" s="408">
        <v>76.325999999999993</v>
      </c>
      <c r="R460" s="408"/>
      <c r="S460" s="408">
        <v>516.83000000000004</v>
      </c>
      <c r="T460" s="408">
        <v>173.82</v>
      </c>
      <c r="U460" s="408"/>
      <c r="V460" s="408">
        <v>52714.551899999999</v>
      </c>
      <c r="W460" s="408">
        <v>52714.551899999999</v>
      </c>
      <c r="X460" s="408">
        <v>39800.192699999992</v>
      </c>
      <c r="Y460" s="408">
        <v>0</v>
      </c>
      <c r="Z460" s="408">
        <v>4667.2933601869163</v>
      </c>
      <c r="AA460" s="408">
        <v>0</v>
      </c>
      <c r="AB460" s="408">
        <v>0</v>
      </c>
      <c r="AC460" s="408">
        <v>207.48796234563153</v>
      </c>
      <c r="AD460" s="408">
        <v>2627.6455510332089</v>
      </c>
      <c r="AE460" s="408">
        <v>27753.339181893465</v>
      </c>
      <c r="AF460" s="408">
        <v>12282.542917335872</v>
      </c>
      <c r="AG460" s="408">
        <v>617.92502191488506</v>
      </c>
      <c r="AH460" s="408">
        <v>0</v>
      </c>
      <c r="AI460" s="408">
        <v>0</v>
      </c>
      <c r="AJ460" s="408">
        <v>0</v>
      </c>
      <c r="AK460" s="408">
        <v>0</v>
      </c>
      <c r="AL460" s="408">
        <v>721.39493388944607</v>
      </c>
      <c r="AM460" s="408"/>
      <c r="AN460" s="408">
        <v>118.42299277237743</v>
      </c>
      <c r="AO460" s="408">
        <v>442.57659944629154</v>
      </c>
      <c r="AP460" s="408">
        <v>1449.3785216899007</v>
      </c>
      <c r="AQ460" s="408">
        <v>0</v>
      </c>
      <c r="AR460" s="408">
        <v>0</v>
      </c>
      <c r="AS460" s="408">
        <v>0</v>
      </c>
      <c r="AT460" s="408">
        <v>0</v>
      </c>
      <c r="AU460" s="408">
        <v>0</v>
      </c>
      <c r="AV460" s="408">
        <v>0</v>
      </c>
      <c r="AW460" s="408">
        <v>0</v>
      </c>
      <c r="AX460" s="408">
        <v>0</v>
      </c>
      <c r="AY460" s="408">
        <v>0</v>
      </c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42.346627809119042</v>
      </c>
      <c r="BF460" s="408">
        <v>366.79896804506581</v>
      </c>
      <c r="BG460" s="408">
        <v>1418.0090970322767</v>
      </c>
      <c r="BH460" s="408">
        <v>0</v>
      </c>
      <c r="BI460" s="408">
        <v>180.84</v>
      </c>
      <c r="BJ460" s="408">
        <v>831.19</v>
      </c>
      <c r="BK460" s="408">
        <v>1898.75</v>
      </c>
      <c r="BL460" s="408">
        <v>244</v>
      </c>
      <c r="BM460" s="408"/>
      <c r="BN460" s="408"/>
      <c r="BO460" s="408"/>
      <c r="BP460" s="408"/>
      <c r="BQ460" s="408"/>
      <c r="BR460" s="408">
        <v>4775.7178199999989</v>
      </c>
      <c r="BS460" s="408"/>
      <c r="BT460" s="408"/>
      <c r="BU460" s="408"/>
      <c r="BV460" s="408">
        <v>14109.697610222333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35026.310400000002</v>
      </c>
      <c r="CJ460" s="408">
        <v>-11362.372620000002</v>
      </c>
      <c r="CK460" s="408"/>
      <c r="CL460" s="408"/>
      <c r="CM460" s="408"/>
      <c r="CN460" s="408"/>
      <c r="CO460" s="408">
        <v>-14531.707140000002</v>
      </c>
      <c r="CP460" s="408">
        <v>1617.3479399999997</v>
      </c>
      <c r="CQ460" s="408">
        <v>29</v>
      </c>
      <c r="CR460" s="408">
        <v>1778.8445216231739</v>
      </c>
      <c r="CS460" s="408">
        <v>42.971391732129575</v>
      </c>
      <c r="CT460" s="408">
        <v>140.72549769144689</v>
      </c>
      <c r="CU460" s="408">
        <v>0</v>
      </c>
      <c r="CV460" s="408">
        <v>0</v>
      </c>
      <c r="CW460" s="408">
        <v>0</v>
      </c>
      <c r="CX460" s="408">
        <v>0</v>
      </c>
      <c r="CY460" s="408">
        <v>0</v>
      </c>
      <c r="CZ460" s="408">
        <v>-50.383022228205391</v>
      </c>
      <c r="DA460" s="408">
        <v>0</v>
      </c>
      <c r="DB460" s="408">
        <v>0</v>
      </c>
      <c r="DC460" s="408">
        <v>1576.6001307470706</v>
      </c>
      <c r="DD460" s="408">
        <v>47.082701429970143</v>
      </c>
      <c r="DE460" s="408">
        <v>5.4356576964465333</v>
      </c>
      <c r="DF460" s="408">
        <v>0</v>
      </c>
      <c r="DG460" s="408">
        <v>182.01713951482384</v>
      </c>
      <c r="DH460" s="408">
        <v>0</v>
      </c>
      <c r="DI460" s="408">
        <v>-136.40400786500504</v>
      </c>
      <c r="DJ460" s="408"/>
      <c r="DK460" s="408">
        <v>0</v>
      </c>
      <c r="DL460" s="408">
        <v>0</v>
      </c>
      <c r="DM460" s="408">
        <v>-6.8680098290318483</v>
      </c>
      <c r="DN460" s="408">
        <v>0</v>
      </c>
      <c r="DO460" s="408">
        <v>-18.683879614154307</v>
      </c>
      <c r="DP460" s="408">
        <v>-3.6490776523072981</v>
      </c>
      <c r="DQ460" s="408">
        <v>0</v>
      </c>
      <c r="DR460" s="408">
        <v>0</v>
      </c>
      <c r="DS460" s="408"/>
      <c r="DT460" s="408"/>
      <c r="DU460" s="408"/>
      <c r="DV460" s="408">
        <v>27753.339181893465</v>
      </c>
      <c r="DW460" s="408">
        <v>0</v>
      </c>
      <c r="DX460" s="408">
        <v>0</v>
      </c>
      <c r="DY460" s="408">
        <v>-14531.707140000002</v>
      </c>
      <c r="DZ460" s="408">
        <v>1617.3479399999997</v>
      </c>
      <c r="EA460" s="408">
        <v>0</v>
      </c>
      <c r="EB460" s="408">
        <v>0</v>
      </c>
      <c r="EC460" s="408">
        <v>-14693.921740384101</v>
      </c>
      <c r="ED460" s="408">
        <v>0</v>
      </c>
      <c r="EE460" s="408">
        <v>0</v>
      </c>
      <c r="EF460" s="408">
        <v>0</v>
      </c>
      <c r="EG460" s="408">
        <v>0</v>
      </c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>
        <v>0</v>
      </c>
      <c r="EN460" s="408">
        <v>0</v>
      </c>
      <c r="EO460" s="408">
        <v>0</v>
      </c>
      <c r="EP460" s="408">
        <v>0</v>
      </c>
      <c r="EQ460" s="408">
        <v>0</v>
      </c>
      <c r="ER460" s="408">
        <v>0</v>
      </c>
      <c r="ES460" s="408">
        <v>0</v>
      </c>
      <c r="ET460" s="408">
        <v>0</v>
      </c>
      <c r="EU460" s="408">
        <v>0</v>
      </c>
      <c r="EV460" s="408">
        <v>239</v>
      </c>
      <c r="EW460" s="408">
        <v>0</v>
      </c>
      <c r="EX460" s="408">
        <v>0</v>
      </c>
      <c r="EY460" s="408">
        <v>0</v>
      </c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465</v>
      </c>
      <c r="B461" s="408" t="s">
        <v>2236</v>
      </c>
      <c r="C461" s="408" t="s">
        <v>2233</v>
      </c>
      <c r="D461" s="408" t="s">
        <v>2243</v>
      </c>
      <c r="E461" s="408" t="s">
        <v>972</v>
      </c>
      <c r="F461" s="408" t="s">
        <v>1320</v>
      </c>
      <c r="G461" s="408" t="s">
        <v>1320</v>
      </c>
      <c r="H461" s="408" t="s">
        <v>1320</v>
      </c>
      <c r="I461" s="408" t="s">
        <v>1320</v>
      </c>
      <c r="J461" s="408" t="s">
        <v>2234</v>
      </c>
      <c r="K461" s="827">
        <v>44593</v>
      </c>
      <c r="L461" s="408">
        <v>0</v>
      </c>
      <c r="M461" s="408">
        <v>0</v>
      </c>
      <c r="N461" s="408">
        <v>0</v>
      </c>
      <c r="O461" s="408">
        <v>0</v>
      </c>
      <c r="P461" s="408">
        <v>0</v>
      </c>
      <c r="Q461" s="408">
        <v>0</v>
      </c>
      <c r="R461" s="408"/>
      <c r="S461" s="408"/>
      <c r="T461" s="408"/>
      <c r="U461" s="408"/>
      <c r="V461" s="408"/>
      <c r="W461" s="408"/>
      <c r="X461" s="408"/>
      <c r="Y461" s="408"/>
      <c r="Z461" s="408"/>
      <c r="AA461" s="408">
        <v>0</v>
      </c>
      <c r="AB461" s="408"/>
      <c r="AC461" s="408"/>
      <c r="AD461" s="408"/>
      <c r="AE461" s="408"/>
      <c r="AF461" s="408"/>
      <c r="AG461" s="408"/>
      <c r="AH461" s="408"/>
      <c r="AI461" s="408"/>
      <c r="AJ461" s="408"/>
      <c r="AK461" s="408"/>
      <c r="AL461" s="408"/>
      <c r="AM461" s="408"/>
      <c r="AN461" s="408"/>
      <c r="AO461" s="408"/>
      <c r="AP461" s="408"/>
      <c r="AQ461" s="408"/>
      <c r="AR461" s="408"/>
      <c r="AS461" s="408"/>
      <c r="AT461" s="408"/>
      <c r="AU461" s="408"/>
      <c r="AV461" s="408"/>
      <c r="AW461" s="408"/>
      <c r="AX461" s="408"/>
      <c r="AY461" s="408"/>
      <c r="AZ461" s="408">
        <v>0</v>
      </c>
      <c r="BA461" s="408"/>
      <c r="BB461" s="408"/>
      <c r="BC461" s="408"/>
      <c r="BD461" s="408"/>
      <c r="BE461" s="408"/>
      <c r="BF461" s="408"/>
      <c r="BG461" s="408"/>
      <c r="BH461" s="408"/>
      <c r="BI461" s="408">
        <v>0</v>
      </c>
      <c r="BJ461" s="408">
        <v>0</v>
      </c>
      <c r="BK461" s="408">
        <v>-4.9800000000000004</v>
      </c>
      <c r="BL461" s="408">
        <v>2</v>
      </c>
      <c r="BM461" s="408"/>
      <c r="BN461" s="408"/>
      <c r="BO461" s="408"/>
      <c r="BP461" s="408"/>
      <c r="BQ461" s="408"/>
      <c r="BR461" s="408"/>
      <c r="BS461" s="408"/>
      <c r="BT461" s="408"/>
      <c r="BU461" s="408"/>
      <c r="BV461" s="408"/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/>
      <c r="CJ461" s="408">
        <v>-0.03</v>
      </c>
      <c r="CK461" s="408"/>
      <c r="CL461" s="408"/>
      <c r="CM461" s="408"/>
      <c r="CN461" s="408"/>
      <c r="CO461" s="408">
        <v>0</v>
      </c>
      <c r="CP461" s="408">
        <v>0</v>
      </c>
      <c r="CQ461" s="408">
        <v>29</v>
      </c>
      <c r="CR461" s="408"/>
      <c r="CS461" s="408"/>
      <c r="CT461" s="408"/>
      <c r="CU461" s="408"/>
      <c r="CV461" s="408"/>
      <c r="CW461" s="408"/>
      <c r="CX461" s="408"/>
      <c r="CY461" s="408"/>
      <c r="CZ461" s="408"/>
      <c r="DA461" s="408"/>
      <c r="DB461" s="408"/>
      <c r="DC461" s="408"/>
      <c r="DD461" s="408"/>
      <c r="DE461" s="408"/>
      <c r="DF461" s="408"/>
      <c r="DG461" s="408"/>
      <c r="DH461" s="408"/>
      <c r="DI461" s="408"/>
      <c r="DJ461" s="408"/>
      <c r="DK461" s="408">
        <v>0</v>
      </c>
      <c r="DL461" s="408"/>
      <c r="DM461" s="408"/>
      <c r="DN461" s="408"/>
      <c r="DO461" s="408"/>
      <c r="DP461" s="408"/>
      <c r="DQ461" s="408"/>
      <c r="DR461" s="408"/>
      <c r="DS461" s="408"/>
      <c r="DT461" s="408"/>
      <c r="DU461" s="408"/>
      <c r="DV461" s="408"/>
      <c r="DW461" s="408"/>
      <c r="DX461" s="408"/>
      <c r="DY461" s="408"/>
      <c r="DZ461" s="408"/>
      <c r="EA461" s="408"/>
      <c r="EB461" s="408"/>
      <c r="EC461" s="408"/>
      <c r="ED461" s="408"/>
      <c r="EE461" s="408"/>
      <c r="EF461" s="408"/>
      <c r="EG461" s="408"/>
      <c r="EH461" s="408"/>
      <c r="EI461" s="408"/>
      <c r="EJ461" s="408"/>
      <c r="EK461" s="408"/>
      <c r="EL461" s="408"/>
      <c r="EM461" s="408"/>
      <c r="EN461" s="408"/>
      <c r="EO461" s="408"/>
      <c r="EP461" s="408"/>
      <c r="EQ461" s="408"/>
      <c r="ER461" s="408"/>
      <c r="ES461" s="408"/>
      <c r="ET461" s="408"/>
      <c r="EU461" s="408"/>
      <c r="EV461" s="408">
        <v>239</v>
      </c>
      <c r="EW461" s="408"/>
      <c r="EX461" s="408"/>
      <c r="EY461" s="408"/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466</v>
      </c>
      <c r="B462" s="408" t="s">
        <v>1034</v>
      </c>
      <c r="C462" s="408" t="s">
        <v>2241</v>
      </c>
      <c r="D462" s="408" t="s">
        <v>596</v>
      </c>
      <c r="E462" s="408" t="s">
        <v>972</v>
      </c>
      <c r="F462" s="408" t="s">
        <v>1320</v>
      </c>
      <c r="G462" s="408" t="s">
        <v>1320</v>
      </c>
      <c r="H462" s="408" t="s">
        <v>1320</v>
      </c>
      <c r="I462" s="408" t="s">
        <v>971</v>
      </c>
      <c r="J462" s="408" t="s">
        <v>2234</v>
      </c>
      <c r="K462" s="827">
        <v>44593</v>
      </c>
      <c r="L462" s="408">
        <v>0</v>
      </c>
      <c r="M462" s="408">
        <v>0</v>
      </c>
      <c r="N462" s="408">
        <v>52.546999999999997</v>
      </c>
      <c r="O462" s="408">
        <v>50.445120000000003</v>
      </c>
      <c r="P462" s="408">
        <v>52.546999999999997</v>
      </c>
      <c r="Q462" s="408">
        <v>50.445120000000003</v>
      </c>
      <c r="R462" s="408"/>
      <c r="S462" s="408">
        <v>1684.16</v>
      </c>
      <c r="T462" s="408">
        <v>173.82</v>
      </c>
      <c r="U462" s="408"/>
      <c r="V462" s="408">
        <v>97631.275059999985</v>
      </c>
      <c r="W462" s="408">
        <v>97631.275059999985</v>
      </c>
      <c r="X462" s="408">
        <v>67021.596619999997</v>
      </c>
      <c r="Y462" s="408">
        <v>0</v>
      </c>
      <c r="Z462" s="408">
        <v>2795.5017929936821</v>
      </c>
      <c r="AA462" s="408">
        <v>0</v>
      </c>
      <c r="AB462" s="408">
        <v>0</v>
      </c>
      <c r="AC462" s="408">
        <v>945.81446442951608</v>
      </c>
      <c r="AD462" s="408">
        <v>14428.666820623086</v>
      </c>
      <c r="AE462" s="408">
        <v>60864.793658929921</v>
      </c>
      <c r="AF462" s="408">
        <v>8455.9754562959934</v>
      </c>
      <c r="AG462" s="408">
        <v>425.41343875693042</v>
      </c>
      <c r="AH462" s="408">
        <v>0</v>
      </c>
      <c r="AI462" s="408">
        <v>0</v>
      </c>
      <c r="AJ462" s="408">
        <v>0</v>
      </c>
      <c r="AK462" s="408">
        <v>0</v>
      </c>
      <c r="AL462" s="408">
        <v>496.64779486791815</v>
      </c>
      <c r="AM462" s="408"/>
      <c r="AN462" s="408">
        <v>65.301768289421801</v>
      </c>
      <c r="AO462" s="408">
        <v>2031.2643792769725</v>
      </c>
      <c r="AP462" s="408">
        <v>6531.5222654979425</v>
      </c>
      <c r="AQ462" s="408">
        <v>0</v>
      </c>
      <c r="AR462" s="408">
        <v>0</v>
      </c>
      <c r="AS462" s="408">
        <v>0</v>
      </c>
      <c r="AT462" s="408">
        <v>0</v>
      </c>
      <c r="AU462" s="408">
        <v>0</v>
      </c>
      <c r="AV462" s="408">
        <v>0</v>
      </c>
      <c r="AW462" s="408">
        <v>0</v>
      </c>
      <c r="AX462" s="408">
        <v>0</v>
      </c>
      <c r="AY462" s="408">
        <v>0</v>
      </c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9.8049351969188923</v>
      </c>
      <c r="BF462" s="408">
        <v>252.52450506857522</v>
      </c>
      <c r="BG462" s="408">
        <v>328.32572566850109</v>
      </c>
      <c r="BH462" s="408">
        <v>0</v>
      </c>
      <c r="BI462" s="408">
        <v>0</v>
      </c>
      <c r="BJ462" s="408">
        <v>0</v>
      </c>
      <c r="BK462" s="408">
        <v>0</v>
      </c>
      <c r="BL462" s="408">
        <v>0</v>
      </c>
      <c r="BM462" s="408"/>
      <c r="BN462" s="408"/>
      <c r="BO462" s="408"/>
      <c r="BP462" s="408"/>
      <c r="BQ462" s="408"/>
      <c r="BR462" s="408">
        <v>2680.8638647999928</v>
      </c>
      <c r="BS462" s="408"/>
      <c r="BT462" s="408"/>
      <c r="BU462" s="408"/>
      <c r="BV462" s="408">
        <v>9046.6306222299881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64346.957000000009</v>
      </c>
      <c r="CJ462" s="408">
        <v>-29379.097057599982</v>
      </c>
      <c r="CK462" s="408"/>
      <c r="CL462" s="408"/>
      <c r="CM462" s="408"/>
      <c r="CN462" s="408"/>
      <c r="CO462" s="408">
        <v>-31723.149369999999</v>
      </c>
      <c r="CP462" s="408">
        <v>1113.4709299999997</v>
      </c>
      <c r="CQ462" s="408">
        <v>29</v>
      </c>
      <c r="CR462" s="408">
        <v>1614.6657743053438</v>
      </c>
      <c r="CS462" s="408">
        <v>197.22293827245608</v>
      </c>
      <c r="CT462" s="408">
        <v>634.16954766466733</v>
      </c>
      <c r="CU462" s="408">
        <v>0</v>
      </c>
      <c r="CV462" s="408">
        <v>0</v>
      </c>
      <c r="CW462" s="408">
        <v>0</v>
      </c>
      <c r="CX462" s="408">
        <v>0</v>
      </c>
      <c r="CY462" s="408">
        <v>0</v>
      </c>
      <c r="CZ462" s="408">
        <v>-276.65825813571973</v>
      </c>
      <c r="DA462" s="408">
        <v>0</v>
      </c>
      <c r="DB462" s="408">
        <v>0</v>
      </c>
      <c r="DC462" s="408">
        <v>1085.4179056987959</v>
      </c>
      <c r="DD462" s="408">
        <v>32.414311139593877</v>
      </c>
      <c r="DE462" s="408">
        <v>1.2585717971813448</v>
      </c>
      <c r="DF462" s="408">
        <v>0</v>
      </c>
      <c r="DG462" s="408">
        <v>42.144235562650351</v>
      </c>
      <c r="DH462" s="408">
        <v>0</v>
      </c>
      <c r="DI462" s="408">
        <v>-81.699953084346816</v>
      </c>
      <c r="DJ462" s="408"/>
      <c r="DK462" s="408">
        <v>0</v>
      </c>
      <c r="DL462" s="408">
        <v>0</v>
      </c>
      <c r="DM462" s="408">
        <v>-4.7283142374307658</v>
      </c>
      <c r="DN462" s="408">
        <v>0</v>
      </c>
      <c r="DO462" s="408">
        <v>-12.863006342333733</v>
      </c>
      <c r="DP462" s="408">
        <v>-2.0122040301677941</v>
      </c>
      <c r="DQ462" s="408">
        <v>0</v>
      </c>
      <c r="DR462" s="408">
        <v>0</v>
      </c>
      <c r="DS462" s="408"/>
      <c r="DT462" s="408"/>
      <c r="DU462" s="408"/>
      <c r="DV462" s="408">
        <v>60864.793658929921</v>
      </c>
      <c r="DW462" s="408">
        <v>0</v>
      </c>
      <c r="DX462" s="408">
        <v>0</v>
      </c>
      <c r="DY462" s="408">
        <v>-31723.149369999992</v>
      </c>
      <c r="DZ462" s="408">
        <v>1113.4709300000013</v>
      </c>
      <c r="EA462" s="408">
        <v>0</v>
      </c>
      <c r="EB462" s="408">
        <v>0</v>
      </c>
      <c r="EC462" s="408">
        <v>-32224.681466524908</v>
      </c>
      <c r="ED462" s="408">
        <v>0</v>
      </c>
      <c r="EE462" s="408">
        <v>0</v>
      </c>
      <c r="EF462" s="408">
        <v>0</v>
      </c>
      <c r="EG462" s="408">
        <v>0</v>
      </c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>
        <v>0</v>
      </c>
      <c r="EN462" s="408">
        <v>0</v>
      </c>
      <c r="EO462" s="408">
        <v>0</v>
      </c>
      <c r="EP462" s="408">
        <v>0</v>
      </c>
      <c r="EQ462" s="408">
        <v>0</v>
      </c>
      <c r="ER462" s="408">
        <v>0</v>
      </c>
      <c r="ES462" s="408">
        <v>0</v>
      </c>
      <c r="ET462" s="408">
        <v>0</v>
      </c>
      <c r="EU462" s="408">
        <v>0</v>
      </c>
      <c r="EV462" s="408">
        <v>239</v>
      </c>
      <c r="EW462" s="408">
        <v>0</v>
      </c>
      <c r="EX462" s="408">
        <v>0</v>
      </c>
      <c r="EY462" s="408">
        <v>0</v>
      </c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467</v>
      </c>
      <c r="B463" s="408" t="s">
        <v>2236</v>
      </c>
      <c r="C463" s="408" t="s">
        <v>2241</v>
      </c>
      <c r="D463" s="408" t="s">
        <v>596</v>
      </c>
      <c r="E463" s="408" t="s">
        <v>972</v>
      </c>
      <c r="F463" s="408" t="s">
        <v>1320</v>
      </c>
      <c r="G463" s="408" t="s">
        <v>1320</v>
      </c>
      <c r="H463" s="408" t="s">
        <v>1320</v>
      </c>
      <c r="I463" s="408" t="s">
        <v>971</v>
      </c>
      <c r="J463" s="408" t="s">
        <v>2234</v>
      </c>
      <c r="K463" s="827">
        <v>44593</v>
      </c>
      <c r="L463" s="408">
        <v>0</v>
      </c>
      <c r="M463" s="408">
        <v>0</v>
      </c>
      <c r="N463" s="408">
        <v>6.367</v>
      </c>
      <c r="O463" s="408">
        <v>6.1123200000000004</v>
      </c>
      <c r="P463" s="408">
        <v>6.367</v>
      </c>
      <c r="Q463" s="408">
        <v>6.1123200000000004</v>
      </c>
      <c r="R463" s="408"/>
      <c r="S463" s="408">
        <v>1684.16</v>
      </c>
      <c r="T463" s="408">
        <v>173.82</v>
      </c>
      <c r="U463" s="408"/>
      <c r="V463" s="408">
        <v>11829.75866</v>
      </c>
      <c r="W463" s="408">
        <v>11829.75866</v>
      </c>
      <c r="X463" s="408">
        <v>8120.8538200000003</v>
      </c>
      <c r="Y463" s="408">
        <v>0</v>
      </c>
      <c r="Z463" s="408">
        <v>338.7245687858636</v>
      </c>
      <c r="AA463" s="408">
        <v>0</v>
      </c>
      <c r="AB463" s="408">
        <v>0</v>
      </c>
      <c r="AC463" s="408">
        <v>114.60217890693531</v>
      </c>
      <c r="AD463" s="408">
        <v>1748.2886110892573</v>
      </c>
      <c r="AE463" s="408">
        <v>7374.8480641408041</v>
      </c>
      <c r="AF463" s="408">
        <v>1024.5912369923421</v>
      </c>
      <c r="AG463" s="408">
        <v>51.546374951288861</v>
      </c>
      <c r="AH463" s="408">
        <v>0</v>
      </c>
      <c r="AI463" s="408">
        <v>0</v>
      </c>
      <c r="AJ463" s="408">
        <v>0</v>
      </c>
      <c r="AK463" s="408">
        <v>0</v>
      </c>
      <c r="AL463" s="408">
        <v>60.177679219061702</v>
      </c>
      <c r="AM463" s="408"/>
      <c r="AN463" s="408">
        <v>7.912466148376665</v>
      </c>
      <c r="AO463" s="408">
        <v>246.12366648631669</v>
      </c>
      <c r="AP463" s="408">
        <v>791.40963831285137</v>
      </c>
      <c r="AQ463" s="408">
        <v>0</v>
      </c>
      <c r="AR463" s="408">
        <v>0</v>
      </c>
      <c r="AS463" s="408">
        <v>0</v>
      </c>
      <c r="AT463" s="408">
        <v>0</v>
      </c>
      <c r="AU463" s="408">
        <v>0</v>
      </c>
      <c r="AV463" s="408">
        <v>0</v>
      </c>
      <c r="AW463" s="408">
        <v>0</v>
      </c>
      <c r="AX463" s="408">
        <v>0</v>
      </c>
      <c r="AY463" s="408">
        <v>0</v>
      </c>
      <c r="AZ463" s="408">
        <v>0</v>
      </c>
      <c r="BA463" s="408"/>
      <c r="BB463" s="408">
        <v>0</v>
      </c>
      <c r="BC463" s="408">
        <v>0</v>
      </c>
      <c r="BD463" s="408">
        <v>0</v>
      </c>
      <c r="BE463" s="408">
        <v>1.188041608441635</v>
      </c>
      <c r="BF463" s="408">
        <v>30.597817644615649</v>
      </c>
      <c r="BG463" s="408">
        <v>39.782478454171439</v>
      </c>
      <c r="BH463" s="408">
        <v>0</v>
      </c>
      <c r="BI463" s="408">
        <v>0</v>
      </c>
      <c r="BJ463" s="408">
        <v>0</v>
      </c>
      <c r="BK463" s="408">
        <v>0</v>
      </c>
      <c r="BL463" s="408">
        <v>0</v>
      </c>
      <c r="BM463" s="408"/>
      <c r="BN463" s="408"/>
      <c r="BO463" s="408"/>
      <c r="BP463" s="408"/>
      <c r="BQ463" s="408"/>
      <c r="BR463" s="408">
        <v>324.83415279999952</v>
      </c>
      <c r="BS463" s="408"/>
      <c r="BT463" s="408"/>
      <c r="BU463" s="408"/>
      <c r="BV463" s="408">
        <v>1096.1595746995708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7793.0606000000007</v>
      </c>
      <c r="CJ463" s="408">
        <v>-3563.5377136000025</v>
      </c>
      <c r="CK463" s="408"/>
      <c r="CL463" s="408"/>
      <c r="CM463" s="408"/>
      <c r="CN463" s="408"/>
      <c r="CO463" s="408">
        <v>-3843.8215700000001</v>
      </c>
      <c r="CP463" s="408">
        <v>134.91672999999997</v>
      </c>
      <c r="CQ463" s="408">
        <v>29</v>
      </c>
      <c r="CR463" s="408">
        <v>195.64536481630057</v>
      </c>
      <c r="CS463" s="408">
        <v>23.897053075926891</v>
      </c>
      <c r="CT463" s="408">
        <v>76.840875977333326</v>
      </c>
      <c r="CU463" s="408">
        <v>0</v>
      </c>
      <c r="CV463" s="408">
        <v>0</v>
      </c>
      <c r="CW463" s="408">
        <v>0</v>
      </c>
      <c r="CX463" s="408">
        <v>0</v>
      </c>
      <c r="CY463" s="408">
        <v>0</v>
      </c>
      <c r="CZ463" s="408">
        <v>-33.522049394830219</v>
      </c>
      <c r="DA463" s="408">
        <v>0</v>
      </c>
      <c r="DB463" s="408">
        <v>0</v>
      </c>
      <c r="DC463" s="408">
        <v>131.51760910393045</v>
      </c>
      <c r="DD463" s="408">
        <v>3.9275680633679251</v>
      </c>
      <c r="DE463" s="408">
        <v>0.15249827074150035</v>
      </c>
      <c r="DF463" s="408">
        <v>0</v>
      </c>
      <c r="DG463" s="408">
        <v>5.1065207876262164</v>
      </c>
      <c r="DH463" s="408">
        <v>0</v>
      </c>
      <c r="DI463" s="408">
        <v>-9.8993967550580351</v>
      </c>
      <c r="DJ463" s="408"/>
      <c r="DK463" s="408">
        <v>0</v>
      </c>
      <c r="DL463" s="408">
        <v>0</v>
      </c>
      <c r="DM463" s="408">
        <v>-0.57291903914060072</v>
      </c>
      <c r="DN463" s="408">
        <v>0</v>
      </c>
      <c r="DO463" s="408">
        <v>-1.5585811060886243</v>
      </c>
      <c r="DP463" s="408">
        <v>-0.24381416750867491</v>
      </c>
      <c r="DQ463" s="408">
        <v>0</v>
      </c>
      <c r="DR463" s="408">
        <v>0</v>
      </c>
      <c r="DS463" s="408"/>
      <c r="DT463" s="408"/>
      <c r="DU463" s="408"/>
      <c r="DV463" s="408">
        <v>7374.8480641408041</v>
      </c>
      <c r="DW463" s="408">
        <v>0</v>
      </c>
      <c r="DX463" s="408">
        <v>0</v>
      </c>
      <c r="DY463" s="408">
        <v>-3843.8215700000001</v>
      </c>
      <c r="DZ463" s="408">
        <v>134.91672999999992</v>
      </c>
      <c r="EA463" s="408">
        <v>0</v>
      </c>
      <c r="EB463" s="408">
        <v>0</v>
      </c>
      <c r="EC463" s="408">
        <v>-3904.5910688976369</v>
      </c>
      <c r="ED463" s="408">
        <v>0</v>
      </c>
      <c r="EE463" s="408">
        <v>0</v>
      </c>
      <c r="EF463" s="408">
        <v>0</v>
      </c>
      <c r="EG463" s="408">
        <v>0</v>
      </c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>
        <v>0</v>
      </c>
      <c r="EN463" s="408">
        <v>0</v>
      </c>
      <c r="EO463" s="408">
        <v>0</v>
      </c>
      <c r="EP463" s="408">
        <v>0</v>
      </c>
      <c r="EQ463" s="408">
        <v>0</v>
      </c>
      <c r="ER463" s="408">
        <v>0</v>
      </c>
      <c r="ES463" s="408">
        <v>0</v>
      </c>
      <c r="ET463" s="408">
        <v>0</v>
      </c>
      <c r="EU463" s="408">
        <v>0</v>
      </c>
      <c r="EV463" s="408">
        <v>239</v>
      </c>
      <c r="EW463" s="408">
        <v>0</v>
      </c>
      <c r="EX463" s="408">
        <v>0</v>
      </c>
      <c r="EY463" s="408">
        <v>0</v>
      </c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468</v>
      </c>
      <c r="B464" s="408" t="s">
        <v>1034</v>
      </c>
      <c r="C464" s="408" t="s">
        <v>2241</v>
      </c>
      <c r="D464" s="408" t="s">
        <v>596</v>
      </c>
      <c r="E464" s="408" t="s">
        <v>972</v>
      </c>
      <c r="F464" s="408" t="s">
        <v>1320</v>
      </c>
      <c r="G464" s="408" t="s">
        <v>1320</v>
      </c>
      <c r="H464" s="408" t="s">
        <v>1320</v>
      </c>
      <c r="I464" s="408" t="s">
        <v>2242</v>
      </c>
      <c r="J464" s="408" t="s">
        <v>2234</v>
      </c>
      <c r="K464" s="827">
        <v>44593</v>
      </c>
      <c r="L464" s="408">
        <v>0</v>
      </c>
      <c r="M464" s="408">
        <v>0</v>
      </c>
      <c r="N464" s="408">
        <v>576.44899999999996</v>
      </c>
      <c r="O464" s="408">
        <v>553.39103999999998</v>
      </c>
      <c r="P464" s="408">
        <v>576.44899999999996</v>
      </c>
      <c r="Q464" s="408">
        <v>553.39103999999998</v>
      </c>
      <c r="R464" s="408"/>
      <c r="S464" s="408">
        <v>70.33</v>
      </c>
      <c r="T464" s="408">
        <v>173.82</v>
      </c>
      <c r="U464" s="408"/>
      <c r="V464" s="408">
        <v>140740.02334999997</v>
      </c>
      <c r="W464" s="408">
        <v>140740.02334999997</v>
      </c>
      <c r="X464" s="408">
        <v>152372.76416999998</v>
      </c>
      <c r="Y464" s="408">
        <v>0</v>
      </c>
      <c r="Z464" s="408">
        <v>30667.102081363639</v>
      </c>
      <c r="AA464" s="408">
        <v>0</v>
      </c>
      <c r="AB464" s="408">
        <v>0</v>
      </c>
      <c r="AC464" s="408">
        <v>0</v>
      </c>
      <c r="AD464" s="408">
        <v>0</v>
      </c>
      <c r="AE464" s="408">
        <v>0</v>
      </c>
      <c r="AF464" s="408">
        <v>92763.404110726959</v>
      </c>
      <c r="AG464" s="408">
        <v>4666.8535093914734</v>
      </c>
      <c r="AH464" s="408">
        <v>0</v>
      </c>
      <c r="AI464" s="408">
        <v>0</v>
      </c>
      <c r="AJ464" s="408">
        <v>0</v>
      </c>
      <c r="AK464" s="408">
        <v>0</v>
      </c>
      <c r="AL464" s="408">
        <v>5448.3057967879522</v>
      </c>
      <c r="AM464" s="408"/>
      <c r="AN464" s="408">
        <v>716.37084949985547</v>
      </c>
      <c r="AO464" s="408">
        <v>0</v>
      </c>
      <c r="AP464" s="408">
        <v>0</v>
      </c>
      <c r="AQ464" s="408">
        <v>0</v>
      </c>
      <c r="AR464" s="408">
        <v>0</v>
      </c>
      <c r="AS464" s="408">
        <v>0</v>
      </c>
      <c r="AT464" s="408">
        <v>0</v>
      </c>
      <c r="AU464" s="408">
        <v>0</v>
      </c>
      <c r="AV464" s="408">
        <v>0</v>
      </c>
      <c r="AW464" s="408">
        <v>0</v>
      </c>
      <c r="AX464" s="408">
        <v>0</v>
      </c>
      <c r="AY464" s="408">
        <v>0</v>
      </c>
      <c r="AZ464" s="408">
        <v>0</v>
      </c>
      <c r="BA464" s="408"/>
      <c r="BB464" s="408">
        <v>0</v>
      </c>
      <c r="BC464" s="408">
        <v>0</v>
      </c>
      <c r="BD464" s="408">
        <v>0</v>
      </c>
      <c r="BE464" s="408">
        <v>107.56170836258394</v>
      </c>
      <c r="BF464" s="408">
        <v>2770.2342364411879</v>
      </c>
      <c r="BG464" s="408">
        <v>3601.7857581951739</v>
      </c>
      <c r="BH464" s="408">
        <v>0</v>
      </c>
      <c r="BI464" s="408">
        <v>0</v>
      </c>
      <c r="BJ464" s="408">
        <v>0</v>
      </c>
      <c r="BK464" s="408">
        <v>0</v>
      </c>
      <c r="BL464" s="408">
        <v>0</v>
      </c>
      <c r="BM464" s="408"/>
      <c r="BN464" s="408"/>
      <c r="BO464" s="408"/>
      <c r="BP464" s="408"/>
      <c r="BQ464" s="408"/>
      <c r="BR464" s="408">
        <v>6094.9105667999938</v>
      </c>
      <c r="BS464" s="408"/>
      <c r="BT464" s="408"/>
      <c r="BU464" s="408"/>
      <c r="BV464" s="408">
        <v>99242.9858137259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146277.57869999998</v>
      </c>
      <c r="CJ464" s="408">
        <v>11167.126283999969</v>
      </c>
      <c r="CK464" s="408"/>
      <c r="CL464" s="408"/>
      <c r="CM464" s="408"/>
      <c r="CN464" s="408"/>
      <c r="CO464" s="408">
        <v>-582.21349000000293</v>
      </c>
      <c r="CP464" s="408">
        <v>12214.954309999997</v>
      </c>
      <c r="CQ464" s="408">
        <v>29</v>
      </c>
      <c r="CR464" s="408">
        <v>11627.618704220018</v>
      </c>
      <c r="CS464" s="408">
        <v>0</v>
      </c>
      <c r="CT464" s="408">
        <v>0</v>
      </c>
      <c r="CU464" s="408">
        <v>0</v>
      </c>
      <c r="CV464" s="408">
        <v>0</v>
      </c>
      <c r="CW464" s="408">
        <v>0</v>
      </c>
      <c r="CX464" s="408">
        <v>0</v>
      </c>
      <c r="CY464" s="408">
        <v>0</v>
      </c>
      <c r="CZ464" s="408">
        <v>0</v>
      </c>
      <c r="DA464" s="408">
        <v>0</v>
      </c>
      <c r="DB464" s="408">
        <v>0</v>
      </c>
      <c r="DC464" s="408">
        <v>11907.208143607917</v>
      </c>
      <c r="DD464" s="408">
        <v>355.59018102094797</v>
      </c>
      <c r="DE464" s="408">
        <v>13.806734045966266</v>
      </c>
      <c r="DF464" s="408">
        <v>0</v>
      </c>
      <c r="DG464" s="408">
        <v>462.32900918899713</v>
      </c>
      <c r="DH464" s="408">
        <v>0</v>
      </c>
      <c r="DI464" s="408">
        <v>-896.26156118367726</v>
      </c>
      <c r="DJ464" s="408"/>
      <c r="DK464" s="408">
        <v>0</v>
      </c>
      <c r="DL464" s="408">
        <v>0</v>
      </c>
      <c r="DM464" s="408">
        <v>-51.870363938049195</v>
      </c>
      <c r="DN464" s="408">
        <v>0</v>
      </c>
      <c r="DO464" s="408">
        <v>-141.10923826349517</v>
      </c>
      <c r="DP464" s="408">
        <v>-22.074200258553105</v>
      </c>
      <c r="DQ464" s="408">
        <v>0</v>
      </c>
      <c r="DR464" s="408">
        <v>0</v>
      </c>
      <c r="DS464" s="408"/>
      <c r="DT464" s="408"/>
      <c r="DU464" s="408"/>
      <c r="DV464" s="408">
        <v>0</v>
      </c>
      <c r="DW464" s="408">
        <v>0</v>
      </c>
      <c r="DX464" s="408">
        <v>0</v>
      </c>
      <c r="DY464" s="408">
        <v>-582.21349000000191</v>
      </c>
      <c r="DZ464" s="408">
        <v>12214.954309999986</v>
      </c>
      <c r="EA464" s="408">
        <v>0</v>
      </c>
      <c r="EB464" s="408">
        <v>0</v>
      </c>
      <c r="EC464" s="408">
        <v>0</v>
      </c>
      <c r="ED464" s="408">
        <v>0</v>
      </c>
      <c r="EE464" s="408">
        <v>0</v>
      </c>
      <c r="EF464" s="408">
        <v>0</v>
      </c>
      <c r="EG464" s="408">
        <v>0</v>
      </c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>
        <v>0</v>
      </c>
      <c r="EN464" s="408">
        <v>0</v>
      </c>
      <c r="EO464" s="408">
        <v>0</v>
      </c>
      <c r="EP464" s="408">
        <v>0</v>
      </c>
      <c r="EQ464" s="408">
        <v>0</v>
      </c>
      <c r="ER464" s="408">
        <v>0</v>
      </c>
      <c r="ES464" s="408">
        <v>0</v>
      </c>
      <c r="ET464" s="408">
        <v>0</v>
      </c>
      <c r="EU464" s="408">
        <v>0</v>
      </c>
      <c r="EV464" s="408">
        <v>239</v>
      </c>
      <c r="EW464" s="408">
        <v>0</v>
      </c>
      <c r="EX464" s="408">
        <v>0</v>
      </c>
      <c r="EY464" s="408">
        <v>0</v>
      </c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469</v>
      </c>
      <c r="B465" s="408" t="s">
        <v>2236</v>
      </c>
      <c r="C465" s="408" t="s">
        <v>2241</v>
      </c>
      <c r="D465" s="408" t="s">
        <v>596</v>
      </c>
      <c r="E465" s="408" t="s">
        <v>972</v>
      </c>
      <c r="F465" s="408" t="s">
        <v>1320</v>
      </c>
      <c r="G465" s="408" t="s">
        <v>1320</v>
      </c>
      <c r="H465" s="408" t="s">
        <v>1320</v>
      </c>
      <c r="I465" s="408" t="s">
        <v>2242</v>
      </c>
      <c r="J465" s="408" t="s">
        <v>2234</v>
      </c>
      <c r="K465" s="827">
        <v>44593</v>
      </c>
      <c r="L465" s="408">
        <v>0</v>
      </c>
      <c r="M465" s="408">
        <v>0</v>
      </c>
      <c r="N465" s="408">
        <v>46.212000000000003</v>
      </c>
      <c r="O465" s="408">
        <v>44.363520000000001</v>
      </c>
      <c r="P465" s="408">
        <v>46.212000000000003</v>
      </c>
      <c r="Q465" s="408">
        <v>44.363520000000001</v>
      </c>
      <c r="R465" s="408"/>
      <c r="S465" s="408">
        <v>70.33</v>
      </c>
      <c r="T465" s="408">
        <v>173.82</v>
      </c>
      <c r="U465" s="408"/>
      <c r="V465" s="408">
        <v>11282.659800000001</v>
      </c>
      <c r="W465" s="408">
        <v>11282.659800000001</v>
      </c>
      <c r="X465" s="408">
        <v>12215.21796</v>
      </c>
      <c r="Y465" s="408">
        <v>0</v>
      </c>
      <c r="Z465" s="408">
        <v>2458.4796250561221</v>
      </c>
      <c r="AA465" s="408">
        <v>0</v>
      </c>
      <c r="AB465" s="408">
        <v>0</v>
      </c>
      <c r="AC465" s="408">
        <v>0</v>
      </c>
      <c r="AD465" s="408">
        <v>0</v>
      </c>
      <c r="AE465" s="408">
        <v>0</v>
      </c>
      <c r="AF465" s="408">
        <v>7436.5337276409791</v>
      </c>
      <c r="AG465" s="408">
        <v>374.1261314981877</v>
      </c>
      <c r="AH465" s="408">
        <v>0</v>
      </c>
      <c r="AI465" s="408">
        <v>0</v>
      </c>
      <c r="AJ465" s="408">
        <v>0</v>
      </c>
      <c r="AK465" s="408">
        <v>0</v>
      </c>
      <c r="AL465" s="408">
        <v>436.77256354190035</v>
      </c>
      <c r="AM465" s="408"/>
      <c r="AN465" s="408">
        <v>57.429069522346865</v>
      </c>
      <c r="AO465" s="408">
        <v>0</v>
      </c>
      <c r="AP465" s="408">
        <v>0</v>
      </c>
      <c r="AQ465" s="408">
        <v>0</v>
      </c>
      <c r="AR465" s="408">
        <v>0</v>
      </c>
      <c r="AS465" s="408">
        <v>0</v>
      </c>
      <c r="AT465" s="408">
        <v>0</v>
      </c>
      <c r="AU465" s="408">
        <v>0</v>
      </c>
      <c r="AV465" s="408">
        <v>0</v>
      </c>
      <c r="AW465" s="408">
        <v>0</v>
      </c>
      <c r="AX465" s="408">
        <v>0</v>
      </c>
      <c r="AY465" s="408">
        <v>0</v>
      </c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8.6228645844675409</v>
      </c>
      <c r="BF465" s="408">
        <v>222.08046945075836</v>
      </c>
      <c r="BG465" s="408">
        <v>288.74319056449986</v>
      </c>
      <c r="BH465" s="408">
        <v>0</v>
      </c>
      <c r="BI465" s="408">
        <v>0</v>
      </c>
      <c r="BJ465" s="408">
        <v>0</v>
      </c>
      <c r="BK465" s="408">
        <v>0</v>
      </c>
      <c r="BL465" s="408">
        <v>0</v>
      </c>
      <c r="BM465" s="408"/>
      <c r="BN465" s="408"/>
      <c r="BO465" s="408"/>
      <c r="BP465" s="408"/>
      <c r="BQ465" s="408"/>
      <c r="BR465" s="408">
        <v>488.6087184000005</v>
      </c>
      <c r="BS465" s="408"/>
      <c r="BT465" s="408"/>
      <c r="BU465" s="408"/>
      <c r="BV465" s="408">
        <v>7955.9802522407053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11725.6788</v>
      </c>
      <c r="CJ465" s="408">
        <v>894.29539199999817</v>
      </c>
      <c r="CK465" s="408"/>
      <c r="CL465" s="408"/>
      <c r="CM465" s="408"/>
      <c r="CN465" s="408"/>
      <c r="CO465" s="408">
        <v>-46.674120000000237</v>
      </c>
      <c r="CP465" s="408">
        <v>979.23227999999995</v>
      </c>
      <c r="CQ465" s="408">
        <v>29</v>
      </c>
      <c r="CR465" s="408">
        <v>932.14753700573237</v>
      </c>
      <c r="CS465" s="408">
        <v>0</v>
      </c>
      <c r="CT465" s="408">
        <v>0</v>
      </c>
      <c r="CU465" s="408">
        <v>0</v>
      </c>
      <c r="CV465" s="408">
        <v>0</v>
      </c>
      <c r="CW465" s="408">
        <v>0</v>
      </c>
      <c r="CX465" s="408">
        <v>0</v>
      </c>
      <c r="CY465" s="408">
        <v>0</v>
      </c>
      <c r="CZ465" s="408">
        <v>0</v>
      </c>
      <c r="DA465" s="408">
        <v>0</v>
      </c>
      <c r="DB465" s="408">
        <v>0</v>
      </c>
      <c r="DC465" s="408">
        <v>954.56129290259742</v>
      </c>
      <c r="DD465" s="408">
        <v>28.506482698972576</v>
      </c>
      <c r="DE465" s="408">
        <v>1.1068399697669591</v>
      </c>
      <c r="DF465" s="408">
        <v>0</v>
      </c>
      <c r="DG465" s="408">
        <v>37.063379713802874</v>
      </c>
      <c r="DH465" s="408">
        <v>0</v>
      </c>
      <c r="DI465" s="408">
        <v>-71.850309854679381</v>
      </c>
      <c r="DJ465" s="408"/>
      <c r="DK465" s="408">
        <v>0</v>
      </c>
      <c r="DL465" s="408">
        <v>0</v>
      </c>
      <c r="DM465" s="408">
        <v>-4.1582746406102729</v>
      </c>
      <c r="DN465" s="408">
        <v>0</v>
      </c>
      <c r="DO465" s="408">
        <v>-11.312258532207863</v>
      </c>
      <c r="DP465" s="408">
        <v>-1.7696152519099897</v>
      </c>
      <c r="DQ465" s="408">
        <v>0</v>
      </c>
      <c r="DR465" s="408">
        <v>0</v>
      </c>
      <c r="DS465" s="408"/>
      <c r="DT465" s="408"/>
      <c r="DU465" s="408"/>
      <c r="DV465" s="408">
        <v>0</v>
      </c>
      <c r="DW465" s="408">
        <v>0</v>
      </c>
      <c r="DX465" s="408">
        <v>0</v>
      </c>
      <c r="DY465" s="408">
        <v>-46.67412000000013</v>
      </c>
      <c r="DZ465" s="408">
        <v>979.23228000000017</v>
      </c>
      <c r="EA465" s="408">
        <v>0</v>
      </c>
      <c r="EB465" s="408">
        <v>0</v>
      </c>
      <c r="EC465" s="408">
        <v>0</v>
      </c>
      <c r="ED465" s="408">
        <v>0</v>
      </c>
      <c r="EE465" s="408">
        <v>0</v>
      </c>
      <c r="EF465" s="408">
        <v>0</v>
      </c>
      <c r="EG465" s="408">
        <v>0</v>
      </c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>
        <v>0</v>
      </c>
      <c r="EN465" s="408">
        <v>0</v>
      </c>
      <c r="EO465" s="408">
        <v>0</v>
      </c>
      <c r="EP465" s="408">
        <v>0</v>
      </c>
      <c r="EQ465" s="408">
        <v>0</v>
      </c>
      <c r="ER465" s="408">
        <v>0</v>
      </c>
      <c r="ES465" s="408">
        <v>0</v>
      </c>
      <c r="ET465" s="408">
        <v>0</v>
      </c>
      <c r="EU465" s="408">
        <v>0</v>
      </c>
      <c r="EV465" s="408">
        <v>239</v>
      </c>
      <c r="EW465" s="408">
        <v>0</v>
      </c>
      <c r="EX465" s="408">
        <v>0</v>
      </c>
      <c r="EY465" s="408">
        <v>0</v>
      </c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470</v>
      </c>
      <c r="B466" s="408" t="s">
        <v>1034</v>
      </c>
      <c r="C466" s="408" t="s">
        <v>2241</v>
      </c>
      <c r="D466" s="408" t="s">
        <v>596</v>
      </c>
      <c r="E466" s="408" t="s">
        <v>972</v>
      </c>
      <c r="F466" s="408" t="s">
        <v>1320</v>
      </c>
      <c r="G466" s="408" t="s">
        <v>1320</v>
      </c>
      <c r="H466" s="408" t="s">
        <v>1320</v>
      </c>
      <c r="I466" s="408" t="s">
        <v>1320</v>
      </c>
      <c r="J466" s="408" t="s">
        <v>2234</v>
      </c>
      <c r="K466" s="827">
        <v>44593</v>
      </c>
      <c r="L466" s="408">
        <v>2460</v>
      </c>
      <c r="M466" s="408">
        <v>2361.6</v>
      </c>
      <c r="N466" s="408">
        <v>0</v>
      </c>
      <c r="O466" s="408">
        <v>0</v>
      </c>
      <c r="P466" s="408">
        <v>0</v>
      </c>
      <c r="Q466" s="408">
        <v>0</v>
      </c>
      <c r="R466" s="408">
        <v>59.12</v>
      </c>
      <c r="S466" s="408"/>
      <c r="T466" s="408"/>
      <c r="U466" s="408">
        <v>145435.19999999998</v>
      </c>
      <c r="V466" s="408"/>
      <c r="W466" s="408">
        <v>145435.19999999998</v>
      </c>
      <c r="X466" s="408">
        <v>83713.8</v>
      </c>
      <c r="Y466" s="408">
        <v>0</v>
      </c>
      <c r="Z466" s="408">
        <v>0</v>
      </c>
      <c r="AA466" s="408">
        <v>0</v>
      </c>
      <c r="AB466" s="408">
        <v>0</v>
      </c>
      <c r="AC466" s="408">
        <v>1407.2684938008579</v>
      </c>
      <c r="AD466" s="408">
        <v>12587.875720759959</v>
      </c>
      <c r="AE466" s="408">
        <v>118478.02247102873</v>
      </c>
      <c r="AF466" s="408"/>
      <c r="AG466" s="408"/>
      <c r="AH466" s="408"/>
      <c r="AI466" s="408">
        <v>0</v>
      </c>
      <c r="AJ466" s="408">
        <v>0</v>
      </c>
      <c r="AK466" s="408">
        <v>0</v>
      </c>
      <c r="AL466" s="408">
        <v>0</v>
      </c>
      <c r="AM466" s="408"/>
      <c r="AN466" s="408">
        <v>0</v>
      </c>
      <c r="AO466" s="408">
        <v>2971.8574045975474</v>
      </c>
      <c r="AP466" s="408">
        <v>9990.0301454890523</v>
      </c>
      <c r="AQ466" s="408">
        <v>0</v>
      </c>
      <c r="AR466" s="408">
        <v>0</v>
      </c>
      <c r="AS466" s="408"/>
      <c r="AT466" s="408"/>
      <c r="AU466" s="408">
        <v>0</v>
      </c>
      <c r="AV466" s="408">
        <v>0</v>
      </c>
      <c r="AW466" s="408">
        <v>0</v>
      </c>
      <c r="AX466" s="408"/>
      <c r="AY466" s="408"/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/>
      <c r="BG466" s="408">
        <v>0</v>
      </c>
      <c r="BH466" s="408">
        <v>0</v>
      </c>
      <c r="BI466" s="408">
        <v>1437.09</v>
      </c>
      <c r="BJ466" s="408">
        <v>6546.32</v>
      </c>
      <c r="BK466" s="408">
        <v>9674.93</v>
      </c>
      <c r="BL466" s="408">
        <v>14</v>
      </c>
      <c r="BM466" s="408"/>
      <c r="BN466" s="408"/>
      <c r="BO466" s="408"/>
      <c r="BP466" s="408"/>
      <c r="BQ466" s="408"/>
      <c r="BR466" s="408">
        <v>3348.5520000000033</v>
      </c>
      <c r="BS466" s="408"/>
      <c r="BT466" s="408"/>
      <c r="BU466" s="408"/>
      <c r="BV466" s="408">
        <v>0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80365.247999999992</v>
      </c>
      <c r="CJ466" s="408">
        <v>-59252.574000000022</v>
      </c>
      <c r="CK466" s="408"/>
      <c r="CL466" s="408"/>
      <c r="CM466" s="408"/>
      <c r="CN466" s="408"/>
      <c r="CO466" s="408">
        <v>-61721.399999999994</v>
      </c>
      <c r="CP466" s="408">
        <v>0</v>
      </c>
      <c r="CQ466" s="408">
        <v>29</v>
      </c>
      <c r="CR466" s="408">
        <v>1017.1548447796304</v>
      </c>
      <c r="CS466" s="408">
        <v>288.54857862968856</v>
      </c>
      <c r="CT466" s="408">
        <v>969.96881293467595</v>
      </c>
      <c r="CU466" s="408">
        <v>0</v>
      </c>
      <c r="CV466" s="408">
        <v>0</v>
      </c>
      <c r="CW466" s="408"/>
      <c r="CX466" s="408"/>
      <c r="CY466" s="408"/>
      <c r="CZ466" s="408">
        <v>-241.36254678473961</v>
      </c>
      <c r="DA466" s="408">
        <v>0</v>
      </c>
      <c r="DB466" s="408">
        <v>0</v>
      </c>
      <c r="DC466" s="408"/>
      <c r="DD466" s="408"/>
      <c r="DE466" s="408">
        <v>0</v>
      </c>
      <c r="DF466" s="408">
        <v>0</v>
      </c>
      <c r="DG466" s="408">
        <v>0</v>
      </c>
      <c r="DH466" s="408">
        <v>0</v>
      </c>
      <c r="DI466" s="408">
        <v>0</v>
      </c>
      <c r="DJ466" s="408"/>
      <c r="DK466" s="408">
        <v>0</v>
      </c>
      <c r="DL466" s="408">
        <v>0</v>
      </c>
      <c r="DM466" s="408"/>
      <c r="DN466" s="408">
        <v>0</v>
      </c>
      <c r="DO466" s="408">
        <v>0</v>
      </c>
      <c r="DP466" s="408">
        <v>0</v>
      </c>
      <c r="DQ466" s="408">
        <v>0</v>
      </c>
      <c r="DR466" s="408">
        <v>0</v>
      </c>
      <c r="DS466" s="408"/>
      <c r="DT466" s="408"/>
      <c r="DU466" s="408">
        <v>118478.02247102873</v>
      </c>
      <c r="DV466" s="408"/>
      <c r="DW466" s="408">
        <v>0</v>
      </c>
      <c r="DX466" s="408">
        <v>0</v>
      </c>
      <c r="DY466" s="408">
        <v>-61721.39999999998</v>
      </c>
      <c r="DZ466" s="408"/>
      <c r="EA466" s="408">
        <v>0</v>
      </c>
      <c r="EB466" s="408"/>
      <c r="EC466" s="408">
        <v>-62727.831729904079</v>
      </c>
      <c r="ED466" s="408"/>
      <c r="EE466" s="408">
        <v>0</v>
      </c>
      <c r="EF466" s="408">
        <v>0</v>
      </c>
      <c r="EG466" s="408"/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/>
      <c r="EN466" s="408"/>
      <c r="EO466" s="408">
        <v>0</v>
      </c>
      <c r="EP466" s="408">
        <v>0</v>
      </c>
      <c r="EQ466" s="408"/>
      <c r="ER466" s="408">
        <v>0</v>
      </c>
      <c r="ES466" s="408"/>
      <c r="ET466" s="408">
        <v>0</v>
      </c>
      <c r="EU466" s="408"/>
      <c r="EV466" s="408">
        <v>239</v>
      </c>
      <c r="EW466" s="408"/>
      <c r="EX466" s="408"/>
      <c r="EY466" s="408"/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471</v>
      </c>
      <c r="B467" s="408" t="s">
        <v>2236</v>
      </c>
      <c r="C467" s="408" t="s">
        <v>2241</v>
      </c>
      <c r="D467" s="408" t="s">
        <v>596</v>
      </c>
      <c r="E467" s="408" t="s">
        <v>972</v>
      </c>
      <c r="F467" s="408" t="s">
        <v>1320</v>
      </c>
      <c r="G467" s="408" t="s">
        <v>1320</v>
      </c>
      <c r="H467" s="408" t="s">
        <v>1320</v>
      </c>
      <c r="I467" s="408" t="s">
        <v>1320</v>
      </c>
      <c r="J467" s="408" t="s">
        <v>2234</v>
      </c>
      <c r="K467" s="827">
        <v>44593</v>
      </c>
      <c r="L467" s="408">
        <v>197</v>
      </c>
      <c r="M467" s="408">
        <v>189.12</v>
      </c>
      <c r="N467" s="408">
        <v>0</v>
      </c>
      <c r="O467" s="408">
        <v>0</v>
      </c>
      <c r="P467" s="408">
        <v>0</v>
      </c>
      <c r="Q467" s="408">
        <v>0</v>
      </c>
      <c r="R467" s="408">
        <v>59.12</v>
      </c>
      <c r="S467" s="408"/>
      <c r="T467" s="408"/>
      <c r="U467" s="408">
        <v>11646.64</v>
      </c>
      <c r="V467" s="408"/>
      <c r="W467" s="408">
        <v>11646.64</v>
      </c>
      <c r="X467" s="408">
        <v>6703.91</v>
      </c>
      <c r="Y467" s="408">
        <v>0</v>
      </c>
      <c r="Z467" s="408">
        <v>0</v>
      </c>
      <c r="AA467" s="408">
        <v>0</v>
      </c>
      <c r="AB467" s="408">
        <v>0</v>
      </c>
      <c r="AC467" s="408">
        <v>112.69589157673536</v>
      </c>
      <c r="AD467" s="408">
        <v>1008.0534621909397</v>
      </c>
      <c r="AE467" s="408">
        <v>9487.874157232789</v>
      </c>
      <c r="AF467" s="408"/>
      <c r="AG467" s="408"/>
      <c r="AH467" s="408"/>
      <c r="AI467" s="408">
        <v>0</v>
      </c>
      <c r="AJ467" s="408">
        <v>0</v>
      </c>
      <c r="AK467" s="408">
        <v>0</v>
      </c>
      <c r="AL467" s="408">
        <v>0</v>
      </c>
      <c r="AM467" s="408"/>
      <c r="AN467" s="408">
        <v>0</v>
      </c>
      <c r="AO467" s="408">
        <v>237.99020679094181</v>
      </c>
      <c r="AP467" s="408">
        <v>800.01460921192813</v>
      </c>
      <c r="AQ467" s="408">
        <v>0</v>
      </c>
      <c r="AR467" s="408">
        <v>0</v>
      </c>
      <c r="AS467" s="408"/>
      <c r="AT467" s="408"/>
      <c r="AU467" s="408">
        <v>0</v>
      </c>
      <c r="AV467" s="408">
        <v>0</v>
      </c>
      <c r="AW467" s="408">
        <v>0</v>
      </c>
      <c r="AX467" s="408"/>
      <c r="AY467" s="408"/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/>
      <c r="BG467" s="408">
        <v>0</v>
      </c>
      <c r="BH467" s="408">
        <v>0</v>
      </c>
      <c r="BI467" s="408">
        <v>142.28</v>
      </c>
      <c r="BJ467" s="408">
        <v>648.09</v>
      </c>
      <c r="BK467" s="408">
        <v>7.33</v>
      </c>
      <c r="BL467" s="408">
        <v>1</v>
      </c>
      <c r="BM467" s="408"/>
      <c r="BN467" s="408"/>
      <c r="BO467" s="408"/>
      <c r="BP467" s="408"/>
      <c r="BQ467" s="408"/>
      <c r="BR467" s="408">
        <v>268.15639999999985</v>
      </c>
      <c r="BS467" s="408"/>
      <c r="BT467" s="408"/>
      <c r="BU467" s="408"/>
      <c r="BV467" s="408">
        <v>0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6435.7536</v>
      </c>
      <c r="CJ467" s="408">
        <v>-4745.0508000000009</v>
      </c>
      <c r="CK467" s="408"/>
      <c r="CL467" s="408"/>
      <c r="CM467" s="408"/>
      <c r="CN467" s="408"/>
      <c r="CO467" s="408">
        <v>-4942.7299999999996</v>
      </c>
      <c r="CP467" s="408">
        <v>0</v>
      </c>
      <c r="CQ467" s="408">
        <v>29</v>
      </c>
      <c r="CR467" s="408">
        <v>81.455083098205705</v>
      </c>
      <c r="CS467" s="408">
        <v>23.107345524410022</v>
      </c>
      <c r="CT467" s="408">
        <v>77.676364287858178</v>
      </c>
      <c r="CU467" s="408">
        <v>0</v>
      </c>
      <c r="CV467" s="408">
        <v>0</v>
      </c>
      <c r="CW467" s="408"/>
      <c r="CX467" s="408"/>
      <c r="CY467" s="408"/>
      <c r="CZ467" s="408">
        <v>-19.328626714062352</v>
      </c>
      <c r="DA467" s="408">
        <v>0</v>
      </c>
      <c r="DB467" s="408">
        <v>0</v>
      </c>
      <c r="DC467" s="408"/>
      <c r="DD467" s="408"/>
      <c r="DE467" s="408">
        <v>0</v>
      </c>
      <c r="DF467" s="408">
        <v>0</v>
      </c>
      <c r="DG467" s="408">
        <v>0</v>
      </c>
      <c r="DH467" s="408">
        <v>0</v>
      </c>
      <c r="DI467" s="408">
        <v>0</v>
      </c>
      <c r="DJ467" s="408"/>
      <c r="DK467" s="408">
        <v>0</v>
      </c>
      <c r="DL467" s="408">
        <v>0</v>
      </c>
      <c r="DM467" s="408"/>
      <c r="DN467" s="408">
        <v>0</v>
      </c>
      <c r="DO467" s="408">
        <v>0</v>
      </c>
      <c r="DP467" s="408">
        <v>0</v>
      </c>
      <c r="DQ467" s="408">
        <v>0</v>
      </c>
      <c r="DR467" s="408">
        <v>0</v>
      </c>
      <c r="DS467" s="408"/>
      <c r="DT467" s="408"/>
      <c r="DU467" s="408">
        <v>9487.874157232789</v>
      </c>
      <c r="DV467" s="408"/>
      <c r="DW467" s="408">
        <v>0</v>
      </c>
      <c r="DX467" s="408">
        <v>0</v>
      </c>
      <c r="DY467" s="408">
        <v>-4942.7299999999996</v>
      </c>
      <c r="DZ467" s="408"/>
      <c r="EA467" s="408">
        <v>0</v>
      </c>
      <c r="EB467" s="408"/>
      <c r="EC467" s="408">
        <v>-5023.3263621102051</v>
      </c>
      <c r="ED467" s="408"/>
      <c r="EE467" s="408">
        <v>0</v>
      </c>
      <c r="EF467" s="408">
        <v>0</v>
      </c>
      <c r="EG467" s="408"/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/>
      <c r="EN467" s="408"/>
      <c r="EO467" s="408">
        <v>0</v>
      </c>
      <c r="EP467" s="408">
        <v>0</v>
      </c>
      <c r="EQ467" s="408"/>
      <c r="ER467" s="408">
        <v>0</v>
      </c>
      <c r="ES467" s="408"/>
      <c r="ET467" s="408">
        <v>0</v>
      </c>
      <c r="EU467" s="408"/>
      <c r="EV467" s="408">
        <v>239</v>
      </c>
      <c r="EW467" s="408"/>
      <c r="EX467" s="408"/>
      <c r="EY467" s="408"/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472</v>
      </c>
      <c r="B468" s="408" t="s">
        <v>1034</v>
      </c>
      <c r="C468" s="408" t="s">
        <v>2233</v>
      </c>
      <c r="D468" s="408" t="s">
        <v>1956</v>
      </c>
      <c r="E468" s="408" t="s">
        <v>2244</v>
      </c>
      <c r="F468" s="408" t="s">
        <v>1320</v>
      </c>
      <c r="G468" s="408" t="s">
        <v>1320</v>
      </c>
      <c r="H468" s="408" t="s">
        <v>1320</v>
      </c>
      <c r="I468" s="408" t="s">
        <v>1320</v>
      </c>
      <c r="J468" s="408" t="s">
        <v>2234</v>
      </c>
      <c r="K468" s="827">
        <v>44593</v>
      </c>
      <c r="L468" s="408">
        <v>0</v>
      </c>
      <c r="M468" s="408">
        <v>0</v>
      </c>
      <c r="N468" s="408">
        <v>236.77600000000001</v>
      </c>
      <c r="O468" s="408">
        <v>236.77600000000001</v>
      </c>
      <c r="P468" s="408">
        <v>236.77600000000001</v>
      </c>
      <c r="Q468" s="408">
        <v>236.77600000000001</v>
      </c>
      <c r="R468" s="408"/>
      <c r="S468" s="408">
        <v>516.83000000000004</v>
      </c>
      <c r="T468" s="408">
        <v>173.82</v>
      </c>
      <c r="U468" s="408"/>
      <c r="V468" s="408">
        <v>163529.3444</v>
      </c>
      <c r="W468" s="408">
        <v>163529.3444</v>
      </c>
      <c r="X468" s="408">
        <v>123466.84520000001</v>
      </c>
      <c r="Y468" s="408">
        <v>0</v>
      </c>
      <c r="Z468" s="408">
        <v>14478.72353656182</v>
      </c>
      <c r="AA468" s="408">
        <v>0</v>
      </c>
      <c r="AB468" s="408">
        <v>0</v>
      </c>
      <c r="AC468" s="408">
        <v>643.66231392119664</v>
      </c>
      <c r="AD468" s="408">
        <v>8151.3953697486986</v>
      </c>
      <c r="AE468" s="408">
        <v>86095.493516390328</v>
      </c>
      <c r="AF468" s="408">
        <v>38102.499564959762</v>
      </c>
      <c r="AG468" s="408">
        <v>1916.9066240719919</v>
      </c>
      <c r="AH468" s="408">
        <v>0</v>
      </c>
      <c r="AI468" s="408">
        <v>0</v>
      </c>
      <c r="AJ468" s="408">
        <v>0</v>
      </c>
      <c r="AK468" s="408">
        <v>0</v>
      </c>
      <c r="AL468" s="408">
        <v>2237.887572604453</v>
      </c>
      <c r="AM468" s="408"/>
      <c r="AN468" s="408">
        <v>367.36790263701022</v>
      </c>
      <c r="AO468" s="408">
        <v>1372.946530808573</v>
      </c>
      <c r="AP468" s="408">
        <v>4496.2142500805494</v>
      </c>
      <c r="AQ468" s="408">
        <v>0</v>
      </c>
      <c r="AR468" s="408">
        <v>0</v>
      </c>
      <c r="AS468" s="408">
        <v>0</v>
      </c>
      <c r="AT468" s="408">
        <v>0</v>
      </c>
      <c r="AU468" s="408">
        <v>0</v>
      </c>
      <c r="AV468" s="408">
        <v>0</v>
      </c>
      <c r="AW468" s="408">
        <v>0</v>
      </c>
      <c r="AX468" s="408">
        <v>0</v>
      </c>
      <c r="AY468" s="408">
        <v>0</v>
      </c>
      <c r="AZ468" s="408">
        <v>0</v>
      </c>
      <c r="BA468" s="408"/>
      <c r="BB468" s="408">
        <v>0</v>
      </c>
      <c r="BC468" s="408">
        <v>0</v>
      </c>
      <c r="BD468" s="408">
        <v>0</v>
      </c>
      <c r="BE468" s="408">
        <v>131.36631221512945</v>
      </c>
      <c r="BF468" s="408">
        <v>1137.8716617907201</v>
      </c>
      <c r="BG468" s="408">
        <v>4398.9010554583547</v>
      </c>
      <c r="BH468" s="408">
        <v>0</v>
      </c>
      <c r="BI468" s="408">
        <v>547.55999999999995</v>
      </c>
      <c r="BJ468" s="408">
        <v>2501.31</v>
      </c>
      <c r="BK468" s="408">
        <v>51728.24</v>
      </c>
      <c r="BL468" s="408">
        <v>260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>
        <v>43770.638594423959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123468.931</v>
      </c>
      <c r="CJ468" s="408">
        <v>-40060.443400000033</v>
      </c>
      <c r="CK468" s="408"/>
      <c r="CL468" s="408"/>
      <c r="CM468" s="408"/>
      <c r="CN468" s="408"/>
      <c r="CO468" s="408">
        <v>-45079.782640000012</v>
      </c>
      <c r="CP468" s="408">
        <v>5017.2834399999992</v>
      </c>
      <c r="CQ468" s="408">
        <v>29</v>
      </c>
      <c r="CR468" s="408">
        <v>5518.2728094207559</v>
      </c>
      <c r="CS468" s="408">
        <v>133.30443425263616</v>
      </c>
      <c r="CT468" s="408">
        <v>436.5539978695333</v>
      </c>
      <c r="CU468" s="408">
        <v>0</v>
      </c>
      <c r="CV468" s="408">
        <v>0</v>
      </c>
      <c r="CW468" s="408">
        <v>0</v>
      </c>
      <c r="CX468" s="408">
        <v>0</v>
      </c>
      <c r="CY468" s="408">
        <v>0</v>
      </c>
      <c r="CZ468" s="408">
        <v>-156.29654994504654</v>
      </c>
      <c r="DA468" s="408">
        <v>0</v>
      </c>
      <c r="DB468" s="408">
        <v>0</v>
      </c>
      <c r="DC468" s="408">
        <v>4890.8769299815031</v>
      </c>
      <c r="DD468" s="408">
        <v>146.05840360797924</v>
      </c>
      <c r="DE468" s="408">
        <v>16.862318040167509</v>
      </c>
      <c r="DF468" s="408">
        <v>0</v>
      </c>
      <c r="DG468" s="408">
        <v>564.64756735269657</v>
      </c>
      <c r="DH468" s="408">
        <v>0</v>
      </c>
      <c r="DI468" s="408">
        <v>-423.1480146508984</v>
      </c>
      <c r="DJ468" s="408"/>
      <c r="DK468" s="408">
        <v>0</v>
      </c>
      <c r="DL468" s="408">
        <v>0</v>
      </c>
      <c r="DM468" s="408">
        <v>-21.305713587491255</v>
      </c>
      <c r="DN468" s="408">
        <v>0</v>
      </c>
      <c r="DO468" s="408">
        <v>-57.960515152385597</v>
      </c>
      <c r="DP468" s="408">
        <v>-11.320048347911779</v>
      </c>
      <c r="DQ468" s="408">
        <v>0</v>
      </c>
      <c r="DR468" s="408">
        <v>0</v>
      </c>
      <c r="DS468" s="408"/>
      <c r="DT468" s="408"/>
      <c r="DU468" s="408"/>
      <c r="DV468" s="408">
        <v>86095.493516390328</v>
      </c>
      <c r="DW468" s="408">
        <v>0</v>
      </c>
      <c r="DX468" s="408">
        <v>0</v>
      </c>
      <c r="DY468" s="408">
        <v>-45079.782640000005</v>
      </c>
      <c r="DZ468" s="408">
        <v>5017.2834399999992</v>
      </c>
      <c r="EA468" s="408">
        <v>0</v>
      </c>
      <c r="EB468" s="408">
        <v>0</v>
      </c>
      <c r="EC468" s="408">
        <v>-45582.999423540954</v>
      </c>
      <c r="ED468" s="408">
        <v>0</v>
      </c>
      <c r="EE468" s="408">
        <v>0</v>
      </c>
      <c r="EF468" s="408">
        <v>0</v>
      </c>
      <c r="EG468" s="408">
        <v>0</v>
      </c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>
        <v>0</v>
      </c>
      <c r="EN468" s="408">
        <v>0</v>
      </c>
      <c r="EO468" s="408">
        <v>0</v>
      </c>
      <c r="EP468" s="408">
        <v>0</v>
      </c>
      <c r="EQ468" s="408">
        <v>0</v>
      </c>
      <c r="ER468" s="408">
        <v>0</v>
      </c>
      <c r="ES468" s="408">
        <v>0</v>
      </c>
      <c r="ET468" s="408">
        <v>0</v>
      </c>
      <c r="EU468" s="408">
        <v>0</v>
      </c>
      <c r="EV468" s="408">
        <v>239</v>
      </c>
      <c r="EW468" s="408">
        <v>0</v>
      </c>
      <c r="EX468" s="408">
        <v>0</v>
      </c>
      <c r="EY468" s="408">
        <v>0</v>
      </c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473</v>
      </c>
      <c r="B469" s="408" t="s">
        <v>2235</v>
      </c>
      <c r="C469" s="408" t="s">
        <v>2233</v>
      </c>
      <c r="D469" s="408" t="s">
        <v>1956</v>
      </c>
      <c r="E469" s="408" t="s">
        <v>2244</v>
      </c>
      <c r="F469" s="408" t="s">
        <v>1320</v>
      </c>
      <c r="G469" s="408" t="s">
        <v>1320</v>
      </c>
      <c r="H469" s="408" t="s">
        <v>1320</v>
      </c>
      <c r="I469" s="408" t="s">
        <v>1320</v>
      </c>
      <c r="J469" s="408" t="s">
        <v>2234</v>
      </c>
      <c r="K469" s="827">
        <v>44593</v>
      </c>
      <c r="L469" s="408">
        <v>0</v>
      </c>
      <c r="M469" s="408">
        <v>0</v>
      </c>
      <c r="N469" s="408">
        <v>-9.8000000000000004E-2</v>
      </c>
      <c r="O469" s="408">
        <v>-9.8000000000000004E-2</v>
      </c>
      <c r="P469" s="408">
        <v>-9.8000000000000004E-2</v>
      </c>
      <c r="Q469" s="408">
        <v>-9.8000000000000004E-2</v>
      </c>
      <c r="R469" s="408"/>
      <c r="S469" s="408">
        <v>516.83000000000004</v>
      </c>
      <c r="T469" s="408">
        <v>173.82</v>
      </c>
      <c r="U469" s="408"/>
      <c r="V469" s="408">
        <v>-67.683700000000016</v>
      </c>
      <c r="W469" s="408">
        <v>-67.683700000000016</v>
      </c>
      <c r="X469" s="408">
        <v>-51.102100000000007</v>
      </c>
      <c r="Y469" s="408">
        <v>0</v>
      </c>
      <c r="Z469" s="408">
        <v>-5.9926466642863225</v>
      </c>
      <c r="AA469" s="408">
        <v>0</v>
      </c>
      <c r="AB469" s="408">
        <v>0</v>
      </c>
      <c r="AC469" s="408">
        <v>-0.26640751919230526</v>
      </c>
      <c r="AD469" s="408">
        <v>-3.3738079291624676</v>
      </c>
      <c r="AE469" s="408">
        <v>-35.634347926336503</v>
      </c>
      <c r="AF469" s="408">
        <v>-15.770369283061022</v>
      </c>
      <c r="AG469" s="408">
        <v>-0.79339480842253951</v>
      </c>
      <c r="AH469" s="408">
        <v>0</v>
      </c>
      <c r="AI469" s="408">
        <v>0</v>
      </c>
      <c r="AJ469" s="408">
        <v>0</v>
      </c>
      <c r="AK469" s="408">
        <v>0</v>
      </c>
      <c r="AL469" s="408">
        <v>-0.92624667244668557</v>
      </c>
      <c r="AM469" s="408"/>
      <c r="AN469" s="408">
        <v>-0.15205111353526962</v>
      </c>
      <c r="AO469" s="408">
        <v>-0.56825337035527312</v>
      </c>
      <c r="AP469" s="408">
        <v>-1.8609529534576723</v>
      </c>
      <c r="AQ469" s="408">
        <v>0</v>
      </c>
      <c r="AR469" s="408">
        <v>0</v>
      </c>
      <c r="AS469" s="408">
        <v>0</v>
      </c>
      <c r="AT469" s="408">
        <v>0</v>
      </c>
      <c r="AU469" s="408">
        <v>0</v>
      </c>
      <c r="AV469" s="408">
        <v>0</v>
      </c>
      <c r="AW469" s="408">
        <v>0</v>
      </c>
      <c r="AX469" s="408">
        <v>0</v>
      </c>
      <c r="AY469" s="408">
        <v>0</v>
      </c>
      <c r="AZ469" s="408">
        <v>0</v>
      </c>
      <c r="BA469" s="408"/>
      <c r="BB469" s="408">
        <v>0</v>
      </c>
      <c r="BC469" s="408">
        <v>0</v>
      </c>
      <c r="BD469" s="408">
        <v>0</v>
      </c>
      <c r="BE469" s="408">
        <v>-5.4371636471106398E-2</v>
      </c>
      <c r="BF469" s="408">
        <v>-0.47095745707120051</v>
      </c>
      <c r="BG469" s="408">
        <v>-1.8206756742022787</v>
      </c>
      <c r="BH469" s="408">
        <v>0</v>
      </c>
      <c r="BI469" s="408">
        <v>0</v>
      </c>
      <c r="BJ469" s="408">
        <v>0</v>
      </c>
      <c r="BK469" s="408">
        <v>-21.67</v>
      </c>
      <c r="BL469" s="408">
        <v>0</v>
      </c>
      <c r="BM469" s="408"/>
      <c r="BN469" s="408"/>
      <c r="BO469" s="408"/>
      <c r="BP469" s="408"/>
      <c r="BQ469" s="408"/>
      <c r="BR469" s="408"/>
      <c r="BS469" s="408"/>
      <c r="BT469" s="408"/>
      <c r="BU469" s="408"/>
      <c r="BV469" s="408">
        <v>-18.116374050805607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-52.144999999999996</v>
      </c>
      <c r="CJ469" s="408">
        <v>15.508700000000005</v>
      </c>
      <c r="CK469" s="408"/>
      <c r="CL469" s="408"/>
      <c r="CM469" s="408"/>
      <c r="CN469" s="408"/>
      <c r="CO469" s="408">
        <v>18.658220000000004</v>
      </c>
      <c r="CP469" s="408">
        <v>-2.0766199999999997</v>
      </c>
      <c r="CQ469" s="408">
        <v>29</v>
      </c>
      <c r="CR469" s="408">
        <v>-2.2839761433728043</v>
      </c>
      <c r="CS469" s="408">
        <v>-5.5173812197006233E-2</v>
      </c>
      <c r="CT469" s="408">
        <v>-0.18068677480493922</v>
      </c>
      <c r="CU469" s="408">
        <v>0</v>
      </c>
      <c r="CV469" s="408">
        <v>0</v>
      </c>
      <c r="CW469" s="408">
        <v>0</v>
      </c>
      <c r="CX469" s="408">
        <v>0</v>
      </c>
      <c r="CY469" s="408">
        <v>0</v>
      </c>
      <c r="CZ469" s="408">
        <v>6.4690094834841894E-2</v>
      </c>
      <c r="DA469" s="408">
        <v>0</v>
      </c>
      <c r="DB469" s="408">
        <v>0</v>
      </c>
      <c r="DC469" s="408">
        <v>-2.0243011924273873</v>
      </c>
      <c r="DD469" s="408">
        <v>-6.0452594661544956E-2</v>
      </c>
      <c r="DE469" s="408">
        <v>-6.9792004592374793E-3</v>
      </c>
      <c r="DF469" s="408">
        <v>0</v>
      </c>
      <c r="DG469" s="408">
        <v>-0.23370384498667218</v>
      </c>
      <c r="DH469" s="408">
        <v>0</v>
      </c>
      <c r="DI469" s="408">
        <v>0.17513812817087882</v>
      </c>
      <c r="DJ469" s="408"/>
      <c r="DK469" s="408">
        <v>0</v>
      </c>
      <c r="DL469" s="408">
        <v>0</v>
      </c>
      <c r="DM469" s="408">
        <v>8.8182921055095509E-3</v>
      </c>
      <c r="DN469" s="408">
        <v>0</v>
      </c>
      <c r="DO469" s="408">
        <v>2.3989468885925125E-2</v>
      </c>
      <c r="DP469" s="408">
        <v>4.685292166838495E-3</v>
      </c>
      <c r="DQ469" s="408">
        <v>0</v>
      </c>
      <c r="DR469" s="408">
        <v>0</v>
      </c>
      <c r="DS469" s="408"/>
      <c r="DT469" s="408"/>
      <c r="DU469" s="408"/>
      <c r="DV469" s="408">
        <v>-35.634347926336503</v>
      </c>
      <c r="DW469" s="408">
        <v>0</v>
      </c>
      <c r="DX469" s="408">
        <v>0</v>
      </c>
      <c r="DY469" s="408">
        <v>18.658220000000007</v>
      </c>
      <c r="DZ469" s="408">
        <v>-2.0766200000000019</v>
      </c>
      <c r="EA469" s="408">
        <v>0</v>
      </c>
      <c r="EB469" s="408">
        <v>0</v>
      </c>
      <c r="EC469" s="408">
        <v>18.866498055153446</v>
      </c>
      <c r="ED469" s="408">
        <v>0</v>
      </c>
      <c r="EE469" s="408">
        <v>0</v>
      </c>
      <c r="EF469" s="408">
        <v>0</v>
      </c>
      <c r="EG469" s="408">
        <v>0</v>
      </c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>
        <v>0</v>
      </c>
      <c r="EN469" s="408">
        <v>0</v>
      </c>
      <c r="EO469" s="408">
        <v>0</v>
      </c>
      <c r="EP469" s="408">
        <v>0</v>
      </c>
      <c r="EQ469" s="408">
        <v>0</v>
      </c>
      <c r="ER469" s="408">
        <v>0</v>
      </c>
      <c r="ES469" s="408">
        <v>0</v>
      </c>
      <c r="ET469" s="408">
        <v>0</v>
      </c>
      <c r="EU469" s="408">
        <v>0</v>
      </c>
      <c r="EV469" s="408">
        <v>239</v>
      </c>
      <c r="EW469" s="408">
        <v>0</v>
      </c>
      <c r="EX469" s="408">
        <v>0</v>
      </c>
      <c r="EY469" s="408">
        <v>0</v>
      </c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474</v>
      </c>
      <c r="B470" s="408" t="s">
        <v>2236</v>
      </c>
      <c r="C470" s="408" t="s">
        <v>2233</v>
      </c>
      <c r="D470" s="408" t="s">
        <v>1956</v>
      </c>
      <c r="E470" s="408" t="s">
        <v>2244</v>
      </c>
      <c r="F470" s="408" t="s">
        <v>1320</v>
      </c>
      <c r="G470" s="408" t="s">
        <v>1320</v>
      </c>
      <c r="H470" s="408" t="s">
        <v>1320</v>
      </c>
      <c r="I470" s="408" t="s">
        <v>1320</v>
      </c>
      <c r="J470" s="408" t="s">
        <v>2234</v>
      </c>
      <c r="K470" s="827">
        <v>44593</v>
      </c>
      <c r="L470" s="408">
        <v>0</v>
      </c>
      <c r="M470" s="408">
        <v>0</v>
      </c>
      <c r="N470" s="408">
        <v>0.1</v>
      </c>
      <c r="O470" s="408">
        <v>0.1</v>
      </c>
      <c r="P470" s="408">
        <v>0.1</v>
      </c>
      <c r="Q470" s="408">
        <v>0.1</v>
      </c>
      <c r="R470" s="408"/>
      <c r="S470" s="408">
        <v>516.83000000000004</v>
      </c>
      <c r="T470" s="408">
        <v>173.82</v>
      </c>
      <c r="U470" s="408"/>
      <c r="V470" s="408">
        <v>69.065000000000012</v>
      </c>
      <c r="W470" s="408">
        <v>69.065000000000012</v>
      </c>
      <c r="X470" s="408">
        <v>52.144999999999996</v>
      </c>
      <c r="Y470" s="408">
        <v>0</v>
      </c>
      <c r="Z470" s="408">
        <v>6.1149455758023699</v>
      </c>
      <c r="AA470" s="408">
        <v>0</v>
      </c>
      <c r="AB470" s="408">
        <v>0</v>
      </c>
      <c r="AC470" s="408">
        <v>0.27184440733908705</v>
      </c>
      <c r="AD470" s="408">
        <v>3.4426611522066</v>
      </c>
      <c r="AE470" s="408">
        <v>36.361579516669899</v>
      </c>
      <c r="AF470" s="408">
        <v>16.0922135541439</v>
      </c>
      <c r="AG470" s="408">
        <v>0.80958653920667301</v>
      </c>
      <c r="AH470" s="408">
        <v>0</v>
      </c>
      <c r="AI470" s="408">
        <v>0</v>
      </c>
      <c r="AJ470" s="408">
        <v>0</v>
      </c>
      <c r="AK470" s="408">
        <v>0</v>
      </c>
      <c r="AL470" s="408">
        <v>0.94514966576192405</v>
      </c>
      <c r="AM470" s="408"/>
      <c r="AN470" s="408">
        <v>0.155154197484969</v>
      </c>
      <c r="AO470" s="408">
        <v>0.57985037791354399</v>
      </c>
      <c r="AP470" s="408">
        <v>1.8989315851608901</v>
      </c>
      <c r="AQ470" s="408">
        <v>0</v>
      </c>
      <c r="AR470" s="408">
        <v>0</v>
      </c>
      <c r="AS470" s="408">
        <v>0</v>
      </c>
      <c r="AT470" s="408">
        <v>0</v>
      </c>
      <c r="AU470" s="408">
        <v>0</v>
      </c>
      <c r="AV470" s="408">
        <v>0</v>
      </c>
      <c r="AW470" s="408">
        <v>0</v>
      </c>
      <c r="AX470" s="408">
        <v>0</v>
      </c>
      <c r="AY470" s="408">
        <v>0</v>
      </c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5.5481261705210609E-2</v>
      </c>
      <c r="BF470" s="408">
        <v>0.48056883374612297</v>
      </c>
      <c r="BG470" s="408">
        <v>1.8578323206145702</v>
      </c>
      <c r="BH470" s="408">
        <v>0</v>
      </c>
      <c r="BI470" s="408">
        <v>0.23</v>
      </c>
      <c r="BJ470" s="408">
        <v>1.05</v>
      </c>
      <c r="BK470" s="408">
        <v>79.11</v>
      </c>
      <c r="BL470" s="408">
        <v>1</v>
      </c>
      <c r="BM470" s="408"/>
      <c r="BN470" s="408"/>
      <c r="BO470" s="408"/>
      <c r="BP470" s="408"/>
      <c r="BQ470" s="408"/>
      <c r="BR470" s="408"/>
      <c r="BS470" s="408"/>
      <c r="BT470" s="408"/>
      <c r="BU470" s="408"/>
      <c r="BV470" s="408">
        <v>18.486095970209803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52.144999999999996</v>
      </c>
      <c r="CJ470" s="408">
        <v>-16.950000000000017</v>
      </c>
      <c r="CK470" s="408"/>
      <c r="CL470" s="408"/>
      <c r="CM470" s="408"/>
      <c r="CN470" s="408"/>
      <c r="CO470" s="408">
        <v>-19.039000000000005</v>
      </c>
      <c r="CP470" s="408">
        <v>2.1189999999999998</v>
      </c>
      <c r="CQ470" s="408">
        <v>29</v>
      </c>
      <c r="CR470" s="408">
        <v>2.3305879014008113</v>
      </c>
      <c r="CS470" s="408">
        <v>5.6299808364292048E-2</v>
      </c>
      <c r="CT470" s="408">
        <v>0.1843742600050402</v>
      </c>
      <c r="CU470" s="408">
        <v>0</v>
      </c>
      <c r="CV470" s="408">
        <v>0</v>
      </c>
      <c r="CW470" s="408">
        <v>0</v>
      </c>
      <c r="CX470" s="408">
        <v>0</v>
      </c>
      <c r="CY470" s="408">
        <v>0</v>
      </c>
      <c r="CZ470" s="408">
        <v>-6.6010300851879755E-2</v>
      </c>
      <c r="DA470" s="408">
        <v>0</v>
      </c>
      <c r="DB470" s="408">
        <v>0</v>
      </c>
      <c r="DC470" s="408">
        <v>2.0656134616606003</v>
      </c>
      <c r="DD470" s="408">
        <v>6.1686321083209095E-2</v>
      </c>
      <c r="DE470" s="408">
        <v>7.1216331216709047E-3</v>
      </c>
      <c r="DF470" s="408">
        <v>0</v>
      </c>
      <c r="DG470" s="408">
        <v>0.23847331121088988</v>
      </c>
      <c r="DH470" s="408">
        <v>0</v>
      </c>
      <c r="DI470" s="408">
        <v>-0.17871237568456966</v>
      </c>
      <c r="DJ470" s="408"/>
      <c r="DK470" s="408">
        <v>0</v>
      </c>
      <c r="DL470" s="408">
        <v>0</v>
      </c>
      <c r="DM470" s="408">
        <v>-8.9982572505200586E-3</v>
      </c>
      <c r="DN470" s="408">
        <v>0</v>
      </c>
      <c r="DO470" s="408">
        <v>-2.4479049883597059E-2</v>
      </c>
      <c r="DP470" s="408">
        <v>-4.780910374324987E-3</v>
      </c>
      <c r="DQ470" s="408">
        <v>0</v>
      </c>
      <c r="DR470" s="408">
        <v>0</v>
      </c>
      <c r="DS470" s="408"/>
      <c r="DT470" s="408"/>
      <c r="DU470" s="408"/>
      <c r="DV470" s="408">
        <v>36.361579516669899</v>
      </c>
      <c r="DW470" s="408">
        <v>0</v>
      </c>
      <c r="DX470" s="408">
        <v>0</v>
      </c>
      <c r="DY470" s="408">
        <v>-19.039000000000009</v>
      </c>
      <c r="DZ470" s="408">
        <v>2.1189999999999998</v>
      </c>
      <c r="EA470" s="408">
        <v>0</v>
      </c>
      <c r="EB470" s="408">
        <v>0</v>
      </c>
      <c r="EC470" s="408">
        <v>-19.251528627707597</v>
      </c>
      <c r="ED470" s="408">
        <v>0</v>
      </c>
      <c r="EE470" s="408">
        <v>0</v>
      </c>
      <c r="EF470" s="408">
        <v>0</v>
      </c>
      <c r="EG470" s="408">
        <v>0</v>
      </c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>
        <v>0</v>
      </c>
      <c r="EN470" s="408">
        <v>0</v>
      </c>
      <c r="EO470" s="408">
        <v>0</v>
      </c>
      <c r="EP470" s="408">
        <v>0</v>
      </c>
      <c r="EQ470" s="408">
        <v>0</v>
      </c>
      <c r="ER470" s="408">
        <v>0</v>
      </c>
      <c r="ES470" s="408">
        <v>0</v>
      </c>
      <c r="ET470" s="408">
        <v>0</v>
      </c>
      <c r="EU470" s="408">
        <v>0</v>
      </c>
      <c r="EV470" s="408">
        <v>239</v>
      </c>
      <c r="EW470" s="408">
        <v>0</v>
      </c>
      <c r="EX470" s="408">
        <v>0</v>
      </c>
      <c r="EY470" s="408">
        <v>0</v>
      </c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475</v>
      </c>
      <c r="B471" s="408" t="s">
        <v>1034</v>
      </c>
      <c r="C471" s="408" t="s">
        <v>2245</v>
      </c>
      <c r="D471" s="408" t="s">
        <v>596</v>
      </c>
      <c r="E471" s="408" t="s">
        <v>2244</v>
      </c>
      <c r="F471" s="408" t="s">
        <v>1320</v>
      </c>
      <c r="G471" s="408" t="s">
        <v>1320</v>
      </c>
      <c r="H471" s="408" t="s">
        <v>1320</v>
      </c>
      <c r="I471" s="408" t="s">
        <v>971</v>
      </c>
      <c r="J471" s="408" t="s">
        <v>2234</v>
      </c>
      <c r="K471" s="827">
        <v>44593</v>
      </c>
      <c r="L471" s="408">
        <v>440</v>
      </c>
      <c r="M471" s="408">
        <v>440</v>
      </c>
      <c r="N471" s="408">
        <v>19.997</v>
      </c>
      <c r="O471" s="408">
        <v>19.997</v>
      </c>
      <c r="P471" s="408">
        <v>19.997</v>
      </c>
      <c r="Q471" s="408">
        <v>19.997</v>
      </c>
      <c r="R471" s="408">
        <v>67.099999999999994</v>
      </c>
      <c r="S471" s="408">
        <v>70.33</v>
      </c>
      <c r="T471" s="408">
        <v>173.82</v>
      </c>
      <c r="U471" s="408">
        <v>29523.999999999996</v>
      </c>
      <c r="V471" s="408">
        <v>4882.2675499999996</v>
      </c>
      <c r="W471" s="408">
        <v>34406.267549999997</v>
      </c>
      <c r="X471" s="408">
        <v>23783.407009999999</v>
      </c>
      <c r="Y471" s="408">
        <v>0</v>
      </c>
      <c r="Z471" s="408">
        <v>1063.8409301100855</v>
      </c>
      <c r="AA471" s="408">
        <v>0</v>
      </c>
      <c r="AB471" s="408">
        <v>0</v>
      </c>
      <c r="AC471" s="408">
        <v>329.30395789898023</v>
      </c>
      <c r="AD471" s="408">
        <v>5023.5825818795756</v>
      </c>
      <c r="AE471" s="408">
        <v>21191.19101107831</v>
      </c>
      <c r="AF471" s="408">
        <v>3217.9599444221553</v>
      </c>
      <c r="AG471" s="408">
        <v>161.89302024515837</v>
      </c>
      <c r="AH471" s="408">
        <v>0</v>
      </c>
      <c r="AI471" s="408">
        <v>0</v>
      </c>
      <c r="AJ471" s="408">
        <v>0</v>
      </c>
      <c r="AK471" s="408">
        <v>0</v>
      </c>
      <c r="AL471" s="408">
        <v>189.00157866241193</v>
      </c>
      <c r="AM471" s="408"/>
      <c r="AN471" s="408">
        <v>24.850885121578163</v>
      </c>
      <c r="AO471" s="408">
        <v>707.21213380757717</v>
      </c>
      <c r="AP471" s="408">
        <v>2274.0507542624432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3.731312713052831</v>
      </c>
      <c r="BF471" s="408">
        <v>96.099349684212214</v>
      </c>
      <c r="BG471" s="408">
        <v>124.94584916727914</v>
      </c>
      <c r="BH471" s="408">
        <v>0</v>
      </c>
      <c r="BI471" s="408">
        <v>0</v>
      </c>
      <c r="BJ471" s="408">
        <v>0</v>
      </c>
      <c r="BK471" s="408">
        <v>0</v>
      </c>
      <c r="BL471" s="408">
        <v>0</v>
      </c>
      <c r="BM471" s="408"/>
      <c r="BN471" s="408"/>
      <c r="BO471" s="408"/>
      <c r="BP471" s="408"/>
      <c r="BQ471" s="408"/>
      <c r="BR471" s="408"/>
      <c r="BS471" s="408"/>
      <c r="BT471" s="408"/>
      <c r="BU471" s="408"/>
      <c r="BV471" s="408">
        <v>3442.7364559866992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23784.2</v>
      </c>
      <c r="CJ471" s="408">
        <v>-10622.097549999995</v>
      </c>
      <c r="CK471" s="408"/>
      <c r="CL471" s="408"/>
      <c r="CM471" s="408"/>
      <c r="CN471" s="408"/>
      <c r="CO471" s="408">
        <v>-11046.596969999999</v>
      </c>
      <c r="CP471" s="408">
        <v>423.73642999999993</v>
      </c>
      <c r="CQ471" s="408">
        <v>29</v>
      </c>
      <c r="CR471" s="408">
        <v>596.50034849242911</v>
      </c>
      <c r="CS471" s="408">
        <v>68.665830225955688</v>
      </c>
      <c r="CT471" s="408">
        <v>220.79596142772107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-96.323217105324147</v>
      </c>
      <c r="DA471" s="408">
        <v>0</v>
      </c>
      <c r="DB471" s="408">
        <v>0</v>
      </c>
      <c r="DC471" s="408">
        <v>413.06072392827036</v>
      </c>
      <c r="DD471" s="408">
        <v>12.335413627009316</v>
      </c>
      <c r="DE471" s="408">
        <v>0.47895522538366375</v>
      </c>
      <c r="DF471" s="408">
        <v>0</v>
      </c>
      <c r="DG471" s="408">
        <v>16.038180648682498</v>
      </c>
      <c r="DH471" s="408">
        <v>0</v>
      </c>
      <c r="DI471" s="408">
        <v>-31.091288976110491</v>
      </c>
      <c r="DJ471" s="408"/>
      <c r="DK471" s="408">
        <v>0</v>
      </c>
      <c r="DL471" s="408">
        <v>0</v>
      </c>
      <c r="DM471" s="408">
        <v>-1.799381502386467</v>
      </c>
      <c r="DN471" s="408">
        <v>0</v>
      </c>
      <c r="DO471" s="408">
        <v>-4.8950756052228996</v>
      </c>
      <c r="DP471" s="408">
        <v>-0.76575340155033089</v>
      </c>
      <c r="DQ471" s="408">
        <v>0</v>
      </c>
      <c r="DR471" s="408">
        <v>0</v>
      </c>
      <c r="DS471" s="408"/>
      <c r="DT471" s="408"/>
      <c r="DU471" s="408">
        <v>21191.19101107831</v>
      </c>
      <c r="DV471" s="408">
        <v>0</v>
      </c>
      <c r="DW471" s="408">
        <v>0</v>
      </c>
      <c r="DX471" s="408">
        <v>0</v>
      </c>
      <c r="DY471" s="408">
        <v>-11046.596969999995</v>
      </c>
      <c r="DZ471" s="408">
        <v>423.73642999999993</v>
      </c>
      <c r="EA471" s="408">
        <v>0</v>
      </c>
      <c r="EB471" s="408">
        <v>0</v>
      </c>
      <c r="EC471" s="408">
        <v>-11219.612179332438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0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239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476</v>
      </c>
      <c r="B472" s="408" t="s">
        <v>1034</v>
      </c>
      <c r="C472" s="408" t="s">
        <v>2245</v>
      </c>
      <c r="D472" s="408" t="s">
        <v>596</v>
      </c>
      <c r="E472" s="408" t="s">
        <v>2244</v>
      </c>
      <c r="F472" s="408" t="s">
        <v>1320</v>
      </c>
      <c r="G472" s="408" t="s">
        <v>1320</v>
      </c>
      <c r="H472" s="408" t="s">
        <v>1320</v>
      </c>
      <c r="I472" s="408" t="s">
        <v>2242</v>
      </c>
      <c r="J472" s="408" t="s">
        <v>2234</v>
      </c>
      <c r="K472" s="827">
        <v>44593</v>
      </c>
      <c r="L472" s="408">
        <v>435</v>
      </c>
      <c r="M472" s="408">
        <v>435</v>
      </c>
      <c r="N472" s="408">
        <v>138.624</v>
      </c>
      <c r="O472" s="408">
        <v>138.624</v>
      </c>
      <c r="P472" s="408">
        <v>138.624</v>
      </c>
      <c r="Q472" s="408">
        <v>138.624</v>
      </c>
      <c r="R472" s="408">
        <v>59.12</v>
      </c>
      <c r="S472" s="408">
        <v>70.33</v>
      </c>
      <c r="T472" s="408">
        <v>173.82</v>
      </c>
      <c r="U472" s="408">
        <v>25717.199999999997</v>
      </c>
      <c r="V472" s="408">
        <v>33845.049599999998</v>
      </c>
      <c r="W472" s="408">
        <v>59562.249599999996</v>
      </c>
      <c r="X472" s="408">
        <v>51445.531919999994</v>
      </c>
      <c r="Y472" s="408">
        <v>0</v>
      </c>
      <c r="Z472" s="408">
        <v>7374.8004748502526</v>
      </c>
      <c r="AA472" s="408">
        <v>0</v>
      </c>
      <c r="AB472" s="408">
        <v>0</v>
      </c>
      <c r="AC472" s="408">
        <v>248.84625805015168</v>
      </c>
      <c r="AD472" s="408">
        <v>2225.9048530612122</v>
      </c>
      <c r="AE472" s="408">
        <v>20950.382022316055</v>
      </c>
      <c r="AF472" s="408">
        <v>22307.670117296439</v>
      </c>
      <c r="AG472" s="408">
        <v>1122.2812441098583</v>
      </c>
      <c r="AH472" s="408">
        <v>0</v>
      </c>
      <c r="AI472" s="408">
        <v>0</v>
      </c>
      <c r="AJ472" s="408">
        <v>0</v>
      </c>
      <c r="AK472" s="408">
        <v>0</v>
      </c>
      <c r="AL472" s="408">
        <v>1310.2042726658094</v>
      </c>
      <c r="AM472" s="408"/>
      <c r="AN472" s="408">
        <v>172.27229579905242</v>
      </c>
      <c r="AO472" s="408">
        <v>525.51137032517613</v>
      </c>
      <c r="AP472" s="408">
        <v>1766.5297208486738</v>
      </c>
      <c r="AQ472" s="408">
        <v>0</v>
      </c>
      <c r="AR472" s="408">
        <v>0</v>
      </c>
      <c r="AS472" s="408">
        <v>0</v>
      </c>
      <c r="AT472" s="408">
        <v>0</v>
      </c>
      <c r="AU472" s="408">
        <v>0</v>
      </c>
      <c r="AV472" s="408">
        <v>0</v>
      </c>
      <c r="AW472" s="408">
        <v>0</v>
      </c>
      <c r="AX472" s="408">
        <v>0</v>
      </c>
      <c r="AY472" s="408">
        <v>0</v>
      </c>
      <c r="AZ472" s="408">
        <v>0</v>
      </c>
      <c r="BA472" s="408"/>
      <c r="BB472" s="408">
        <v>0</v>
      </c>
      <c r="BC472" s="408">
        <v>0</v>
      </c>
      <c r="BD472" s="408">
        <v>0</v>
      </c>
      <c r="BE472" s="408">
        <v>25.866354629906265</v>
      </c>
      <c r="BF472" s="408">
        <v>666.18374009222543</v>
      </c>
      <c r="BG472" s="408">
        <v>866.15459293718573</v>
      </c>
      <c r="BH472" s="408">
        <v>0</v>
      </c>
      <c r="BI472" s="408">
        <v>0</v>
      </c>
      <c r="BJ472" s="408">
        <v>0</v>
      </c>
      <c r="BK472" s="408">
        <v>0</v>
      </c>
      <c r="BL472" s="408">
        <v>0</v>
      </c>
      <c r="BM472" s="408"/>
      <c r="BN472" s="408"/>
      <c r="BO472" s="408"/>
      <c r="BP472" s="408"/>
      <c r="BQ472" s="408"/>
      <c r="BR472" s="408"/>
      <c r="BS472" s="408"/>
      <c r="BT472" s="408"/>
      <c r="BU472" s="408"/>
      <c r="BV472" s="408">
        <v>23865.874804955758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51444.474600000001</v>
      </c>
      <c r="CJ472" s="408">
        <v>-8117.804999999993</v>
      </c>
      <c r="CK472" s="408"/>
      <c r="CL472" s="408"/>
      <c r="CM472" s="408"/>
      <c r="CN472" s="408"/>
      <c r="CO472" s="408">
        <v>-11054.160239999999</v>
      </c>
      <c r="CP472" s="408">
        <v>2937.4425599999995</v>
      </c>
      <c r="CQ472" s="408">
        <v>29</v>
      </c>
      <c r="CR472" s="408">
        <v>2976.0633045875657</v>
      </c>
      <c r="CS472" s="408">
        <v>51.023834025981387</v>
      </c>
      <c r="CT472" s="408">
        <v>171.51887545796103</v>
      </c>
      <c r="CU472" s="408">
        <v>0</v>
      </c>
      <c r="CV472" s="408">
        <v>0</v>
      </c>
      <c r="CW472" s="408">
        <v>0</v>
      </c>
      <c r="CX472" s="408">
        <v>0</v>
      </c>
      <c r="CY472" s="408">
        <v>0</v>
      </c>
      <c r="CZ472" s="408">
        <v>-42.679962541203622</v>
      </c>
      <c r="DA472" s="408">
        <v>0</v>
      </c>
      <c r="DB472" s="408">
        <v>0</v>
      </c>
      <c r="DC472" s="408">
        <v>2863.4360050923897</v>
      </c>
      <c r="DD472" s="408">
        <v>85.512045738387769</v>
      </c>
      <c r="DE472" s="408">
        <v>3.3202324930532079</v>
      </c>
      <c r="DF472" s="408">
        <v>0</v>
      </c>
      <c r="DG472" s="408">
        <v>111.1805147893665</v>
      </c>
      <c r="DH472" s="408">
        <v>0</v>
      </c>
      <c r="DI472" s="408">
        <v>-215.53227199201683</v>
      </c>
      <c r="DJ472" s="408"/>
      <c r="DK472" s="408">
        <v>0</v>
      </c>
      <c r="DL472" s="408">
        <v>0</v>
      </c>
      <c r="DM472" s="408">
        <v>-12.473744130960995</v>
      </c>
      <c r="DN472" s="408">
        <v>0</v>
      </c>
      <c r="DO472" s="408">
        <v>-33.933838110637453</v>
      </c>
      <c r="DP472" s="408">
        <v>-5.3083862347608601</v>
      </c>
      <c r="DQ472" s="408">
        <v>0</v>
      </c>
      <c r="DR472" s="408">
        <v>0</v>
      </c>
      <c r="DS472" s="408"/>
      <c r="DT472" s="408"/>
      <c r="DU472" s="408">
        <v>20950.382022316055</v>
      </c>
      <c r="DV472" s="408">
        <v>0</v>
      </c>
      <c r="DW472" s="408">
        <v>0</v>
      </c>
      <c r="DX472" s="408">
        <v>0</v>
      </c>
      <c r="DY472" s="408">
        <v>-11054.160239999997</v>
      </c>
      <c r="DZ472" s="408">
        <v>2937.4425599999995</v>
      </c>
      <c r="EA472" s="408">
        <v>0</v>
      </c>
      <c r="EB472" s="408">
        <v>0</v>
      </c>
      <c r="EC472" s="408">
        <v>-11092.116586385477</v>
      </c>
      <c r="ED472" s="408">
        <v>0</v>
      </c>
      <c r="EE472" s="408">
        <v>0</v>
      </c>
      <c r="EF472" s="408">
        <v>0</v>
      </c>
      <c r="EG472" s="408">
        <v>0</v>
      </c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>
        <v>0</v>
      </c>
      <c r="EN472" s="408">
        <v>0</v>
      </c>
      <c r="EO472" s="408">
        <v>0</v>
      </c>
      <c r="EP472" s="408">
        <v>0</v>
      </c>
      <c r="EQ472" s="408">
        <v>0</v>
      </c>
      <c r="ER472" s="408">
        <v>0</v>
      </c>
      <c r="ES472" s="408">
        <v>0</v>
      </c>
      <c r="ET472" s="408">
        <v>0</v>
      </c>
      <c r="EU472" s="408">
        <v>0</v>
      </c>
      <c r="EV472" s="408">
        <v>239</v>
      </c>
      <c r="EW472" s="408">
        <v>0</v>
      </c>
      <c r="EX472" s="408">
        <v>0</v>
      </c>
      <c r="EY472" s="408">
        <v>0</v>
      </c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477</v>
      </c>
      <c r="B473" s="408" t="s">
        <v>1034</v>
      </c>
      <c r="C473" s="408" t="s">
        <v>2245</v>
      </c>
      <c r="D473" s="408" t="s">
        <v>596</v>
      </c>
      <c r="E473" s="408" t="s">
        <v>2244</v>
      </c>
      <c r="F473" s="408" t="s">
        <v>1320</v>
      </c>
      <c r="G473" s="408" t="s">
        <v>1320</v>
      </c>
      <c r="H473" s="408" t="s">
        <v>1320</v>
      </c>
      <c r="I473" s="408" t="s">
        <v>1320</v>
      </c>
      <c r="J473" s="408" t="s">
        <v>2234</v>
      </c>
      <c r="K473" s="827">
        <v>44593</v>
      </c>
      <c r="L473" s="408">
        <v>0</v>
      </c>
      <c r="M473" s="408">
        <v>0</v>
      </c>
      <c r="N473" s="408">
        <v>0</v>
      </c>
      <c r="O473" s="408">
        <v>0</v>
      </c>
      <c r="P473" s="408">
        <v>0</v>
      </c>
      <c r="Q473" s="408">
        <v>0</v>
      </c>
      <c r="R473" s="408"/>
      <c r="S473" s="408"/>
      <c r="T473" s="408"/>
      <c r="U473" s="408"/>
      <c r="V473" s="408"/>
      <c r="W473" s="408"/>
      <c r="X473" s="408"/>
      <c r="Y473" s="408"/>
      <c r="Z473" s="408"/>
      <c r="AA473" s="408">
        <v>0</v>
      </c>
      <c r="AB473" s="408"/>
      <c r="AC473" s="408"/>
      <c r="AD473" s="408"/>
      <c r="AE473" s="408"/>
      <c r="AF473" s="408"/>
      <c r="AG473" s="408"/>
      <c r="AH473" s="408"/>
      <c r="AI473" s="408"/>
      <c r="AJ473" s="408"/>
      <c r="AK473" s="408"/>
      <c r="AL473" s="408"/>
      <c r="AM473" s="408"/>
      <c r="AN473" s="408"/>
      <c r="AO473" s="408"/>
      <c r="AP473" s="408"/>
      <c r="AQ473" s="408"/>
      <c r="AR473" s="408"/>
      <c r="AS473" s="408"/>
      <c r="AT473" s="408"/>
      <c r="AU473" s="408"/>
      <c r="AV473" s="408"/>
      <c r="AW473" s="408"/>
      <c r="AX473" s="408"/>
      <c r="AY473" s="408"/>
      <c r="AZ473" s="408">
        <v>0</v>
      </c>
      <c r="BA473" s="408"/>
      <c r="BB473" s="408"/>
      <c r="BC473" s="408"/>
      <c r="BD473" s="408"/>
      <c r="BE473" s="408"/>
      <c r="BF473" s="408"/>
      <c r="BG473" s="408"/>
      <c r="BH473" s="408"/>
      <c r="BI473" s="408">
        <v>341.7</v>
      </c>
      <c r="BJ473" s="408">
        <v>1556.45</v>
      </c>
      <c r="BK473" s="408">
        <v>0</v>
      </c>
      <c r="BL473" s="408">
        <v>1</v>
      </c>
      <c r="BM473" s="408"/>
      <c r="BN473" s="408"/>
      <c r="BO473" s="408"/>
      <c r="BP473" s="408"/>
      <c r="BQ473" s="408"/>
      <c r="BR473" s="408"/>
      <c r="BS473" s="408"/>
      <c r="BT473" s="408"/>
      <c r="BU473" s="408"/>
      <c r="BV473" s="408"/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/>
      <c r="CJ473" s="408">
        <v>-0.03</v>
      </c>
      <c r="CK473" s="408"/>
      <c r="CL473" s="408"/>
      <c r="CM473" s="408"/>
      <c r="CN473" s="408"/>
      <c r="CO473" s="408">
        <v>0</v>
      </c>
      <c r="CP473" s="408">
        <v>0</v>
      </c>
      <c r="CQ473" s="408">
        <v>29</v>
      </c>
      <c r="CR473" s="408"/>
      <c r="CS473" s="408"/>
      <c r="CT473" s="408"/>
      <c r="CU473" s="408"/>
      <c r="CV473" s="408"/>
      <c r="CW473" s="408"/>
      <c r="CX473" s="408"/>
      <c r="CY473" s="408"/>
      <c r="CZ473" s="408"/>
      <c r="DA473" s="408"/>
      <c r="DB473" s="408"/>
      <c r="DC473" s="408"/>
      <c r="DD473" s="408"/>
      <c r="DE473" s="408"/>
      <c r="DF473" s="408"/>
      <c r="DG473" s="408"/>
      <c r="DH473" s="408"/>
      <c r="DI473" s="408"/>
      <c r="DJ473" s="408"/>
      <c r="DK473" s="408">
        <v>0</v>
      </c>
      <c r="DL473" s="408"/>
      <c r="DM473" s="408"/>
      <c r="DN473" s="408"/>
      <c r="DO473" s="408"/>
      <c r="DP473" s="408"/>
      <c r="DQ473" s="408"/>
      <c r="DR473" s="408"/>
      <c r="DS473" s="408"/>
      <c r="DT473" s="408"/>
      <c r="DU473" s="408"/>
      <c r="DV473" s="408"/>
      <c r="DW473" s="408"/>
      <c r="DX473" s="408"/>
      <c r="DY473" s="408"/>
      <c r="DZ473" s="408"/>
      <c r="EA473" s="408"/>
      <c r="EB473" s="408"/>
      <c r="EC473" s="408"/>
      <c r="ED473" s="408"/>
      <c r="EE473" s="408"/>
      <c r="EF473" s="408"/>
      <c r="EG473" s="408"/>
      <c r="EH473" s="408"/>
      <c r="EI473" s="408"/>
      <c r="EJ473" s="408"/>
      <c r="EK473" s="408"/>
      <c r="EL473" s="408"/>
      <c r="EM473" s="408"/>
      <c r="EN473" s="408"/>
      <c r="EO473" s="408"/>
      <c r="EP473" s="408"/>
      <c r="EQ473" s="408"/>
      <c r="ER473" s="408"/>
      <c r="ES473" s="408"/>
      <c r="ET473" s="408"/>
      <c r="EU473" s="408"/>
      <c r="EV473" s="408">
        <v>239</v>
      </c>
      <c r="EW473" s="408"/>
      <c r="EX473" s="408"/>
      <c r="EY473" s="408"/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478</v>
      </c>
      <c r="B474" s="408" t="s">
        <v>1034</v>
      </c>
      <c r="C474" s="408" t="s">
        <v>2233</v>
      </c>
      <c r="D474" s="408" t="s">
        <v>2246</v>
      </c>
      <c r="E474" s="408" t="s">
        <v>2247</v>
      </c>
      <c r="F474" s="408" t="s">
        <v>2248</v>
      </c>
      <c r="G474" s="408" t="s">
        <v>1320</v>
      </c>
      <c r="H474" s="408" t="s">
        <v>1320</v>
      </c>
      <c r="I474" s="408" t="s">
        <v>1320</v>
      </c>
      <c r="J474" s="408" t="s">
        <v>2234</v>
      </c>
      <c r="K474" s="827">
        <v>44593</v>
      </c>
      <c r="L474" s="408">
        <v>0</v>
      </c>
      <c r="M474" s="408">
        <v>0</v>
      </c>
      <c r="N474" s="408">
        <v>242.80099999999999</v>
      </c>
      <c r="O474" s="408">
        <v>242.80099999999999</v>
      </c>
      <c r="P474" s="408">
        <v>242.80099999999999</v>
      </c>
      <c r="Q474" s="408">
        <v>242.80099999999999</v>
      </c>
      <c r="R474" s="408"/>
      <c r="S474" s="408">
        <v>284.26</v>
      </c>
      <c r="T474" s="408">
        <v>95.6</v>
      </c>
      <c r="U474" s="408"/>
      <c r="V474" s="408">
        <v>92230.387859999988</v>
      </c>
      <c r="W474" s="408">
        <v>92230.387859999988</v>
      </c>
      <c r="X474" s="408">
        <v>69632.898789999992</v>
      </c>
      <c r="Y474" s="408">
        <v>0</v>
      </c>
      <c r="Z474" s="408">
        <v>8165.931954127167</v>
      </c>
      <c r="AA474" s="408">
        <v>0</v>
      </c>
      <c r="AB474" s="408">
        <v>0</v>
      </c>
      <c r="AC474" s="408">
        <v>363.02251670485748</v>
      </c>
      <c r="AD474" s="408">
        <v>4597.3486372930311</v>
      </c>
      <c r="AE474" s="408">
        <v>48557.453275248212</v>
      </c>
      <c r="AF474" s="408">
        <v>21489.630487378348</v>
      </c>
      <c r="AG474" s="408">
        <v>1081.1263171825565</v>
      </c>
      <c r="AH474" s="408">
        <v>0</v>
      </c>
      <c r="AI474" s="408">
        <v>0</v>
      </c>
      <c r="AJ474" s="408">
        <v>0</v>
      </c>
      <c r="AK474" s="408">
        <v>0</v>
      </c>
      <c r="AL474" s="408">
        <v>1262.1580619816345</v>
      </c>
      <c r="AM474" s="408"/>
      <c r="AN474" s="408">
        <v>207.19376866951438</v>
      </c>
      <c r="AO474" s="408">
        <v>774.33538384282463</v>
      </c>
      <c r="AP474" s="408">
        <v>2535.8436829475718</v>
      </c>
      <c r="AQ474" s="408">
        <v>0</v>
      </c>
      <c r="AR474" s="408">
        <v>0</v>
      </c>
      <c r="AS474" s="408">
        <v>0</v>
      </c>
      <c r="AT474" s="408">
        <v>0</v>
      </c>
      <c r="AU474" s="408">
        <v>0</v>
      </c>
      <c r="AV474" s="408">
        <v>0</v>
      </c>
      <c r="AW474" s="408">
        <v>0</v>
      </c>
      <c r="AX474" s="408">
        <v>0</v>
      </c>
      <c r="AY474" s="408">
        <v>0</v>
      </c>
      <c r="AZ474" s="408">
        <v>0</v>
      </c>
      <c r="BA474" s="408"/>
      <c r="BB474" s="408">
        <v>0</v>
      </c>
      <c r="BC474" s="408">
        <v>0</v>
      </c>
      <c r="BD474" s="408">
        <v>0</v>
      </c>
      <c r="BE474" s="408">
        <v>74.089982028077543</v>
      </c>
      <c r="BF474" s="408">
        <v>641.75426371315916</v>
      </c>
      <c r="BG474" s="408">
        <v>2480.9594990264513</v>
      </c>
      <c r="BH474" s="408">
        <v>0</v>
      </c>
      <c r="BI474" s="408">
        <v>363.86</v>
      </c>
      <c r="BJ474" s="408">
        <v>1657.69</v>
      </c>
      <c r="BK474" s="408">
        <v>26532.92</v>
      </c>
      <c r="BL474" s="408">
        <v>14</v>
      </c>
      <c r="BM474" s="408"/>
      <c r="BN474" s="408"/>
      <c r="BO474" s="408"/>
      <c r="BP474" s="408"/>
      <c r="BQ474" s="408"/>
      <c r="BR474" s="408"/>
      <c r="BS474" s="408"/>
      <c r="BT474" s="408"/>
      <c r="BU474" s="408"/>
      <c r="BV474" s="408">
        <v>24686.434232146039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69632.611999999994</v>
      </c>
      <c r="CJ474" s="408">
        <v>-22597.805859999979</v>
      </c>
      <c r="CK474" s="408"/>
      <c r="CL474" s="408"/>
      <c r="CM474" s="408"/>
      <c r="CN474" s="408"/>
      <c r="CO474" s="408">
        <v>-25426.120719999999</v>
      </c>
      <c r="CP474" s="408">
        <v>2828.6316500000012</v>
      </c>
      <c r="CQ474" s="408">
        <v>29</v>
      </c>
      <c r="CR474" s="408">
        <v>3112.2799017640064</v>
      </c>
      <c r="CS474" s="408">
        <v>75.183073738622625</v>
      </c>
      <c r="CT474" s="408">
        <v>246.21440086915572</v>
      </c>
      <c r="CU474" s="408">
        <v>0</v>
      </c>
      <c r="CV474" s="408">
        <v>0</v>
      </c>
      <c r="CW474" s="408">
        <v>0</v>
      </c>
      <c r="CX474" s="408">
        <v>0</v>
      </c>
      <c r="CY474" s="408">
        <v>0</v>
      </c>
      <c r="CZ474" s="408">
        <v>-88.150518814246425</v>
      </c>
      <c r="DA474" s="408">
        <v>0</v>
      </c>
      <c r="DB474" s="408">
        <v>0</v>
      </c>
      <c r="DC474" s="408">
        <v>2758.4315775755058</v>
      </c>
      <c r="DD474" s="408">
        <v>82.376252449283243</v>
      </c>
      <c r="DE474" s="408">
        <v>9.5102680396614971</v>
      </c>
      <c r="DF474" s="408">
        <v>0</v>
      </c>
      <c r="DG474" s="408">
        <v>318.45857139423561</v>
      </c>
      <c r="DH474" s="408">
        <v>0</v>
      </c>
      <c r="DI474" s="408">
        <v>-238.65348940725653</v>
      </c>
      <c r="DJ474" s="408"/>
      <c r="DK474" s="408">
        <v>0</v>
      </c>
      <c r="DL474" s="408">
        <v>0</v>
      </c>
      <c r="DM474" s="408">
        <v>-12.016322222759527</v>
      </c>
      <c r="DN474" s="408">
        <v>0</v>
      </c>
      <c r="DO474" s="408">
        <v>-32.689457849329074</v>
      </c>
      <c r="DP474" s="408">
        <v>-6.3844540088810504</v>
      </c>
      <c r="DQ474" s="408">
        <v>0</v>
      </c>
      <c r="DR474" s="408">
        <v>0</v>
      </c>
      <c r="DS474" s="408"/>
      <c r="DT474" s="408"/>
      <c r="DU474" s="408"/>
      <c r="DV474" s="408">
        <v>48557.453275248212</v>
      </c>
      <c r="DW474" s="408">
        <v>0</v>
      </c>
      <c r="DX474" s="408">
        <v>0</v>
      </c>
      <c r="DY474" s="408">
        <v>-25426.120719999999</v>
      </c>
      <c r="DZ474" s="408">
        <v>2828.631650000003</v>
      </c>
      <c r="EA474" s="408">
        <v>0</v>
      </c>
      <c r="EB474" s="408">
        <v>0</v>
      </c>
      <c r="EC474" s="408">
        <v>-25708.597212848104</v>
      </c>
      <c r="ED474" s="408">
        <v>0</v>
      </c>
      <c r="EE474" s="408">
        <v>0</v>
      </c>
      <c r="EF474" s="408">
        <v>0</v>
      </c>
      <c r="EG474" s="408">
        <v>0</v>
      </c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>
        <v>0</v>
      </c>
      <c r="EN474" s="408">
        <v>0</v>
      </c>
      <c r="EO474" s="408">
        <v>0</v>
      </c>
      <c r="EP474" s="408">
        <v>0</v>
      </c>
      <c r="EQ474" s="408">
        <v>0</v>
      </c>
      <c r="ER474" s="408">
        <v>0</v>
      </c>
      <c r="ES474" s="408">
        <v>0</v>
      </c>
      <c r="ET474" s="408">
        <v>0</v>
      </c>
      <c r="EU474" s="408">
        <v>0</v>
      </c>
      <c r="EV474" s="408">
        <v>239</v>
      </c>
      <c r="EW474" s="408">
        <v>0</v>
      </c>
      <c r="EX474" s="408">
        <v>0</v>
      </c>
      <c r="EY474" s="408">
        <v>0</v>
      </c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479</v>
      </c>
      <c r="B475" s="408" t="s">
        <v>1034</v>
      </c>
      <c r="C475" s="408" t="s">
        <v>2233</v>
      </c>
      <c r="D475" s="408" t="s">
        <v>1956</v>
      </c>
      <c r="E475" s="408" t="s">
        <v>999</v>
      </c>
      <c r="F475" s="408" t="s">
        <v>2249</v>
      </c>
      <c r="G475" s="408" t="s">
        <v>1320</v>
      </c>
      <c r="H475" s="408" t="s">
        <v>1320</v>
      </c>
      <c r="I475" s="408" t="s">
        <v>1320</v>
      </c>
      <c r="J475" s="408" t="s">
        <v>2234</v>
      </c>
      <c r="K475" s="827">
        <v>44593</v>
      </c>
      <c r="L475" s="408">
        <v>0</v>
      </c>
      <c r="M475" s="408">
        <v>0</v>
      </c>
      <c r="N475" s="408">
        <v>8.1359999999999992</v>
      </c>
      <c r="O475" s="408">
        <v>7.6478400000000004</v>
      </c>
      <c r="P475" s="408">
        <v>8.1359999999999992</v>
      </c>
      <c r="Q475" s="408">
        <v>7.6478400000000004</v>
      </c>
      <c r="R475" s="408"/>
      <c r="S475" s="408">
        <v>516.83000000000004</v>
      </c>
      <c r="T475" s="408">
        <v>173.82</v>
      </c>
      <c r="U475" s="408"/>
      <c r="V475" s="408">
        <v>5619.1284000000005</v>
      </c>
      <c r="W475" s="408">
        <v>5619.1284000000005</v>
      </c>
      <c r="X475" s="408">
        <v>4242.5171999999993</v>
      </c>
      <c r="Y475" s="408">
        <v>0</v>
      </c>
      <c r="Z475" s="408">
        <v>497.51197204728078</v>
      </c>
      <c r="AA475" s="408">
        <v>0</v>
      </c>
      <c r="AB475" s="408">
        <v>0</v>
      </c>
      <c r="AC475" s="408">
        <v>22.117260981108117</v>
      </c>
      <c r="AD475" s="408">
        <v>280.09491134352891</v>
      </c>
      <c r="AE475" s="408">
        <v>2958.3781094762626</v>
      </c>
      <c r="AF475" s="408">
        <v>1309.2624947651475</v>
      </c>
      <c r="AG475" s="408">
        <v>65.867960829854908</v>
      </c>
      <c r="AH475" s="408">
        <v>0</v>
      </c>
      <c r="AI475" s="408">
        <v>0</v>
      </c>
      <c r="AJ475" s="408">
        <v>0</v>
      </c>
      <c r="AK475" s="408">
        <v>0</v>
      </c>
      <c r="AL475" s="408">
        <v>76.897376806390128</v>
      </c>
      <c r="AM475" s="408"/>
      <c r="AN475" s="408">
        <v>12.623345507377076</v>
      </c>
      <c r="AO475" s="408">
        <v>47.176626747045937</v>
      </c>
      <c r="AP475" s="408">
        <v>154.49707376869</v>
      </c>
      <c r="AQ475" s="408">
        <v>0</v>
      </c>
      <c r="AR475" s="408">
        <v>0</v>
      </c>
      <c r="AS475" s="408">
        <v>0</v>
      </c>
      <c r="AT475" s="408">
        <v>0</v>
      </c>
      <c r="AU475" s="408">
        <v>0</v>
      </c>
      <c r="AV475" s="408">
        <v>0</v>
      </c>
      <c r="AW475" s="408">
        <v>0</v>
      </c>
      <c r="AX475" s="408">
        <v>0</v>
      </c>
      <c r="AY475" s="408">
        <v>0</v>
      </c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4.5139554523359342</v>
      </c>
      <c r="BF475" s="408">
        <v>39.099080313584558</v>
      </c>
      <c r="BG475" s="408">
        <v>151.15323760520141</v>
      </c>
      <c r="BH475" s="408">
        <v>0</v>
      </c>
      <c r="BI475" s="408">
        <v>18.809999999999999</v>
      </c>
      <c r="BJ475" s="408">
        <v>85.97</v>
      </c>
      <c r="BK475" s="408">
        <v>1834.14</v>
      </c>
      <c r="BL475" s="408">
        <v>7</v>
      </c>
      <c r="BM475" s="408"/>
      <c r="BN475" s="408"/>
      <c r="BO475" s="408"/>
      <c r="BP475" s="408"/>
      <c r="BQ475" s="408">
        <v>254.55103199999937</v>
      </c>
      <c r="BR475" s="408"/>
      <c r="BS475" s="408"/>
      <c r="BT475" s="408"/>
      <c r="BU475" s="408"/>
      <c r="BV475" s="408">
        <v>1504.0287681362695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3989.0924999999997</v>
      </c>
      <c r="CJ475" s="408">
        <v>-1292.9181960000014</v>
      </c>
      <c r="CK475" s="408"/>
      <c r="CL475" s="408"/>
      <c r="CM475" s="408"/>
      <c r="CN475" s="408"/>
      <c r="CO475" s="408">
        <v>-1549.0130400000003</v>
      </c>
      <c r="CP475" s="408">
        <v>172.40183999999996</v>
      </c>
      <c r="CQ475" s="408">
        <v>29</v>
      </c>
      <c r="CR475" s="408">
        <v>189.61663165797017</v>
      </c>
      <c r="CS475" s="408">
        <v>4.5805524085187983</v>
      </c>
      <c r="CT475" s="408">
        <v>15.000689794010071</v>
      </c>
      <c r="CU475" s="408">
        <v>0</v>
      </c>
      <c r="CV475" s="408">
        <v>0</v>
      </c>
      <c r="CW475" s="408">
        <v>0</v>
      </c>
      <c r="CX475" s="408">
        <v>0</v>
      </c>
      <c r="CY475" s="408">
        <v>0</v>
      </c>
      <c r="CZ475" s="408">
        <v>-5.3705980773088982</v>
      </c>
      <c r="DA475" s="408">
        <v>0</v>
      </c>
      <c r="DB475" s="408">
        <v>0</v>
      </c>
      <c r="DC475" s="408">
        <v>168.05831124070642</v>
      </c>
      <c r="DD475" s="408">
        <v>5.0187990833298954</v>
      </c>
      <c r="DE475" s="408">
        <v>0.57941607077914448</v>
      </c>
      <c r="DF475" s="408">
        <v>0</v>
      </c>
      <c r="DG475" s="408">
        <v>19.402188600117995</v>
      </c>
      <c r="DH475" s="408">
        <v>0</v>
      </c>
      <c r="DI475" s="408">
        <v>-14.540038885696617</v>
      </c>
      <c r="DJ475" s="408"/>
      <c r="DK475" s="408">
        <v>0</v>
      </c>
      <c r="DL475" s="408">
        <v>0</v>
      </c>
      <c r="DM475" s="408">
        <v>-0.73209820990230412</v>
      </c>
      <c r="DN475" s="408">
        <v>0</v>
      </c>
      <c r="DO475" s="408">
        <v>-1.9916154985294554</v>
      </c>
      <c r="DP475" s="408">
        <v>-0.3889748680550813</v>
      </c>
      <c r="DQ475" s="408">
        <v>0</v>
      </c>
      <c r="DR475" s="408">
        <v>0</v>
      </c>
      <c r="DS475" s="408"/>
      <c r="DT475" s="408"/>
      <c r="DU475" s="408"/>
      <c r="DV475" s="408">
        <v>2958.3781094762626</v>
      </c>
      <c r="DW475" s="408">
        <v>0</v>
      </c>
      <c r="DX475" s="408">
        <v>0</v>
      </c>
      <c r="DY475" s="408">
        <v>-1549.0130400000007</v>
      </c>
      <c r="DZ475" s="408">
        <v>172.40183999999999</v>
      </c>
      <c r="EA475" s="408">
        <v>0</v>
      </c>
      <c r="EB475" s="408">
        <v>0</v>
      </c>
      <c r="EC475" s="408">
        <v>-1566.3043691502901</v>
      </c>
      <c r="ED475" s="408">
        <v>0</v>
      </c>
      <c r="EE475" s="408">
        <v>0</v>
      </c>
      <c r="EF475" s="408">
        <v>0</v>
      </c>
      <c r="EG475" s="408">
        <v>0</v>
      </c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>
        <v>0</v>
      </c>
      <c r="EN475" s="408">
        <v>0</v>
      </c>
      <c r="EO475" s="408">
        <v>0</v>
      </c>
      <c r="EP475" s="408">
        <v>0</v>
      </c>
      <c r="EQ475" s="408">
        <v>0</v>
      </c>
      <c r="ER475" s="408">
        <v>0</v>
      </c>
      <c r="ES475" s="408">
        <v>0</v>
      </c>
      <c r="ET475" s="408">
        <v>0</v>
      </c>
      <c r="EU475" s="408">
        <v>0</v>
      </c>
      <c r="EV475" s="408">
        <v>239</v>
      </c>
      <c r="EW475" s="408">
        <v>0</v>
      </c>
      <c r="EX475" s="408">
        <v>0</v>
      </c>
      <c r="EY475" s="408">
        <v>0</v>
      </c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480</v>
      </c>
      <c r="B476" s="408" t="s">
        <v>1034</v>
      </c>
      <c r="C476" s="408" t="s">
        <v>2245</v>
      </c>
      <c r="D476" s="408" t="s">
        <v>596</v>
      </c>
      <c r="E476" s="408" t="s">
        <v>999</v>
      </c>
      <c r="F476" s="408" t="s">
        <v>2249</v>
      </c>
      <c r="G476" s="408" t="s">
        <v>1320</v>
      </c>
      <c r="H476" s="408" t="s">
        <v>1320</v>
      </c>
      <c r="I476" s="408" t="s">
        <v>971</v>
      </c>
      <c r="J476" s="408" t="s">
        <v>2234</v>
      </c>
      <c r="K476" s="827">
        <v>44593</v>
      </c>
      <c r="L476" s="408">
        <v>100</v>
      </c>
      <c r="M476" s="408">
        <v>94</v>
      </c>
      <c r="N476" s="408">
        <v>3.7440000000000002</v>
      </c>
      <c r="O476" s="408">
        <v>3.5193599999999998</v>
      </c>
      <c r="P476" s="408">
        <v>3.7440000000000002</v>
      </c>
      <c r="Q476" s="408">
        <v>3.5193599999999998</v>
      </c>
      <c r="R476" s="408">
        <v>67.099999999999994</v>
      </c>
      <c r="S476" s="408">
        <v>70.33</v>
      </c>
      <c r="T476" s="408">
        <v>173.82</v>
      </c>
      <c r="U476" s="408">
        <v>6709.9999999999991</v>
      </c>
      <c r="V476" s="408">
        <v>914.09760000000006</v>
      </c>
      <c r="W476" s="408">
        <v>7624.0975999999991</v>
      </c>
      <c r="X476" s="408">
        <v>5193.6515200000003</v>
      </c>
      <c r="Y476" s="408">
        <v>0</v>
      </c>
      <c r="Z476" s="408">
        <v>199.18089925149576</v>
      </c>
      <c r="AA476" s="408">
        <v>0</v>
      </c>
      <c r="AB476" s="408">
        <v>0</v>
      </c>
      <c r="AC476" s="408">
        <v>74.841808613404609</v>
      </c>
      <c r="AD476" s="408">
        <v>1141.7233140635399</v>
      </c>
      <c r="AE476" s="408">
        <v>4816.1797752450702</v>
      </c>
      <c r="AF476" s="408">
        <v>602.49247546714764</v>
      </c>
      <c r="AG476" s="408">
        <v>30.310920027897836</v>
      </c>
      <c r="AH476" s="408">
        <v>0</v>
      </c>
      <c r="AI476" s="408">
        <v>0</v>
      </c>
      <c r="AJ476" s="408">
        <v>0</v>
      </c>
      <c r="AK476" s="408">
        <v>0</v>
      </c>
      <c r="AL476" s="408">
        <v>35.386403486126433</v>
      </c>
      <c r="AM476" s="408"/>
      <c r="AN476" s="408">
        <v>4.6527836123012776</v>
      </c>
      <c r="AO476" s="408">
        <v>160.73003041081299</v>
      </c>
      <c r="AP476" s="408">
        <v>516.82971687782799</v>
      </c>
      <c r="AQ476" s="408">
        <v>0</v>
      </c>
      <c r="AR476" s="408">
        <v>0</v>
      </c>
      <c r="AS476" s="408">
        <v>0</v>
      </c>
      <c r="AT476" s="408">
        <v>0</v>
      </c>
      <c r="AU476" s="408">
        <v>0</v>
      </c>
      <c r="AV476" s="408">
        <v>0</v>
      </c>
      <c r="AW476" s="408">
        <v>0</v>
      </c>
      <c r="AX476" s="408">
        <v>0</v>
      </c>
      <c r="AY476" s="408">
        <v>0</v>
      </c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0.69860653086311941</v>
      </c>
      <c r="BF476" s="408">
        <v>17.992497135454844</v>
      </c>
      <c r="BG476" s="408">
        <v>23.393371969910142</v>
      </c>
      <c r="BH476" s="408">
        <v>0</v>
      </c>
      <c r="BI476" s="408">
        <v>0</v>
      </c>
      <c r="BJ476" s="408">
        <v>0</v>
      </c>
      <c r="BK476" s="408">
        <v>0</v>
      </c>
      <c r="BL476" s="408">
        <v>0</v>
      </c>
      <c r="BM476" s="408"/>
      <c r="BN476" s="408"/>
      <c r="BO476" s="408"/>
      <c r="BP476" s="408"/>
      <c r="BQ476" s="408">
        <v>311.61909120000013</v>
      </c>
      <c r="BR476" s="408"/>
      <c r="BS476" s="408"/>
      <c r="BT476" s="408"/>
      <c r="BU476" s="408"/>
      <c r="BV476" s="408">
        <v>644.57695110337579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4882.2015999999994</v>
      </c>
      <c r="CJ476" s="408">
        <v>-2284.480144000001</v>
      </c>
      <c r="CK476" s="408"/>
      <c r="CL476" s="408"/>
      <c r="CM476" s="408"/>
      <c r="CN476" s="408"/>
      <c r="CO476" s="408">
        <v>-2509.7814399999997</v>
      </c>
      <c r="CP476" s="408">
        <v>79.335359999999994</v>
      </c>
      <c r="CQ476" s="408">
        <v>29</v>
      </c>
      <c r="CR476" s="408">
        <v>119.41578275932898</v>
      </c>
      <c r="CS476" s="408">
        <v>15.60587050589902</v>
      </c>
      <c r="CT476" s="408">
        <v>50.180900324482081</v>
      </c>
      <c r="CU476" s="408">
        <v>0</v>
      </c>
      <c r="CV476" s="408">
        <v>0</v>
      </c>
      <c r="CW476" s="408">
        <v>0</v>
      </c>
      <c r="CX476" s="408">
        <v>0</v>
      </c>
      <c r="CY476" s="408">
        <v>0</v>
      </c>
      <c r="CZ476" s="408">
        <v>-21.891640251209992</v>
      </c>
      <c r="DA476" s="408">
        <v>0</v>
      </c>
      <c r="DB476" s="408">
        <v>0</v>
      </c>
      <c r="DC476" s="408">
        <v>77.336568004572882</v>
      </c>
      <c r="DD476" s="408">
        <v>2.3095358613553501</v>
      </c>
      <c r="DE476" s="408">
        <v>8.9673869272212658E-2</v>
      </c>
      <c r="DF476" s="408">
        <v>0</v>
      </c>
      <c r="DG476" s="408">
        <v>3.0027978371089326</v>
      </c>
      <c r="DH476" s="408">
        <v>0</v>
      </c>
      <c r="DI476" s="408">
        <v>-5.8211624706985106</v>
      </c>
      <c r="DJ476" s="408"/>
      <c r="DK476" s="408">
        <v>0</v>
      </c>
      <c r="DL476" s="408">
        <v>0</v>
      </c>
      <c r="DM476" s="408">
        <v>-0.33689475145946801</v>
      </c>
      <c r="DN476" s="408">
        <v>0</v>
      </c>
      <c r="DO476" s="408">
        <v>-0.91649562764187209</v>
      </c>
      <c r="DP476" s="408">
        <v>-0.1433705423515752</v>
      </c>
      <c r="DQ476" s="408">
        <v>0</v>
      </c>
      <c r="DR476" s="408">
        <v>0</v>
      </c>
      <c r="DS476" s="408"/>
      <c r="DT476" s="408"/>
      <c r="DU476" s="408">
        <v>4816.1797752450702</v>
      </c>
      <c r="DV476" s="408">
        <v>0</v>
      </c>
      <c r="DW476" s="408">
        <v>0</v>
      </c>
      <c r="DX476" s="408">
        <v>0</v>
      </c>
      <c r="DY476" s="408">
        <v>-2509.7814399999988</v>
      </c>
      <c r="DZ476" s="408">
        <v>79.335359999999923</v>
      </c>
      <c r="EA476" s="408">
        <v>0</v>
      </c>
      <c r="EB476" s="408">
        <v>0</v>
      </c>
      <c r="EC476" s="408">
        <v>-2549.9118589391901</v>
      </c>
      <c r="ED476" s="408">
        <v>0</v>
      </c>
      <c r="EE476" s="408">
        <v>0</v>
      </c>
      <c r="EF476" s="408">
        <v>0</v>
      </c>
      <c r="EG476" s="408">
        <v>0</v>
      </c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>
        <v>0</v>
      </c>
      <c r="EN476" s="408">
        <v>0</v>
      </c>
      <c r="EO476" s="408">
        <v>0</v>
      </c>
      <c r="EP476" s="408">
        <v>0</v>
      </c>
      <c r="EQ476" s="408">
        <v>0</v>
      </c>
      <c r="ER476" s="408">
        <v>0</v>
      </c>
      <c r="ES476" s="408">
        <v>0</v>
      </c>
      <c r="ET476" s="408">
        <v>0</v>
      </c>
      <c r="EU476" s="408">
        <v>0</v>
      </c>
      <c r="EV476" s="408">
        <v>239</v>
      </c>
      <c r="EW476" s="408">
        <v>0</v>
      </c>
      <c r="EX476" s="408">
        <v>0</v>
      </c>
      <c r="EY476" s="408">
        <v>0</v>
      </c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481</v>
      </c>
      <c r="B477" s="408" t="s">
        <v>1034</v>
      </c>
      <c r="C477" s="408" t="s">
        <v>2245</v>
      </c>
      <c r="D477" s="408" t="s">
        <v>596</v>
      </c>
      <c r="E477" s="408" t="s">
        <v>999</v>
      </c>
      <c r="F477" s="408" t="s">
        <v>2249</v>
      </c>
      <c r="G477" s="408" t="s">
        <v>1320</v>
      </c>
      <c r="H477" s="408" t="s">
        <v>1320</v>
      </c>
      <c r="I477" s="408" t="s">
        <v>2242</v>
      </c>
      <c r="J477" s="408" t="s">
        <v>2234</v>
      </c>
      <c r="K477" s="827">
        <v>44593</v>
      </c>
      <c r="L477" s="408">
        <v>100</v>
      </c>
      <c r="M477" s="408">
        <v>94</v>
      </c>
      <c r="N477" s="408">
        <v>33.387999999999998</v>
      </c>
      <c r="O477" s="408">
        <v>31.384720000000002</v>
      </c>
      <c r="P477" s="408">
        <v>33.387999999999998</v>
      </c>
      <c r="Q477" s="408">
        <v>31.384720000000002</v>
      </c>
      <c r="R477" s="408">
        <v>59.12</v>
      </c>
      <c r="S477" s="408">
        <v>70.33</v>
      </c>
      <c r="T477" s="408">
        <v>173.82</v>
      </c>
      <c r="U477" s="408">
        <v>5912</v>
      </c>
      <c r="V477" s="408">
        <v>8151.6801999999989</v>
      </c>
      <c r="W477" s="408">
        <v>14063.680199999999</v>
      </c>
      <c r="X477" s="408">
        <v>12228.45004</v>
      </c>
      <c r="Y477" s="408">
        <v>0</v>
      </c>
      <c r="Z477" s="408">
        <v>1776.2424850985415</v>
      </c>
      <c r="AA477" s="408">
        <v>0</v>
      </c>
      <c r="AB477" s="408">
        <v>0</v>
      </c>
      <c r="AC477" s="408">
        <v>57.206036333368203</v>
      </c>
      <c r="AD477" s="408">
        <v>511.70226507154302</v>
      </c>
      <c r="AE477" s="408">
        <v>4816.1797752450702</v>
      </c>
      <c r="AF477" s="408">
        <v>5372.8682614575646</v>
      </c>
      <c r="AG477" s="408">
        <v>270.30475371032395</v>
      </c>
      <c r="AH477" s="408">
        <v>0</v>
      </c>
      <c r="AI477" s="408">
        <v>0</v>
      </c>
      <c r="AJ477" s="408">
        <v>0</v>
      </c>
      <c r="AK477" s="408">
        <v>0</v>
      </c>
      <c r="AL477" s="408">
        <v>315.56657040459118</v>
      </c>
      <c r="AM477" s="408"/>
      <c r="AN477" s="408">
        <v>41.492291465682435</v>
      </c>
      <c r="AO477" s="408">
        <v>120.807211569006</v>
      </c>
      <c r="AP477" s="408">
        <v>406.098786401994</v>
      </c>
      <c r="AQ477" s="408">
        <v>0</v>
      </c>
      <c r="AR477" s="408">
        <v>0</v>
      </c>
      <c r="AS477" s="408">
        <v>0</v>
      </c>
      <c r="AT477" s="408">
        <v>0</v>
      </c>
      <c r="AU477" s="408">
        <v>0</v>
      </c>
      <c r="AV477" s="408">
        <v>0</v>
      </c>
      <c r="AW477" s="408">
        <v>0</v>
      </c>
      <c r="AX477" s="408">
        <v>0</v>
      </c>
      <c r="AY477" s="408">
        <v>0</v>
      </c>
      <c r="AZ477" s="408">
        <v>0</v>
      </c>
      <c r="BA477" s="408"/>
      <c r="BB477" s="408">
        <v>0</v>
      </c>
      <c r="BC477" s="408">
        <v>0</v>
      </c>
      <c r="BD477" s="408">
        <v>0</v>
      </c>
      <c r="BE477" s="408">
        <v>6.2299879413615997</v>
      </c>
      <c r="BF477" s="408">
        <v>160.45232221115552</v>
      </c>
      <c r="BG477" s="408">
        <v>208.61589298380335</v>
      </c>
      <c r="BH477" s="408">
        <v>0</v>
      </c>
      <c r="BI477" s="408">
        <v>0</v>
      </c>
      <c r="BJ477" s="408">
        <v>0</v>
      </c>
      <c r="BK477" s="408">
        <v>0</v>
      </c>
      <c r="BL477" s="408">
        <v>0</v>
      </c>
      <c r="BM477" s="408"/>
      <c r="BN477" s="408"/>
      <c r="BO477" s="408"/>
      <c r="BP477" s="408"/>
      <c r="BQ477" s="408">
        <v>733.70700239999906</v>
      </c>
      <c r="BR477" s="408"/>
      <c r="BS477" s="408"/>
      <c r="BT477" s="408"/>
      <c r="BU477" s="408"/>
      <c r="BV477" s="408">
        <v>5748.1664645938845</v>
      </c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>
        <v>11493.4954</v>
      </c>
      <c r="CJ477" s="408">
        <v>-1726.3939880000016</v>
      </c>
      <c r="CK477" s="408"/>
      <c r="CL477" s="408"/>
      <c r="CM477" s="408"/>
      <c r="CN477" s="408"/>
      <c r="CO477" s="408">
        <v>-2542.7218799999996</v>
      </c>
      <c r="CP477" s="408">
        <v>707.49171999999987</v>
      </c>
      <c r="CQ477" s="408">
        <v>29</v>
      </c>
      <c r="CR477" s="408">
        <v>714.82092431507044</v>
      </c>
      <c r="CS477" s="408">
        <v>11.729617017467007</v>
      </c>
      <c r="CT477" s="408">
        <v>39.429626542059964</v>
      </c>
      <c r="CU477" s="408">
        <v>0</v>
      </c>
      <c r="CV477" s="408">
        <v>0</v>
      </c>
      <c r="CW477" s="408">
        <v>0</v>
      </c>
      <c r="CX477" s="408">
        <v>0</v>
      </c>
      <c r="CY477" s="408">
        <v>0</v>
      </c>
      <c r="CZ477" s="408">
        <v>-9.8114856416560201</v>
      </c>
      <c r="DA477" s="408">
        <v>0</v>
      </c>
      <c r="DB477" s="408">
        <v>0</v>
      </c>
      <c r="DC477" s="408">
        <v>689.66702257924135</v>
      </c>
      <c r="DD477" s="408">
        <v>20.595828883261845</v>
      </c>
      <c r="DE477" s="408">
        <v>0.79968780642645143</v>
      </c>
      <c r="DF477" s="408">
        <v>0</v>
      </c>
      <c r="DG477" s="408">
        <v>26.778155498235293</v>
      </c>
      <c r="DH477" s="408">
        <v>0</v>
      </c>
      <c r="DI477" s="408">
        <v>-51.911584554402225</v>
      </c>
      <c r="DJ477" s="408"/>
      <c r="DK477" s="408">
        <v>0</v>
      </c>
      <c r="DL477" s="408">
        <v>0</v>
      </c>
      <c r="DM477" s="408">
        <v>-3.0043381308036032</v>
      </c>
      <c r="DN477" s="408">
        <v>0</v>
      </c>
      <c r="DO477" s="408">
        <v>-8.1730651751353776</v>
      </c>
      <c r="DP477" s="408">
        <v>-1.2785405096245626</v>
      </c>
      <c r="DQ477" s="408">
        <v>0</v>
      </c>
      <c r="DR477" s="408">
        <v>0</v>
      </c>
      <c r="DS477" s="408"/>
      <c r="DT477" s="408"/>
      <c r="DU477" s="408">
        <v>4816.1797752450702</v>
      </c>
      <c r="DV477" s="408">
        <v>0</v>
      </c>
      <c r="DW477" s="408">
        <v>0</v>
      </c>
      <c r="DX477" s="408">
        <v>0</v>
      </c>
      <c r="DY477" s="408">
        <v>-2542.7218799999991</v>
      </c>
      <c r="DZ477" s="408">
        <v>707.49171999999999</v>
      </c>
      <c r="EA477" s="408">
        <v>0</v>
      </c>
      <c r="EB477" s="408">
        <v>0</v>
      </c>
      <c r="EC477" s="408">
        <v>-2549.9118589391901</v>
      </c>
      <c r="ED477" s="408">
        <v>0</v>
      </c>
      <c r="EE477" s="408">
        <v>0</v>
      </c>
      <c r="EF477" s="408">
        <v>0</v>
      </c>
      <c r="EG477" s="408">
        <v>0</v>
      </c>
      <c r="EH477" s="408">
        <v>0</v>
      </c>
      <c r="EI477" s="408">
        <v>0</v>
      </c>
      <c r="EJ477" s="408">
        <v>0</v>
      </c>
      <c r="EK477" s="408">
        <v>0</v>
      </c>
      <c r="EL477" s="408">
        <v>0</v>
      </c>
      <c r="EM477" s="408">
        <v>0</v>
      </c>
      <c r="EN477" s="408">
        <v>0</v>
      </c>
      <c r="EO477" s="408">
        <v>0</v>
      </c>
      <c r="EP477" s="408">
        <v>0</v>
      </c>
      <c r="EQ477" s="408">
        <v>0</v>
      </c>
      <c r="ER477" s="408">
        <v>0</v>
      </c>
      <c r="ES477" s="408">
        <v>0</v>
      </c>
      <c r="ET477" s="408">
        <v>0</v>
      </c>
      <c r="EU477" s="408">
        <v>0</v>
      </c>
      <c r="EV477" s="408">
        <v>239</v>
      </c>
      <c r="EW477" s="408">
        <v>0</v>
      </c>
      <c r="EX477" s="408">
        <v>0</v>
      </c>
      <c r="EY477" s="408">
        <v>0</v>
      </c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482</v>
      </c>
      <c r="B478" s="408" t="s">
        <v>1034</v>
      </c>
      <c r="C478" s="408" t="s">
        <v>2245</v>
      </c>
      <c r="D478" s="408" t="s">
        <v>596</v>
      </c>
      <c r="E478" s="408" t="s">
        <v>999</v>
      </c>
      <c r="F478" s="408" t="s">
        <v>2249</v>
      </c>
      <c r="G478" s="408" t="s">
        <v>1320</v>
      </c>
      <c r="H478" s="408" t="s">
        <v>1320</v>
      </c>
      <c r="I478" s="408" t="s">
        <v>1320</v>
      </c>
      <c r="J478" s="408" t="s">
        <v>2234</v>
      </c>
      <c r="K478" s="827">
        <v>44593</v>
      </c>
      <c r="L478" s="408">
        <v>0</v>
      </c>
      <c r="M478" s="408">
        <v>0</v>
      </c>
      <c r="N478" s="408">
        <v>0</v>
      </c>
      <c r="O478" s="408">
        <v>0</v>
      </c>
      <c r="P478" s="408">
        <v>0</v>
      </c>
      <c r="Q478" s="408">
        <v>0</v>
      </c>
      <c r="R478" s="408"/>
      <c r="S478" s="408"/>
      <c r="T478" s="408"/>
      <c r="U478" s="408"/>
      <c r="V478" s="408"/>
      <c r="W478" s="408"/>
      <c r="X478" s="408"/>
      <c r="Y478" s="408"/>
      <c r="Z478" s="408"/>
      <c r="AA478" s="408">
        <v>0</v>
      </c>
      <c r="AB478" s="408"/>
      <c r="AC478" s="408"/>
      <c r="AD478" s="408"/>
      <c r="AE478" s="408"/>
      <c r="AF478" s="408"/>
      <c r="AG478" s="408"/>
      <c r="AH478" s="408"/>
      <c r="AI478" s="408"/>
      <c r="AJ478" s="408"/>
      <c r="AK478" s="408"/>
      <c r="AL478" s="408"/>
      <c r="AM478" s="408"/>
      <c r="AN478" s="408"/>
      <c r="AO478" s="408"/>
      <c r="AP478" s="408"/>
      <c r="AQ478" s="408"/>
      <c r="AR478" s="408"/>
      <c r="AS478" s="408"/>
      <c r="AT478" s="408"/>
      <c r="AU478" s="408"/>
      <c r="AV478" s="408"/>
      <c r="AW478" s="408"/>
      <c r="AX478" s="408"/>
      <c r="AY478" s="408"/>
      <c r="AZ478" s="408">
        <v>0</v>
      </c>
      <c r="BA478" s="408"/>
      <c r="BB478" s="408"/>
      <c r="BC478" s="408"/>
      <c r="BD478" s="408"/>
      <c r="BE478" s="408"/>
      <c r="BF478" s="408"/>
      <c r="BG478" s="408"/>
      <c r="BH478" s="408"/>
      <c r="BI478" s="408">
        <v>79.33</v>
      </c>
      <c r="BJ478" s="408">
        <v>361.35</v>
      </c>
      <c r="BK478" s="408">
        <v>7479.19</v>
      </c>
      <c r="BL478" s="408">
        <v>1</v>
      </c>
      <c r="BM478" s="408"/>
      <c r="BN478" s="408"/>
      <c r="BO478" s="408"/>
      <c r="BP478" s="408"/>
      <c r="BQ478" s="408"/>
      <c r="BR478" s="408"/>
      <c r="BS478" s="408"/>
      <c r="BT478" s="408"/>
      <c r="BU478" s="408"/>
      <c r="BV478" s="408"/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/>
      <c r="CJ478" s="408">
        <v>-0.03</v>
      </c>
      <c r="CK478" s="408"/>
      <c r="CL478" s="408"/>
      <c r="CM478" s="408"/>
      <c r="CN478" s="408"/>
      <c r="CO478" s="408">
        <v>0</v>
      </c>
      <c r="CP478" s="408">
        <v>0</v>
      </c>
      <c r="CQ478" s="408">
        <v>29</v>
      </c>
      <c r="CR478" s="408"/>
      <c r="CS478" s="408"/>
      <c r="CT478" s="408"/>
      <c r="CU478" s="408"/>
      <c r="CV478" s="408"/>
      <c r="CW478" s="408"/>
      <c r="CX478" s="408"/>
      <c r="CY478" s="408"/>
      <c r="CZ478" s="408"/>
      <c r="DA478" s="408"/>
      <c r="DB478" s="408"/>
      <c r="DC478" s="408"/>
      <c r="DD478" s="408"/>
      <c r="DE478" s="408"/>
      <c r="DF478" s="408"/>
      <c r="DG478" s="408"/>
      <c r="DH478" s="408"/>
      <c r="DI478" s="408"/>
      <c r="DJ478" s="408"/>
      <c r="DK478" s="408">
        <v>0</v>
      </c>
      <c r="DL478" s="408"/>
      <c r="DM478" s="408"/>
      <c r="DN478" s="408"/>
      <c r="DO478" s="408"/>
      <c r="DP478" s="408"/>
      <c r="DQ478" s="408"/>
      <c r="DR478" s="408"/>
      <c r="DS478" s="408"/>
      <c r="DT478" s="408"/>
      <c r="DU478" s="408"/>
      <c r="DV478" s="408"/>
      <c r="DW478" s="408"/>
      <c r="DX478" s="408"/>
      <c r="DY478" s="408"/>
      <c r="DZ478" s="408"/>
      <c r="EA478" s="408"/>
      <c r="EB478" s="408"/>
      <c r="EC478" s="408"/>
      <c r="ED478" s="408"/>
      <c r="EE478" s="408"/>
      <c r="EF478" s="408"/>
      <c r="EG478" s="408"/>
      <c r="EH478" s="408"/>
      <c r="EI478" s="408"/>
      <c r="EJ478" s="408"/>
      <c r="EK478" s="408"/>
      <c r="EL478" s="408"/>
      <c r="EM478" s="408"/>
      <c r="EN478" s="408"/>
      <c r="EO478" s="408"/>
      <c r="EP478" s="408"/>
      <c r="EQ478" s="408"/>
      <c r="ER478" s="408"/>
      <c r="ES478" s="408"/>
      <c r="ET478" s="408"/>
      <c r="EU478" s="408"/>
      <c r="EV478" s="408">
        <v>239</v>
      </c>
      <c r="EW478" s="408"/>
      <c r="EX478" s="408"/>
      <c r="EY478" s="408"/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483</v>
      </c>
      <c r="B479" s="408" t="s">
        <v>1034</v>
      </c>
      <c r="C479" s="408" t="s">
        <v>2233</v>
      </c>
      <c r="D479" s="408" t="s">
        <v>1956</v>
      </c>
      <c r="E479" s="408" t="s">
        <v>2250</v>
      </c>
      <c r="F479" s="408" t="s">
        <v>1320</v>
      </c>
      <c r="G479" s="408" t="s">
        <v>1320</v>
      </c>
      <c r="H479" s="408" t="s">
        <v>1320</v>
      </c>
      <c r="I479" s="408" t="s">
        <v>1320</v>
      </c>
      <c r="J479" s="408" t="s">
        <v>2234</v>
      </c>
      <c r="K479" s="827">
        <v>44593</v>
      </c>
      <c r="L479" s="408">
        <v>0</v>
      </c>
      <c r="M479" s="408">
        <v>0</v>
      </c>
      <c r="N479" s="408">
        <v>1.3759999999999999</v>
      </c>
      <c r="O479" s="408">
        <v>1.3759999999999999</v>
      </c>
      <c r="P479" s="408">
        <v>1.3759999999999999</v>
      </c>
      <c r="Q479" s="408">
        <v>1.3759999999999999</v>
      </c>
      <c r="R479" s="408"/>
      <c r="S479" s="408">
        <v>516.83000000000004</v>
      </c>
      <c r="T479" s="408">
        <v>173.82</v>
      </c>
      <c r="U479" s="408"/>
      <c r="V479" s="408">
        <v>950.33439999999996</v>
      </c>
      <c r="W479" s="408">
        <v>950.33439999999996</v>
      </c>
      <c r="X479" s="408">
        <v>717.51519999999994</v>
      </c>
      <c r="Y479" s="408">
        <v>0</v>
      </c>
      <c r="Z479" s="408">
        <v>84.141651123040603</v>
      </c>
      <c r="AA479" s="408">
        <v>0</v>
      </c>
      <c r="AB479" s="408">
        <v>0</v>
      </c>
      <c r="AC479" s="408">
        <v>3.7405790449858372</v>
      </c>
      <c r="AD479" s="408">
        <v>47.371017454362807</v>
      </c>
      <c r="AE479" s="408">
        <v>500.33533414937779</v>
      </c>
      <c r="AF479" s="408">
        <v>221.42885850502003</v>
      </c>
      <c r="AG479" s="408">
        <v>11.139910779483818</v>
      </c>
      <c r="AH479" s="408">
        <v>0</v>
      </c>
      <c r="AI479" s="408">
        <v>0</v>
      </c>
      <c r="AJ479" s="408">
        <v>0</v>
      </c>
      <c r="AK479" s="408">
        <v>0</v>
      </c>
      <c r="AL479" s="408">
        <v>13.005259400884073</v>
      </c>
      <c r="AM479" s="408"/>
      <c r="AN479" s="408">
        <v>2.1349217573931734</v>
      </c>
      <c r="AO479" s="408">
        <v>7.978741200090365</v>
      </c>
      <c r="AP479" s="408">
        <v>26.129298611813844</v>
      </c>
      <c r="AQ479" s="408">
        <v>0</v>
      </c>
      <c r="AR479" s="408">
        <v>0</v>
      </c>
      <c r="AS479" s="408">
        <v>0</v>
      </c>
      <c r="AT479" s="408">
        <v>0</v>
      </c>
      <c r="AU479" s="408">
        <v>0</v>
      </c>
      <c r="AV479" s="408">
        <v>0</v>
      </c>
      <c r="AW479" s="408">
        <v>0</v>
      </c>
      <c r="AX479" s="408">
        <v>0</v>
      </c>
      <c r="AY479" s="408">
        <v>0</v>
      </c>
      <c r="AZ479" s="408">
        <v>0</v>
      </c>
      <c r="BA479" s="408"/>
      <c r="BB479" s="408">
        <v>0</v>
      </c>
      <c r="BC479" s="408">
        <v>0</v>
      </c>
      <c r="BD479" s="408">
        <v>0</v>
      </c>
      <c r="BE479" s="408">
        <v>0.76342216106369787</v>
      </c>
      <c r="BF479" s="408">
        <v>6.6126271523466515</v>
      </c>
      <c r="BG479" s="408">
        <v>25.563772731656481</v>
      </c>
      <c r="BH479" s="408">
        <v>0</v>
      </c>
      <c r="BI479" s="408">
        <v>3.15</v>
      </c>
      <c r="BJ479" s="408">
        <v>14.53</v>
      </c>
      <c r="BK479" s="408">
        <v>310.13</v>
      </c>
      <c r="BL479" s="408">
        <v>7</v>
      </c>
      <c r="BM479" s="408"/>
      <c r="BN479" s="408"/>
      <c r="BO479" s="408"/>
      <c r="BP479" s="408"/>
      <c r="BQ479" s="408"/>
      <c r="BR479" s="408"/>
      <c r="BS479" s="408"/>
      <c r="BT479" s="408"/>
      <c r="BU479" s="408"/>
      <c r="BV479" s="408">
        <v>254.36868055008685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719.60099999999989</v>
      </c>
      <c r="CJ479" s="408">
        <v>-230.76340000000005</v>
      </c>
      <c r="CK479" s="408"/>
      <c r="CL479" s="408"/>
      <c r="CM479" s="408"/>
      <c r="CN479" s="408"/>
      <c r="CO479" s="408">
        <v>-261.97664000000003</v>
      </c>
      <c r="CP479" s="408">
        <v>29.157439999999994</v>
      </c>
      <c r="CQ479" s="408">
        <v>29</v>
      </c>
      <c r="CR479" s="408">
        <v>32.068889523275175</v>
      </c>
      <c r="CS479" s="408">
        <v>0.77468536309265801</v>
      </c>
      <c r="CT479" s="408">
        <v>2.5369898176693511</v>
      </c>
      <c r="CU479" s="408">
        <v>0</v>
      </c>
      <c r="CV479" s="408">
        <v>0</v>
      </c>
      <c r="CW479" s="408">
        <v>0</v>
      </c>
      <c r="CX479" s="408">
        <v>0</v>
      </c>
      <c r="CY479" s="408">
        <v>0</v>
      </c>
      <c r="CZ479" s="408">
        <v>-0.90830173972186401</v>
      </c>
      <c r="DA479" s="408">
        <v>0</v>
      </c>
      <c r="DB479" s="408">
        <v>0</v>
      </c>
      <c r="DC479" s="408">
        <v>28.422841232449883</v>
      </c>
      <c r="DD479" s="408">
        <v>0.84880377810495666</v>
      </c>
      <c r="DE479" s="408">
        <v>9.7993671754191602E-2</v>
      </c>
      <c r="DF479" s="408">
        <v>0</v>
      </c>
      <c r="DG479" s="408">
        <v>3.2813927622618486</v>
      </c>
      <c r="DH479" s="408">
        <v>0</v>
      </c>
      <c r="DI479" s="408">
        <v>-2.4590822894196833</v>
      </c>
      <c r="DJ479" s="408"/>
      <c r="DK479" s="408">
        <v>0</v>
      </c>
      <c r="DL479" s="408">
        <v>0</v>
      </c>
      <c r="DM479" s="408">
        <v>-0.12381601976715473</v>
      </c>
      <c r="DN479" s="408">
        <v>0</v>
      </c>
      <c r="DO479" s="408">
        <v>-0.33683172639829451</v>
      </c>
      <c r="DP479" s="408">
        <v>-6.5785326750712247E-2</v>
      </c>
      <c r="DQ479" s="408">
        <v>0</v>
      </c>
      <c r="DR479" s="408">
        <v>0</v>
      </c>
      <c r="DS479" s="408"/>
      <c r="DT479" s="408"/>
      <c r="DU479" s="408"/>
      <c r="DV479" s="408">
        <v>500.33533414937779</v>
      </c>
      <c r="DW479" s="408">
        <v>0</v>
      </c>
      <c r="DX479" s="408">
        <v>0</v>
      </c>
      <c r="DY479" s="408">
        <v>-261.97664000000009</v>
      </c>
      <c r="DZ479" s="408">
        <v>29.157440000000008</v>
      </c>
      <c r="EA479" s="408">
        <v>0</v>
      </c>
      <c r="EB479" s="408">
        <v>0</v>
      </c>
      <c r="EC479" s="408">
        <v>-264.90103391725654</v>
      </c>
      <c r="ED479" s="408">
        <v>0</v>
      </c>
      <c r="EE479" s="408">
        <v>0</v>
      </c>
      <c r="EF479" s="408">
        <v>0</v>
      </c>
      <c r="EG479" s="408">
        <v>0</v>
      </c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>
        <v>0</v>
      </c>
      <c r="EN479" s="408">
        <v>0</v>
      </c>
      <c r="EO479" s="408">
        <v>0</v>
      </c>
      <c r="EP479" s="408">
        <v>0</v>
      </c>
      <c r="EQ479" s="408">
        <v>0</v>
      </c>
      <c r="ER479" s="408">
        <v>0</v>
      </c>
      <c r="ES479" s="408">
        <v>0</v>
      </c>
      <c r="ET479" s="408">
        <v>0</v>
      </c>
      <c r="EU479" s="408">
        <v>0</v>
      </c>
      <c r="EV479" s="408">
        <v>239</v>
      </c>
      <c r="EW479" s="408">
        <v>0</v>
      </c>
      <c r="EX479" s="408">
        <v>0</v>
      </c>
      <c r="EY479" s="408">
        <v>0</v>
      </c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484</v>
      </c>
      <c r="B480" s="408" t="s">
        <v>1034</v>
      </c>
      <c r="C480" s="408" t="s">
        <v>2233</v>
      </c>
      <c r="D480" s="408" t="s">
        <v>2243</v>
      </c>
      <c r="E480" s="408" t="s">
        <v>972</v>
      </c>
      <c r="F480" s="408" t="s">
        <v>2251</v>
      </c>
      <c r="G480" s="408" t="s">
        <v>2252</v>
      </c>
      <c r="H480" s="408" t="s">
        <v>1320</v>
      </c>
      <c r="I480" s="408" t="s">
        <v>1320</v>
      </c>
      <c r="J480" s="408" t="s">
        <v>2234</v>
      </c>
      <c r="K480" s="827">
        <v>44593</v>
      </c>
      <c r="L480" s="408">
        <v>0</v>
      </c>
      <c r="M480" s="408">
        <v>0</v>
      </c>
      <c r="N480" s="408">
        <v>0</v>
      </c>
      <c r="O480" s="408">
        <v>0</v>
      </c>
      <c r="P480" s="408">
        <v>0</v>
      </c>
      <c r="Q480" s="408">
        <v>0</v>
      </c>
      <c r="R480" s="408"/>
      <c r="S480" s="408"/>
      <c r="T480" s="408"/>
      <c r="U480" s="408"/>
      <c r="V480" s="408"/>
      <c r="W480" s="408"/>
      <c r="X480" s="408"/>
      <c r="Y480" s="408"/>
      <c r="Z480" s="408"/>
      <c r="AA480" s="408">
        <v>0</v>
      </c>
      <c r="AB480" s="408"/>
      <c r="AC480" s="408"/>
      <c r="AD480" s="408"/>
      <c r="AE480" s="408"/>
      <c r="AF480" s="408"/>
      <c r="AG480" s="408"/>
      <c r="AH480" s="408"/>
      <c r="AI480" s="408"/>
      <c r="AJ480" s="408"/>
      <c r="AK480" s="408"/>
      <c r="AL480" s="408"/>
      <c r="AM480" s="408"/>
      <c r="AN480" s="408"/>
      <c r="AO480" s="408"/>
      <c r="AP480" s="408"/>
      <c r="AQ480" s="408"/>
      <c r="AR480" s="408"/>
      <c r="AS480" s="408"/>
      <c r="AT480" s="408"/>
      <c r="AU480" s="408"/>
      <c r="AV480" s="408"/>
      <c r="AW480" s="408"/>
      <c r="AX480" s="408"/>
      <c r="AY480" s="408"/>
      <c r="AZ480" s="408">
        <v>0</v>
      </c>
      <c r="BA480" s="408"/>
      <c r="BB480" s="408"/>
      <c r="BC480" s="408"/>
      <c r="BD480" s="408"/>
      <c r="BE480" s="408"/>
      <c r="BF480" s="408"/>
      <c r="BG480" s="408"/>
      <c r="BH480" s="408"/>
      <c r="BI480" s="408">
        <v>1275.92</v>
      </c>
      <c r="BJ480" s="408">
        <v>5813.32</v>
      </c>
      <c r="BK480" s="408">
        <v>649.36</v>
      </c>
      <c r="BL480" s="408">
        <v>73</v>
      </c>
      <c r="BM480" s="408"/>
      <c r="BN480" s="408"/>
      <c r="BO480" s="408"/>
      <c r="BP480" s="408"/>
      <c r="BQ480" s="408"/>
      <c r="BR480" s="408"/>
      <c r="BS480" s="408"/>
      <c r="BT480" s="408"/>
      <c r="BU480" s="408"/>
      <c r="BV480" s="408"/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/>
      <c r="CJ480" s="408">
        <v>-0.03</v>
      </c>
      <c r="CK480" s="408"/>
      <c r="CL480" s="408"/>
      <c r="CM480" s="408"/>
      <c r="CN480" s="408"/>
      <c r="CO480" s="408">
        <v>0</v>
      </c>
      <c r="CP480" s="408">
        <v>0</v>
      </c>
      <c r="CQ480" s="408">
        <v>29</v>
      </c>
      <c r="CR480" s="408"/>
      <c r="CS480" s="408"/>
      <c r="CT480" s="408"/>
      <c r="CU480" s="408"/>
      <c r="CV480" s="408"/>
      <c r="CW480" s="408"/>
      <c r="CX480" s="408"/>
      <c r="CY480" s="408"/>
      <c r="CZ480" s="408"/>
      <c r="DA480" s="408"/>
      <c r="DB480" s="408"/>
      <c r="DC480" s="408"/>
      <c r="DD480" s="408"/>
      <c r="DE480" s="408"/>
      <c r="DF480" s="408"/>
      <c r="DG480" s="408"/>
      <c r="DH480" s="408"/>
      <c r="DI480" s="408"/>
      <c r="DJ480" s="408"/>
      <c r="DK480" s="408">
        <v>0</v>
      </c>
      <c r="DL480" s="408"/>
      <c r="DM480" s="408"/>
      <c r="DN480" s="408"/>
      <c r="DO480" s="408"/>
      <c r="DP480" s="408"/>
      <c r="DQ480" s="408"/>
      <c r="DR480" s="408"/>
      <c r="DS480" s="408"/>
      <c r="DT480" s="408"/>
      <c r="DU480" s="408"/>
      <c r="DV480" s="408"/>
      <c r="DW480" s="408"/>
      <c r="DX480" s="408"/>
      <c r="DY480" s="408"/>
      <c r="DZ480" s="408"/>
      <c r="EA480" s="408"/>
      <c r="EB480" s="408"/>
      <c r="EC480" s="408"/>
      <c r="ED480" s="408"/>
      <c r="EE480" s="408"/>
      <c r="EF480" s="408"/>
      <c r="EG480" s="408"/>
      <c r="EH480" s="408"/>
      <c r="EI480" s="408"/>
      <c r="EJ480" s="408"/>
      <c r="EK480" s="408"/>
      <c r="EL480" s="408"/>
      <c r="EM480" s="408"/>
      <c r="EN480" s="408"/>
      <c r="EO480" s="408"/>
      <c r="EP480" s="408"/>
      <c r="EQ480" s="408"/>
      <c r="ER480" s="408"/>
      <c r="ES480" s="408"/>
      <c r="ET480" s="408"/>
      <c r="EU480" s="408"/>
      <c r="EV480" s="408">
        <v>239</v>
      </c>
      <c r="EW480" s="408"/>
      <c r="EX480" s="408"/>
      <c r="EY480" s="408"/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485</v>
      </c>
      <c r="B481" s="408" t="s">
        <v>2236</v>
      </c>
      <c r="C481" s="408" t="s">
        <v>2233</v>
      </c>
      <c r="D481" s="408" t="s">
        <v>2243</v>
      </c>
      <c r="E481" s="408" t="s">
        <v>972</v>
      </c>
      <c r="F481" s="408" t="s">
        <v>2251</v>
      </c>
      <c r="G481" s="408" t="s">
        <v>2252</v>
      </c>
      <c r="H481" s="408" t="s">
        <v>1320</v>
      </c>
      <c r="I481" s="408" t="s">
        <v>1320</v>
      </c>
      <c r="J481" s="408" t="s">
        <v>2234</v>
      </c>
      <c r="K481" s="827">
        <v>44593</v>
      </c>
      <c r="L481" s="408">
        <v>0</v>
      </c>
      <c r="M481" s="408">
        <v>0</v>
      </c>
      <c r="N481" s="408">
        <v>0</v>
      </c>
      <c r="O481" s="408">
        <v>0</v>
      </c>
      <c r="P481" s="408">
        <v>0</v>
      </c>
      <c r="Q481" s="408">
        <v>0</v>
      </c>
      <c r="R481" s="408"/>
      <c r="S481" s="408"/>
      <c r="T481" s="408"/>
      <c r="U481" s="408"/>
      <c r="V481" s="408"/>
      <c r="W481" s="408"/>
      <c r="X481" s="408"/>
      <c r="Y481" s="408"/>
      <c r="Z481" s="408"/>
      <c r="AA481" s="408">
        <v>0</v>
      </c>
      <c r="AB481" s="408"/>
      <c r="AC481" s="408"/>
      <c r="AD481" s="408"/>
      <c r="AE481" s="408"/>
      <c r="AF481" s="408"/>
      <c r="AG481" s="408"/>
      <c r="AH481" s="408"/>
      <c r="AI481" s="408"/>
      <c r="AJ481" s="408"/>
      <c r="AK481" s="408"/>
      <c r="AL481" s="408"/>
      <c r="AM481" s="408"/>
      <c r="AN481" s="408"/>
      <c r="AO481" s="408"/>
      <c r="AP481" s="408"/>
      <c r="AQ481" s="408"/>
      <c r="AR481" s="408"/>
      <c r="AS481" s="408"/>
      <c r="AT481" s="408"/>
      <c r="AU481" s="408"/>
      <c r="AV481" s="408"/>
      <c r="AW481" s="408"/>
      <c r="AX481" s="408"/>
      <c r="AY481" s="408"/>
      <c r="AZ481" s="408">
        <v>0</v>
      </c>
      <c r="BA481" s="408"/>
      <c r="BB481" s="408"/>
      <c r="BC481" s="408"/>
      <c r="BD481" s="408"/>
      <c r="BE481" s="408"/>
      <c r="BF481" s="408"/>
      <c r="BG481" s="408"/>
      <c r="BH481" s="408"/>
      <c r="BI481" s="408">
        <v>11.71</v>
      </c>
      <c r="BJ481" s="408">
        <v>53.39</v>
      </c>
      <c r="BK481" s="408">
        <v>69.28</v>
      </c>
      <c r="BL481" s="408">
        <v>5</v>
      </c>
      <c r="BM481" s="408"/>
      <c r="BN481" s="408"/>
      <c r="BO481" s="408"/>
      <c r="BP481" s="408"/>
      <c r="BQ481" s="408"/>
      <c r="BR481" s="408"/>
      <c r="BS481" s="408"/>
      <c r="BT481" s="408"/>
      <c r="BU481" s="408"/>
      <c r="BV481" s="408"/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/>
      <c r="CJ481" s="408">
        <v>-0.03</v>
      </c>
      <c r="CK481" s="408"/>
      <c r="CL481" s="408"/>
      <c r="CM481" s="408"/>
      <c r="CN481" s="408"/>
      <c r="CO481" s="408">
        <v>0</v>
      </c>
      <c r="CP481" s="408">
        <v>0</v>
      </c>
      <c r="CQ481" s="408">
        <v>29</v>
      </c>
      <c r="CR481" s="408"/>
      <c r="CS481" s="408"/>
      <c r="CT481" s="408"/>
      <c r="CU481" s="408"/>
      <c r="CV481" s="408"/>
      <c r="CW481" s="408"/>
      <c r="CX481" s="408"/>
      <c r="CY481" s="408"/>
      <c r="CZ481" s="408"/>
      <c r="DA481" s="408"/>
      <c r="DB481" s="408"/>
      <c r="DC481" s="408"/>
      <c r="DD481" s="408"/>
      <c r="DE481" s="408"/>
      <c r="DF481" s="408"/>
      <c r="DG481" s="408"/>
      <c r="DH481" s="408"/>
      <c r="DI481" s="408"/>
      <c r="DJ481" s="408"/>
      <c r="DK481" s="408">
        <v>0</v>
      </c>
      <c r="DL481" s="408"/>
      <c r="DM481" s="408"/>
      <c r="DN481" s="408"/>
      <c r="DO481" s="408"/>
      <c r="DP481" s="408"/>
      <c r="DQ481" s="408"/>
      <c r="DR481" s="408"/>
      <c r="DS481" s="408"/>
      <c r="DT481" s="408"/>
      <c r="DU481" s="408"/>
      <c r="DV481" s="408"/>
      <c r="DW481" s="408"/>
      <c r="DX481" s="408"/>
      <c r="DY481" s="408"/>
      <c r="DZ481" s="408"/>
      <c r="EA481" s="408"/>
      <c r="EB481" s="408"/>
      <c r="EC481" s="408"/>
      <c r="ED481" s="408"/>
      <c r="EE481" s="408"/>
      <c r="EF481" s="408"/>
      <c r="EG481" s="408"/>
      <c r="EH481" s="408"/>
      <c r="EI481" s="408"/>
      <c r="EJ481" s="408"/>
      <c r="EK481" s="408"/>
      <c r="EL481" s="408"/>
      <c r="EM481" s="408"/>
      <c r="EN481" s="408"/>
      <c r="EO481" s="408"/>
      <c r="EP481" s="408"/>
      <c r="EQ481" s="408"/>
      <c r="ER481" s="408"/>
      <c r="ES481" s="408"/>
      <c r="ET481" s="408"/>
      <c r="EU481" s="408"/>
      <c r="EV481" s="408">
        <v>239</v>
      </c>
      <c r="EW481" s="408"/>
      <c r="EX481" s="408"/>
      <c r="EY481" s="408"/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486</v>
      </c>
      <c r="B482" s="408" t="s">
        <v>1034</v>
      </c>
      <c r="C482" s="408" t="s">
        <v>2233</v>
      </c>
      <c r="D482" s="408" t="s">
        <v>2243</v>
      </c>
      <c r="E482" s="408" t="s">
        <v>972</v>
      </c>
      <c r="F482" s="408" t="s">
        <v>2251</v>
      </c>
      <c r="G482" s="408" t="s">
        <v>2252</v>
      </c>
      <c r="H482" s="408" t="s">
        <v>1320</v>
      </c>
      <c r="I482" s="408" t="s">
        <v>1320</v>
      </c>
      <c r="J482" s="408" t="s">
        <v>2234</v>
      </c>
      <c r="K482" s="827">
        <v>44593</v>
      </c>
      <c r="L482" s="408">
        <v>0</v>
      </c>
      <c r="M482" s="408">
        <v>0</v>
      </c>
      <c r="N482" s="408">
        <v>368.18799999999999</v>
      </c>
      <c r="O482" s="408">
        <v>368.18799999999999</v>
      </c>
      <c r="P482" s="408">
        <v>368.18799999999999</v>
      </c>
      <c r="Q482" s="408">
        <v>368.18799999999999</v>
      </c>
      <c r="R482" s="408"/>
      <c r="S482" s="408">
        <v>516.83000000000004</v>
      </c>
      <c r="T482" s="408">
        <v>173.82</v>
      </c>
      <c r="U482" s="408"/>
      <c r="V482" s="408">
        <v>254289.0422</v>
      </c>
      <c r="W482" s="408">
        <v>254289.0422</v>
      </c>
      <c r="X482" s="408">
        <v>191991.63259999998</v>
      </c>
      <c r="Y482" s="408">
        <v>0</v>
      </c>
      <c r="Z482" s="408">
        <v>22514.49581663523</v>
      </c>
      <c r="AA482" s="408">
        <v>0</v>
      </c>
      <c r="AB482" s="408">
        <v>0</v>
      </c>
      <c r="AC482" s="408">
        <v>1000.8984864936376</v>
      </c>
      <c r="AD482" s="408">
        <v>12675.465243086435</v>
      </c>
      <c r="AE482" s="408">
        <v>133878.97239083657</v>
      </c>
      <c r="AF482" s="408">
        <v>59249.599240731339</v>
      </c>
      <c r="AG482" s="408">
        <v>2980.8004869742649</v>
      </c>
      <c r="AH482" s="408">
        <v>0</v>
      </c>
      <c r="AI482" s="408">
        <v>0</v>
      </c>
      <c r="AJ482" s="408">
        <v>0</v>
      </c>
      <c r="AK482" s="408">
        <v>0</v>
      </c>
      <c r="AL482" s="408">
        <v>3479.9276513755126</v>
      </c>
      <c r="AM482" s="408"/>
      <c r="AN482" s="408">
        <v>571.25913663595759</v>
      </c>
      <c r="AO482" s="408">
        <v>2134.9395094323195</v>
      </c>
      <c r="AP482" s="408">
        <v>6991.6382247721776</v>
      </c>
      <c r="AQ482" s="408">
        <v>0</v>
      </c>
      <c r="AR482" s="408">
        <v>0</v>
      </c>
      <c r="AS482" s="408">
        <v>0</v>
      </c>
      <c r="AT482" s="408">
        <v>0</v>
      </c>
      <c r="AU482" s="408">
        <v>0</v>
      </c>
      <c r="AV482" s="408">
        <v>0</v>
      </c>
      <c r="AW482" s="408">
        <v>0</v>
      </c>
      <c r="AX482" s="408">
        <v>0</v>
      </c>
      <c r="AY482" s="408">
        <v>0</v>
      </c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204.27534784718083</v>
      </c>
      <c r="BF482" s="408">
        <v>1769.3967775931751</v>
      </c>
      <c r="BG482" s="408">
        <v>6840.3156646243733</v>
      </c>
      <c r="BH482" s="408">
        <v>0</v>
      </c>
      <c r="BI482" s="408">
        <v>0</v>
      </c>
      <c r="BJ482" s="408">
        <v>0</v>
      </c>
      <c r="BK482" s="408">
        <v>0</v>
      </c>
      <c r="BL482" s="408">
        <v>0</v>
      </c>
      <c r="BM482" s="408"/>
      <c r="BN482" s="408"/>
      <c r="BO482" s="408"/>
      <c r="BP482" s="408"/>
      <c r="BQ482" s="408"/>
      <c r="BR482" s="408">
        <v>23037.523159999997</v>
      </c>
      <c r="BS482" s="408"/>
      <c r="BT482" s="408"/>
      <c r="BU482" s="408"/>
      <c r="BV482" s="408">
        <v>68063.587030796072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168955.02720000001</v>
      </c>
      <c r="CJ482" s="408">
        <v>-54818.623560000007</v>
      </c>
      <c r="CK482" s="408"/>
      <c r="CL482" s="408"/>
      <c r="CM482" s="408"/>
      <c r="CN482" s="408"/>
      <c r="CO482" s="408">
        <v>-70099.313320000016</v>
      </c>
      <c r="CP482" s="408">
        <v>7801.9037199999993</v>
      </c>
      <c r="CQ482" s="408">
        <v>29</v>
      </c>
      <c r="CR482" s="408">
        <v>8580.9449824096082</v>
      </c>
      <c r="CS482" s="408">
        <v>207.28913842031943</v>
      </c>
      <c r="CT482" s="408">
        <v>678.84390042735686</v>
      </c>
      <c r="CU482" s="408">
        <v>0</v>
      </c>
      <c r="CV482" s="408">
        <v>0</v>
      </c>
      <c r="CW482" s="408">
        <v>0</v>
      </c>
      <c r="CX482" s="408">
        <v>0</v>
      </c>
      <c r="CY482" s="408">
        <v>0</v>
      </c>
      <c r="CZ482" s="408">
        <v>-243.04200650051826</v>
      </c>
      <c r="DA482" s="408">
        <v>0</v>
      </c>
      <c r="DB482" s="408">
        <v>0</v>
      </c>
      <c r="DC482" s="408">
        <v>7605.3408922189337</v>
      </c>
      <c r="DD482" s="408">
        <v>227.12163186984594</v>
      </c>
      <c r="DE482" s="408">
        <v>26.220998558017641</v>
      </c>
      <c r="DF482" s="408">
        <v>0</v>
      </c>
      <c r="DG482" s="408">
        <v>878.03011508115196</v>
      </c>
      <c r="DH482" s="408">
        <v>0</v>
      </c>
      <c r="DI482" s="408">
        <v>-657.99752178550625</v>
      </c>
      <c r="DJ482" s="408"/>
      <c r="DK482" s="408">
        <v>0</v>
      </c>
      <c r="DL482" s="408">
        <v>0</v>
      </c>
      <c r="DM482" s="408">
        <v>-33.130503405544459</v>
      </c>
      <c r="DN482" s="408">
        <v>0</v>
      </c>
      <c r="DO482" s="408">
        <v>-90.128924185418327</v>
      </c>
      <c r="DP482" s="408">
        <v>-17.602738289019726</v>
      </c>
      <c r="DQ482" s="408">
        <v>0</v>
      </c>
      <c r="DR482" s="408">
        <v>0</v>
      </c>
      <c r="DS482" s="408"/>
      <c r="DT482" s="408"/>
      <c r="DU482" s="408"/>
      <c r="DV482" s="408">
        <v>133878.97239083657</v>
      </c>
      <c r="DW482" s="408">
        <v>0</v>
      </c>
      <c r="DX482" s="408">
        <v>0</v>
      </c>
      <c r="DY482" s="408">
        <v>-70099.313320000016</v>
      </c>
      <c r="DZ482" s="408">
        <v>7801.9037199999948</v>
      </c>
      <c r="EA482" s="408">
        <v>0</v>
      </c>
      <c r="EB482" s="408">
        <v>0</v>
      </c>
      <c r="EC482" s="408">
        <v>-70881.818223784067</v>
      </c>
      <c r="ED482" s="408">
        <v>0</v>
      </c>
      <c r="EE482" s="408">
        <v>0</v>
      </c>
      <c r="EF482" s="408">
        <v>0</v>
      </c>
      <c r="EG482" s="408">
        <v>0</v>
      </c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>
        <v>0</v>
      </c>
      <c r="EN482" s="408">
        <v>0</v>
      </c>
      <c r="EO482" s="408">
        <v>0</v>
      </c>
      <c r="EP482" s="408">
        <v>0</v>
      </c>
      <c r="EQ482" s="408">
        <v>0</v>
      </c>
      <c r="ER482" s="408">
        <v>0</v>
      </c>
      <c r="ES482" s="408">
        <v>0</v>
      </c>
      <c r="ET482" s="408">
        <v>0</v>
      </c>
      <c r="EU482" s="408">
        <v>0</v>
      </c>
      <c r="EV482" s="408">
        <v>239</v>
      </c>
      <c r="EW482" s="408">
        <v>0</v>
      </c>
      <c r="EX482" s="408">
        <v>0</v>
      </c>
      <c r="EY482" s="408">
        <v>0</v>
      </c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487</v>
      </c>
      <c r="B483" s="408" t="s">
        <v>2236</v>
      </c>
      <c r="C483" s="408" t="s">
        <v>2233</v>
      </c>
      <c r="D483" s="408" t="s">
        <v>2243</v>
      </c>
      <c r="E483" s="408" t="s">
        <v>972</v>
      </c>
      <c r="F483" s="408" t="s">
        <v>2251</v>
      </c>
      <c r="G483" s="408" t="s">
        <v>2252</v>
      </c>
      <c r="H483" s="408" t="s">
        <v>1320</v>
      </c>
      <c r="I483" s="408" t="s">
        <v>1320</v>
      </c>
      <c r="J483" s="408" t="s">
        <v>2234</v>
      </c>
      <c r="K483" s="827">
        <v>44593</v>
      </c>
      <c r="L483" s="408">
        <v>0</v>
      </c>
      <c r="M483" s="408">
        <v>0</v>
      </c>
      <c r="N483" s="408">
        <v>1.252</v>
      </c>
      <c r="O483" s="408">
        <v>1.252</v>
      </c>
      <c r="P483" s="408">
        <v>1.252</v>
      </c>
      <c r="Q483" s="408">
        <v>1.252</v>
      </c>
      <c r="R483" s="408"/>
      <c r="S483" s="408">
        <v>516.83000000000004</v>
      </c>
      <c r="T483" s="408">
        <v>173.82</v>
      </c>
      <c r="U483" s="408"/>
      <c r="V483" s="408">
        <v>864.69380000000001</v>
      </c>
      <c r="W483" s="408">
        <v>864.69380000000001</v>
      </c>
      <c r="X483" s="408">
        <v>652.85539999999992</v>
      </c>
      <c r="Y483" s="408">
        <v>0</v>
      </c>
      <c r="Z483" s="408">
        <v>76.559118609045669</v>
      </c>
      <c r="AA483" s="408">
        <v>0</v>
      </c>
      <c r="AB483" s="408">
        <v>0</v>
      </c>
      <c r="AC483" s="408">
        <v>3.4034919798853696</v>
      </c>
      <c r="AD483" s="408">
        <v>43.102117625626626</v>
      </c>
      <c r="AE483" s="408">
        <v>455.24697554870716</v>
      </c>
      <c r="AF483" s="408">
        <v>201.4745136978816</v>
      </c>
      <c r="AG483" s="408">
        <v>10.136023470867546</v>
      </c>
      <c r="AH483" s="408">
        <v>0</v>
      </c>
      <c r="AI483" s="408">
        <v>0</v>
      </c>
      <c r="AJ483" s="408">
        <v>0</v>
      </c>
      <c r="AK483" s="408">
        <v>0</v>
      </c>
      <c r="AL483" s="408">
        <v>11.833273815339288</v>
      </c>
      <c r="AM483" s="408"/>
      <c r="AN483" s="408">
        <v>1.9425305525118117</v>
      </c>
      <c r="AO483" s="408">
        <v>7.2597267314775706</v>
      </c>
      <c r="AP483" s="408">
        <v>23.774623446214342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0</v>
      </c>
      <c r="BE483" s="408">
        <v>0.69462539654923683</v>
      </c>
      <c r="BF483" s="408">
        <v>6.0167217985014592</v>
      </c>
      <c r="BG483" s="408">
        <v>23.260060654094417</v>
      </c>
      <c r="BH483" s="408">
        <v>0</v>
      </c>
      <c r="BI483" s="408">
        <v>0</v>
      </c>
      <c r="BJ483" s="408">
        <v>0</v>
      </c>
      <c r="BK483" s="408">
        <v>0</v>
      </c>
      <c r="BL483" s="408">
        <v>0</v>
      </c>
      <c r="BM483" s="408"/>
      <c r="BN483" s="408"/>
      <c r="BO483" s="408"/>
      <c r="BP483" s="408"/>
      <c r="BQ483" s="408"/>
      <c r="BR483" s="408">
        <v>78.337639999999993</v>
      </c>
      <c r="BS483" s="408"/>
      <c r="BT483" s="408"/>
      <c r="BU483" s="408"/>
      <c r="BV483" s="408">
        <v>231.44592154702673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573.6</v>
      </c>
      <c r="CJ483" s="408">
        <v>-187.35803999999996</v>
      </c>
      <c r="CK483" s="408"/>
      <c r="CL483" s="408"/>
      <c r="CM483" s="408"/>
      <c r="CN483" s="408"/>
      <c r="CO483" s="408">
        <v>-238.36828000000006</v>
      </c>
      <c r="CP483" s="408">
        <v>26.529879999999999</v>
      </c>
      <c r="CQ483" s="408">
        <v>29</v>
      </c>
      <c r="CR483" s="408">
        <v>29.17896052553823</v>
      </c>
      <c r="CS483" s="408">
        <v>0.70487360072093619</v>
      </c>
      <c r="CT483" s="408">
        <v>2.3083657352631022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-0.8264489666655308</v>
      </c>
      <c r="DA483" s="408">
        <v>0</v>
      </c>
      <c r="DB483" s="408">
        <v>0</v>
      </c>
      <c r="DC483" s="408">
        <v>25.861480539990737</v>
      </c>
      <c r="DD483" s="408">
        <v>0.77231273996177841</v>
      </c>
      <c r="DE483" s="408">
        <v>8.9162846683319641E-2</v>
      </c>
      <c r="DF483" s="408">
        <v>0</v>
      </c>
      <c r="DG483" s="408">
        <v>2.9856858563603446</v>
      </c>
      <c r="DH483" s="408">
        <v>0</v>
      </c>
      <c r="DI483" s="408">
        <v>-2.2374789435708209</v>
      </c>
      <c r="DJ483" s="408"/>
      <c r="DK483" s="408">
        <v>0</v>
      </c>
      <c r="DL483" s="408">
        <v>0</v>
      </c>
      <c r="DM483" s="408">
        <v>-0.11265818077650991</v>
      </c>
      <c r="DN483" s="408">
        <v>0</v>
      </c>
      <c r="DO483" s="408">
        <v>-0.30647770454263323</v>
      </c>
      <c r="DP483" s="408">
        <v>-5.9856997886548857E-2</v>
      </c>
      <c r="DQ483" s="408">
        <v>0</v>
      </c>
      <c r="DR483" s="408">
        <v>0</v>
      </c>
      <c r="DS483" s="408"/>
      <c r="DT483" s="408"/>
      <c r="DU483" s="408"/>
      <c r="DV483" s="408">
        <v>455.24697554870716</v>
      </c>
      <c r="DW483" s="408">
        <v>0</v>
      </c>
      <c r="DX483" s="408">
        <v>0</v>
      </c>
      <c r="DY483" s="408">
        <v>-238.36828000000008</v>
      </c>
      <c r="DZ483" s="408">
        <v>26.529879999999991</v>
      </c>
      <c r="EA483" s="408">
        <v>0</v>
      </c>
      <c r="EB483" s="408">
        <v>0</v>
      </c>
      <c r="EC483" s="408">
        <v>-241.02913841889915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239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488</v>
      </c>
      <c r="B484" s="408" t="s">
        <v>1034</v>
      </c>
      <c r="C484" s="408" t="s">
        <v>2233</v>
      </c>
      <c r="D484" s="408" t="s">
        <v>2243</v>
      </c>
      <c r="E484" s="408" t="s">
        <v>972</v>
      </c>
      <c r="F484" s="408" t="s">
        <v>2251</v>
      </c>
      <c r="G484" s="408" t="s">
        <v>2253</v>
      </c>
      <c r="H484" s="408" t="s">
        <v>1320</v>
      </c>
      <c r="I484" s="408" t="s">
        <v>1320</v>
      </c>
      <c r="J484" s="408" t="s">
        <v>2234</v>
      </c>
      <c r="K484" s="827">
        <v>44593</v>
      </c>
      <c r="L484" s="408">
        <v>0</v>
      </c>
      <c r="M484" s="408">
        <v>0</v>
      </c>
      <c r="N484" s="408">
        <v>182.13499999999999</v>
      </c>
      <c r="O484" s="408">
        <v>72.853999999999999</v>
      </c>
      <c r="P484" s="408">
        <v>182.13499999999999</v>
      </c>
      <c r="Q484" s="408">
        <v>72.853999999999999</v>
      </c>
      <c r="R484" s="408"/>
      <c r="S484" s="408">
        <v>516.83000000000004</v>
      </c>
      <c r="T484" s="408">
        <v>173.82</v>
      </c>
      <c r="U484" s="408"/>
      <c r="V484" s="408">
        <v>125791.53774999999</v>
      </c>
      <c r="W484" s="408">
        <v>125791.53774999999</v>
      </c>
      <c r="X484" s="408">
        <v>94974.29574999999</v>
      </c>
      <c r="Y484" s="408">
        <v>0</v>
      </c>
      <c r="Z484" s="408">
        <v>11137.456124487646</v>
      </c>
      <c r="AA484" s="408">
        <v>0</v>
      </c>
      <c r="AB484" s="408">
        <v>0</v>
      </c>
      <c r="AC484" s="408">
        <v>495.12381130704608</v>
      </c>
      <c r="AD484" s="408">
        <v>6270.29088957149</v>
      </c>
      <c r="AE484" s="408">
        <v>66227.162852686713</v>
      </c>
      <c r="AF484" s="408">
        <v>29309.553156839989</v>
      </c>
      <c r="AG484" s="408">
        <v>1474.5404431840736</v>
      </c>
      <c r="AH484" s="408">
        <v>0</v>
      </c>
      <c r="AI484" s="408">
        <v>0</v>
      </c>
      <c r="AJ484" s="408">
        <v>0</v>
      </c>
      <c r="AK484" s="408">
        <v>0</v>
      </c>
      <c r="AL484" s="408">
        <v>1721.4483437354802</v>
      </c>
      <c r="AM484" s="408"/>
      <c r="AN484" s="408">
        <v>282.59009758924827</v>
      </c>
      <c r="AO484" s="408">
        <v>1056.1104858128333</v>
      </c>
      <c r="AP484" s="408">
        <v>3458.6190426327867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0</v>
      </c>
      <c r="BE484" s="408">
        <v>101.05079600678533</v>
      </c>
      <c r="BF484" s="408">
        <v>875.28404534350102</v>
      </c>
      <c r="BG484" s="408">
        <v>3383.7628971513468</v>
      </c>
      <c r="BH484" s="408">
        <v>0</v>
      </c>
      <c r="BI484" s="408">
        <v>0</v>
      </c>
      <c r="BJ484" s="408">
        <v>0</v>
      </c>
      <c r="BK484" s="408">
        <v>0</v>
      </c>
      <c r="BL484" s="408">
        <v>0</v>
      </c>
      <c r="BM484" s="408"/>
      <c r="BN484" s="408"/>
      <c r="BO484" s="408"/>
      <c r="BP484" s="408"/>
      <c r="BQ484" s="408"/>
      <c r="BR484" s="408"/>
      <c r="BS484" s="408">
        <v>61543.052229999994</v>
      </c>
      <c r="BT484" s="408"/>
      <c r="BU484" s="408"/>
      <c r="BV484" s="408">
        <v>33669.65089534162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33429.407999999996</v>
      </c>
      <c r="CJ484" s="408">
        <v>-10849.097580000009</v>
      </c>
      <c r="CK484" s="408"/>
      <c r="CL484" s="408"/>
      <c r="CM484" s="408"/>
      <c r="CN484" s="408"/>
      <c r="CO484" s="408">
        <v>-34676.68265000001</v>
      </c>
      <c r="CP484" s="408">
        <v>3859.4406499999996</v>
      </c>
      <c r="CQ484" s="408">
        <v>29</v>
      </c>
      <c r="CR484" s="408">
        <v>4244.8162742163768</v>
      </c>
      <c r="CS484" s="408">
        <v>102.54165596430335</v>
      </c>
      <c r="CT484" s="408">
        <v>335.81005846017979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-120.22786145657119</v>
      </c>
      <c r="DA484" s="408">
        <v>0</v>
      </c>
      <c r="DB484" s="408">
        <v>0</v>
      </c>
      <c r="DC484" s="408">
        <v>3762.2050783955347</v>
      </c>
      <c r="DD484" s="408">
        <v>112.35238090490282</v>
      </c>
      <c r="DE484" s="408">
        <v>12.970986486155297</v>
      </c>
      <c r="DF484" s="408">
        <v>0</v>
      </c>
      <c r="DG484" s="408">
        <v>434.34336537395484</v>
      </c>
      <c r="DH484" s="408">
        <v>0</v>
      </c>
      <c r="DI484" s="408">
        <v>-325.49778545309164</v>
      </c>
      <c r="DJ484" s="408"/>
      <c r="DK484" s="408">
        <v>0</v>
      </c>
      <c r="DL484" s="408">
        <v>0</v>
      </c>
      <c r="DM484" s="408">
        <v>-16.388975843234448</v>
      </c>
      <c r="DN484" s="408">
        <v>0</v>
      </c>
      <c r="DO484" s="408">
        <v>-44.584917505489557</v>
      </c>
      <c r="DP484" s="408">
        <v>-8.7077111102768754</v>
      </c>
      <c r="DQ484" s="408">
        <v>0</v>
      </c>
      <c r="DR484" s="408">
        <v>0</v>
      </c>
      <c r="DS484" s="408"/>
      <c r="DT484" s="408"/>
      <c r="DU484" s="408"/>
      <c r="DV484" s="408">
        <v>66227.162852686713</v>
      </c>
      <c r="DW484" s="408">
        <v>0</v>
      </c>
      <c r="DX484" s="408">
        <v>0</v>
      </c>
      <c r="DY484" s="408">
        <v>-34676.682650000002</v>
      </c>
      <c r="DZ484" s="408">
        <v>3859.4406499999968</v>
      </c>
      <c r="EA484" s="408">
        <v>0</v>
      </c>
      <c r="EB484" s="408">
        <v>0</v>
      </c>
      <c r="EC484" s="408">
        <v>-35063.771666075234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239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489</v>
      </c>
      <c r="B485" s="408" t="s">
        <v>2236</v>
      </c>
      <c r="C485" s="408" t="s">
        <v>2233</v>
      </c>
      <c r="D485" s="408" t="s">
        <v>2243</v>
      </c>
      <c r="E485" s="408" t="s">
        <v>972</v>
      </c>
      <c r="F485" s="408" t="s">
        <v>2251</v>
      </c>
      <c r="G485" s="408" t="s">
        <v>2253</v>
      </c>
      <c r="H485" s="408" t="s">
        <v>1320</v>
      </c>
      <c r="I485" s="408" t="s">
        <v>1320</v>
      </c>
      <c r="J485" s="408" t="s">
        <v>2234</v>
      </c>
      <c r="K485" s="827">
        <v>44593</v>
      </c>
      <c r="L485" s="408">
        <v>0</v>
      </c>
      <c r="M485" s="408">
        <v>0</v>
      </c>
      <c r="N485" s="408">
        <v>3.8039999999999998</v>
      </c>
      <c r="O485" s="408">
        <v>1.5216000000000001</v>
      </c>
      <c r="P485" s="408">
        <v>3.8039999999999998</v>
      </c>
      <c r="Q485" s="408">
        <v>1.5216000000000001</v>
      </c>
      <c r="R485" s="408"/>
      <c r="S485" s="408">
        <v>516.83000000000004</v>
      </c>
      <c r="T485" s="408">
        <v>173.82</v>
      </c>
      <c r="U485" s="408"/>
      <c r="V485" s="408">
        <v>2627.2326000000003</v>
      </c>
      <c r="W485" s="408">
        <v>2627.2326000000003</v>
      </c>
      <c r="X485" s="408">
        <v>1983.5957999999998</v>
      </c>
      <c r="Y485" s="408">
        <v>0</v>
      </c>
      <c r="Z485" s="408">
        <v>232.61252970352214</v>
      </c>
      <c r="AA485" s="408">
        <v>0</v>
      </c>
      <c r="AB485" s="408">
        <v>0</v>
      </c>
      <c r="AC485" s="408">
        <v>10.34096125517887</v>
      </c>
      <c r="AD485" s="408">
        <v>130.95883022993905</v>
      </c>
      <c r="AE485" s="408">
        <v>1383.1944848141229</v>
      </c>
      <c r="AF485" s="408">
        <v>612.1478035996339</v>
      </c>
      <c r="AG485" s="408">
        <v>30.796671951421835</v>
      </c>
      <c r="AH485" s="408">
        <v>0</v>
      </c>
      <c r="AI485" s="408">
        <v>0</v>
      </c>
      <c r="AJ485" s="408">
        <v>0</v>
      </c>
      <c r="AK485" s="408">
        <v>0</v>
      </c>
      <c r="AL485" s="408">
        <v>35.953493285583583</v>
      </c>
      <c r="AM485" s="408"/>
      <c r="AN485" s="408">
        <v>5.9020656723282201</v>
      </c>
      <c r="AO485" s="408">
        <v>22.057508375831212</v>
      </c>
      <c r="AP485" s="408">
        <v>72.235357499520248</v>
      </c>
      <c r="AQ485" s="408">
        <v>0</v>
      </c>
      <c r="AR485" s="408">
        <v>0</v>
      </c>
      <c r="AS485" s="408">
        <v>0</v>
      </c>
      <c r="AT485" s="408">
        <v>0</v>
      </c>
      <c r="AU485" s="408">
        <v>0</v>
      </c>
      <c r="AV485" s="408">
        <v>0</v>
      </c>
      <c r="AW485" s="408">
        <v>0</v>
      </c>
      <c r="AX485" s="408">
        <v>0</v>
      </c>
      <c r="AY485" s="408">
        <v>0</v>
      </c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2.1105071952662113</v>
      </c>
      <c r="BF485" s="408">
        <v>18.280838435702517</v>
      </c>
      <c r="BG485" s="408">
        <v>70.671941476178247</v>
      </c>
      <c r="BH485" s="408">
        <v>0</v>
      </c>
      <c r="BI485" s="408">
        <v>0</v>
      </c>
      <c r="BJ485" s="408">
        <v>0</v>
      </c>
      <c r="BK485" s="408">
        <v>0</v>
      </c>
      <c r="BL485" s="408">
        <v>0</v>
      </c>
      <c r="BM485" s="408"/>
      <c r="BN485" s="408"/>
      <c r="BO485" s="408"/>
      <c r="BP485" s="408"/>
      <c r="BQ485" s="408"/>
      <c r="BR485" s="408"/>
      <c r="BS485" s="408">
        <v>1285.3639920000001</v>
      </c>
      <c r="BT485" s="408"/>
      <c r="BU485" s="408"/>
      <c r="BV485" s="408">
        <v>703.21109070678096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697.49760000000003</v>
      </c>
      <c r="CJ485" s="408">
        <v>-227.31523200000004</v>
      </c>
      <c r="CK485" s="408"/>
      <c r="CL485" s="408"/>
      <c r="CM485" s="408"/>
      <c r="CN485" s="408"/>
      <c r="CO485" s="408">
        <v>-724.24356000000012</v>
      </c>
      <c r="CP485" s="408">
        <v>80.606759999999994</v>
      </c>
      <c r="CQ485" s="408">
        <v>29</v>
      </c>
      <c r="CR485" s="408">
        <v>88.6555637692868</v>
      </c>
      <c r="CS485" s="408">
        <v>2.141644710177669</v>
      </c>
      <c r="CT485" s="408">
        <v>7.0135968505917248</v>
      </c>
      <c r="CU485" s="408">
        <v>0</v>
      </c>
      <c r="CV485" s="408">
        <v>0</v>
      </c>
      <c r="CW485" s="408">
        <v>0</v>
      </c>
      <c r="CX485" s="408">
        <v>0</v>
      </c>
      <c r="CY485" s="408">
        <v>0</v>
      </c>
      <c r="CZ485" s="408">
        <v>-2.511031844405494</v>
      </c>
      <c r="DA485" s="408">
        <v>0</v>
      </c>
      <c r="DB485" s="408">
        <v>0</v>
      </c>
      <c r="DC485" s="408">
        <v>78.575936081569239</v>
      </c>
      <c r="DD485" s="408">
        <v>2.3465476540052741</v>
      </c>
      <c r="DE485" s="408">
        <v>0.27090692394836102</v>
      </c>
      <c r="DF485" s="408">
        <v>0</v>
      </c>
      <c r="DG485" s="408">
        <v>9.071524758462246</v>
      </c>
      <c r="DH485" s="408">
        <v>0</v>
      </c>
      <c r="DI485" s="408">
        <v>-6.7982187710410642</v>
      </c>
      <c r="DJ485" s="408"/>
      <c r="DK485" s="408">
        <v>0</v>
      </c>
      <c r="DL485" s="408">
        <v>0</v>
      </c>
      <c r="DM485" s="408">
        <v>-0.34229370580978014</v>
      </c>
      <c r="DN485" s="408">
        <v>0</v>
      </c>
      <c r="DO485" s="408">
        <v>-0.93118305757202791</v>
      </c>
      <c r="DP485" s="408">
        <v>-0.18186583063932282</v>
      </c>
      <c r="DQ485" s="408">
        <v>0</v>
      </c>
      <c r="DR485" s="408">
        <v>0</v>
      </c>
      <c r="DS485" s="408"/>
      <c r="DT485" s="408"/>
      <c r="DU485" s="408"/>
      <c r="DV485" s="408">
        <v>1383.1944848141229</v>
      </c>
      <c r="DW485" s="408">
        <v>0</v>
      </c>
      <c r="DX485" s="408">
        <v>0</v>
      </c>
      <c r="DY485" s="408">
        <v>-724.24356000000012</v>
      </c>
      <c r="DZ485" s="408">
        <v>80.606759999999895</v>
      </c>
      <c r="EA485" s="408">
        <v>0</v>
      </c>
      <c r="EB485" s="408">
        <v>0</v>
      </c>
      <c r="EC485" s="408">
        <v>-732.328148997997</v>
      </c>
      <c r="ED485" s="408">
        <v>0</v>
      </c>
      <c r="EE485" s="408">
        <v>0</v>
      </c>
      <c r="EF485" s="408">
        <v>0</v>
      </c>
      <c r="EG485" s="408">
        <v>0</v>
      </c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>
        <v>0</v>
      </c>
      <c r="EN485" s="408">
        <v>0</v>
      </c>
      <c r="EO485" s="408">
        <v>0</v>
      </c>
      <c r="EP485" s="408">
        <v>0</v>
      </c>
      <c r="EQ485" s="408">
        <v>0</v>
      </c>
      <c r="ER485" s="408">
        <v>0</v>
      </c>
      <c r="ES485" s="408">
        <v>0</v>
      </c>
      <c r="ET485" s="408">
        <v>0</v>
      </c>
      <c r="EU485" s="408">
        <v>0</v>
      </c>
      <c r="EV485" s="408">
        <v>239</v>
      </c>
      <c r="EW485" s="408">
        <v>0</v>
      </c>
      <c r="EX485" s="408">
        <v>0</v>
      </c>
      <c r="EY485" s="408">
        <v>0</v>
      </c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490</v>
      </c>
      <c r="B486" s="408" t="s">
        <v>1034</v>
      </c>
      <c r="C486" s="408" t="s">
        <v>2241</v>
      </c>
      <c r="D486" s="408" t="s">
        <v>596</v>
      </c>
      <c r="E486" s="408" t="s">
        <v>972</v>
      </c>
      <c r="F486" s="408" t="s">
        <v>2251</v>
      </c>
      <c r="G486" s="408" t="s">
        <v>1320</v>
      </c>
      <c r="H486" s="408" t="s">
        <v>1320</v>
      </c>
      <c r="I486" s="408" t="s">
        <v>971</v>
      </c>
      <c r="J486" s="408" t="s">
        <v>2234</v>
      </c>
      <c r="K486" s="827">
        <v>44593</v>
      </c>
      <c r="L486" s="408">
        <v>0</v>
      </c>
      <c r="M486" s="408">
        <v>0</v>
      </c>
      <c r="N486" s="408">
        <v>6.5970000000000004</v>
      </c>
      <c r="O486" s="408">
        <v>6.3331200000000001</v>
      </c>
      <c r="P486" s="408">
        <v>6.5970000000000004</v>
      </c>
      <c r="Q486" s="408">
        <v>6.3331200000000001</v>
      </c>
      <c r="R486" s="408"/>
      <c r="S486" s="408">
        <v>1684.16</v>
      </c>
      <c r="T486" s="408">
        <v>173.82</v>
      </c>
      <c r="U486" s="408"/>
      <c r="V486" s="408">
        <v>12257.094060000001</v>
      </c>
      <c r="W486" s="408">
        <v>12257.094060000001</v>
      </c>
      <c r="X486" s="408">
        <v>8414.2096200000015</v>
      </c>
      <c r="Y486" s="408">
        <v>0</v>
      </c>
      <c r="Z486" s="408">
        <v>350.96057488304422</v>
      </c>
      <c r="AA486" s="408">
        <v>0</v>
      </c>
      <c r="AB486" s="408">
        <v>0</v>
      </c>
      <c r="AC486" s="408">
        <v>118.74204087467444</v>
      </c>
      <c r="AD486" s="408">
        <v>1811.4433748006645</v>
      </c>
      <c r="AE486" s="408">
        <v>7641.2553289048037</v>
      </c>
      <c r="AF486" s="408">
        <v>1061.6033281668731</v>
      </c>
      <c r="AG486" s="408">
        <v>53.408423991464218</v>
      </c>
      <c r="AH486" s="408">
        <v>0</v>
      </c>
      <c r="AI486" s="408">
        <v>0</v>
      </c>
      <c r="AJ486" s="408">
        <v>0</v>
      </c>
      <c r="AK486" s="408">
        <v>0</v>
      </c>
      <c r="AL486" s="408">
        <v>62.351523450314126</v>
      </c>
      <c r="AM486" s="408"/>
      <c r="AN486" s="408">
        <v>8.1982942014827795</v>
      </c>
      <c r="AO486" s="408">
        <v>255.01457952100384</v>
      </c>
      <c r="AP486" s="408">
        <v>819.99833264486892</v>
      </c>
      <c r="AQ486" s="408">
        <v>0</v>
      </c>
      <c r="AR486" s="408">
        <v>0</v>
      </c>
      <c r="AS486" s="408">
        <v>0</v>
      </c>
      <c r="AT486" s="408">
        <v>0</v>
      </c>
      <c r="AU486" s="408">
        <v>0</v>
      </c>
      <c r="AV486" s="408">
        <v>0</v>
      </c>
      <c r="AW486" s="408">
        <v>0</v>
      </c>
      <c r="AX486" s="408">
        <v>0</v>
      </c>
      <c r="AY486" s="408">
        <v>0</v>
      </c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1.2309581421217946</v>
      </c>
      <c r="BF486" s="408">
        <v>31.703125962231734</v>
      </c>
      <c r="BG486" s="408">
        <v>41.219571283519556</v>
      </c>
      <c r="BH486" s="408">
        <v>0</v>
      </c>
      <c r="BI486" s="408">
        <v>0</v>
      </c>
      <c r="BJ486" s="408">
        <v>0</v>
      </c>
      <c r="BK486" s="408">
        <v>0</v>
      </c>
      <c r="BL486" s="408">
        <v>0</v>
      </c>
      <c r="BM486" s="408"/>
      <c r="BN486" s="408"/>
      <c r="BO486" s="408"/>
      <c r="BP486" s="408"/>
      <c r="BQ486" s="408"/>
      <c r="BR486" s="408">
        <v>336.56838480000044</v>
      </c>
      <c r="BS486" s="408"/>
      <c r="BT486" s="408"/>
      <c r="BU486" s="408"/>
      <c r="BV486" s="408">
        <v>1135.7569835547463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8073.6618000000008</v>
      </c>
      <c r="CJ486" s="408">
        <v>-3693.178497599999</v>
      </c>
      <c r="CK486" s="408"/>
      <c r="CL486" s="408"/>
      <c r="CM486" s="408"/>
      <c r="CN486" s="408"/>
      <c r="CO486" s="408">
        <v>-3982.6748700000003</v>
      </c>
      <c r="CP486" s="408">
        <v>139.79042999999999</v>
      </c>
      <c r="CQ486" s="408">
        <v>29</v>
      </c>
      <c r="CR486" s="408">
        <v>202.71281163705589</v>
      </c>
      <c r="CS486" s="408">
        <v>24.760304561314513</v>
      </c>
      <c r="CT486" s="408">
        <v>79.616657581666232</v>
      </c>
      <c r="CU486" s="408">
        <v>0</v>
      </c>
      <c r="CV486" s="408">
        <v>0</v>
      </c>
      <c r="CW486" s="408">
        <v>0</v>
      </c>
      <c r="CX486" s="408">
        <v>0</v>
      </c>
      <c r="CY486" s="408">
        <v>0</v>
      </c>
      <c r="CZ486" s="408">
        <v>-34.732991967597627</v>
      </c>
      <c r="DA486" s="408">
        <v>0</v>
      </c>
      <c r="DB486" s="408">
        <v>0</v>
      </c>
      <c r="DC486" s="408">
        <v>136.26852006574995</v>
      </c>
      <c r="DD486" s="408">
        <v>4.0694466018593012</v>
      </c>
      <c r="DE486" s="408">
        <v>0.15800708215512471</v>
      </c>
      <c r="DF486" s="408">
        <v>0</v>
      </c>
      <c r="DG486" s="408">
        <v>5.2909875350981892</v>
      </c>
      <c r="DH486" s="408">
        <v>0</v>
      </c>
      <c r="DI486" s="408">
        <v>-10.257000218802887</v>
      </c>
      <c r="DJ486" s="408"/>
      <c r="DK486" s="408">
        <v>0</v>
      </c>
      <c r="DL486" s="408">
        <v>0</v>
      </c>
      <c r="DM486" s="408">
        <v>-0.59361503081680667</v>
      </c>
      <c r="DN486" s="408">
        <v>0</v>
      </c>
      <c r="DO486" s="408">
        <v>-1.6148829208208895</v>
      </c>
      <c r="DP486" s="408">
        <v>-0.25262165274928883</v>
      </c>
      <c r="DQ486" s="408">
        <v>0</v>
      </c>
      <c r="DR486" s="408">
        <v>0</v>
      </c>
      <c r="DS486" s="408"/>
      <c r="DT486" s="408"/>
      <c r="DU486" s="408"/>
      <c r="DV486" s="408">
        <v>7641.2553289048037</v>
      </c>
      <c r="DW486" s="408">
        <v>0</v>
      </c>
      <c r="DX486" s="408">
        <v>0</v>
      </c>
      <c r="DY486" s="408">
        <v>-3982.6748700000007</v>
      </c>
      <c r="DZ486" s="408">
        <v>139.79043000000001</v>
      </c>
      <c r="EA486" s="408">
        <v>0</v>
      </c>
      <c r="EB486" s="408">
        <v>0</v>
      </c>
      <c r="EC486" s="408">
        <v>-4045.6395918827875</v>
      </c>
      <c r="ED486" s="408">
        <v>0</v>
      </c>
      <c r="EE486" s="408">
        <v>0</v>
      </c>
      <c r="EF486" s="408">
        <v>0</v>
      </c>
      <c r="EG486" s="408">
        <v>0</v>
      </c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>
        <v>0</v>
      </c>
      <c r="EN486" s="408">
        <v>0</v>
      </c>
      <c r="EO486" s="408">
        <v>0</v>
      </c>
      <c r="EP486" s="408">
        <v>0</v>
      </c>
      <c r="EQ486" s="408">
        <v>0</v>
      </c>
      <c r="ER486" s="408">
        <v>0</v>
      </c>
      <c r="ES486" s="408">
        <v>0</v>
      </c>
      <c r="ET486" s="408">
        <v>0</v>
      </c>
      <c r="EU486" s="408">
        <v>0</v>
      </c>
      <c r="EV486" s="408">
        <v>239</v>
      </c>
      <c r="EW486" s="408">
        <v>0</v>
      </c>
      <c r="EX486" s="408">
        <v>0</v>
      </c>
      <c r="EY486" s="408">
        <v>0</v>
      </c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491</v>
      </c>
      <c r="B487" s="408" t="s">
        <v>1034</v>
      </c>
      <c r="C487" s="408" t="s">
        <v>2241</v>
      </c>
      <c r="D487" s="408" t="s">
        <v>596</v>
      </c>
      <c r="E487" s="408" t="s">
        <v>972</v>
      </c>
      <c r="F487" s="408" t="s">
        <v>2251</v>
      </c>
      <c r="G487" s="408" t="s">
        <v>1320</v>
      </c>
      <c r="H487" s="408" t="s">
        <v>1320</v>
      </c>
      <c r="I487" s="408" t="s">
        <v>2242</v>
      </c>
      <c r="J487" s="408" t="s">
        <v>2234</v>
      </c>
      <c r="K487" s="827">
        <v>44593</v>
      </c>
      <c r="L487" s="408">
        <v>0</v>
      </c>
      <c r="M487" s="408">
        <v>0</v>
      </c>
      <c r="N487" s="408">
        <v>263.73700000000002</v>
      </c>
      <c r="O487" s="408">
        <v>253.18752000000001</v>
      </c>
      <c r="P487" s="408">
        <v>263.73700000000002</v>
      </c>
      <c r="Q487" s="408">
        <v>253.18752000000001</v>
      </c>
      <c r="R487" s="408"/>
      <c r="S487" s="408">
        <v>70.33</v>
      </c>
      <c r="T487" s="408">
        <v>173.82</v>
      </c>
      <c r="U487" s="408"/>
      <c r="V487" s="408">
        <v>64391.388550000003</v>
      </c>
      <c r="W487" s="408">
        <v>64391.388550000003</v>
      </c>
      <c r="X487" s="408">
        <v>69713.601209999993</v>
      </c>
      <c r="Y487" s="408">
        <v>0</v>
      </c>
      <c r="Z487" s="408">
        <v>14030.815391530912</v>
      </c>
      <c r="AA487" s="408">
        <v>0</v>
      </c>
      <c r="AB487" s="408">
        <v>0</v>
      </c>
      <c r="AC487" s="408">
        <v>0</v>
      </c>
      <c r="AD487" s="408">
        <v>0</v>
      </c>
      <c r="AE487" s="408">
        <v>0</v>
      </c>
      <c r="AF487" s="408">
        <v>42441.121261292501</v>
      </c>
      <c r="AG487" s="408">
        <v>2135.179250907503</v>
      </c>
      <c r="AH487" s="408">
        <v>0</v>
      </c>
      <c r="AI487" s="408">
        <v>0</v>
      </c>
      <c r="AJ487" s="408">
        <v>0</v>
      </c>
      <c r="AK487" s="408">
        <v>0</v>
      </c>
      <c r="AL487" s="408">
        <v>2492.7093739905258</v>
      </c>
      <c r="AM487" s="408"/>
      <c r="AN487" s="408">
        <v>327.75405757411914</v>
      </c>
      <c r="AO487" s="408">
        <v>0</v>
      </c>
      <c r="AP487" s="408">
        <v>0</v>
      </c>
      <c r="AQ487" s="408">
        <v>0</v>
      </c>
      <c r="AR487" s="408">
        <v>0</v>
      </c>
      <c r="AS487" s="408">
        <v>0</v>
      </c>
      <c r="AT487" s="408">
        <v>0</v>
      </c>
      <c r="AU487" s="408">
        <v>0</v>
      </c>
      <c r="AV487" s="408">
        <v>0</v>
      </c>
      <c r="AW487" s="408">
        <v>0</v>
      </c>
      <c r="AX487" s="408">
        <v>0</v>
      </c>
      <c r="AY487" s="408">
        <v>0</v>
      </c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49.211642796540211</v>
      </c>
      <c r="BF487" s="408">
        <v>1267.4378250570123</v>
      </c>
      <c r="BG487" s="408">
        <v>1647.8893544947093</v>
      </c>
      <c r="BH487" s="408">
        <v>0</v>
      </c>
      <c r="BI487" s="408">
        <v>0</v>
      </c>
      <c r="BJ487" s="408">
        <v>0</v>
      </c>
      <c r="BK487" s="408">
        <v>0</v>
      </c>
      <c r="BL487" s="408">
        <v>0</v>
      </c>
      <c r="BM487" s="408"/>
      <c r="BN487" s="408"/>
      <c r="BO487" s="408"/>
      <c r="BP487" s="408"/>
      <c r="BQ487" s="408"/>
      <c r="BR487" s="408">
        <v>2788.5440484000046</v>
      </c>
      <c r="BS487" s="408"/>
      <c r="BT487" s="408"/>
      <c r="BU487" s="408"/>
      <c r="BV487" s="408">
        <v>45405.66008364076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66925.712700000004</v>
      </c>
      <c r="CJ487" s="408">
        <v>5109.949692000002</v>
      </c>
      <c r="CK487" s="408"/>
      <c r="CL487" s="408"/>
      <c r="CM487" s="408"/>
      <c r="CN487" s="408"/>
      <c r="CO487" s="408">
        <v>-266.37437000000136</v>
      </c>
      <c r="CP487" s="408">
        <v>5588.5870299999997</v>
      </c>
      <c r="CQ487" s="408">
        <v>29</v>
      </c>
      <c r="CR487" s="408">
        <v>5319.8691891128037</v>
      </c>
      <c r="CS487" s="408">
        <v>0</v>
      </c>
      <c r="CT487" s="408">
        <v>0</v>
      </c>
      <c r="CU487" s="408">
        <v>0</v>
      </c>
      <c r="CV487" s="408">
        <v>0</v>
      </c>
      <c r="CW487" s="408">
        <v>0</v>
      </c>
      <c r="CX487" s="408">
        <v>0</v>
      </c>
      <c r="CY487" s="408">
        <v>0</v>
      </c>
      <c r="CZ487" s="408">
        <v>0</v>
      </c>
      <c r="DA487" s="408">
        <v>0</v>
      </c>
      <c r="DB487" s="408">
        <v>0</v>
      </c>
      <c r="DC487" s="408">
        <v>5447.786975379815</v>
      </c>
      <c r="DD487" s="408">
        <v>162.68965263522318</v>
      </c>
      <c r="DE487" s="408">
        <v>6.3168582425869459</v>
      </c>
      <c r="DF487" s="408">
        <v>0</v>
      </c>
      <c r="DG487" s="408">
        <v>211.52481120876018</v>
      </c>
      <c r="DH487" s="408">
        <v>0</v>
      </c>
      <c r="DI487" s="408">
        <v>-410.057672685527</v>
      </c>
      <c r="DJ487" s="408"/>
      <c r="DK487" s="408">
        <v>0</v>
      </c>
      <c r="DL487" s="408">
        <v>0</v>
      </c>
      <c r="DM487" s="408">
        <v>-23.731733724803689</v>
      </c>
      <c r="DN487" s="408">
        <v>0</v>
      </c>
      <c r="DO487" s="408">
        <v>-64.5603117915025</v>
      </c>
      <c r="DP487" s="408">
        <v>-10.099390151756722</v>
      </c>
      <c r="DQ487" s="408">
        <v>0</v>
      </c>
      <c r="DR487" s="408">
        <v>0</v>
      </c>
      <c r="DS487" s="408"/>
      <c r="DT487" s="408"/>
      <c r="DU487" s="408"/>
      <c r="DV487" s="408">
        <v>0</v>
      </c>
      <c r="DW487" s="408">
        <v>0</v>
      </c>
      <c r="DX487" s="408">
        <v>0</v>
      </c>
      <c r="DY487" s="408">
        <v>-266.37437000000136</v>
      </c>
      <c r="DZ487" s="408">
        <v>5588.5870299999951</v>
      </c>
      <c r="EA487" s="408">
        <v>0</v>
      </c>
      <c r="EB487" s="408">
        <v>0</v>
      </c>
      <c r="EC487" s="408">
        <v>0</v>
      </c>
      <c r="ED487" s="408">
        <v>0</v>
      </c>
      <c r="EE487" s="408">
        <v>0</v>
      </c>
      <c r="EF487" s="408">
        <v>0</v>
      </c>
      <c r="EG487" s="408">
        <v>0</v>
      </c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>
        <v>0</v>
      </c>
      <c r="EN487" s="408">
        <v>0</v>
      </c>
      <c r="EO487" s="408">
        <v>0</v>
      </c>
      <c r="EP487" s="408">
        <v>0</v>
      </c>
      <c r="EQ487" s="408">
        <v>0</v>
      </c>
      <c r="ER487" s="408">
        <v>0</v>
      </c>
      <c r="ES487" s="408">
        <v>0</v>
      </c>
      <c r="ET487" s="408">
        <v>0</v>
      </c>
      <c r="EU487" s="408">
        <v>0</v>
      </c>
      <c r="EV487" s="408">
        <v>239</v>
      </c>
      <c r="EW487" s="408">
        <v>0</v>
      </c>
      <c r="EX487" s="408">
        <v>0</v>
      </c>
      <c r="EY487" s="408">
        <v>0</v>
      </c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492</v>
      </c>
      <c r="B488" s="408" t="s">
        <v>1034</v>
      </c>
      <c r="C488" s="408" t="s">
        <v>2241</v>
      </c>
      <c r="D488" s="408" t="s">
        <v>596</v>
      </c>
      <c r="E488" s="408" t="s">
        <v>972</v>
      </c>
      <c r="F488" s="408" t="s">
        <v>2251</v>
      </c>
      <c r="G488" s="408" t="s">
        <v>1320</v>
      </c>
      <c r="H488" s="408" t="s">
        <v>1320</v>
      </c>
      <c r="I488" s="408" t="s">
        <v>1320</v>
      </c>
      <c r="J488" s="408" t="s">
        <v>2234</v>
      </c>
      <c r="K488" s="827">
        <v>44593</v>
      </c>
      <c r="L488" s="408">
        <v>1536</v>
      </c>
      <c r="M488" s="408">
        <v>1474.56</v>
      </c>
      <c r="N488" s="408">
        <v>0</v>
      </c>
      <c r="O488" s="408">
        <v>0</v>
      </c>
      <c r="P488" s="408">
        <v>0</v>
      </c>
      <c r="Q488" s="408">
        <v>0</v>
      </c>
      <c r="R488" s="408">
        <v>59.12</v>
      </c>
      <c r="S488" s="408"/>
      <c r="T488" s="408"/>
      <c r="U488" s="408">
        <v>90808.319999999992</v>
      </c>
      <c r="V488" s="408"/>
      <c r="W488" s="408">
        <v>90808.319999999992</v>
      </c>
      <c r="X488" s="408">
        <v>52270.080000000002</v>
      </c>
      <c r="Y488" s="408">
        <v>0</v>
      </c>
      <c r="Z488" s="408">
        <v>0</v>
      </c>
      <c r="AA488" s="408">
        <v>0</v>
      </c>
      <c r="AB488" s="408">
        <v>0</v>
      </c>
      <c r="AC488" s="408">
        <v>878.68471808053562</v>
      </c>
      <c r="AD488" s="408">
        <v>7859.7467914989011</v>
      </c>
      <c r="AE488" s="408">
        <v>73976.521347764283</v>
      </c>
      <c r="AF488" s="408"/>
      <c r="AG488" s="408"/>
      <c r="AH488" s="408"/>
      <c r="AI488" s="408">
        <v>0</v>
      </c>
      <c r="AJ488" s="408">
        <v>0</v>
      </c>
      <c r="AK488" s="408">
        <v>0</v>
      </c>
      <c r="AL488" s="408">
        <v>0</v>
      </c>
      <c r="AM488" s="408"/>
      <c r="AN488" s="408">
        <v>0</v>
      </c>
      <c r="AO488" s="408">
        <v>1855.5987696999323</v>
      </c>
      <c r="AP488" s="408">
        <v>6237.6773591346282</v>
      </c>
      <c r="AQ488" s="408">
        <v>0</v>
      </c>
      <c r="AR488" s="408">
        <v>0</v>
      </c>
      <c r="AS488" s="408"/>
      <c r="AT488" s="408"/>
      <c r="AU488" s="408">
        <v>0</v>
      </c>
      <c r="AV488" s="408">
        <v>0</v>
      </c>
      <c r="AW488" s="408">
        <v>0</v>
      </c>
      <c r="AX488" s="408"/>
      <c r="AY488" s="408"/>
      <c r="AZ488" s="408">
        <v>0</v>
      </c>
      <c r="BA488" s="408"/>
      <c r="BB488" s="408">
        <v>0</v>
      </c>
      <c r="BC488" s="408">
        <v>0</v>
      </c>
      <c r="BD488" s="408">
        <v>0</v>
      </c>
      <c r="BE488" s="408">
        <v>0</v>
      </c>
      <c r="BF488" s="408"/>
      <c r="BG488" s="408">
        <v>0</v>
      </c>
      <c r="BH488" s="408">
        <v>0</v>
      </c>
      <c r="BI488" s="408">
        <v>817.38</v>
      </c>
      <c r="BJ488" s="408">
        <v>3723.37</v>
      </c>
      <c r="BK488" s="408">
        <v>58.96</v>
      </c>
      <c r="BL488" s="408">
        <v>10</v>
      </c>
      <c r="BM488" s="408"/>
      <c r="BN488" s="408"/>
      <c r="BO488" s="408"/>
      <c r="BP488" s="408"/>
      <c r="BQ488" s="408"/>
      <c r="BR488" s="408">
        <v>2090.8032000000021</v>
      </c>
      <c r="BS488" s="408"/>
      <c r="BT488" s="408"/>
      <c r="BU488" s="408"/>
      <c r="BV488" s="408">
        <v>0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50179.2768</v>
      </c>
      <c r="CJ488" s="408">
        <v>-36996.740399999973</v>
      </c>
      <c r="CK488" s="408"/>
      <c r="CL488" s="408"/>
      <c r="CM488" s="408"/>
      <c r="CN488" s="408"/>
      <c r="CO488" s="408">
        <v>-38538.239999999991</v>
      </c>
      <c r="CP488" s="408">
        <v>0</v>
      </c>
      <c r="CQ488" s="408">
        <v>29</v>
      </c>
      <c r="CR488" s="408">
        <v>635.10156161849955</v>
      </c>
      <c r="CS488" s="408">
        <v>180.16691738829286</v>
      </c>
      <c r="CT488" s="408">
        <v>605.63906368604148</v>
      </c>
      <c r="CU488" s="408">
        <v>0</v>
      </c>
      <c r="CV488" s="408">
        <v>0</v>
      </c>
      <c r="CW488" s="408"/>
      <c r="CX488" s="408"/>
      <c r="CY488" s="408"/>
      <c r="CZ488" s="408">
        <v>-150.70441945583661</v>
      </c>
      <c r="DA488" s="408">
        <v>0</v>
      </c>
      <c r="DB488" s="408">
        <v>0</v>
      </c>
      <c r="DC488" s="408"/>
      <c r="DD488" s="408"/>
      <c r="DE488" s="408">
        <v>0</v>
      </c>
      <c r="DF488" s="408">
        <v>0</v>
      </c>
      <c r="DG488" s="408">
        <v>0</v>
      </c>
      <c r="DH488" s="408">
        <v>0</v>
      </c>
      <c r="DI488" s="408">
        <v>0</v>
      </c>
      <c r="DJ488" s="408"/>
      <c r="DK488" s="408">
        <v>0</v>
      </c>
      <c r="DL488" s="408">
        <v>0</v>
      </c>
      <c r="DM488" s="408"/>
      <c r="DN488" s="408">
        <v>0</v>
      </c>
      <c r="DO488" s="408">
        <v>0</v>
      </c>
      <c r="DP488" s="408">
        <v>0</v>
      </c>
      <c r="DQ488" s="408">
        <v>0</v>
      </c>
      <c r="DR488" s="408">
        <v>0</v>
      </c>
      <c r="DS488" s="408"/>
      <c r="DT488" s="408"/>
      <c r="DU488" s="408">
        <v>73976.521347764283</v>
      </c>
      <c r="DV488" s="408"/>
      <c r="DW488" s="408">
        <v>0</v>
      </c>
      <c r="DX488" s="408">
        <v>0</v>
      </c>
      <c r="DY488" s="408">
        <v>-38538.239999999991</v>
      </c>
      <c r="DZ488" s="408"/>
      <c r="EA488" s="408">
        <v>0</v>
      </c>
      <c r="EB488" s="408"/>
      <c r="EC488" s="408">
        <v>-39166.646153305963</v>
      </c>
      <c r="ED488" s="408"/>
      <c r="EE488" s="408">
        <v>0</v>
      </c>
      <c r="EF488" s="408">
        <v>0</v>
      </c>
      <c r="EG488" s="408"/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/>
      <c r="EN488" s="408"/>
      <c r="EO488" s="408">
        <v>0</v>
      </c>
      <c r="EP488" s="408">
        <v>0</v>
      </c>
      <c r="EQ488" s="408"/>
      <c r="ER488" s="408">
        <v>0</v>
      </c>
      <c r="ES488" s="408"/>
      <c r="ET488" s="408">
        <v>0</v>
      </c>
      <c r="EU488" s="408"/>
      <c r="EV488" s="408">
        <v>239</v>
      </c>
      <c r="EW488" s="408"/>
      <c r="EX488" s="408"/>
      <c r="EY488" s="408"/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493</v>
      </c>
      <c r="B489" s="408" t="s">
        <v>1034</v>
      </c>
      <c r="C489" s="408" t="s">
        <v>2241</v>
      </c>
      <c r="D489" s="408" t="s">
        <v>596</v>
      </c>
      <c r="E489" s="408" t="s">
        <v>972</v>
      </c>
      <c r="F489" s="408" t="s">
        <v>2251</v>
      </c>
      <c r="G489" s="408" t="s">
        <v>2253</v>
      </c>
      <c r="H489" s="408" t="s">
        <v>1320</v>
      </c>
      <c r="I489" s="408" t="s">
        <v>2242</v>
      </c>
      <c r="J489" s="408" t="s">
        <v>2234</v>
      </c>
      <c r="K489" s="827">
        <v>44593</v>
      </c>
      <c r="L489" s="408">
        <v>0</v>
      </c>
      <c r="M489" s="408">
        <v>0</v>
      </c>
      <c r="N489" s="408">
        <v>144.37799999999999</v>
      </c>
      <c r="O489" s="408">
        <v>43.313400000000001</v>
      </c>
      <c r="P489" s="408">
        <v>144.37799999999999</v>
      </c>
      <c r="Q489" s="408">
        <v>43.313400000000001</v>
      </c>
      <c r="R489" s="408"/>
      <c r="S489" s="408">
        <v>70.33</v>
      </c>
      <c r="T489" s="408">
        <v>173.82</v>
      </c>
      <c r="U489" s="408"/>
      <c r="V489" s="408">
        <v>35249.888699999996</v>
      </c>
      <c r="W489" s="408">
        <v>35249.888699999996</v>
      </c>
      <c r="X489" s="408">
        <v>38163.436739999997</v>
      </c>
      <c r="Y489" s="408">
        <v>0</v>
      </c>
      <c r="Z489" s="408">
        <v>7680.9134273858035</v>
      </c>
      <c r="AA489" s="408">
        <v>0</v>
      </c>
      <c r="AB489" s="408">
        <v>0</v>
      </c>
      <c r="AC489" s="408">
        <v>0</v>
      </c>
      <c r="AD489" s="408">
        <v>0</v>
      </c>
      <c r="AE489" s="408">
        <v>0</v>
      </c>
      <c r="AF489" s="408">
        <v>23233.616085201877</v>
      </c>
      <c r="AG489" s="408">
        <v>1168.86485357581</v>
      </c>
      <c r="AH489" s="408">
        <v>0</v>
      </c>
      <c r="AI489" s="408">
        <v>0</v>
      </c>
      <c r="AJ489" s="408">
        <v>0</v>
      </c>
      <c r="AK489" s="408">
        <v>0</v>
      </c>
      <c r="AL489" s="408">
        <v>1364.5881844337505</v>
      </c>
      <c r="AM489" s="408"/>
      <c r="AN489" s="408">
        <v>179.422968049368</v>
      </c>
      <c r="AO489" s="408">
        <v>0</v>
      </c>
      <c r="AP489" s="408">
        <v>0</v>
      </c>
      <c r="AQ489" s="408">
        <v>0</v>
      </c>
      <c r="AR489" s="408">
        <v>0</v>
      </c>
      <c r="AS489" s="408">
        <v>0</v>
      </c>
      <c r="AT489" s="408">
        <v>0</v>
      </c>
      <c r="AU489" s="408">
        <v>0</v>
      </c>
      <c r="AV489" s="408">
        <v>0</v>
      </c>
      <c r="AW489" s="408">
        <v>0</v>
      </c>
      <c r="AX489" s="408">
        <v>0</v>
      </c>
      <c r="AY489" s="408">
        <v>0</v>
      </c>
      <c r="AZ489" s="408">
        <v>0</v>
      </c>
      <c r="BA489" s="408"/>
      <c r="BB489" s="408">
        <v>0</v>
      </c>
      <c r="BC489" s="408">
        <v>0</v>
      </c>
      <c r="BD489" s="408">
        <v>0</v>
      </c>
      <c r="BE489" s="408">
        <v>26.94001434640904</v>
      </c>
      <c r="BF489" s="408">
        <v>693.8356707859773</v>
      </c>
      <c r="BG489" s="408">
        <v>902.10690658965973</v>
      </c>
      <c r="BH489" s="408">
        <v>0</v>
      </c>
      <c r="BI489" s="408">
        <v>0</v>
      </c>
      <c r="BJ489" s="408">
        <v>0</v>
      </c>
      <c r="BK489" s="408">
        <v>0</v>
      </c>
      <c r="BL489" s="408">
        <v>0</v>
      </c>
      <c r="BM489" s="408"/>
      <c r="BN489" s="408"/>
      <c r="BO489" s="408"/>
      <c r="BP489" s="408"/>
      <c r="BQ489" s="408"/>
      <c r="BR489" s="408"/>
      <c r="BS489" s="408">
        <v>26714.405717999995</v>
      </c>
      <c r="BT489" s="408"/>
      <c r="BU489" s="408"/>
      <c r="BV489" s="408">
        <v>24856.498676923922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11448.132300000001</v>
      </c>
      <c r="CJ489" s="408">
        <v>873.13569000000098</v>
      </c>
      <c r="CK489" s="408"/>
      <c r="CL489" s="408"/>
      <c r="CM489" s="408"/>
      <c r="CN489" s="408"/>
      <c r="CO489" s="408">
        <v>-145.82178000000073</v>
      </c>
      <c r="CP489" s="408">
        <v>3059.3698199999994</v>
      </c>
      <c r="CQ489" s="408">
        <v>29</v>
      </c>
      <c r="CR489" s="408">
        <v>2912.2651496973485</v>
      </c>
      <c r="CS489" s="408">
        <v>0</v>
      </c>
      <c r="CT489" s="408">
        <v>0</v>
      </c>
      <c r="CU489" s="408">
        <v>0</v>
      </c>
      <c r="CV489" s="408">
        <v>0</v>
      </c>
      <c r="CW489" s="408">
        <v>0</v>
      </c>
      <c r="CX489" s="408">
        <v>0</v>
      </c>
      <c r="CY489" s="408">
        <v>0</v>
      </c>
      <c r="CZ489" s="408">
        <v>0</v>
      </c>
      <c r="DA489" s="408">
        <v>0</v>
      </c>
      <c r="DB489" s="408">
        <v>0</v>
      </c>
      <c r="DC489" s="408">
        <v>2982.2914036763432</v>
      </c>
      <c r="DD489" s="408">
        <v>89.061476653515683</v>
      </c>
      <c r="DE489" s="408">
        <v>3.458048583809699</v>
      </c>
      <c r="DF489" s="408">
        <v>0</v>
      </c>
      <c r="DG489" s="408">
        <v>115.79539159351316</v>
      </c>
      <c r="DH489" s="408">
        <v>0</v>
      </c>
      <c r="DI489" s="408">
        <v>-224.47857777631089</v>
      </c>
      <c r="DJ489" s="408"/>
      <c r="DK489" s="408">
        <v>0</v>
      </c>
      <c r="DL489" s="408">
        <v>0</v>
      </c>
      <c r="DM489" s="408">
        <v>-12.991503853155564</v>
      </c>
      <c r="DN489" s="408">
        <v>0</v>
      </c>
      <c r="DO489" s="408">
        <v>-35.342362640939655</v>
      </c>
      <c r="DP489" s="408">
        <v>-5.5287265394325971</v>
      </c>
      <c r="DQ489" s="408">
        <v>0</v>
      </c>
      <c r="DR489" s="408">
        <v>0</v>
      </c>
      <c r="DS489" s="408"/>
      <c r="DT489" s="408"/>
      <c r="DU489" s="408"/>
      <c r="DV489" s="408">
        <v>0</v>
      </c>
      <c r="DW489" s="408">
        <v>0</v>
      </c>
      <c r="DX489" s="408">
        <v>0</v>
      </c>
      <c r="DY489" s="408">
        <v>-145.82178000000022</v>
      </c>
      <c r="DZ489" s="408">
        <v>3059.3698199999999</v>
      </c>
      <c r="EA489" s="408">
        <v>0</v>
      </c>
      <c r="EB489" s="408">
        <v>0</v>
      </c>
      <c r="EC489" s="408">
        <v>0</v>
      </c>
      <c r="ED489" s="408">
        <v>0</v>
      </c>
      <c r="EE489" s="408">
        <v>0</v>
      </c>
      <c r="EF489" s="408">
        <v>0</v>
      </c>
      <c r="EG489" s="408">
        <v>0</v>
      </c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>
        <v>0</v>
      </c>
      <c r="EN489" s="408">
        <v>0</v>
      </c>
      <c r="EO489" s="408">
        <v>0</v>
      </c>
      <c r="EP489" s="408">
        <v>0</v>
      </c>
      <c r="EQ489" s="408">
        <v>0</v>
      </c>
      <c r="ER489" s="408">
        <v>0</v>
      </c>
      <c r="ES489" s="408">
        <v>0</v>
      </c>
      <c r="ET489" s="408">
        <v>0</v>
      </c>
      <c r="EU489" s="408">
        <v>0</v>
      </c>
      <c r="EV489" s="408">
        <v>239</v>
      </c>
      <c r="EW489" s="408">
        <v>0</v>
      </c>
      <c r="EX489" s="408">
        <v>0</v>
      </c>
      <c r="EY489" s="408">
        <v>0</v>
      </c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494</v>
      </c>
      <c r="B490" s="408" t="s">
        <v>1034</v>
      </c>
      <c r="C490" s="408" t="s">
        <v>2233</v>
      </c>
      <c r="D490" s="408" t="s">
        <v>2243</v>
      </c>
      <c r="E490" s="408" t="s">
        <v>972</v>
      </c>
      <c r="F490" s="408" t="s">
        <v>2254</v>
      </c>
      <c r="G490" s="408" t="s">
        <v>2252</v>
      </c>
      <c r="H490" s="408" t="s">
        <v>1320</v>
      </c>
      <c r="I490" s="408" t="s">
        <v>1320</v>
      </c>
      <c r="J490" s="408" t="s">
        <v>2234</v>
      </c>
      <c r="K490" s="827">
        <v>44593</v>
      </c>
      <c r="L490" s="408">
        <v>0</v>
      </c>
      <c r="M490" s="408">
        <v>0</v>
      </c>
      <c r="N490" s="408">
        <v>0</v>
      </c>
      <c r="O490" s="408">
        <v>0</v>
      </c>
      <c r="P490" s="408">
        <v>0</v>
      </c>
      <c r="Q490" s="408">
        <v>0</v>
      </c>
      <c r="R490" s="408"/>
      <c r="S490" s="408"/>
      <c r="T490" s="408"/>
      <c r="U490" s="408"/>
      <c r="V490" s="408"/>
      <c r="W490" s="408"/>
      <c r="X490" s="408"/>
      <c r="Y490" s="408"/>
      <c r="Z490" s="408"/>
      <c r="AA490" s="408">
        <v>0</v>
      </c>
      <c r="AB490" s="408"/>
      <c r="AC490" s="408"/>
      <c r="AD490" s="408"/>
      <c r="AE490" s="408"/>
      <c r="AF490" s="408"/>
      <c r="AG490" s="408"/>
      <c r="AH490" s="408"/>
      <c r="AI490" s="408"/>
      <c r="AJ490" s="408"/>
      <c r="AK490" s="408"/>
      <c r="AL490" s="408"/>
      <c r="AM490" s="408"/>
      <c r="AN490" s="408"/>
      <c r="AO490" s="408"/>
      <c r="AP490" s="408"/>
      <c r="AQ490" s="408"/>
      <c r="AR490" s="408"/>
      <c r="AS490" s="408"/>
      <c r="AT490" s="408"/>
      <c r="AU490" s="408"/>
      <c r="AV490" s="408"/>
      <c r="AW490" s="408"/>
      <c r="AX490" s="408"/>
      <c r="AY490" s="408"/>
      <c r="AZ490" s="408">
        <v>0</v>
      </c>
      <c r="BA490" s="408"/>
      <c r="BB490" s="408"/>
      <c r="BC490" s="408"/>
      <c r="BD490" s="408"/>
      <c r="BE490" s="408"/>
      <c r="BF490" s="408"/>
      <c r="BG490" s="408"/>
      <c r="BH490" s="408"/>
      <c r="BI490" s="408">
        <v>0.27</v>
      </c>
      <c r="BJ490" s="408">
        <v>1.26</v>
      </c>
      <c r="BK490" s="408">
        <v>9.2100000000000009</v>
      </c>
      <c r="BL490" s="408">
        <v>1</v>
      </c>
      <c r="BM490" s="408"/>
      <c r="BN490" s="408"/>
      <c r="BO490" s="408"/>
      <c r="BP490" s="408"/>
      <c r="BQ490" s="408"/>
      <c r="BR490" s="408"/>
      <c r="BS490" s="408"/>
      <c r="BT490" s="408"/>
      <c r="BU490" s="408"/>
      <c r="BV490" s="408"/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/>
      <c r="CJ490" s="408">
        <v>-0.03</v>
      </c>
      <c r="CK490" s="408"/>
      <c r="CL490" s="408"/>
      <c r="CM490" s="408"/>
      <c r="CN490" s="408"/>
      <c r="CO490" s="408">
        <v>0</v>
      </c>
      <c r="CP490" s="408">
        <v>0</v>
      </c>
      <c r="CQ490" s="408">
        <v>29</v>
      </c>
      <c r="CR490" s="408"/>
      <c r="CS490" s="408"/>
      <c r="CT490" s="408"/>
      <c r="CU490" s="408"/>
      <c r="CV490" s="408"/>
      <c r="CW490" s="408"/>
      <c r="CX490" s="408"/>
      <c r="CY490" s="408"/>
      <c r="CZ490" s="408"/>
      <c r="DA490" s="408"/>
      <c r="DB490" s="408"/>
      <c r="DC490" s="408"/>
      <c r="DD490" s="408"/>
      <c r="DE490" s="408"/>
      <c r="DF490" s="408"/>
      <c r="DG490" s="408"/>
      <c r="DH490" s="408"/>
      <c r="DI490" s="408"/>
      <c r="DJ490" s="408"/>
      <c r="DK490" s="408">
        <v>0</v>
      </c>
      <c r="DL490" s="408"/>
      <c r="DM490" s="408"/>
      <c r="DN490" s="408"/>
      <c r="DO490" s="408"/>
      <c r="DP490" s="408"/>
      <c r="DQ490" s="408"/>
      <c r="DR490" s="408"/>
      <c r="DS490" s="408"/>
      <c r="DT490" s="408"/>
      <c r="DU490" s="408"/>
      <c r="DV490" s="408"/>
      <c r="DW490" s="408"/>
      <c r="DX490" s="408"/>
      <c r="DY490" s="408"/>
      <c r="DZ490" s="408"/>
      <c r="EA490" s="408"/>
      <c r="EB490" s="408"/>
      <c r="EC490" s="408"/>
      <c r="ED490" s="408"/>
      <c r="EE490" s="408"/>
      <c r="EF490" s="408"/>
      <c r="EG490" s="408"/>
      <c r="EH490" s="408"/>
      <c r="EI490" s="408"/>
      <c r="EJ490" s="408"/>
      <c r="EK490" s="408"/>
      <c r="EL490" s="408"/>
      <c r="EM490" s="408"/>
      <c r="EN490" s="408"/>
      <c r="EO490" s="408"/>
      <c r="EP490" s="408"/>
      <c r="EQ490" s="408"/>
      <c r="ER490" s="408"/>
      <c r="ES490" s="408"/>
      <c r="ET490" s="408"/>
      <c r="EU490" s="408"/>
      <c r="EV490" s="408">
        <v>239</v>
      </c>
      <c r="EW490" s="408"/>
      <c r="EX490" s="408"/>
      <c r="EY490" s="408"/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495</v>
      </c>
      <c r="B491" s="408" t="s">
        <v>1034</v>
      </c>
      <c r="C491" s="408" t="s">
        <v>2233</v>
      </c>
      <c r="D491" s="408" t="s">
        <v>2243</v>
      </c>
      <c r="E491" s="408" t="s">
        <v>972</v>
      </c>
      <c r="F491" s="408" t="s">
        <v>2254</v>
      </c>
      <c r="G491" s="408" t="s">
        <v>2252</v>
      </c>
      <c r="H491" s="408" t="s">
        <v>1320</v>
      </c>
      <c r="I491" s="408" t="s">
        <v>1320</v>
      </c>
      <c r="J491" s="408" t="s">
        <v>2234</v>
      </c>
      <c r="K491" s="827">
        <v>44593</v>
      </c>
      <c r="L491" s="408">
        <v>0</v>
      </c>
      <c r="M491" s="408">
        <v>0</v>
      </c>
      <c r="N491" s="408">
        <v>7.8E-2</v>
      </c>
      <c r="O491" s="408">
        <v>7.8E-2</v>
      </c>
      <c r="P491" s="408">
        <v>7.8E-2</v>
      </c>
      <c r="Q491" s="408">
        <v>7.8E-2</v>
      </c>
      <c r="R491" s="408"/>
      <c r="S491" s="408">
        <v>516.83000000000004</v>
      </c>
      <c r="T491" s="408">
        <v>173.82</v>
      </c>
      <c r="U491" s="408"/>
      <c r="V491" s="408">
        <v>53.870700000000006</v>
      </c>
      <c r="W491" s="408">
        <v>53.870700000000006</v>
      </c>
      <c r="X491" s="408">
        <v>40.673099999999998</v>
      </c>
      <c r="Y491" s="408">
        <v>0</v>
      </c>
      <c r="Z491" s="408">
        <v>4.7696575491258484</v>
      </c>
      <c r="AA491" s="408">
        <v>0</v>
      </c>
      <c r="AB491" s="408">
        <v>0</v>
      </c>
      <c r="AC491" s="408">
        <v>0.21203863772448786</v>
      </c>
      <c r="AD491" s="408">
        <v>2.6852756987211479</v>
      </c>
      <c r="AE491" s="408">
        <v>28.362032023002524</v>
      </c>
      <c r="AF491" s="408">
        <v>12.551926572232242</v>
      </c>
      <c r="AG491" s="408">
        <v>0.63147750058120489</v>
      </c>
      <c r="AH491" s="408">
        <v>0</v>
      </c>
      <c r="AI491" s="408">
        <v>0</v>
      </c>
      <c r="AJ491" s="408">
        <v>0</v>
      </c>
      <c r="AK491" s="408">
        <v>0</v>
      </c>
      <c r="AL491" s="408">
        <v>0.73721673929430065</v>
      </c>
      <c r="AM491" s="408"/>
      <c r="AN491" s="408">
        <v>0.12102027403827581</v>
      </c>
      <c r="AO491" s="408">
        <v>0.45228329477256429</v>
      </c>
      <c r="AP491" s="408">
        <v>1.4811666364254943</v>
      </c>
      <c r="AQ491" s="408">
        <v>0</v>
      </c>
      <c r="AR491" s="408">
        <v>0</v>
      </c>
      <c r="AS491" s="408">
        <v>0</v>
      </c>
      <c r="AT491" s="408">
        <v>0</v>
      </c>
      <c r="AU491" s="408">
        <v>0</v>
      </c>
      <c r="AV491" s="408">
        <v>0</v>
      </c>
      <c r="AW491" s="408">
        <v>0</v>
      </c>
      <c r="AX491" s="408">
        <v>0</v>
      </c>
      <c r="AY491" s="408">
        <v>0</v>
      </c>
      <c r="AZ491" s="408">
        <v>0</v>
      </c>
      <c r="BA491" s="408"/>
      <c r="BB491" s="408">
        <v>0</v>
      </c>
      <c r="BC491" s="408">
        <v>0</v>
      </c>
      <c r="BD491" s="408">
        <v>0</v>
      </c>
      <c r="BE491" s="408">
        <v>4.3275384130064272E-2</v>
      </c>
      <c r="BF491" s="408">
        <v>0.3748436903219759</v>
      </c>
      <c r="BG491" s="408">
        <v>1.4491092100793646</v>
      </c>
      <c r="BH491" s="408">
        <v>0</v>
      </c>
      <c r="BI491" s="408">
        <v>0</v>
      </c>
      <c r="BJ491" s="408">
        <v>0</v>
      </c>
      <c r="BK491" s="408">
        <v>0</v>
      </c>
      <c r="BL491" s="408">
        <v>0</v>
      </c>
      <c r="BM491" s="408"/>
      <c r="BN491" s="408"/>
      <c r="BO491" s="408"/>
      <c r="BP491" s="408"/>
      <c r="BQ491" s="408"/>
      <c r="BR491" s="408">
        <v>4.8804599999999994</v>
      </c>
      <c r="BS491" s="408"/>
      <c r="BT491" s="408"/>
      <c r="BU491" s="408"/>
      <c r="BV491" s="408">
        <v>14.419154856763647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36.7104</v>
      </c>
      <c r="CJ491" s="408">
        <v>-10.725659999999998</v>
      </c>
      <c r="CK491" s="408"/>
      <c r="CL491" s="408"/>
      <c r="CM491" s="408"/>
      <c r="CN491" s="408"/>
      <c r="CO491" s="408">
        <v>-14.850420000000003</v>
      </c>
      <c r="CP491" s="408">
        <v>1.6528199999999997</v>
      </c>
      <c r="CQ491" s="408">
        <v>29</v>
      </c>
      <c r="CR491" s="408">
        <v>1.8178585630926314</v>
      </c>
      <c r="CS491" s="408">
        <v>4.3913850524147813E-2</v>
      </c>
      <c r="CT491" s="408">
        <v>0.14381192280393118</v>
      </c>
      <c r="CU491" s="408">
        <v>0</v>
      </c>
      <c r="CV491" s="408">
        <v>0</v>
      </c>
      <c r="CW491" s="408">
        <v>0</v>
      </c>
      <c r="CX491" s="408">
        <v>0</v>
      </c>
      <c r="CY491" s="408">
        <v>0</v>
      </c>
      <c r="CZ491" s="408">
        <v>-5.1488034664466387E-2</v>
      </c>
      <c r="DA491" s="408">
        <v>0</v>
      </c>
      <c r="DB491" s="408">
        <v>0</v>
      </c>
      <c r="DC491" s="408">
        <v>1.611178500095269</v>
      </c>
      <c r="DD491" s="408">
        <v>4.8115330444903071E-2</v>
      </c>
      <c r="DE491" s="408">
        <v>5.5548738349033011E-3</v>
      </c>
      <c r="DF491" s="408">
        <v>0</v>
      </c>
      <c r="DG491" s="408">
        <v>0.18600918274449429</v>
      </c>
      <c r="DH491" s="408">
        <v>0</v>
      </c>
      <c r="DI491" s="408">
        <v>-0.13939565303396506</v>
      </c>
      <c r="DJ491" s="408"/>
      <c r="DK491" s="408">
        <v>0</v>
      </c>
      <c r="DL491" s="408">
        <v>0</v>
      </c>
      <c r="DM491" s="408">
        <v>-7.0186406554055836E-3</v>
      </c>
      <c r="DN491" s="408">
        <v>0</v>
      </c>
      <c r="DO491" s="408">
        <v>-1.9093658909205669E-2</v>
      </c>
      <c r="DP491" s="408">
        <v>-3.7291100919734921E-3</v>
      </c>
      <c r="DQ491" s="408">
        <v>0</v>
      </c>
      <c r="DR491" s="408">
        <v>0</v>
      </c>
      <c r="DS491" s="408"/>
      <c r="DT491" s="408"/>
      <c r="DU491" s="408"/>
      <c r="DV491" s="408">
        <v>28.362032023002524</v>
      </c>
      <c r="DW491" s="408">
        <v>0</v>
      </c>
      <c r="DX491" s="408">
        <v>0</v>
      </c>
      <c r="DY491" s="408">
        <v>-14.850420000000007</v>
      </c>
      <c r="DZ491" s="408">
        <v>1.6528200000000002</v>
      </c>
      <c r="EA491" s="408">
        <v>0</v>
      </c>
      <c r="EB491" s="408">
        <v>0</v>
      </c>
      <c r="EC491" s="408">
        <v>-15.016192329611929</v>
      </c>
      <c r="ED491" s="408">
        <v>0</v>
      </c>
      <c r="EE491" s="408">
        <v>0</v>
      </c>
      <c r="EF491" s="408">
        <v>0</v>
      </c>
      <c r="EG491" s="408">
        <v>0</v>
      </c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>
        <v>0</v>
      </c>
      <c r="EN491" s="408">
        <v>0</v>
      </c>
      <c r="EO491" s="408">
        <v>0</v>
      </c>
      <c r="EP491" s="408">
        <v>0</v>
      </c>
      <c r="EQ491" s="408">
        <v>0</v>
      </c>
      <c r="ER491" s="408">
        <v>0</v>
      </c>
      <c r="ES491" s="408">
        <v>0</v>
      </c>
      <c r="ET491" s="408">
        <v>0</v>
      </c>
      <c r="EU491" s="408">
        <v>0</v>
      </c>
      <c r="EV491" s="408">
        <v>239</v>
      </c>
      <c r="EW491" s="408">
        <v>0</v>
      </c>
      <c r="EX491" s="408">
        <v>0</v>
      </c>
      <c r="EY491" s="408">
        <v>0</v>
      </c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496</v>
      </c>
      <c r="B492" s="408" t="s">
        <v>1034</v>
      </c>
      <c r="C492" s="408" t="s">
        <v>2233</v>
      </c>
      <c r="D492" s="408" t="s">
        <v>2243</v>
      </c>
      <c r="E492" s="408" t="s">
        <v>972</v>
      </c>
      <c r="F492" s="408" t="s">
        <v>2254</v>
      </c>
      <c r="G492" s="408" t="s">
        <v>2253</v>
      </c>
      <c r="H492" s="408" t="s">
        <v>1320</v>
      </c>
      <c r="I492" s="408" t="s">
        <v>1320</v>
      </c>
      <c r="J492" s="408" t="s">
        <v>2234</v>
      </c>
      <c r="K492" s="827">
        <v>44593</v>
      </c>
      <c r="L492" s="408">
        <v>0</v>
      </c>
      <c r="M492" s="408">
        <v>0</v>
      </c>
      <c r="N492" s="408">
        <v>4.1000000000000002E-2</v>
      </c>
      <c r="O492" s="408">
        <v>1.6400000000000001E-2</v>
      </c>
      <c r="P492" s="408">
        <v>4.1000000000000002E-2</v>
      </c>
      <c r="Q492" s="408">
        <v>1.6400000000000001E-2</v>
      </c>
      <c r="R492" s="408"/>
      <c r="S492" s="408">
        <v>516.83000000000004</v>
      </c>
      <c r="T492" s="408">
        <v>173.82</v>
      </c>
      <c r="U492" s="408"/>
      <c r="V492" s="408">
        <v>28.316650000000003</v>
      </c>
      <c r="W492" s="408">
        <v>28.316650000000003</v>
      </c>
      <c r="X492" s="408">
        <v>21.379449999999999</v>
      </c>
      <c r="Y492" s="408">
        <v>0</v>
      </c>
      <c r="Z492" s="408">
        <v>2.507127686078972</v>
      </c>
      <c r="AA492" s="408">
        <v>0</v>
      </c>
      <c r="AB492" s="408">
        <v>0</v>
      </c>
      <c r="AC492" s="408">
        <v>0.11145620700902568</v>
      </c>
      <c r="AD492" s="408">
        <v>1.4114910724047058</v>
      </c>
      <c r="AE492" s="408">
        <v>14.90824760183466</v>
      </c>
      <c r="AF492" s="408">
        <v>6.5978075571989985</v>
      </c>
      <c r="AG492" s="408">
        <v>0.33193048107473588</v>
      </c>
      <c r="AH492" s="408">
        <v>0</v>
      </c>
      <c r="AI492" s="408">
        <v>0</v>
      </c>
      <c r="AJ492" s="408">
        <v>0</v>
      </c>
      <c r="AK492" s="408">
        <v>0</v>
      </c>
      <c r="AL492" s="408">
        <v>0.38751136296238886</v>
      </c>
      <c r="AM492" s="408"/>
      <c r="AN492" s="408">
        <v>6.3613220968837286E-2</v>
      </c>
      <c r="AO492" s="408">
        <v>0.23773865494455304</v>
      </c>
      <c r="AP492" s="408">
        <v>0.77856194991596495</v>
      </c>
      <c r="AQ492" s="408">
        <v>0</v>
      </c>
      <c r="AR492" s="408">
        <v>0</v>
      </c>
      <c r="AS492" s="408">
        <v>0</v>
      </c>
      <c r="AT492" s="408">
        <v>0</v>
      </c>
      <c r="AU492" s="408">
        <v>0</v>
      </c>
      <c r="AV492" s="408">
        <v>0</v>
      </c>
      <c r="AW492" s="408">
        <v>0</v>
      </c>
      <c r="AX492" s="408">
        <v>0</v>
      </c>
      <c r="AY492" s="408">
        <v>0</v>
      </c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2.2747317299136351E-2</v>
      </c>
      <c r="BF492" s="408">
        <v>0.19703322183591043</v>
      </c>
      <c r="BG492" s="408">
        <v>0.76171125145197371</v>
      </c>
      <c r="BH492" s="408">
        <v>0</v>
      </c>
      <c r="BI492" s="408">
        <v>0</v>
      </c>
      <c r="BJ492" s="408">
        <v>0</v>
      </c>
      <c r="BK492" s="408">
        <v>0</v>
      </c>
      <c r="BL492" s="408">
        <v>0</v>
      </c>
      <c r="BM492" s="408"/>
      <c r="BN492" s="408"/>
      <c r="BO492" s="408"/>
      <c r="BP492" s="408"/>
      <c r="BQ492" s="408"/>
      <c r="BR492" s="408"/>
      <c r="BS492" s="408">
        <v>13.853817999999999</v>
      </c>
      <c r="BT492" s="408"/>
      <c r="BU492" s="408"/>
      <c r="BV492" s="408">
        <v>7.5792993477860193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9.1776</v>
      </c>
      <c r="CJ492" s="408">
        <v>-0.81982800000000111</v>
      </c>
      <c r="CK492" s="408"/>
      <c r="CL492" s="408"/>
      <c r="CM492" s="408"/>
      <c r="CN492" s="408"/>
      <c r="CO492" s="408">
        <v>-7.8059900000000022</v>
      </c>
      <c r="CP492" s="408">
        <v>0.86878999999999995</v>
      </c>
      <c r="CQ492" s="408">
        <v>29</v>
      </c>
      <c r="CR492" s="408">
        <v>0.95554103957433156</v>
      </c>
      <c r="CS492" s="408">
        <v>2.3082921429359748E-2</v>
      </c>
      <c r="CT492" s="408">
        <v>7.5593446602066461E-2</v>
      </c>
      <c r="CU492" s="408">
        <v>0</v>
      </c>
      <c r="CV492" s="408">
        <v>0</v>
      </c>
      <c r="CW492" s="408">
        <v>0</v>
      </c>
      <c r="CX492" s="408">
        <v>0</v>
      </c>
      <c r="CY492" s="408">
        <v>0</v>
      </c>
      <c r="CZ492" s="408">
        <v>-2.7064223349270611E-2</v>
      </c>
      <c r="DA492" s="408">
        <v>0</v>
      </c>
      <c r="DB492" s="408">
        <v>0</v>
      </c>
      <c r="DC492" s="408">
        <v>0.84690151928084667</v>
      </c>
      <c r="DD492" s="408">
        <v>2.5291391644115702E-2</v>
      </c>
      <c r="DE492" s="408">
        <v>2.9198695798850691E-3</v>
      </c>
      <c r="DF492" s="408">
        <v>0</v>
      </c>
      <c r="DG492" s="408">
        <v>9.7774057596464958E-2</v>
      </c>
      <c r="DH492" s="408">
        <v>0</v>
      </c>
      <c r="DI492" s="408">
        <v>-7.3272074030673817E-2</v>
      </c>
      <c r="DJ492" s="408"/>
      <c r="DK492" s="408">
        <v>0</v>
      </c>
      <c r="DL492" s="408">
        <v>0</v>
      </c>
      <c r="DM492" s="408">
        <v>-3.6892854727131885E-3</v>
      </c>
      <c r="DN492" s="408">
        <v>0</v>
      </c>
      <c r="DO492" s="408">
        <v>-1.0036410452274769E-2</v>
      </c>
      <c r="DP492" s="408">
        <v>-1.9601732534732449E-3</v>
      </c>
      <c r="DQ492" s="408">
        <v>0</v>
      </c>
      <c r="DR492" s="408">
        <v>0</v>
      </c>
      <c r="DS492" s="408"/>
      <c r="DT492" s="408"/>
      <c r="DU492" s="408"/>
      <c r="DV492" s="408">
        <v>14.90824760183466</v>
      </c>
      <c r="DW492" s="408">
        <v>0</v>
      </c>
      <c r="DX492" s="408">
        <v>0</v>
      </c>
      <c r="DY492" s="408">
        <v>-7.8059900000000031</v>
      </c>
      <c r="DZ492" s="408">
        <v>0.86878999999999973</v>
      </c>
      <c r="EA492" s="408">
        <v>0</v>
      </c>
      <c r="EB492" s="408">
        <v>0</v>
      </c>
      <c r="EC492" s="408">
        <v>-7.8931267373601166</v>
      </c>
      <c r="ED492" s="408">
        <v>0</v>
      </c>
      <c r="EE492" s="408">
        <v>0</v>
      </c>
      <c r="EF492" s="408">
        <v>0</v>
      </c>
      <c r="EG492" s="408">
        <v>0</v>
      </c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>
        <v>0</v>
      </c>
      <c r="EN492" s="408">
        <v>0</v>
      </c>
      <c r="EO492" s="408">
        <v>0</v>
      </c>
      <c r="EP492" s="408">
        <v>0</v>
      </c>
      <c r="EQ492" s="408">
        <v>0</v>
      </c>
      <c r="ER492" s="408">
        <v>0</v>
      </c>
      <c r="ES492" s="408">
        <v>0</v>
      </c>
      <c r="ET492" s="408">
        <v>0</v>
      </c>
      <c r="EU492" s="408">
        <v>0</v>
      </c>
      <c r="EV492" s="408">
        <v>239</v>
      </c>
      <c r="EW492" s="408">
        <v>0</v>
      </c>
      <c r="EX492" s="408">
        <v>0</v>
      </c>
      <c r="EY492" s="408">
        <v>0</v>
      </c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497</v>
      </c>
      <c r="B493" s="408" t="s">
        <v>1034</v>
      </c>
      <c r="C493" s="408" t="s">
        <v>2233</v>
      </c>
      <c r="D493" s="408" t="s">
        <v>1953</v>
      </c>
      <c r="E493" s="408" t="s">
        <v>967</v>
      </c>
      <c r="F493" s="408" t="s">
        <v>967</v>
      </c>
      <c r="G493" s="408" t="s">
        <v>1320</v>
      </c>
      <c r="H493" s="408" t="s">
        <v>1320</v>
      </c>
      <c r="I493" s="408" t="s">
        <v>1320</v>
      </c>
      <c r="J493" s="408" t="s">
        <v>2234</v>
      </c>
      <c r="K493" s="827">
        <v>44621</v>
      </c>
      <c r="L493" s="408">
        <v>0</v>
      </c>
      <c r="M493" s="408">
        <v>0</v>
      </c>
      <c r="N493" s="408">
        <v>2375.2170000000001</v>
      </c>
      <c r="O493" s="408">
        <v>2375.2170000000001</v>
      </c>
      <c r="P493" s="408">
        <v>2375.2170000000001</v>
      </c>
      <c r="Q493" s="408">
        <v>2375.2170000000001</v>
      </c>
      <c r="R493" s="408"/>
      <c r="S493" s="408">
        <v>516.83000000000004</v>
      </c>
      <c r="T493" s="408">
        <v>173.82</v>
      </c>
      <c r="U493" s="408"/>
      <c r="V493" s="408">
        <v>1640443.6210500002</v>
      </c>
      <c r="W493" s="408">
        <v>1640443.6210500002</v>
      </c>
      <c r="X493" s="408">
        <v>1238556.9046499999</v>
      </c>
      <c r="Y493" s="408">
        <v>0</v>
      </c>
      <c r="Z493" s="408">
        <v>145243.22685720579</v>
      </c>
      <c r="AA493" s="408">
        <v>0</v>
      </c>
      <c r="AB493" s="408">
        <v>0</v>
      </c>
      <c r="AC493" s="408">
        <v>6456.8945766672423</v>
      </c>
      <c r="AD493" s="408">
        <v>81770.67293960703</v>
      </c>
      <c r="AE493" s="408">
        <v>863666.41814846138</v>
      </c>
      <c r="AF493" s="408">
        <v>382224.99201433011</v>
      </c>
      <c r="AG493" s="408">
        <v>19229.437108948561</v>
      </c>
      <c r="AH493" s="408">
        <v>0</v>
      </c>
      <c r="AI493" s="408">
        <v>0</v>
      </c>
      <c r="AJ493" s="408">
        <v>0</v>
      </c>
      <c r="AK493" s="408">
        <v>0</v>
      </c>
      <c r="AL493" s="408">
        <v>22449.355536620398</v>
      </c>
      <c r="AM493" s="408"/>
      <c r="AN493" s="408">
        <v>3685.2488748765559</v>
      </c>
      <c r="AO493" s="408">
        <v>13772.704750766743</v>
      </c>
      <c r="AP493" s="408">
        <v>45103.745829110936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</v>
      </c>
      <c r="BE493" s="408">
        <v>1317.8003598366522</v>
      </c>
      <c r="BF493" s="408">
        <v>11414.552635839649</v>
      </c>
      <c r="BG493" s="408">
        <v>44127.549110731772</v>
      </c>
      <c r="BH493" s="408">
        <v>0</v>
      </c>
      <c r="BI493" s="408">
        <v>0.45</v>
      </c>
      <c r="BJ493" s="408">
        <v>2.08</v>
      </c>
      <c r="BK493" s="408">
        <v>513781.9</v>
      </c>
      <c r="BL493" s="408">
        <v>12618</v>
      </c>
      <c r="BM493" s="408"/>
      <c r="BN493" s="408"/>
      <c r="BO493" s="408"/>
      <c r="BP493" s="408"/>
      <c r="BQ493" s="408"/>
      <c r="BR493" s="408"/>
      <c r="BS493" s="408"/>
      <c r="BT493" s="408"/>
      <c r="BU493" s="408"/>
      <c r="BV493" s="408">
        <v>439084.8941207382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1238558.4689999998</v>
      </c>
      <c r="CJ493" s="408">
        <v>-401885.18205000041</v>
      </c>
      <c r="CK493" s="408"/>
      <c r="CL493" s="408"/>
      <c r="CM493" s="408"/>
      <c r="CN493" s="408"/>
      <c r="CO493" s="408">
        <v>-452217.5646300001</v>
      </c>
      <c r="CP493" s="408">
        <v>50330.848229999996</v>
      </c>
      <c r="CQ493" s="408">
        <v>31</v>
      </c>
      <c r="CR493" s="408">
        <v>55356.520034015179</v>
      </c>
      <c r="CS493" s="408">
        <v>1337.2426192360872</v>
      </c>
      <c r="CT493" s="408">
        <v>4379.288767263919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-1567.8878875849769</v>
      </c>
      <c r="DA493" s="408">
        <v>0</v>
      </c>
      <c r="DB493" s="408">
        <v>0</v>
      </c>
      <c r="DC493" s="408">
        <v>49062.802095651103</v>
      </c>
      <c r="DD493" s="408">
        <v>1465.1839850429678</v>
      </c>
      <c r="DE493" s="408">
        <v>169.15424058355802</v>
      </c>
      <c r="DF493" s="408">
        <v>0</v>
      </c>
      <c r="DG493" s="408">
        <v>5664.2586283439668</v>
      </c>
      <c r="DH493" s="408">
        <v>0</v>
      </c>
      <c r="DI493" s="408">
        <v>-4244.8067283637938</v>
      </c>
      <c r="DJ493" s="408"/>
      <c r="DK493" s="408">
        <v>0</v>
      </c>
      <c r="DL493" s="408">
        <v>0</v>
      </c>
      <c r="DM493" s="408">
        <v>-213.72813591808153</v>
      </c>
      <c r="DN493" s="408">
        <v>0</v>
      </c>
      <c r="DO493" s="408">
        <v>-581.43055427367653</v>
      </c>
      <c r="DP493" s="408">
        <v>-113.55699596573095</v>
      </c>
      <c r="DQ493" s="408">
        <v>0</v>
      </c>
      <c r="DR493" s="408">
        <v>0</v>
      </c>
      <c r="DS493" s="408"/>
      <c r="DT493" s="408"/>
      <c r="DU493" s="408"/>
      <c r="DV493" s="408">
        <v>863666.41814846138</v>
      </c>
      <c r="DW493" s="408">
        <v>0</v>
      </c>
      <c r="DX493" s="408">
        <v>0</v>
      </c>
      <c r="DY493" s="408">
        <v>-452217.56463000015</v>
      </c>
      <c r="DZ493" s="408">
        <v>50330.848230000003</v>
      </c>
      <c r="EA493" s="408">
        <v>0</v>
      </c>
      <c r="EB493" s="408">
        <v>0</v>
      </c>
      <c r="EC493" s="408">
        <v>-457265.58072517772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0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239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498</v>
      </c>
      <c r="B494" s="408" t="s">
        <v>2235</v>
      </c>
      <c r="C494" s="408" t="s">
        <v>2233</v>
      </c>
      <c r="D494" s="408" t="s">
        <v>1953</v>
      </c>
      <c r="E494" s="408" t="s">
        <v>967</v>
      </c>
      <c r="F494" s="408" t="s">
        <v>967</v>
      </c>
      <c r="G494" s="408" t="s">
        <v>1320</v>
      </c>
      <c r="H494" s="408" t="s">
        <v>1320</v>
      </c>
      <c r="I494" s="408" t="s">
        <v>1320</v>
      </c>
      <c r="J494" s="408" t="s">
        <v>2234</v>
      </c>
      <c r="K494" s="827">
        <v>44621</v>
      </c>
      <c r="L494" s="408">
        <v>0</v>
      </c>
      <c r="M494" s="408">
        <v>0</v>
      </c>
      <c r="N494" s="408">
        <v>-4.6639999999999997</v>
      </c>
      <c r="O494" s="408">
        <v>-4.6639999999999997</v>
      </c>
      <c r="P494" s="408">
        <v>-4.6639999999999997</v>
      </c>
      <c r="Q494" s="408">
        <v>-4.6639999999999997</v>
      </c>
      <c r="R494" s="408"/>
      <c r="S494" s="408">
        <v>516.83000000000004</v>
      </c>
      <c r="T494" s="408">
        <v>173.82</v>
      </c>
      <c r="U494" s="408"/>
      <c r="V494" s="408">
        <v>-3221.1916000000001</v>
      </c>
      <c r="W494" s="408">
        <v>-3221.1916000000001</v>
      </c>
      <c r="X494" s="408">
        <v>-2432.0427999999997</v>
      </c>
      <c r="Y494" s="408">
        <v>0</v>
      </c>
      <c r="Z494" s="408">
        <v>-285.20106165542251</v>
      </c>
      <c r="AA494" s="408">
        <v>0</v>
      </c>
      <c r="AB494" s="408">
        <v>0</v>
      </c>
      <c r="AC494" s="408">
        <v>-12.678823158295017</v>
      </c>
      <c r="AD494" s="408">
        <v>-160.5657161389158</v>
      </c>
      <c r="AE494" s="408">
        <v>-1695.904068657484</v>
      </c>
      <c r="AF494" s="408">
        <v>-750.54084016527145</v>
      </c>
      <c r="AG494" s="408">
        <v>-37.759116188599222</v>
      </c>
      <c r="AH494" s="408">
        <v>0</v>
      </c>
      <c r="AI494" s="408">
        <v>0</v>
      </c>
      <c r="AJ494" s="408">
        <v>0</v>
      </c>
      <c r="AK494" s="408">
        <v>0</v>
      </c>
      <c r="AL494" s="408">
        <v>-44.08178041113613</v>
      </c>
      <c r="AM494" s="408"/>
      <c r="AN494" s="408">
        <v>-7.2363917706989529</v>
      </c>
      <c r="AO494" s="408">
        <v>-27.04422162588769</v>
      </c>
      <c r="AP494" s="408">
        <v>-88.566169131903905</v>
      </c>
      <c r="AQ494" s="408">
        <v>0</v>
      </c>
      <c r="AR494" s="408">
        <v>0</v>
      </c>
      <c r="AS494" s="408">
        <v>0</v>
      </c>
      <c r="AT494" s="408">
        <v>0</v>
      </c>
      <c r="AU494" s="408">
        <v>0</v>
      </c>
      <c r="AV494" s="408">
        <v>0</v>
      </c>
      <c r="AW494" s="408">
        <v>0</v>
      </c>
      <c r="AX494" s="408">
        <v>0</v>
      </c>
      <c r="AY494" s="408">
        <v>0</v>
      </c>
      <c r="AZ494" s="408">
        <v>0</v>
      </c>
      <c r="BA494" s="408"/>
      <c r="BB494" s="408">
        <v>0</v>
      </c>
      <c r="BC494" s="408">
        <v>0</v>
      </c>
      <c r="BD494" s="408">
        <v>0</v>
      </c>
      <c r="BE494" s="408">
        <v>-2.5876460459310224</v>
      </c>
      <c r="BF494" s="408">
        <v>-22.413730405919175</v>
      </c>
      <c r="BG494" s="408">
        <v>-86.64929943346354</v>
      </c>
      <c r="BH494" s="408">
        <v>0</v>
      </c>
      <c r="BI494" s="408">
        <v>-11.13</v>
      </c>
      <c r="BJ494" s="408">
        <v>-50.69</v>
      </c>
      <c r="BK494" s="408">
        <v>-1065.75</v>
      </c>
      <c r="BL494" s="408">
        <v>0</v>
      </c>
      <c r="BM494" s="408"/>
      <c r="BN494" s="408"/>
      <c r="BO494" s="408"/>
      <c r="BP494" s="408"/>
      <c r="BQ494" s="408"/>
      <c r="BR494" s="408"/>
      <c r="BS494" s="408"/>
      <c r="BT494" s="408"/>
      <c r="BU494" s="408"/>
      <c r="BV494" s="408">
        <v>-862.19151605058516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-2429.9569999999999</v>
      </c>
      <c r="CJ494" s="408">
        <v>791.20459999999957</v>
      </c>
      <c r="CK494" s="408"/>
      <c r="CL494" s="408"/>
      <c r="CM494" s="408"/>
      <c r="CN494" s="408"/>
      <c r="CO494" s="408">
        <v>887.97896000000014</v>
      </c>
      <c r="CP494" s="408">
        <v>-98.830159999999978</v>
      </c>
      <c r="CQ494" s="408">
        <v>31</v>
      </c>
      <c r="CR494" s="408">
        <v>-108.69861972133413</v>
      </c>
      <c r="CS494" s="408">
        <v>-2.6258230621105803</v>
      </c>
      <c r="CT494" s="408">
        <v>-8.5992154866350745</v>
      </c>
      <c r="CU494" s="408">
        <v>0</v>
      </c>
      <c r="CV494" s="408">
        <v>0</v>
      </c>
      <c r="CW494" s="408">
        <v>0</v>
      </c>
      <c r="CX494" s="408">
        <v>0</v>
      </c>
      <c r="CY494" s="408">
        <v>0</v>
      </c>
      <c r="CZ494" s="408">
        <v>3.0787204317316537</v>
      </c>
      <c r="DA494" s="408">
        <v>0</v>
      </c>
      <c r="DB494" s="408">
        <v>0</v>
      </c>
      <c r="DC494" s="408">
        <v>-96.340211851850427</v>
      </c>
      <c r="DD494" s="408">
        <v>-2.8770500153208687</v>
      </c>
      <c r="DE494" s="408">
        <v>-0.33215296879473089</v>
      </c>
      <c r="DF494" s="408">
        <v>0</v>
      </c>
      <c r="DG494" s="408">
        <v>-11.12239523487591</v>
      </c>
      <c r="DH494" s="408">
        <v>0</v>
      </c>
      <c r="DI494" s="408">
        <v>8.3351452019283556</v>
      </c>
      <c r="DJ494" s="408"/>
      <c r="DK494" s="408">
        <v>0</v>
      </c>
      <c r="DL494" s="408">
        <v>0</v>
      </c>
      <c r="DM494" s="408">
        <v>0.41967871816424918</v>
      </c>
      <c r="DN494" s="408">
        <v>0</v>
      </c>
      <c r="DO494" s="408">
        <v>1.1417028865709611</v>
      </c>
      <c r="DP494" s="408">
        <v>0.22298165985851703</v>
      </c>
      <c r="DQ494" s="408">
        <v>0</v>
      </c>
      <c r="DR494" s="408">
        <v>0</v>
      </c>
      <c r="DS494" s="408"/>
      <c r="DT494" s="408"/>
      <c r="DU494" s="408"/>
      <c r="DV494" s="408">
        <v>-1695.904068657484</v>
      </c>
      <c r="DW494" s="408">
        <v>0</v>
      </c>
      <c r="DX494" s="408">
        <v>0</v>
      </c>
      <c r="DY494" s="408">
        <v>887.97896000000014</v>
      </c>
      <c r="DZ494" s="408">
        <v>-98.830159999999978</v>
      </c>
      <c r="EA494" s="408">
        <v>0</v>
      </c>
      <c r="EB494" s="408">
        <v>0</v>
      </c>
      <c r="EC494" s="408">
        <v>897.89129519628239</v>
      </c>
      <c r="ED494" s="408">
        <v>0</v>
      </c>
      <c r="EE494" s="408">
        <v>0</v>
      </c>
      <c r="EF494" s="408">
        <v>0</v>
      </c>
      <c r="EG494" s="408">
        <v>0</v>
      </c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>
        <v>0</v>
      </c>
      <c r="EN494" s="408">
        <v>0</v>
      </c>
      <c r="EO494" s="408">
        <v>0</v>
      </c>
      <c r="EP494" s="408">
        <v>0</v>
      </c>
      <c r="EQ494" s="408">
        <v>0</v>
      </c>
      <c r="ER494" s="408">
        <v>0</v>
      </c>
      <c r="ES494" s="408">
        <v>0</v>
      </c>
      <c r="ET494" s="408">
        <v>0</v>
      </c>
      <c r="EU494" s="408">
        <v>0</v>
      </c>
      <c r="EV494" s="408">
        <v>239</v>
      </c>
      <c r="EW494" s="408">
        <v>0</v>
      </c>
      <c r="EX494" s="408">
        <v>0</v>
      </c>
      <c r="EY494" s="408">
        <v>0</v>
      </c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499</v>
      </c>
      <c r="B495" s="408" t="s">
        <v>2236</v>
      </c>
      <c r="C495" s="408" t="s">
        <v>2233</v>
      </c>
      <c r="D495" s="408" t="s">
        <v>1953</v>
      </c>
      <c r="E495" s="408" t="s">
        <v>967</v>
      </c>
      <c r="F495" s="408" t="s">
        <v>967</v>
      </c>
      <c r="G495" s="408" t="s">
        <v>1320</v>
      </c>
      <c r="H495" s="408" t="s">
        <v>1320</v>
      </c>
      <c r="I495" s="408" t="s">
        <v>1320</v>
      </c>
      <c r="J495" s="408" t="s">
        <v>2234</v>
      </c>
      <c r="K495" s="827">
        <v>44621</v>
      </c>
      <c r="L495" s="408">
        <v>0</v>
      </c>
      <c r="M495" s="408">
        <v>0</v>
      </c>
      <c r="N495" s="408">
        <v>33.536000000000001</v>
      </c>
      <c r="O495" s="408">
        <v>33.536000000000001</v>
      </c>
      <c r="P495" s="408">
        <v>33.536000000000001</v>
      </c>
      <c r="Q495" s="408">
        <v>33.536000000000001</v>
      </c>
      <c r="R495" s="408"/>
      <c r="S495" s="408">
        <v>516.83000000000004</v>
      </c>
      <c r="T495" s="408">
        <v>173.82</v>
      </c>
      <c r="U495" s="408"/>
      <c r="V495" s="408">
        <v>23161.638400000003</v>
      </c>
      <c r="W495" s="408">
        <v>23161.638400000003</v>
      </c>
      <c r="X495" s="408">
        <v>17487.3472</v>
      </c>
      <c r="Y495" s="408">
        <v>0</v>
      </c>
      <c r="Z495" s="408">
        <v>2050.7081483010829</v>
      </c>
      <c r="AA495" s="408">
        <v>0</v>
      </c>
      <c r="AB495" s="408">
        <v>0</v>
      </c>
      <c r="AC495" s="408">
        <v>91.165740445236224</v>
      </c>
      <c r="AD495" s="408">
        <v>1154.5308440040053</v>
      </c>
      <c r="AE495" s="408">
        <v>12194.219306710418</v>
      </c>
      <c r="AF495" s="408">
        <v>5396.6847375176985</v>
      </c>
      <c r="AG495" s="408">
        <v>271.50294178834986</v>
      </c>
      <c r="AH495" s="408">
        <v>0</v>
      </c>
      <c r="AI495" s="408">
        <v>0</v>
      </c>
      <c r="AJ495" s="408">
        <v>0</v>
      </c>
      <c r="AK495" s="408">
        <v>0</v>
      </c>
      <c r="AL495" s="408">
        <v>316.96539190991882</v>
      </c>
      <c r="AM495" s="408"/>
      <c r="AN495" s="408">
        <v>52.032511668559202</v>
      </c>
      <c r="AO495" s="408">
        <v>194.45862273708613</v>
      </c>
      <c r="AP495" s="408">
        <v>636.82569639955614</v>
      </c>
      <c r="AQ495" s="408">
        <v>0</v>
      </c>
      <c r="AR495" s="408">
        <v>0</v>
      </c>
      <c r="AS495" s="408">
        <v>0</v>
      </c>
      <c r="AT495" s="408">
        <v>0</v>
      </c>
      <c r="AU495" s="408">
        <v>0</v>
      </c>
      <c r="AV495" s="408">
        <v>0</v>
      </c>
      <c r="AW495" s="408">
        <v>0</v>
      </c>
      <c r="AX495" s="408">
        <v>0</v>
      </c>
      <c r="AY495" s="408">
        <v>0</v>
      </c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18.606195925459428</v>
      </c>
      <c r="BF495" s="408">
        <v>161.16356408509981</v>
      </c>
      <c r="BG495" s="408">
        <v>623.04264704130219</v>
      </c>
      <c r="BH495" s="408">
        <v>0</v>
      </c>
      <c r="BI495" s="408">
        <v>0</v>
      </c>
      <c r="BJ495" s="408">
        <v>0</v>
      </c>
      <c r="BK495" s="408">
        <v>19549.38</v>
      </c>
      <c r="BL495" s="408">
        <v>333</v>
      </c>
      <c r="BM495" s="408"/>
      <c r="BN495" s="408"/>
      <c r="BO495" s="408"/>
      <c r="BP495" s="408"/>
      <c r="BQ495" s="408"/>
      <c r="BR495" s="408"/>
      <c r="BS495" s="408"/>
      <c r="BT495" s="408"/>
      <c r="BU495" s="408"/>
      <c r="BV495" s="408">
        <v>6199.4971445695601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17489.432999999997</v>
      </c>
      <c r="CJ495" s="408">
        <v>-5672.2354000000014</v>
      </c>
      <c r="CK495" s="408"/>
      <c r="CL495" s="408"/>
      <c r="CM495" s="408"/>
      <c r="CN495" s="408"/>
      <c r="CO495" s="408">
        <v>-6384.9190400000016</v>
      </c>
      <c r="CP495" s="408">
        <v>710.62783999999999</v>
      </c>
      <c r="CQ495" s="408">
        <v>31</v>
      </c>
      <c r="CR495" s="408">
        <v>781.5859586137758</v>
      </c>
      <c r="CS495" s="408">
        <v>18.880703733048961</v>
      </c>
      <c r="CT495" s="408">
        <v>61.83175183529022</v>
      </c>
      <c r="CU495" s="408">
        <v>0</v>
      </c>
      <c r="CV495" s="408">
        <v>0</v>
      </c>
      <c r="CW495" s="408">
        <v>0</v>
      </c>
      <c r="CX495" s="408">
        <v>0</v>
      </c>
      <c r="CY495" s="408">
        <v>0</v>
      </c>
      <c r="CZ495" s="408">
        <v>-22.137214493686315</v>
      </c>
      <c r="DA495" s="408">
        <v>0</v>
      </c>
      <c r="DB495" s="408">
        <v>0</v>
      </c>
      <c r="DC495" s="408">
        <v>692.72413050249907</v>
      </c>
      <c r="DD495" s="408">
        <v>20.687124638465008</v>
      </c>
      <c r="DE495" s="408">
        <v>2.3883108836835554</v>
      </c>
      <c r="DF495" s="408">
        <v>0</v>
      </c>
      <c r="DG495" s="408">
        <v>79.974409647684183</v>
      </c>
      <c r="DH495" s="408">
        <v>0</v>
      </c>
      <c r="DI495" s="408">
        <v>-59.932982309577483</v>
      </c>
      <c r="DJ495" s="408"/>
      <c r="DK495" s="408">
        <v>0</v>
      </c>
      <c r="DL495" s="408">
        <v>0</v>
      </c>
      <c r="DM495" s="408">
        <v>-3.0176555515344035</v>
      </c>
      <c r="DN495" s="408">
        <v>0</v>
      </c>
      <c r="DO495" s="408">
        <v>-8.2092941689630834</v>
      </c>
      <c r="DP495" s="408">
        <v>-1.6033261031336323</v>
      </c>
      <c r="DQ495" s="408">
        <v>0</v>
      </c>
      <c r="DR495" s="408">
        <v>0</v>
      </c>
      <c r="DS495" s="408"/>
      <c r="DT495" s="408"/>
      <c r="DU495" s="408"/>
      <c r="DV495" s="408">
        <v>12194.219306710418</v>
      </c>
      <c r="DW495" s="408">
        <v>0</v>
      </c>
      <c r="DX495" s="408">
        <v>0</v>
      </c>
      <c r="DY495" s="408">
        <v>-6384.9190400000025</v>
      </c>
      <c r="DZ495" s="408">
        <v>710.6278399999992</v>
      </c>
      <c r="EA495" s="408">
        <v>0</v>
      </c>
      <c r="EB495" s="408">
        <v>0</v>
      </c>
      <c r="EC495" s="408">
        <v>-6456.1926405880213</v>
      </c>
      <c r="ED495" s="408">
        <v>0</v>
      </c>
      <c r="EE495" s="408">
        <v>0</v>
      </c>
      <c r="EF495" s="408">
        <v>0</v>
      </c>
      <c r="EG495" s="408">
        <v>0</v>
      </c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>
        <v>0</v>
      </c>
      <c r="EN495" s="408">
        <v>0</v>
      </c>
      <c r="EO495" s="408">
        <v>0</v>
      </c>
      <c r="EP495" s="408">
        <v>0</v>
      </c>
      <c r="EQ495" s="408">
        <v>0</v>
      </c>
      <c r="ER495" s="408">
        <v>0</v>
      </c>
      <c r="ES495" s="408">
        <v>0</v>
      </c>
      <c r="ET495" s="408">
        <v>0</v>
      </c>
      <c r="EU495" s="408">
        <v>0</v>
      </c>
      <c r="EV495" s="408">
        <v>239</v>
      </c>
      <c r="EW495" s="408">
        <v>0</v>
      </c>
      <c r="EX495" s="408">
        <v>0</v>
      </c>
      <c r="EY495" s="408">
        <v>0</v>
      </c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500</v>
      </c>
      <c r="B496" s="408" t="s">
        <v>1034</v>
      </c>
      <c r="C496" s="408" t="s">
        <v>2233</v>
      </c>
      <c r="D496" s="408" t="s">
        <v>1953</v>
      </c>
      <c r="E496" s="408" t="s">
        <v>967</v>
      </c>
      <c r="F496" s="408" t="s">
        <v>2237</v>
      </c>
      <c r="G496" s="408" t="s">
        <v>1320</v>
      </c>
      <c r="H496" s="408" t="s">
        <v>1320</v>
      </c>
      <c r="I496" s="408" t="s">
        <v>1320</v>
      </c>
      <c r="J496" s="408" t="s">
        <v>2234</v>
      </c>
      <c r="K496" s="827">
        <v>44621</v>
      </c>
      <c r="L496" s="408">
        <v>0</v>
      </c>
      <c r="M496" s="408">
        <v>0</v>
      </c>
      <c r="N496" s="408">
        <v>35.520000000000003</v>
      </c>
      <c r="O496" s="408">
        <v>35.520000000000003</v>
      </c>
      <c r="P496" s="408">
        <v>35.520000000000003</v>
      </c>
      <c r="Q496" s="408">
        <v>35.520000000000003</v>
      </c>
      <c r="R496" s="408"/>
      <c r="S496" s="408">
        <v>446.23</v>
      </c>
      <c r="T496" s="408">
        <v>173.82</v>
      </c>
      <c r="U496" s="408"/>
      <c r="V496" s="408">
        <v>22024.175999999999</v>
      </c>
      <c r="W496" s="408">
        <v>22024.175999999999</v>
      </c>
      <c r="X496" s="408">
        <v>16086.297600000002</v>
      </c>
      <c r="Y496" s="408">
        <v>0</v>
      </c>
      <c r="Z496" s="408">
        <v>0</v>
      </c>
      <c r="AA496" s="408">
        <v>0</v>
      </c>
      <c r="AB496" s="408">
        <v>0</v>
      </c>
      <c r="AC496" s="408">
        <v>96.55913348684372</v>
      </c>
      <c r="AD496" s="408">
        <v>1222.8332412637844</v>
      </c>
      <c r="AE496" s="408">
        <v>12915.63304432115</v>
      </c>
      <c r="AF496" s="408">
        <v>5715.9542544319138</v>
      </c>
      <c r="AG496" s="408">
        <v>287.56513872621025</v>
      </c>
      <c r="AH496" s="408">
        <v>0</v>
      </c>
      <c r="AI496" s="408">
        <v>0</v>
      </c>
      <c r="AJ496" s="408">
        <v>0</v>
      </c>
      <c r="AK496" s="408">
        <v>0</v>
      </c>
      <c r="AL496" s="408">
        <v>0</v>
      </c>
      <c r="AM496" s="408"/>
      <c r="AN496" s="408">
        <v>55.110770946660992</v>
      </c>
      <c r="AO496" s="408">
        <v>205.96285423489084</v>
      </c>
      <c r="AP496" s="408">
        <v>674.50049904914817</v>
      </c>
      <c r="AQ496" s="408">
        <v>0</v>
      </c>
      <c r="AR496" s="408">
        <v>0</v>
      </c>
      <c r="AS496" s="408">
        <v>0</v>
      </c>
      <c r="AT496" s="408">
        <v>0</v>
      </c>
      <c r="AU496" s="408">
        <v>0</v>
      </c>
      <c r="AV496" s="408">
        <v>0</v>
      </c>
      <c r="AW496" s="408">
        <v>0</v>
      </c>
      <c r="AX496" s="408">
        <v>0</v>
      </c>
      <c r="AY496" s="408">
        <v>0</v>
      </c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19.70694415769081</v>
      </c>
      <c r="BF496" s="408">
        <v>170.6980497466229</v>
      </c>
      <c r="BG496" s="408">
        <v>659.90204028229539</v>
      </c>
      <c r="BH496" s="408">
        <v>0</v>
      </c>
      <c r="BI496" s="408">
        <v>0</v>
      </c>
      <c r="BJ496" s="408">
        <v>0</v>
      </c>
      <c r="BK496" s="408">
        <v>1765.36</v>
      </c>
      <c r="BL496" s="408">
        <v>77</v>
      </c>
      <c r="BM496" s="408"/>
      <c r="BN496" s="408"/>
      <c r="BO496" s="408"/>
      <c r="BP496" s="408"/>
      <c r="BQ496" s="408"/>
      <c r="BR496" s="408"/>
      <c r="BS496" s="408"/>
      <c r="BT496" s="408">
        <v>10456.022400000002</v>
      </c>
      <c r="BU496" s="408"/>
      <c r="BV496" s="408">
        <v>6566.2612886185225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5630.2752</v>
      </c>
      <c r="CJ496" s="408">
        <v>-2078.3052000000025</v>
      </c>
      <c r="CK496" s="408"/>
      <c r="CL496" s="408"/>
      <c r="CM496" s="408"/>
      <c r="CN496" s="408"/>
      <c r="CO496" s="408">
        <v>-6690.5472000000009</v>
      </c>
      <c r="CP496" s="408">
        <v>752.66880000000003</v>
      </c>
      <c r="CQ496" s="408">
        <v>31</v>
      </c>
      <c r="CR496" s="408">
        <v>899.99841693937742</v>
      </c>
      <c r="CS496" s="408">
        <v>19.997691930996552</v>
      </c>
      <c r="CT496" s="408">
        <v>65.489737153790315</v>
      </c>
      <c r="CU496" s="408">
        <v>0</v>
      </c>
      <c r="CV496" s="408">
        <v>0</v>
      </c>
      <c r="CW496" s="408">
        <v>0</v>
      </c>
      <c r="CX496" s="408">
        <v>0</v>
      </c>
      <c r="CY496" s="408">
        <v>0</v>
      </c>
      <c r="CZ496" s="408">
        <v>-23.44685886258776</v>
      </c>
      <c r="DA496" s="408">
        <v>0</v>
      </c>
      <c r="DB496" s="408">
        <v>0</v>
      </c>
      <c r="DC496" s="408">
        <v>733.70590158184496</v>
      </c>
      <c r="DD496" s="408">
        <v>21.91098124875586</v>
      </c>
      <c r="DE496" s="408">
        <v>2.5296040848175032</v>
      </c>
      <c r="DF496" s="408">
        <v>0</v>
      </c>
      <c r="DG496" s="408">
        <v>84.705720142108134</v>
      </c>
      <c r="DH496" s="408">
        <v>0</v>
      </c>
      <c r="DI496" s="408">
        <v>0</v>
      </c>
      <c r="DJ496" s="408"/>
      <c r="DK496" s="408">
        <v>0</v>
      </c>
      <c r="DL496" s="408">
        <v>0</v>
      </c>
      <c r="DM496" s="408">
        <v>-3.1961809753847206</v>
      </c>
      <c r="DN496" s="408">
        <v>0</v>
      </c>
      <c r="DO496" s="408">
        <v>0</v>
      </c>
      <c r="DP496" s="408">
        <v>-1.6981793649602395</v>
      </c>
      <c r="DQ496" s="408">
        <v>0</v>
      </c>
      <c r="DR496" s="408">
        <v>0</v>
      </c>
      <c r="DS496" s="408"/>
      <c r="DT496" s="408"/>
      <c r="DU496" s="408"/>
      <c r="DV496" s="408">
        <v>12915.63304432115</v>
      </c>
      <c r="DW496" s="408">
        <v>0</v>
      </c>
      <c r="DX496" s="408">
        <v>0</v>
      </c>
      <c r="DY496" s="408">
        <v>-6690.5472000000009</v>
      </c>
      <c r="DZ496" s="408">
        <v>752.66880000000037</v>
      </c>
      <c r="EA496" s="408">
        <v>0</v>
      </c>
      <c r="EB496" s="408">
        <v>0</v>
      </c>
      <c r="EC496" s="408">
        <v>-6838.1429685617404</v>
      </c>
      <c r="ED496" s="408">
        <v>0</v>
      </c>
      <c r="EE496" s="408">
        <v>0</v>
      </c>
      <c r="EF496" s="408">
        <v>0</v>
      </c>
      <c r="EG496" s="408">
        <v>0</v>
      </c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>
        <v>0</v>
      </c>
      <c r="EN496" s="408">
        <v>0</v>
      </c>
      <c r="EO496" s="408">
        <v>0</v>
      </c>
      <c r="EP496" s="408">
        <v>0</v>
      </c>
      <c r="EQ496" s="408">
        <v>0</v>
      </c>
      <c r="ER496" s="408">
        <v>0</v>
      </c>
      <c r="ES496" s="408">
        <v>0</v>
      </c>
      <c r="ET496" s="408">
        <v>0</v>
      </c>
      <c r="EU496" s="408">
        <v>0</v>
      </c>
      <c r="EV496" s="408">
        <v>239</v>
      </c>
      <c r="EW496" s="408">
        <v>0</v>
      </c>
      <c r="EX496" s="408">
        <v>0</v>
      </c>
      <c r="EY496" s="408">
        <v>0</v>
      </c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501</v>
      </c>
      <c r="B497" s="408" t="s">
        <v>2235</v>
      </c>
      <c r="C497" s="408" t="s">
        <v>2233</v>
      </c>
      <c r="D497" s="408" t="s">
        <v>1953</v>
      </c>
      <c r="E497" s="408" t="s">
        <v>967</v>
      </c>
      <c r="F497" s="408" t="s">
        <v>2237</v>
      </c>
      <c r="G497" s="408" t="s">
        <v>1320</v>
      </c>
      <c r="H497" s="408" t="s">
        <v>1320</v>
      </c>
      <c r="I497" s="408" t="s">
        <v>1320</v>
      </c>
      <c r="J497" s="408" t="s">
        <v>2234</v>
      </c>
      <c r="K497" s="827">
        <v>44621</v>
      </c>
      <c r="L497" s="408">
        <v>0</v>
      </c>
      <c r="M497" s="408">
        <v>0</v>
      </c>
      <c r="N497" s="408">
        <v>0.03</v>
      </c>
      <c r="O497" s="408">
        <v>0.03</v>
      </c>
      <c r="P497" s="408">
        <v>0.03</v>
      </c>
      <c r="Q497" s="408">
        <v>0.03</v>
      </c>
      <c r="R497" s="408"/>
      <c r="S497" s="408">
        <v>446.23</v>
      </c>
      <c r="T497" s="408">
        <v>173.82</v>
      </c>
      <c r="U497" s="408"/>
      <c r="V497" s="408">
        <v>18.601500000000001</v>
      </c>
      <c r="W497" s="408">
        <v>18.601500000000001</v>
      </c>
      <c r="X497" s="408">
        <v>13.586399999999999</v>
      </c>
      <c r="Y497" s="408">
        <v>0</v>
      </c>
      <c r="Z497" s="408">
        <v>0</v>
      </c>
      <c r="AA497" s="408">
        <v>0</v>
      </c>
      <c r="AB497" s="408">
        <v>0</v>
      </c>
      <c r="AC497" s="408">
        <v>8.1553322201726106E-2</v>
      </c>
      <c r="AD497" s="408">
        <v>1.0327983456619798</v>
      </c>
      <c r="AE497" s="408">
        <v>10.90847385500097</v>
      </c>
      <c r="AF497" s="408">
        <v>4.8276640662431696</v>
      </c>
      <c r="AG497" s="408">
        <v>0.24287596176200188</v>
      </c>
      <c r="AH497" s="408">
        <v>0</v>
      </c>
      <c r="AI497" s="408">
        <v>0</v>
      </c>
      <c r="AJ497" s="408">
        <v>0</v>
      </c>
      <c r="AK497" s="408">
        <v>0</v>
      </c>
      <c r="AL497" s="408">
        <v>0</v>
      </c>
      <c r="AM497" s="408"/>
      <c r="AN497" s="408">
        <v>4.6546259245490697E-2</v>
      </c>
      <c r="AO497" s="408">
        <v>0.17395511337406319</v>
      </c>
      <c r="AP497" s="408">
        <v>0.56967947554826703</v>
      </c>
      <c r="AQ497" s="408">
        <v>0</v>
      </c>
      <c r="AR497" s="408">
        <v>0</v>
      </c>
      <c r="AS497" s="408">
        <v>0</v>
      </c>
      <c r="AT497" s="408">
        <v>0</v>
      </c>
      <c r="AU497" s="408">
        <v>0</v>
      </c>
      <c r="AV497" s="408">
        <v>0</v>
      </c>
      <c r="AW497" s="408">
        <v>0</v>
      </c>
      <c r="AX497" s="408">
        <v>0</v>
      </c>
      <c r="AY497" s="408">
        <v>0</v>
      </c>
      <c r="AZ497" s="408">
        <v>0</v>
      </c>
      <c r="BA497" s="408"/>
      <c r="BB497" s="408">
        <v>0</v>
      </c>
      <c r="BC497" s="408">
        <v>0</v>
      </c>
      <c r="BD497" s="408">
        <v>0</v>
      </c>
      <c r="BE497" s="408">
        <v>1.6644378511563182E-2</v>
      </c>
      <c r="BF497" s="408">
        <v>0.14417065012383687</v>
      </c>
      <c r="BG497" s="408">
        <v>0.55734969618437102</v>
      </c>
      <c r="BH497" s="408">
        <v>0</v>
      </c>
      <c r="BI497" s="408">
        <v>0.1</v>
      </c>
      <c r="BJ497" s="408">
        <v>0.49</v>
      </c>
      <c r="BK497" s="408">
        <v>1.78</v>
      </c>
      <c r="BL497" s="408">
        <v>0</v>
      </c>
      <c r="BM497" s="408"/>
      <c r="BN497" s="408"/>
      <c r="BO497" s="408"/>
      <c r="BP497" s="408"/>
      <c r="BQ497" s="408"/>
      <c r="BR497" s="408"/>
      <c r="BS497" s="408"/>
      <c r="BT497" s="408">
        <v>8.8310999999999993</v>
      </c>
      <c r="BU497" s="408"/>
      <c r="BV497" s="408">
        <v>5.5458287910629398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4.7553000000000001</v>
      </c>
      <c r="CJ497" s="408">
        <v>-1.7852999999999994</v>
      </c>
      <c r="CK497" s="408"/>
      <c r="CL497" s="408"/>
      <c r="CM497" s="408"/>
      <c r="CN497" s="408"/>
      <c r="CO497" s="408">
        <v>-5.6508000000000003</v>
      </c>
      <c r="CP497" s="408">
        <v>0.63569999999999993</v>
      </c>
      <c r="CQ497" s="408">
        <v>31</v>
      </c>
      <c r="CR497" s="408">
        <v>0.7601337980906937</v>
      </c>
      <c r="CS497" s="408">
        <v>1.6889942509287603E-2</v>
      </c>
      <c r="CT497" s="408">
        <v>5.531227800151195E-2</v>
      </c>
      <c r="CU497" s="408">
        <v>0</v>
      </c>
      <c r="CV497" s="408">
        <v>0</v>
      </c>
      <c r="CW497" s="408">
        <v>0</v>
      </c>
      <c r="CX497" s="408">
        <v>0</v>
      </c>
      <c r="CY497" s="408">
        <v>0</v>
      </c>
      <c r="CZ497" s="408">
        <v>-1.9803090255563705E-2</v>
      </c>
      <c r="DA497" s="408">
        <v>0</v>
      </c>
      <c r="DB497" s="408">
        <v>0</v>
      </c>
      <c r="DC497" s="408">
        <v>0.6196840384981801</v>
      </c>
      <c r="DD497" s="408">
        <v>1.8505896324962745E-2</v>
      </c>
      <c r="DE497" s="408">
        <v>2.1364899365012673E-3</v>
      </c>
      <c r="DF497" s="408">
        <v>0</v>
      </c>
      <c r="DG497" s="408">
        <v>7.1541993363266942E-2</v>
      </c>
      <c r="DH497" s="408">
        <v>0</v>
      </c>
      <c r="DI497" s="408">
        <v>0</v>
      </c>
      <c r="DJ497" s="408"/>
      <c r="DK497" s="408">
        <v>0</v>
      </c>
      <c r="DL497" s="408">
        <v>0</v>
      </c>
      <c r="DM497" s="408">
        <v>-2.6994771751560065E-3</v>
      </c>
      <c r="DN497" s="408">
        <v>0</v>
      </c>
      <c r="DO497" s="408">
        <v>0</v>
      </c>
      <c r="DP497" s="408">
        <v>-1.4342731122974975E-3</v>
      </c>
      <c r="DQ497" s="408">
        <v>0</v>
      </c>
      <c r="DR497" s="408">
        <v>0</v>
      </c>
      <c r="DS497" s="408"/>
      <c r="DT497" s="408"/>
      <c r="DU497" s="408"/>
      <c r="DV497" s="408">
        <v>10.90847385500097</v>
      </c>
      <c r="DW497" s="408">
        <v>0</v>
      </c>
      <c r="DX497" s="408">
        <v>0</v>
      </c>
      <c r="DY497" s="408">
        <v>-5.6508000000000012</v>
      </c>
      <c r="DZ497" s="408">
        <v>0.63569999999999993</v>
      </c>
      <c r="EA497" s="408">
        <v>0</v>
      </c>
      <c r="EB497" s="408">
        <v>0</v>
      </c>
      <c r="EC497" s="408">
        <v>-5.7754585883122802</v>
      </c>
      <c r="ED497" s="408">
        <v>0</v>
      </c>
      <c r="EE497" s="408">
        <v>0</v>
      </c>
      <c r="EF497" s="408">
        <v>0</v>
      </c>
      <c r="EG497" s="408">
        <v>0</v>
      </c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>
        <v>0</v>
      </c>
      <c r="EN497" s="408">
        <v>0</v>
      </c>
      <c r="EO497" s="408">
        <v>0</v>
      </c>
      <c r="EP497" s="408">
        <v>0</v>
      </c>
      <c r="EQ497" s="408">
        <v>0</v>
      </c>
      <c r="ER497" s="408">
        <v>0</v>
      </c>
      <c r="ES497" s="408">
        <v>0</v>
      </c>
      <c r="ET497" s="408">
        <v>0</v>
      </c>
      <c r="EU497" s="408">
        <v>0</v>
      </c>
      <c r="EV497" s="408">
        <v>239</v>
      </c>
      <c r="EW497" s="408">
        <v>0</v>
      </c>
      <c r="EX497" s="408">
        <v>0</v>
      </c>
      <c r="EY497" s="408">
        <v>0</v>
      </c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502</v>
      </c>
      <c r="B498" s="408" t="s">
        <v>2236</v>
      </c>
      <c r="C498" s="408" t="s">
        <v>2233</v>
      </c>
      <c r="D498" s="408" t="s">
        <v>1953</v>
      </c>
      <c r="E498" s="408" t="s">
        <v>967</v>
      </c>
      <c r="F498" s="408" t="s">
        <v>2237</v>
      </c>
      <c r="G498" s="408" t="s">
        <v>1320</v>
      </c>
      <c r="H498" s="408" t="s">
        <v>1320</v>
      </c>
      <c r="I498" s="408" t="s">
        <v>1320</v>
      </c>
      <c r="J498" s="408" t="s">
        <v>2234</v>
      </c>
      <c r="K498" s="827">
        <v>44621</v>
      </c>
      <c r="L498" s="408">
        <v>0</v>
      </c>
      <c r="M498" s="408">
        <v>0</v>
      </c>
      <c r="N498" s="408">
        <v>0.09</v>
      </c>
      <c r="O498" s="408">
        <v>-0.26100000000000001</v>
      </c>
      <c r="P498" s="408">
        <v>0.09</v>
      </c>
      <c r="Q498" s="408">
        <v>-0.26100000000000001</v>
      </c>
      <c r="R498" s="408"/>
      <c r="S498" s="408">
        <v>446.23</v>
      </c>
      <c r="T498" s="408">
        <v>173.82</v>
      </c>
      <c r="U498" s="408"/>
      <c r="V498" s="408">
        <v>55.804499999999997</v>
      </c>
      <c r="W498" s="408">
        <v>55.804499999999997</v>
      </c>
      <c r="X498" s="408">
        <v>40.7592</v>
      </c>
      <c r="Y498" s="408">
        <v>0</v>
      </c>
      <c r="Z498" s="408">
        <v>0</v>
      </c>
      <c r="AA498" s="408">
        <v>0</v>
      </c>
      <c r="AB498" s="408">
        <v>0</v>
      </c>
      <c r="AC498" s="408">
        <v>0.2446599666051783</v>
      </c>
      <c r="AD498" s="408">
        <v>3.0983950369859397</v>
      </c>
      <c r="AE498" s="408">
        <v>32.725421565002911</v>
      </c>
      <c r="AF498" s="408">
        <v>14.482992198729509</v>
      </c>
      <c r="AG498" s="408">
        <v>0.72862788528600564</v>
      </c>
      <c r="AH498" s="408">
        <v>0</v>
      </c>
      <c r="AI498" s="408">
        <v>0</v>
      </c>
      <c r="AJ498" s="408">
        <v>0</v>
      </c>
      <c r="AK498" s="408">
        <v>0</v>
      </c>
      <c r="AL498" s="408">
        <v>0</v>
      </c>
      <c r="AM498" s="408"/>
      <c r="AN498" s="408">
        <v>0.1396387777364721</v>
      </c>
      <c r="AO498" s="408">
        <v>0.52186534012218955</v>
      </c>
      <c r="AP498" s="408">
        <v>1.7090384266448009</v>
      </c>
      <c r="AQ498" s="408">
        <v>0</v>
      </c>
      <c r="AR498" s="408">
        <v>0</v>
      </c>
      <c r="AS498" s="408">
        <v>0</v>
      </c>
      <c r="AT498" s="408">
        <v>0</v>
      </c>
      <c r="AU498" s="408">
        <v>0</v>
      </c>
      <c r="AV498" s="408">
        <v>0</v>
      </c>
      <c r="AW498" s="408">
        <v>0</v>
      </c>
      <c r="AX498" s="408">
        <v>0</v>
      </c>
      <c r="AY498" s="408">
        <v>0</v>
      </c>
      <c r="AZ498" s="408">
        <v>0</v>
      </c>
      <c r="BA498" s="408"/>
      <c r="BB498" s="408">
        <v>0</v>
      </c>
      <c r="BC498" s="408">
        <v>0</v>
      </c>
      <c r="BD498" s="408">
        <v>0</v>
      </c>
      <c r="BE498" s="408">
        <v>4.9933135534689539E-2</v>
      </c>
      <c r="BF498" s="408">
        <v>0.43251195037151063</v>
      </c>
      <c r="BG498" s="408">
        <v>1.672049088553113</v>
      </c>
      <c r="BH498" s="408">
        <v>0</v>
      </c>
      <c r="BI498" s="408">
        <v>0</v>
      </c>
      <c r="BJ498" s="408">
        <v>0</v>
      </c>
      <c r="BK498" s="408">
        <v>7.44</v>
      </c>
      <c r="BL498" s="408">
        <v>0</v>
      </c>
      <c r="BM498" s="408"/>
      <c r="BN498" s="408"/>
      <c r="BO498" s="408"/>
      <c r="BP498" s="408"/>
      <c r="BQ498" s="408"/>
      <c r="BR498" s="408"/>
      <c r="BS498" s="408"/>
      <c r="BT498" s="408">
        <v>82.130309999999994</v>
      </c>
      <c r="BU498" s="408"/>
      <c r="BV498" s="408">
        <v>16.637486373188825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-41.212600000000002</v>
      </c>
      <c r="CJ498" s="408">
        <v>15.399620000000013</v>
      </c>
      <c r="CK498" s="408"/>
      <c r="CL498" s="408"/>
      <c r="CM498" s="408"/>
      <c r="CN498" s="408"/>
      <c r="CO498" s="408">
        <v>-16.952400000000001</v>
      </c>
      <c r="CP498" s="408">
        <v>1.9070999999999998</v>
      </c>
      <c r="CQ498" s="408">
        <v>31</v>
      </c>
      <c r="CR498" s="408">
        <v>2.2804013942720829</v>
      </c>
      <c r="CS498" s="408">
        <v>5.0669827527862865E-2</v>
      </c>
      <c r="CT498" s="408">
        <v>0.16593683400453618</v>
      </c>
      <c r="CU498" s="408">
        <v>0</v>
      </c>
      <c r="CV498" s="408">
        <v>0</v>
      </c>
      <c r="CW498" s="408">
        <v>0</v>
      </c>
      <c r="CX498" s="408">
        <v>0</v>
      </c>
      <c r="CY498" s="408">
        <v>0</v>
      </c>
      <c r="CZ498" s="408">
        <v>-5.940927076669178E-2</v>
      </c>
      <c r="DA498" s="408">
        <v>0</v>
      </c>
      <c r="DB498" s="408">
        <v>0</v>
      </c>
      <c r="DC498" s="408">
        <v>1.8590521154945421</v>
      </c>
      <c r="DD498" s="408">
        <v>5.551768897488818E-2</v>
      </c>
      <c r="DE498" s="408">
        <v>6.4094698095038122E-3</v>
      </c>
      <c r="DF498" s="408">
        <v>0</v>
      </c>
      <c r="DG498" s="408">
        <v>0.21462598008980116</v>
      </c>
      <c r="DH498" s="408">
        <v>0</v>
      </c>
      <c r="DI498" s="408">
        <v>0</v>
      </c>
      <c r="DJ498" s="408"/>
      <c r="DK498" s="408">
        <v>0</v>
      </c>
      <c r="DL498" s="408">
        <v>0</v>
      </c>
      <c r="DM498" s="408">
        <v>-8.098431525467964E-3</v>
      </c>
      <c r="DN498" s="408">
        <v>0</v>
      </c>
      <c r="DO498" s="408">
        <v>0</v>
      </c>
      <c r="DP498" s="408">
        <v>-4.3028193368924994E-3</v>
      </c>
      <c r="DQ498" s="408">
        <v>0</v>
      </c>
      <c r="DR498" s="408">
        <v>0</v>
      </c>
      <c r="DS498" s="408"/>
      <c r="DT498" s="408"/>
      <c r="DU498" s="408"/>
      <c r="DV498" s="408">
        <v>32.725421565002911</v>
      </c>
      <c r="DW498" s="408">
        <v>0</v>
      </c>
      <c r="DX498" s="408">
        <v>0</v>
      </c>
      <c r="DY498" s="408">
        <v>-16.952399999999997</v>
      </c>
      <c r="DZ498" s="408">
        <v>1.9070999999999998</v>
      </c>
      <c r="EA498" s="408">
        <v>0</v>
      </c>
      <c r="EB498" s="408">
        <v>0</v>
      </c>
      <c r="EC498" s="408">
        <v>-17.326375764936842</v>
      </c>
      <c r="ED498" s="408">
        <v>0</v>
      </c>
      <c r="EE498" s="408">
        <v>0</v>
      </c>
      <c r="EF498" s="408">
        <v>0</v>
      </c>
      <c r="EG498" s="408">
        <v>0</v>
      </c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>
        <v>0</v>
      </c>
      <c r="EN498" s="408">
        <v>0</v>
      </c>
      <c r="EO498" s="408">
        <v>0</v>
      </c>
      <c r="EP498" s="408">
        <v>0</v>
      </c>
      <c r="EQ498" s="408">
        <v>0</v>
      </c>
      <c r="ER498" s="408">
        <v>0</v>
      </c>
      <c r="ES498" s="408">
        <v>0</v>
      </c>
      <c r="ET498" s="408">
        <v>0</v>
      </c>
      <c r="EU498" s="408">
        <v>0</v>
      </c>
      <c r="EV498" s="408">
        <v>239</v>
      </c>
      <c r="EW498" s="408">
        <v>0</v>
      </c>
      <c r="EX498" s="408">
        <v>0</v>
      </c>
      <c r="EY498" s="408">
        <v>0</v>
      </c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503</v>
      </c>
      <c r="B499" s="408" t="s">
        <v>1034</v>
      </c>
      <c r="C499" s="408" t="s">
        <v>2233</v>
      </c>
      <c r="D499" s="408" t="s">
        <v>1953</v>
      </c>
      <c r="E499" s="408" t="s">
        <v>967</v>
      </c>
      <c r="F499" s="408" t="s">
        <v>2238</v>
      </c>
      <c r="G499" s="408" t="s">
        <v>1320</v>
      </c>
      <c r="H499" s="408" t="s">
        <v>1320</v>
      </c>
      <c r="I499" s="408" t="s">
        <v>1320</v>
      </c>
      <c r="J499" s="408" t="s">
        <v>2234</v>
      </c>
      <c r="K499" s="827">
        <v>44621</v>
      </c>
      <c r="L499" s="408">
        <v>0</v>
      </c>
      <c r="M499" s="408">
        <v>0</v>
      </c>
      <c r="N499" s="408">
        <v>73.31</v>
      </c>
      <c r="O499" s="408">
        <v>73.31</v>
      </c>
      <c r="P499" s="408">
        <v>73.31</v>
      </c>
      <c r="Q499" s="408">
        <v>73.31</v>
      </c>
      <c r="R499" s="408"/>
      <c r="S499" s="408">
        <v>446.23</v>
      </c>
      <c r="T499" s="408">
        <v>173.82</v>
      </c>
      <c r="U499" s="408"/>
      <c r="V499" s="408">
        <v>45455.8655</v>
      </c>
      <c r="W499" s="408">
        <v>45455.8655</v>
      </c>
      <c r="X499" s="408">
        <v>33200.632799999999</v>
      </c>
      <c r="Y499" s="408">
        <v>0</v>
      </c>
      <c r="Z499" s="408">
        <v>0</v>
      </c>
      <c r="AA499" s="408">
        <v>0</v>
      </c>
      <c r="AB499" s="408">
        <v>0</v>
      </c>
      <c r="AC499" s="408">
        <v>199.2891350202847</v>
      </c>
      <c r="AD499" s="408">
        <v>2523.8148906826582</v>
      </c>
      <c r="AE499" s="408">
        <v>26656.673943670703</v>
      </c>
      <c r="AF499" s="408">
        <v>11797.201756542892</v>
      </c>
      <c r="AG499" s="408">
        <v>593.50789189241198</v>
      </c>
      <c r="AH499" s="408">
        <v>0</v>
      </c>
      <c r="AI499" s="408">
        <v>0</v>
      </c>
      <c r="AJ499" s="408">
        <v>0</v>
      </c>
      <c r="AK499" s="408">
        <v>0</v>
      </c>
      <c r="AL499" s="408">
        <v>0</v>
      </c>
      <c r="AM499" s="408"/>
      <c r="AN499" s="408">
        <v>113.74354217623078</v>
      </c>
      <c r="AO499" s="408">
        <v>425.08831204841914</v>
      </c>
      <c r="AP499" s="408">
        <v>1392.1067450814485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</v>
      </c>
      <c r="BE499" s="408">
        <v>40.673312956089894</v>
      </c>
      <c r="BF499" s="408">
        <v>352.30501201928274</v>
      </c>
      <c r="BG499" s="408">
        <v>1361.9768742425413</v>
      </c>
      <c r="BH499" s="408">
        <v>0</v>
      </c>
      <c r="BI499" s="408">
        <v>0</v>
      </c>
      <c r="BJ499" s="408">
        <v>0</v>
      </c>
      <c r="BK499" s="408">
        <v>6612.27</v>
      </c>
      <c r="BL499" s="408">
        <v>153</v>
      </c>
      <c r="BM499" s="408"/>
      <c r="BN499" s="408"/>
      <c r="BO499" s="408"/>
      <c r="BP499" s="408"/>
      <c r="BQ499" s="408"/>
      <c r="BR499" s="408"/>
      <c r="BS499" s="408"/>
      <c r="BT499" s="408">
        <v>13280.839599999999</v>
      </c>
      <c r="BU499" s="408"/>
      <c r="BV499" s="408">
        <v>13552.156955760805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19919.7932</v>
      </c>
      <c r="CJ499" s="408">
        <v>-7353.7560999999951</v>
      </c>
      <c r="CK499" s="408"/>
      <c r="CL499" s="408"/>
      <c r="CM499" s="408"/>
      <c r="CN499" s="408"/>
      <c r="CO499" s="408">
        <v>-13808.671600000001</v>
      </c>
      <c r="CP499" s="408">
        <v>1553.4388999999999</v>
      </c>
      <c r="CQ499" s="408">
        <v>31</v>
      </c>
      <c r="CR499" s="408">
        <v>1857.5136246009642</v>
      </c>
      <c r="CS499" s="408">
        <v>41.27338951186249</v>
      </c>
      <c r="CT499" s="408">
        <v>135.16477000969485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-48.392151554512566</v>
      </c>
      <c r="DA499" s="408">
        <v>0</v>
      </c>
      <c r="DB499" s="408">
        <v>0</v>
      </c>
      <c r="DC499" s="408">
        <v>1514.3012287433867</v>
      </c>
      <c r="DD499" s="408">
        <v>45.222241986100585</v>
      </c>
      <c r="DE499" s="408">
        <v>5.220869241496942</v>
      </c>
      <c r="DF499" s="408">
        <v>0</v>
      </c>
      <c r="DG499" s="408">
        <v>174.82478444870367</v>
      </c>
      <c r="DH499" s="408">
        <v>0</v>
      </c>
      <c r="DI499" s="408">
        <v>0</v>
      </c>
      <c r="DJ499" s="408"/>
      <c r="DK499" s="408">
        <v>0</v>
      </c>
      <c r="DL499" s="408">
        <v>0</v>
      </c>
      <c r="DM499" s="408">
        <v>-6.5966223903562877</v>
      </c>
      <c r="DN499" s="408">
        <v>0</v>
      </c>
      <c r="DO499" s="408">
        <v>0</v>
      </c>
      <c r="DP499" s="408">
        <v>-3.5048853954176593</v>
      </c>
      <c r="DQ499" s="408">
        <v>0</v>
      </c>
      <c r="DR499" s="408">
        <v>0</v>
      </c>
      <c r="DS499" s="408"/>
      <c r="DT499" s="408"/>
      <c r="DU499" s="408"/>
      <c r="DV499" s="408">
        <v>26656.673943670703</v>
      </c>
      <c r="DW499" s="408">
        <v>0</v>
      </c>
      <c r="DX499" s="408">
        <v>0</v>
      </c>
      <c r="DY499" s="408">
        <v>-13808.671600000001</v>
      </c>
      <c r="DZ499" s="408">
        <v>1553.438900000001</v>
      </c>
      <c r="EA499" s="408">
        <v>0</v>
      </c>
      <c r="EB499" s="408">
        <v>0</v>
      </c>
      <c r="EC499" s="408">
        <v>-14113.29563697244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0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239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504</v>
      </c>
      <c r="B500" s="408" t="s">
        <v>2235</v>
      </c>
      <c r="C500" s="408" t="s">
        <v>2233</v>
      </c>
      <c r="D500" s="408" t="s">
        <v>1953</v>
      </c>
      <c r="E500" s="408" t="s">
        <v>967</v>
      </c>
      <c r="F500" s="408" t="s">
        <v>2238</v>
      </c>
      <c r="G500" s="408" t="s">
        <v>1320</v>
      </c>
      <c r="H500" s="408" t="s">
        <v>1320</v>
      </c>
      <c r="I500" s="408" t="s">
        <v>1320</v>
      </c>
      <c r="J500" s="408" t="s">
        <v>2234</v>
      </c>
      <c r="K500" s="827">
        <v>44621</v>
      </c>
      <c r="L500" s="408">
        <v>0</v>
      </c>
      <c r="M500" s="408">
        <v>0</v>
      </c>
      <c r="N500" s="408">
        <v>7.0000000000000007E-2</v>
      </c>
      <c r="O500" s="408">
        <v>7.0000000000000007E-2</v>
      </c>
      <c r="P500" s="408">
        <v>7.0000000000000007E-2</v>
      </c>
      <c r="Q500" s="408">
        <v>7.0000000000000007E-2</v>
      </c>
      <c r="R500" s="408"/>
      <c r="S500" s="408">
        <v>446.23</v>
      </c>
      <c r="T500" s="408">
        <v>173.82</v>
      </c>
      <c r="U500" s="408"/>
      <c r="V500" s="408">
        <v>43.403500000000008</v>
      </c>
      <c r="W500" s="408">
        <v>43.403500000000008</v>
      </c>
      <c r="X500" s="408">
        <v>31.701600000000003</v>
      </c>
      <c r="Y500" s="408">
        <v>0</v>
      </c>
      <c r="Z500" s="408">
        <v>0</v>
      </c>
      <c r="AA500" s="408">
        <v>0</v>
      </c>
      <c r="AB500" s="408">
        <v>0</v>
      </c>
      <c r="AC500" s="408">
        <v>0.19029108513736093</v>
      </c>
      <c r="AD500" s="408">
        <v>2.4098628065446199</v>
      </c>
      <c r="AE500" s="408">
        <v>25.453105661668932</v>
      </c>
      <c r="AF500" s="408">
        <v>11.26454948790073</v>
      </c>
      <c r="AG500" s="408">
        <v>0.56671057744467113</v>
      </c>
      <c r="AH500" s="408">
        <v>0</v>
      </c>
      <c r="AI500" s="408">
        <v>0</v>
      </c>
      <c r="AJ500" s="408">
        <v>0</v>
      </c>
      <c r="AK500" s="408">
        <v>0</v>
      </c>
      <c r="AL500" s="408">
        <v>0</v>
      </c>
      <c r="AM500" s="408"/>
      <c r="AN500" s="408">
        <v>0.1086079382394783</v>
      </c>
      <c r="AO500" s="408">
        <v>0.40589526453948083</v>
      </c>
      <c r="AP500" s="408">
        <v>1.3292521096126231</v>
      </c>
      <c r="AQ500" s="408">
        <v>0</v>
      </c>
      <c r="AR500" s="408">
        <v>0</v>
      </c>
      <c r="AS500" s="408">
        <v>0</v>
      </c>
      <c r="AT500" s="408">
        <v>0</v>
      </c>
      <c r="AU500" s="408">
        <v>0</v>
      </c>
      <c r="AV500" s="408">
        <v>0</v>
      </c>
      <c r="AW500" s="408">
        <v>0</v>
      </c>
      <c r="AX500" s="408">
        <v>0</v>
      </c>
      <c r="AY500" s="408">
        <v>0</v>
      </c>
      <c r="AZ500" s="408">
        <v>0</v>
      </c>
      <c r="BA500" s="408"/>
      <c r="BB500" s="408">
        <v>0</v>
      </c>
      <c r="BC500" s="408">
        <v>0</v>
      </c>
      <c r="BD500" s="408">
        <v>0</v>
      </c>
      <c r="BE500" s="408">
        <v>3.8836883193647427E-2</v>
      </c>
      <c r="BF500" s="408">
        <v>0.33639818362228613</v>
      </c>
      <c r="BG500" s="408">
        <v>1.3004826244301992</v>
      </c>
      <c r="BH500" s="408">
        <v>0</v>
      </c>
      <c r="BI500" s="408">
        <v>0.24</v>
      </c>
      <c r="BJ500" s="408">
        <v>1.1399999999999999</v>
      </c>
      <c r="BK500" s="408">
        <v>6.8</v>
      </c>
      <c r="BL500" s="408">
        <v>0</v>
      </c>
      <c r="BM500" s="408"/>
      <c r="BN500" s="408"/>
      <c r="BO500" s="408"/>
      <c r="BP500" s="408"/>
      <c r="BQ500" s="408"/>
      <c r="BR500" s="408"/>
      <c r="BS500" s="408"/>
      <c r="BT500" s="408">
        <v>12.6812</v>
      </c>
      <c r="BU500" s="408"/>
      <c r="BV500" s="408">
        <v>12.940267179146863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19.020400000000002</v>
      </c>
      <c r="CJ500" s="408">
        <v>-7.0517000000000039</v>
      </c>
      <c r="CK500" s="408"/>
      <c r="CL500" s="408"/>
      <c r="CM500" s="408"/>
      <c r="CN500" s="408"/>
      <c r="CO500" s="408">
        <v>-13.185200000000002</v>
      </c>
      <c r="CP500" s="408">
        <v>1.4833000000000001</v>
      </c>
      <c r="CQ500" s="408">
        <v>31</v>
      </c>
      <c r="CR500" s="408">
        <v>1.7736455288782835</v>
      </c>
      <c r="CS500" s="408">
        <v>3.9409865855004445E-2</v>
      </c>
      <c r="CT500" s="408">
        <v>0.12906198200352814</v>
      </c>
      <c r="CU500" s="408">
        <v>0</v>
      </c>
      <c r="CV500" s="408">
        <v>0</v>
      </c>
      <c r="CW500" s="408">
        <v>0</v>
      </c>
      <c r="CX500" s="408">
        <v>0</v>
      </c>
      <c r="CY500" s="408">
        <v>0</v>
      </c>
      <c r="CZ500" s="408">
        <v>-4.6207210596315829E-2</v>
      </c>
      <c r="DA500" s="408">
        <v>0</v>
      </c>
      <c r="DB500" s="408">
        <v>0</v>
      </c>
      <c r="DC500" s="408">
        <v>1.4459294231624202</v>
      </c>
      <c r="DD500" s="408">
        <v>4.318042475824635E-2</v>
      </c>
      <c r="DE500" s="408">
        <v>4.985143185169634E-3</v>
      </c>
      <c r="DF500" s="408">
        <v>0</v>
      </c>
      <c r="DG500" s="408">
        <v>0.16693131784762305</v>
      </c>
      <c r="DH500" s="408">
        <v>0</v>
      </c>
      <c r="DI500" s="408">
        <v>0</v>
      </c>
      <c r="DJ500" s="408"/>
      <c r="DK500" s="408">
        <v>0</v>
      </c>
      <c r="DL500" s="408">
        <v>0</v>
      </c>
      <c r="DM500" s="408">
        <v>-6.2987800753639966E-3</v>
      </c>
      <c r="DN500" s="408">
        <v>0</v>
      </c>
      <c r="DO500" s="408">
        <v>0</v>
      </c>
      <c r="DP500" s="408">
        <v>-3.3466372620274965E-3</v>
      </c>
      <c r="DQ500" s="408">
        <v>0</v>
      </c>
      <c r="DR500" s="408">
        <v>0</v>
      </c>
      <c r="DS500" s="408"/>
      <c r="DT500" s="408"/>
      <c r="DU500" s="408"/>
      <c r="DV500" s="408">
        <v>25.453105661668932</v>
      </c>
      <c r="DW500" s="408">
        <v>0</v>
      </c>
      <c r="DX500" s="408">
        <v>0</v>
      </c>
      <c r="DY500" s="408">
        <v>-13.185200000000002</v>
      </c>
      <c r="DZ500" s="408">
        <v>1.4832999999999998</v>
      </c>
      <c r="EA500" s="408">
        <v>0</v>
      </c>
      <c r="EB500" s="408">
        <v>0</v>
      </c>
      <c r="EC500" s="408">
        <v>-13.476070039395321</v>
      </c>
      <c r="ED500" s="408">
        <v>0</v>
      </c>
      <c r="EE500" s="408">
        <v>0</v>
      </c>
      <c r="EF500" s="408">
        <v>0</v>
      </c>
      <c r="EG500" s="408">
        <v>0</v>
      </c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>
        <v>0</v>
      </c>
      <c r="EN500" s="408">
        <v>0</v>
      </c>
      <c r="EO500" s="408">
        <v>0</v>
      </c>
      <c r="EP500" s="408">
        <v>0</v>
      </c>
      <c r="EQ500" s="408">
        <v>0</v>
      </c>
      <c r="ER500" s="408">
        <v>0</v>
      </c>
      <c r="ES500" s="408">
        <v>0</v>
      </c>
      <c r="ET500" s="408">
        <v>0</v>
      </c>
      <c r="EU500" s="408">
        <v>0</v>
      </c>
      <c r="EV500" s="408">
        <v>239</v>
      </c>
      <c r="EW500" s="408">
        <v>0</v>
      </c>
      <c r="EX500" s="408">
        <v>0</v>
      </c>
      <c r="EY500" s="408">
        <v>0</v>
      </c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505</v>
      </c>
      <c r="B501" s="408" t="s">
        <v>2236</v>
      </c>
      <c r="C501" s="408" t="s">
        <v>2233</v>
      </c>
      <c r="D501" s="408" t="s">
        <v>1953</v>
      </c>
      <c r="E501" s="408" t="s">
        <v>967</v>
      </c>
      <c r="F501" s="408" t="s">
        <v>2238</v>
      </c>
      <c r="G501" s="408" t="s">
        <v>1320</v>
      </c>
      <c r="H501" s="408" t="s">
        <v>1320</v>
      </c>
      <c r="I501" s="408" t="s">
        <v>1320</v>
      </c>
      <c r="J501" s="408" t="s">
        <v>2234</v>
      </c>
      <c r="K501" s="827">
        <v>44621</v>
      </c>
      <c r="L501" s="408">
        <v>0</v>
      </c>
      <c r="M501" s="408">
        <v>0</v>
      </c>
      <c r="N501" s="408">
        <v>7.4999999999999997E-2</v>
      </c>
      <c r="O501" s="408">
        <v>-0.105</v>
      </c>
      <c r="P501" s="408">
        <v>7.4999999999999997E-2</v>
      </c>
      <c r="Q501" s="408">
        <v>-0.105</v>
      </c>
      <c r="R501" s="408"/>
      <c r="S501" s="408">
        <v>446.23</v>
      </c>
      <c r="T501" s="408">
        <v>173.82</v>
      </c>
      <c r="U501" s="408"/>
      <c r="V501" s="408">
        <v>46.503749999999997</v>
      </c>
      <c r="W501" s="408">
        <v>46.503749999999997</v>
      </c>
      <c r="X501" s="408">
        <v>33.966000000000001</v>
      </c>
      <c r="Y501" s="408">
        <v>0</v>
      </c>
      <c r="Z501" s="408">
        <v>0</v>
      </c>
      <c r="AA501" s="408">
        <v>0</v>
      </c>
      <c r="AB501" s="408">
        <v>0</v>
      </c>
      <c r="AC501" s="408">
        <v>0.20388330550431524</v>
      </c>
      <c r="AD501" s="408">
        <v>2.5819958641549499</v>
      </c>
      <c r="AE501" s="408">
        <v>27.271184637502426</v>
      </c>
      <c r="AF501" s="408">
        <v>12.069160165607924</v>
      </c>
      <c r="AG501" s="408">
        <v>0.60718990440500464</v>
      </c>
      <c r="AH501" s="408">
        <v>0</v>
      </c>
      <c r="AI501" s="408">
        <v>0</v>
      </c>
      <c r="AJ501" s="408">
        <v>0</v>
      </c>
      <c r="AK501" s="408">
        <v>0</v>
      </c>
      <c r="AL501" s="408">
        <v>0</v>
      </c>
      <c r="AM501" s="408"/>
      <c r="AN501" s="408">
        <v>0.11636564811372674</v>
      </c>
      <c r="AO501" s="408">
        <v>0.43488778343515799</v>
      </c>
      <c r="AP501" s="408">
        <v>1.4241986888706675</v>
      </c>
      <c r="AQ501" s="408">
        <v>0</v>
      </c>
      <c r="AR501" s="408">
        <v>0</v>
      </c>
      <c r="AS501" s="408">
        <v>0</v>
      </c>
      <c r="AT501" s="408">
        <v>0</v>
      </c>
      <c r="AU501" s="408">
        <v>0</v>
      </c>
      <c r="AV501" s="408">
        <v>0</v>
      </c>
      <c r="AW501" s="408">
        <v>0</v>
      </c>
      <c r="AX501" s="408">
        <v>0</v>
      </c>
      <c r="AY501" s="408">
        <v>0</v>
      </c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4.1610946278907955E-2</v>
      </c>
      <c r="BF501" s="408">
        <v>0.36042662530959219</v>
      </c>
      <c r="BG501" s="408">
        <v>1.3933742404609275</v>
      </c>
      <c r="BH501" s="408">
        <v>0</v>
      </c>
      <c r="BI501" s="408">
        <v>0</v>
      </c>
      <c r="BJ501" s="408">
        <v>0</v>
      </c>
      <c r="BK501" s="408">
        <v>23.93</v>
      </c>
      <c r="BL501" s="408">
        <v>0</v>
      </c>
      <c r="BM501" s="408"/>
      <c r="BN501" s="408"/>
      <c r="BO501" s="408"/>
      <c r="BP501" s="408"/>
      <c r="BQ501" s="408"/>
      <c r="BR501" s="408"/>
      <c r="BS501" s="408"/>
      <c r="BT501" s="408">
        <v>62.496599999999994</v>
      </c>
      <c r="BU501" s="408"/>
      <c r="BV501" s="408">
        <v>13.864571977657352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-29.889200000000002</v>
      </c>
      <c r="CJ501" s="408">
        <v>9.1439499999999967</v>
      </c>
      <c r="CK501" s="408"/>
      <c r="CL501" s="408"/>
      <c r="CM501" s="408"/>
      <c r="CN501" s="408"/>
      <c r="CO501" s="408">
        <v>-14.127000000000001</v>
      </c>
      <c r="CP501" s="408">
        <v>1.5892499999999998</v>
      </c>
      <c r="CQ501" s="408">
        <v>31</v>
      </c>
      <c r="CR501" s="408">
        <v>1.9003344952267298</v>
      </c>
      <c r="CS501" s="408">
        <v>4.2224856273219036E-2</v>
      </c>
      <c r="CT501" s="408">
        <v>0.13828069500378004</v>
      </c>
      <c r="CU501" s="408">
        <v>0</v>
      </c>
      <c r="CV501" s="408">
        <v>0</v>
      </c>
      <c r="CW501" s="408">
        <v>0</v>
      </c>
      <c r="CX501" s="408">
        <v>0</v>
      </c>
      <c r="CY501" s="408">
        <v>0</v>
      </c>
      <c r="CZ501" s="408">
        <v>-4.9507725638910038E-2</v>
      </c>
      <c r="DA501" s="408">
        <v>0</v>
      </c>
      <c r="DB501" s="408">
        <v>0</v>
      </c>
      <c r="DC501" s="408">
        <v>1.5492100962454511</v>
      </c>
      <c r="DD501" s="408">
        <v>4.6264740812406835E-2</v>
      </c>
      <c r="DE501" s="408">
        <v>5.3412248412531699E-3</v>
      </c>
      <c r="DF501" s="408">
        <v>0</v>
      </c>
      <c r="DG501" s="408">
        <v>0.17885498340816763</v>
      </c>
      <c r="DH501" s="408">
        <v>0</v>
      </c>
      <c r="DI501" s="408">
        <v>0</v>
      </c>
      <c r="DJ501" s="408"/>
      <c r="DK501" s="408">
        <v>0</v>
      </c>
      <c r="DL501" s="408">
        <v>0</v>
      </c>
      <c r="DM501" s="408">
        <v>-6.748692937889933E-3</v>
      </c>
      <c r="DN501" s="408">
        <v>0</v>
      </c>
      <c r="DO501" s="408">
        <v>0</v>
      </c>
      <c r="DP501" s="408">
        <v>-3.5856827807437541E-3</v>
      </c>
      <c r="DQ501" s="408">
        <v>0</v>
      </c>
      <c r="DR501" s="408">
        <v>0</v>
      </c>
      <c r="DS501" s="408"/>
      <c r="DT501" s="408"/>
      <c r="DU501" s="408"/>
      <c r="DV501" s="408">
        <v>27.271184637502426</v>
      </c>
      <c r="DW501" s="408">
        <v>0</v>
      </c>
      <c r="DX501" s="408">
        <v>0</v>
      </c>
      <c r="DY501" s="408">
        <v>-14.126999999999999</v>
      </c>
      <c r="DZ501" s="408">
        <v>1.5892499999999998</v>
      </c>
      <c r="EA501" s="408">
        <v>0</v>
      </c>
      <c r="EB501" s="408">
        <v>0</v>
      </c>
      <c r="EC501" s="408">
        <v>-14.438646470780702</v>
      </c>
      <c r="ED501" s="408">
        <v>0</v>
      </c>
      <c r="EE501" s="408">
        <v>0</v>
      </c>
      <c r="EF501" s="408">
        <v>0</v>
      </c>
      <c r="EG501" s="408">
        <v>0</v>
      </c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>
        <v>0</v>
      </c>
      <c r="EN501" s="408">
        <v>0</v>
      </c>
      <c r="EO501" s="408">
        <v>0</v>
      </c>
      <c r="EP501" s="408">
        <v>0</v>
      </c>
      <c r="EQ501" s="408">
        <v>0</v>
      </c>
      <c r="ER501" s="408">
        <v>0</v>
      </c>
      <c r="ES501" s="408">
        <v>0</v>
      </c>
      <c r="ET501" s="408">
        <v>0</v>
      </c>
      <c r="EU501" s="408">
        <v>0</v>
      </c>
      <c r="EV501" s="408">
        <v>239</v>
      </c>
      <c r="EW501" s="408">
        <v>0</v>
      </c>
      <c r="EX501" s="408">
        <v>0</v>
      </c>
      <c r="EY501" s="408">
        <v>0</v>
      </c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506</v>
      </c>
      <c r="B502" s="408" t="s">
        <v>1034</v>
      </c>
      <c r="C502" s="408" t="s">
        <v>2233</v>
      </c>
      <c r="D502" s="408" t="s">
        <v>1953</v>
      </c>
      <c r="E502" s="408" t="s">
        <v>967</v>
      </c>
      <c r="F502" s="408" t="s">
        <v>2239</v>
      </c>
      <c r="G502" s="408" t="s">
        <v>1320</v>
      </c>
      <c r="H502" s="408" t="s">
        <v>1320</v>
      </c>
      <c r="I502" s="408" t="s">
        <v>1320</v>
      </c>
      <c r="J502" s="408" t="s">
        <v>2234</v>
      </c>
      <c r="K502" s="827">
        <v>44621</v>
      </c>
      <c r="L502" s="408">
        <v>0</v>
      </c>
      <c r="M502" s="408">
        <v>0</v>
      </c>
      <c r="N502" s="408">
        <v>81.613</v>
      </c>
      <c r="O502" s="408">
        <v>81.613</v>
      </c>
      <c r="P502" s="408">
        <v>81.613</v>
      </c>
      <c r="Q502" s="408">
        <v>81.613</v>
      </c>
      <c r="R502" s="408"/>
      <c r="S502" s="408">
        <v>446.23</v>
      </c>
      <c r="T502" s="408">
        <v>173.82</v>
      </c>
      <c r="U502" s="408"/>
      <c r="V502" s="408">
        <v>50604.140650000001</v>
      </c>
      <c r="W502" s="408">
        <v>50604.140650000001</v>
      </c>
      <c r="X502" s="408">
        <v>36960.89544</v>
      </c>
      <c r="Y502" s="408">
        <v>0</v>
      </c>
      <c r="Z502" s="408">
        <v>0</v>
      </c>
      <c r="AA502" s="408">
        <v>0</v>
      </c>
      <c r="AB502" s="408">
        <v>0</v>
      </c>
      <c r="AC502" s="408">
        <v>221.86037616164907</v>
      </c>
      <c r="AD502" s="408">
        <v>2809.659046150372</v>
      </c>
      <c r="AE502" s="408">
        <v>29675.775890939807</v>
      </c>
      <c r="AF502" s="408">
        <v>13133.33824794346</v>
      </c>
      <c r="AG502" s="408">
        <v>660.72786224274194</v>
      </c>
      <c r="AH502" s="408">
        <v>0</v>
      </c>
      <c r="AI502" s="408">
        <v>0</v>
      </c>
      <c r="AJ502" s="408">
        <v>0</v>
      </c>
      <c r="AK502" s="408">
        <v>0</v>
      </c>
      <c r="AL502" s="408">
        <v>0</v>
      </c>
      <c r="AM502" s="408"/>
      <c r="AN502" s="408">
        <v>126.62599519340775</v>
      </c>
      <c r="AO502" s="408">
        <v>473.23328892658066</v>
      </c>
      <c r="AP502" s="408">
        <v>1549.7750345973573</v>
      </c>
      <c r="AQ502" s="408">
        <v>0</v>
      </c>
      <c r="AR502" s="408">
        <v>0</v>
      </c>
      <c r="AS502" s="408">
        <v>0</v>
      </c>
      <c r="AT502" s="408">
        <v>0</v>
      </c>
      <c r="AU502" s="408">
        <v>0</v>
      </c>
      <c r="AV502" s="408">
        <v>0</v>
      </c>
      <c r="AW502" s="408">
        <v>0</v>
      </c>
      <c r="AX502" s="408">
        <v>0</v>
      </c>
      <c r="AY502" s="408">
        <v>0</v>
      </c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45.279922115473532</v>
      </c>
      <c r="BF502" s="408">
        <v>392.20664228522332</v>
      </c>
      <c r="BG502" s="408">
        <v>1516.232691823169</v>
      </c>
      <c r="BH502" s="408">
        <v>0</v>
      </c>
      <c r="BI502" s="408">
        <v>0</v>
      </c>
      <c r="BJ502" s="408">
        <v>0</v>
      </c>
      <c r="BK502" s="408">
        <v>11083.99</v>
      </c>
      <c r="BL502" s="408">
        <v>563</v>
      </c>
      <c r="BM502" s="408"/>
      <c r="BN502" s="408"/>
      <c r="BO502" s="408"/>
      <c r="BP502" s="408"/>
      <c r="BQ502" s="408"/>
      <c r="BR502" s="408"/>
      <c r="BS502" s="408"/>
      <c r="BT502" s="408">
        <v>3695.4366400000004</v>
      </c>
      <c r="BU502" s="408"/>
      <c r="BV502" s="408">
        <v>15087.057504167326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33264.235999999997</v>
      </c>
      <c r="CJ502" s="408">
        <v>-12279.928650000009</v>
      </c>
      <c r="CK502" s="408"/>
      <c r="CL502" s="408"/>
      <c r="CM502" s="408"/>
      <c r="CN502" s="408"/>
      <c r="CO502" s="408">
        <v>-15372.624680000001</v>
      </c>
      <c r="CP502" s="408">
        <v>1729.3794699999999</v>
      </c>
      <c r="CQ502" s="408">
        <v>31</v>
      </c>
      <c r="CR502" s="408">
        <v>2067.893322119191</v>
      </c>
      <c r="CS502" s="408">
        <v>45.947962600349626</v>
      </c>
      <c r="CT502" s="408">
        <v>150.47336481791331</v>
      </c>
      <c r="CU502" s="408">
        <v>0</v>
      </c>
      <c r="CV502" s="408">
        <v>0</v>
      </c>
      <c r="CW502" s="408">
        <v>0</v>
      </c>
      <c r="CX502" s="408">
        <v>0</v>
      </c>
      <c r="CY502" s="408">
        <v>0</v>
      </c>
      <c r="CZ502" s="408">
        <v>-53.87298683424433</v>
      </c>
      <c r="DA502" s="408">
        <v>0</v>
      </c>
      <c r="DB502" s="408">
        <v>0</v>
      </c>
      <c r="DC502" s="408">
        <v>1685.8091144650662</v>
      </c>
      <c r="DD502" s="408">
        <v>50.34405722563946</v>
      </c>
      <c r="DE502" s="408">
        <v>5.8121784395892675</v>
      </c>
      <c r="DF502" s="408">
        <v>0</v>
      </c>
      <c r="DG502" s="408">
        <v>194.62522347854383</v>
      </c>
      <c r="DH502" s="408">
        <v>0</v>
      </c>
      <c r="DI502" s="408">
        <v>0</v>
      </c>
      <c r="DJ502" s="408"/>
      <c r="DK502" s="408">
        <v>0</v>
      </c>
      <c r="DL502" s="408">
        <v>0</v>
      </c>
      <c r="DM502" s="408">
        <v>-7.3437476898668592</v>
      </c>
      <c r="DN502" s="408">
        <v>0</v>
      </c>
      <c r="DO502" s="408">
        <v>0</v>
      </c>
      <c r="DP502" s="408">
        <v>-3.9018443837978651</v>
      </c>
      <c r="DQ502" s="408">
        <v>0</v>
      </c>
      <c r="DR502" s="408">
        <v>0</v>
      </c>
      <c r="DS502" s="408"/>
      <c r="DT502" s="408"/>
      <c r="DU502" s="408"/>
      <c r="DV502" s="408">
        <v>29675.775890939807</v>
      </c>
      <c r="DW502" s="408">
        <v>0</v>
      </c>
      <c r="DX502" s="408">
        <v>0</v>
      </c>
      <c r="DY502" s="408">
        <v>-15372.624679999997</v>
      </c>
      <c r="DZ502" s="408">
        <v>1729.3794699999999</v>
      </c>
      <c r="EA502" s="408">
        <v>0</v>
      </c>
      <c r="EB502" s="408">
        <v>0</v>
      </c>
      <c r="EC502" s="408">
        <v>-15711.750058931006</v>
      </c>
      <c r="ED502" s="408">
        <v>0</v>
      </c>
      <c r="EE502" s="408">
        <v>0</v>
      </c>
      <c r="EF502" s="408">
        <v>0</v>
      </c>
      <c r="EG502" s="408">
        <v>0</v>
      </c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>
        <v>0</v>
      </c>
      <c r="EN502" s="408">
        <v>0</v>
      </c>
      <c r="EO502" s="408">
        <v>0</v>
      </c>
      <c r="EP502" s="408">
        <v>0</v>
      </c>
      <c r="EQ502" s="408">
        <v>0</v>
      </c>
      <c r="ER502" s="408">
        <v>0</v>
      </c>
      <c r="ES502" s="408">
        <v>0</v>
      </c>
      <c r="ET502" s="408">
        <v>0</v>
      </c>
      <c r="EU502" s="408">
        <v>0</v>
      </c>
      <c r="EV502" s="408">
        <v>239</v>
      </c>
      <c r="EW502" s="408">
        <v>0</v>
      </c>
      <c r="EX502" s="408">
        <v>0</v>
      </c>
      <c r="EY502" s="408">
        <v>0</v>
      </c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507</v>
      </c>
      <c r="B503" s="408" t="s">
        <v>2235</v>
      </c>
      <c r="C503" s="408" t="s">
        <v>2233</v>
      </c>
      <c r="D503" s="408" t="s">
        <v>1953</v>
      </c>
      <c r="E503" s="408" t="s">
        <v>967</v>
      </c>
      <c r="F503" s="408" t="s">
        <v>2239</v>
      </c>
      <c r="G503" s="408" t="s">
        <v>1320</v>
      </c>
      <c r="H503" s="408" t="s">
        <v>1320</v>
      </c>
      <c r="I503" s="408" t="s">
        <v>1320</v>
      </c>
      <c r="J503" s="408" t="s">
        <v>2234</v>
      </c>
      <c r="K503" s="827">
        <v>44621</v>
      </c>
      <c r="L503" s="408">
        <v>0</v>
      </c>
      <c r="M503" s="408">
        <v>0</v>
      </c>
      <c r="N503" s="408">
        <v>4.2999999999999997E-2</v>
      </c>
      <c r="O503" s="408">
        <v>4.2999999999999997E-2</v>
      </c>
      <c r="P503" s="408">
        <v>4.2999999999999997E-2</v>
      </c>
      <c r="Q503" s="408">
        <v>4.2999999999999997E-2</v>
      </c>
      <c r="R503" s="408"/>
      <c r="S503" s="408">
        <v>446.23</v>
      </c>
      <c r="T503" s="408">
        <v>173.82</v>
      </c>
      <c r="U503" s="408"/>
      <c r="V503" s="408">
        <v>26.662149999999997</v>
      </c>
      <c r="W503" s="408">
        <v>26.662149999999997</v>
      </c>
      <c r="X503" s="408">
        <v>19.473839999999999</v>
      </c>
      <c r="Y503" s="408">
        <v>0</v>
      </c>
      <c r="Z503" s="408">
        <v>0</v>
      </c>
      <c r="AA503" s="408">
        <v>0</v>
      </c>
      <c r="AB503" s="408">
        <v>0</v>
      </c>
      <c r="AC503" s="408">
        <v>0.11689309515580741</v>
      </c>
      <c r="AD503" s="408">
        <v>1.4803442954488377</v>
      </c>
      <c r="AE503" s="408">
        <v>15.635479192168056</v>
      </c>
      <c r="AF503" s="408">
        <v>6.919651828281876</v>
      </c>
      <c r="AG503" s="408">
        <v>0.34812221185886932</v>
      </c>
      <c r="AH503" s="408">
        <v>0</v>
      </c>
      <c r="AI503" s="408">
        <v>0</v>
      </c>
      <c r="AJ503" s="408">
        <v>0</v>
      </c>
      <c r="AK503" s="408">
        <v>0</v>
      </c>
      <c r="AL503" s="408">
        <v>0</v>
      </c>
      <c r="AM503" s="408"/>
      <c r="AN503" s="408">
        <v>6.6716304918536667E-2</v>
      </c>
      <c r="AO503" s="408">
        <v>0.24933566250282391</v>
      </c>
      <c r="AP503" s="408">
        <v>0.81654058161918264</v>
      </c>
      <c r="AQ503" s="408">
        <v>0</v>
      </c>
      <c r="AR503" s="408">
        <v>0</v>
      </c>
      <c r="AS503" s="408">
        <v>0</v>
      </c>
      <c r="AT503" s="408">
        <v>0</v>
      </c>
      <c r="AU503" s="408">
        <v>0</v>
      </c>
      <c r="AV503" s="408">
        <v>0</v>
      </c>
      <c r="AW503" s="408">
        <v>0</v>
      </c>
      <c r="AX503" s="408">
        <v>0</v>
      </c>
      <c r="AY503" s="408">
        <v>0</v>
      </c>
      <c r="AZ503" s="408">
        <v>0</v>
      </c>
      <c r="BA503" s="408"/>
      <c r="BB503" s="408">
        <v>0</v>
      </c>
      <c r="BC503" s="408">
        <v>0</v>
      </c>
      <c r="BD503" s="408">
        <v>0</v>
      </c>
      <c r="BE503" s="408">
        <v>2.3856942533240558E-2</v>
      </c>
      <c r="BF503" s="408">
        <v>0.20664459851083286</v>
      </c>
      <c r="BG503" s="408">
        <v>0.79886789786426504</v>
      </c>
      <c r="BH503" s="408">
        <v>0</v>
      </c>
      <c r="BI503" s="408">
        <v>0.16</v>
      </c>
      <c r="BJ503" s="408">
        <v>0.69</v>
      </c>
      <c r="BK503" s="408">
        <v>6.12</v>
      </c>
      <c r="BL503" s="408">
        <v>0</v>
      </c>
      <c r="BM503" s="408"/>
      <c r="BN503" s="408"/>
      <c r="BO503" s="408"/>
      <c r="BP503" s="408"/>
      <c r="BQ503" s="408"/>
      <c r="BR503" s="408"/>
      <c r="BS503" s="408"/>
      <c r="BT503" s="408">
        <v>1.9470399999999999</v>
      </c>
      <c r="BU503" s="408"/>
      <c r="BV503" s="408">
        <v>7.9490212671902141</v>
      </c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>
        <v>16.303999999999998</v>
      </c>
      <c r="CJ503" s="408">
        <v>-7.7221500000000063</v>
      </c>
      <c r="CK503" s="408"/>
      <c r="CL503" s="408"/>
      <c r="CM503" s="408"/>
      <c r="CN503" s="408"/>
      <c r="CO503" s="408">
        <v>-8.0994799999999998</v>
      </c>
      <c r="CP503" s="408">
        <v>0.91116999999999981</v>
      </c>
      <c r="CQ503" s="408">
        <v>31</v>
      </c>
      <c r="CR503" s="408">
        <v>1.0895251105966608</v>
      </c>
      <c r="CS503" s="408">
        <v>2.4208917596645563E-2</v>
      </c>
      <c r="CT503" s="408">
        <v>7.928093180216722E-2</v>
      </c>
      <c r="CU503" s="408">
        <v>0</v>
      </c>
      <c r="CV503" s="408">
        <v>0</v>
      </c>
      <c r="CW503" s="408">
        <v>0</v>
      </c>
      <c r="CX503" s="408">
        <v>0</v>
      </c>
      <c r="CY503" s="408">
        <v>0</v>
      </c>
      <c r="CZ503" s="408">
        <v>-2.838442936630825E-2</v>
      </c>
      <c r="DA503" s="408">
        <v>0</v>
      </c>
      <c r="DB503" s="408">
        <v>0</v>
      </c>
      <c r="DC503" s="408">
        <v>0.88821378851405886</v>
      </c>
      <c r="DD503" s="408">
        <v>2.6525118065779896E-2</v>
      </c>
      <c r="DE503" s="408">
        <v>3.0623022423184876E-3</v>
      </c>
      <c r="DF503" s="408">
        <v>0</v>
      </c>
      <c r="DG503" s="408">
        <v>0.10254352382068277</v>
      </c>
      <c r="DH503" s="408">
        <v>0</v>
      </c>
      <c r="DI503" s="408">
        <v>0</v>
      </c>
      <c r="DJ503" s="408"/>
      <c r="DK503" s="408">
        <v>0</v>
      </c>
      <c r="DL503" s="408">
        <v>0</v>
      </c>
      <c r="DM503" s="408">
        <v>-3.8692506177235853E-3</v>
      </c>
      <c r="DN503" s="408">
        <v>0</v>
      </c>
      <c r="DO503" s="408">
        <v>0</v>
      </c>
      <c r="DP503" s="408">
        <v>-2.0557914609597577E-3</v>
      </c>
      <c r="DQ503" s="408">
        <v>0</v>
      </c>
      <c r="DR503" s="408">
        <v>0</v>
      </c>
      <c r="DS503" s="408"/>
      <c r="DT503" s="408"/>
      <c r="DU503" s="408"/>
      <c r="DV503" s="408">
        <v>15.635479192168056</v>
      </c>
      <c r="DW503" s="408">
        <v>0</v>
      </c>
      <c r="DX503" s="408">
        <v>0</v>
      </c>
      <c r="DY503" s="408">
        <v>-8.0994799999999998</v>
      </c>
      <c r="DZ503" s="408">
        <v>0.91117000000000026</v>
      </c>
      <c r="EA503" s="408">
        <v>0</v>
      </c>
      <c r="EB503" s="408">
        <v>0</v>
      </c>
      <c r="EC503" s="408">
        <v>-8.2781573099142669</v>
      </c>
      <c r="ED503" s="408">
        <v>0</v>
      </c>
      <c r="EE503" s="408">
        <v>0</v>
      </c>
      <c r="EF503" s="408">
        <v>0</v>
      </c>
      <c r="EG503" s="408">
        <v>0</v>
      </c>
      <c r="EH503" s="408">
        <v>0</v>
      </c>
      <c r="EI503" s="408">
        <v>0</v>
      </c>
      <c r="EJ503" s="408">
        <v>0</v>
      </c>
      <c r="EK503" s="408">
        <v>0</v>
      </c>
      <c r="EL503" s="408">
        <v>0</v>
      </c>
      <c r="EM503" s="408">
        <v>0</v>
      </c>
      <c r="EN503" s="408">
        <v>0</v>
      </c>
      <c r="EO503" s="408">
        <v>0</v>
      </c>
      <c r="EP503" s="408">
        <v>0</v>
      </c>
      <c r="EQ503" s="408">
        <v>0</v>
      </c>
      <c r="ER503" s="408">
        <v>0</v>
      </c>
      <c r="ES503" s="408">
        <v>0</v>
      </c>
      <c r="ET503" s="408">
        <v>0</v>
      </c>
      <c r="EU503" s="408">
        <v>0</v>
      </c>
      <c r="EV503" s="408">
        <v>239</v>
      </c>
      <c r="EW503" s="408">
        <v>0</v>
      </c>
      <c r="EX503" s="408">
        <v>0</v>
      </c>
      <c r="EY503" s="408">
        <v>0</v>
      </c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508</v>
      </c>
      <c r="B504" s="408" t="s">
        <v>2236</v>
      </c>
      <c r="C504" s="408" t="s">
        <v>2233</v>
      </c>
      <c r="D504" s="408" t="s">
        <v>1953</v>
      </c>
      <c r="E504" s="408" t="s">
        <v>967</v>
      </c>
      <c r="F504" s="408" t="s">
        <v>2239</v>
      </c>
      <c r="G504" s="408" t="s">
        <v>1320</v>
      </c>
      <c r="H504" s="408" t="s">
        <v>1320</v>
      </c>
      <c r="I504" s="408" t="s">
        <v>1320</v>
      </c>
      <c r="J504" s="408" t="s">
        <v>2234</v>
      </c>
      <c r="K504" s="827">
        <v>44621</v>
      </c>
      <c r="L504" s="408">
        <v>0</v>
      </c>
      <c r="M504" s="408">
        <v>0</v>
      </c>
      <c r="N504" s="408">
        <v>0.12</v>
      </c>
      <c r="O504" s="408">
        <v>4.8000000000000001E-2</v>
      </c>
      <c r="P504" s="408">
        <v>0.12</v>
      </c>
      <c r="Q504" s="408">
        <v>4.8000000000000001E-2</v>
      </c>
      <c r="R504" s="408"/>
      <c r="S504" s="408">
        <v>446.23</v>
      </c>
      <c r="T504" s="408">
        <v>173.82</v>
      </c>
      <c r="U504" s="408"/>
      <c r="V504" s="408">
        <v>74.406000000000006</v>
      </c>
      <c r="W504" s="408">
        <v>74.406000000000006</v>
      </c>
      <c r="X504" s="408">
        <v>54.345599999999997</v>
      </c>
      <c r="Y504" s="408">
        <v>0</v>
      </c>
      <c r="Z504" s="408">
        <v>0</v>
      </c>
      <c r="AA504" s="408">
        <v>0</v>
      </c>
      <c r="AB504" s="408">
        <v>0</v>
      </c>
      <c r="AC504" s="408">
        <v>0.32621328880690442</v>
      </c>
      <c r="AD504" s="408">
        <v>4.1311933826479192</v>
      </c>
      <c r="AE504" s="408">
        <v>43.633895420003881</v>
      </c>
      <c r="AF504" s="408">
        <v>19.310656264972678</v>
      </c>
      <c r="AG504" s="408">
        <v>0.97150384704800752</v>
      </c>
      <c r="AH504" s="408">
        <v>0</v>
      </c>
      <c r="AI504" s="408">
        <v>0</v>
      </c>
      <c r="AJ504" s="408">
        <v>0</v>
      </c>
      <c r="AK504" s="408">
        <v>0</v>
      </c>
      <c r="AL504" s="408">
        <v>0</v>
      </c>
      <c r="AM504" s="408"/>
      <c r="AN504" s="408">
        <v>0.18618503698196279</v>
      </c>
      <c r="AO504" s="408">
        <v>0.69582045349625277</v>
      </c>
      <c r="AP504" s="408">
        <v>2.2787179021930681</v>
      </c>
      <c r="AQ504" s="408">
        <v>0</v>
      </c>
      <c r="AR504" s="408">
        <v>0</v>
      </c>
      <c r="AS504" s="408">
        <v>0</v>
      </c>
      <c r="AT504" s="408">
        <v>0</v>
      </c>
      <c r="AU504" s="408">
        <v>0</v>
      </c>
      <c r="AV504" s="408">
        <v>0</v>
      </c>
      <c r="AW504" s="408">
        <v>0</v>
      </c>
      <c r="AX504" s="408">
        <v>0</v>
      </c>
      <c r="AY504" s="408">
        <v>0</v>
      </c>
      <c r="AZ504" s="408">
        <v>0</v>
      </c>
      <c r="BA504" s="408"/>
      <c r="BB504" s="408">
        <v>0</v>
      </c>
      <c r="BC504" s="408">
        <v>0</v>
      </c>
      <c r="BD504" s="408">
        <v>0</v>
      </c>
      <c r="BE504" s="408">
        <v>6.6577514046252728E-2</v>
      </c>
      <c r="BF504" s="408">
        <v>0.57668260049534747</v>
      </c>
      <c r="BG504" s="408">
        <v>2.2293987847374841</v>
      </c>
      <c r="BH504" s="408">
        <v>0</v>
      </c>
      <c r="BI504" s="408">
        <v>0</v>
      </c>
      <c r="BJ504" s="408">
        <v>0</v>
      </c>
      <c r="BK504" s="408">
        <v>54.88</v>
      </c>
      <c r="BL504" s="408">
        <v>1</v>
      </c>
      <c r="BM504" s="408"/>
      <c r="BN504" s="408"/>
      <c r="BO504" s="408"/>
      <c r="BP504" s="408"/>
      <c r="BQ504" s="408"/>
      <c r="BR504" s="408"/>
      <c r="BS504" s="408"/>
      <c r="BT504" s="408">
        <v>34.780799999999999</v>
      </c>
      <c r="BU504" s="408"/>
      <c r="BV504" s="408">
        <v>22.183315164251759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20.380000000000003</v>
      </c>
      <c r="CJ504" s="408">
        <v>-6.4364000000000026</v>
      </c>
      <c r="CK504" s="408"/>
      <c r="CL504" s="408"/>
      <c r="CM504" s="408"/>
      <c r="CN504" s="408"/>
      <c r="CO504" s="408">
        <v>-22.603200000000001</v>
      </c>
      <c r="CP504" s="408">
        <v>2.5427999999999997</v>
      </c>
      <c r="CQ504" s="408">
        <v>31</v>
      </c>
      <c r="CR504" s="408">
        <v>3.0405351923627748</v>
      </c>
      <c r="CS504" s="408">
        <v>6.7559770037150413E-2</v>
      </c>
      <c r="CT504" s="408">
        <v>0.2212491120060478</v>
      </c>
      <c r="CU504" s="408">
        <v>0</v>
      </c>
      <c r="CV504" s="408">
        <v>0</v>
      </c>
      <c r="CW504" s="408">
        <v>0</v>
      </c>
      <c r="CX504" s="408">
        <v>0</v>
      </c>
      <c r="CY504" s="408">
        <v>0</v>
      </c>
      <c r="CZ504" s="408">
        <v>-7.9212361022254818E-2</v>
      </c>
      <c r="DA504" s="408">
        <v>0</v>
      </c>
      <c r="DB504" s="408">
        <v>0</v>
      </c>
      <c r="DC504" s="408">
        <v>2.4787361539927204</v>
      </c>
      <c r="DD504" s="408">
        <v>7.402358529985098E-2</v>
      </c>
      <c r="DE504" s="408">
        <v>8.545959746005069E-3</v>
      </c>
      <c r="DF504" s="408">
        <v>0</v>
      </c>
      <c r="DG504" s="408">
        <v>0.28616797345306777</v>
      </c>
      <c r="DH504" s="408">
        <v>0</v>
      </c>
      <c r="DI504" s="408">
        <v>0</v>
      </c>
      <c r="DJ504" s="408"/>
      <c r="DK504" s="408">
        <v>0</v>
      </c>
      <c r="DL504" s="408">
        <v>0</v>
      </c>
      <c r="DM504" s="408">
        <v>-1.0797908700624026E-2</v>
      </c>
      <c r="DN504" s="408">
        <v>0</v>
      </c>
      <c r="DO504" s="408">
        <v>0</v>
      </c>
      <c r="DP504" s="408">
        <v>-5.73709244918999E-3</v>
      </c>
      <c r="DQ504" s="408">
        <v>0</v>
      </c>
      <c r="DR504" s="408">
        <v>0</v>
      </c>
      <c r="DS504" s="408"/>
      <c r="DT504" s="408"/>
      <c r="DU504" s="408"/>
      <c r="DV504" s="408">
        <v>43.633895420003881</v>
      </c>
      <c r="DW504" s="408">
        <v>0</v>
      </c>
      <c r="DX504" s="408">
        <v>0</v>
      </c>
      <c r="DY504" s="408">
        <v>-22.603200000000005</v>
      </c>
      <c r="DZ504" s="408">
        <v>2.5427999999999997</v>
      </c>
      <c r="EA504" s="408">
        <v>0</v>
      </c>
      <c r="EB504" s="408">
        <v>0</v>
      </c>
      <c r="EC504" s="408">
        <v>-23.101834353249121</v>
      </c>
      <c r="ED504" s="408">
        <v>0</v>
      </c>
      <c r="EE504" s="408">
        <v>0</v>
      </c>
      <c r="EF504" s="408">
        <v>0</v>
      </c>
      <c r="EG504" s="408">
        <v>0</v>
      </c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>
        <v>0</v>
      </c>
      <c r="EN504" s="408">
        <v>0</v>
      </c>
      <c r="EO504" s="408">
        <v>0</v>
      </c>
      <c r="EP504" s="408">
        <v>0</v>
      </c>
      <c r="EQ504" s="408">
        <v>0</v>
      </c>
      <c r="ER504" s="408">
        <v>0</v>
      </c>
      <c r="ES504" s="408">
        <v>0</v>
      </c>
      <c r="ET504" s="408">
        <v>0</v>
      </c>
      <c r="EU504" s="408">
        <v>0</v>
      </c>
      <c r="EV504" s="408">
        <v>239</v>
      </c>
      <c r="EW504" s="408">
        <v>0</v>
      </c>
      <c r="EX504" s="408">
        <v>0</v>
      </c>
      <c r="EY504" s="408">
        <v>0</v>
      </c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509</v>
      </c>
      <c r="B505" s="408" t="s">
        <v>1034</v>
      </c>
      <c r="C505" s="408" t="s">
        <v>2233</v>
      </c>
      <c r="D505" s="408" t="s">
        <v>1953</v>
      </c>
      <c r="E505" s="408" t="s">
        <v>967</v>
      </c>
      <c r="F505" s="408" t="s">
        <v>2240</v>
      </c>
      <c r="G505" s="408" t="s">
        <v>1320</v>
      </c>
      <c r="H505" s="408" t="s">
        <v>1320</v>
      </c>
      <c r="I505" s="408" t="s">
        <v>1320</v>
      </c>
      <c r="J505" s="408" t="s">
        <v>2234</v>
      </c>
      <c r="K505" s="827">
        <v>44621</v>
      </c>
      <c r="L505" s="408">
        <v>0</v>
      </c>
      <c r="M505" s="408">
        <v>0</v>
      </c>
      <c r="N505" s="408">
        <v>40.677999999999997</v>
      </c>
      <c r="O505" s="408">
        <v>40.677999999999997</v>
      </c>
      <c r="P505" s="408">
        <v>40.677999999999997</v>
      </c>
      <c r="Q505" s="408">
        <v>40.677999999999997</v>
      </c>
      <c r="R505" s="408"/>
      <c r="S505" s="408">
        <v>446.23</v>
      </c>
      <c r="T505" s="408">
        <v>173.82</v>
      </c>
      <c r="U505" s="408"/>
      <c r="V505" s="408">
        <v>25222.393899999999</v>
      </c>
      <c r="W505" s="408">
        <v>25222.393899999999</v>
      </c>
      <c r="X505" s="408">
        <v>18422.252639999999</v>
      </c>
      <c r="Y505" s="408">
        <v>0</v>
      </c>
      <c r="Z505" s="408">
        <v>0</v>
      </c>
      <c r="AA505" s="408">
        <v>0</v>
      </c>
      <c r="AB505" s="408">
        <v>0</v>
      </c>
      <c r="AC505" s="408">
        <v>110.58086801739381</v>
      </c>
      <c r="AD505" s="408">
        <v>1400.4057034946006</v>
      </c>
      <c r="AE505" s="408">
        <v>14791.163315790982</v>
      </c>
      <c r="AF505" s="408">
        <v>6545.9906295546552</v>
      </c>
      <c r="AG505" s="408">
        <v>329.32361241849037</v>
      </c>
      <c r="AH505" s="408">
        <v>0</v>
      </c>
      <c r="AI505" s="408">
        <v>0</v>
      </c>
      <c r="AJ505" s="408">
        <v>0</v>
      </c>
      <c r="AK505" s="408">
        <v>0</v>
      </c>
      <c r="AL505" s="408">
        <v>0</v>
      </c>
      <c r="AM505" s="408"/>
      <c r="AN505" s="408">
        <v>63.113624452935682</v>
      </c>
      <c r="AO505" s="408">
        <v>235.87153672767141</v>
      </c>
      <c r="AP505" s="408">
        <v>772.44739021174678</v>
      </c>
      <c r="AQ505" s="408">
        <v>0</v>
      </c>
      <c r="AR505" s="408">
        <v>0</v>
      </c>
      <c r="AS505" s="408">
        <v>0</v>
      </c>
      <c r="AT505" s="408">
        <v>0</v>
      </c>
      <c r="AU505" s="408">
        <v>0</v>
      </c>
      <c r="AV505" s="408">
        <v>0</v>
      </c>
      <c r="AW505" s="408">
        <v>0</v>
      </c>
      <c r="AX505" s="408">
        <v>0</v>
      </c>
      <c r="AY505" s="408">
        <v>0</v>
      </c>
      <c r="AZ505" s="408">
        <v>0</v>
      </c>
      <c r="BA505" s="408"/>
      <c r="BB505" s="408">
        <v>0</v>
      </c>
      <c r="BC505" s="408">
        <v>0</v>
      </c>
      <c r="BD505" s="408">
        <v>0</v>
      </c>
      <c r="BE505" s="408">
        <v>22.568667636445568</v>
      </c>
      <c r="BF505" s="408">
        <v>195.48579019124787</v>
      </c>
      <c r="BG505" s="408">
        <v>755.72903137959474</v>
      </c>
      <c r="BH505" s="408">
        <v>0</v>
      </c>
      <c r="BI505" s="408">
        <v>0</v>
      </c>
      <c r="BJ505" s="408">
        <v>0</v>
      </c>
      <c r="BK505" s="408">
        <v>6140.09</v>
      </c>
      <c r="BL505" s="408">
        <v>391</v>
      </c>
      <c r="BM505" s="408"/>
      <c r="BN505" s="408"/>
      <c r="BO505" s="408"/>
      <c r="BP505" s="408"/>
      <c r="BQ505" s="408"/>
      <c r="BR505" s="408"/>
      <c r="BS505" s="408"/>
      <c r="BT505" s="408"/>
      <c r="BU505" s="408"/>
      <c r="BV505" s="408">
        <v>7519.774118761944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18423.1584</v>
      </c>
      <c r="CJ505" s="408">
        <v>-6799.2654999999941</v>
      </c>
      <c r="CK505" s="408"/>
      <c r="CL505" s="408"/>
      <c r="CM505" s="408"/>
      <c r="CN505" s="408"/>
      <c r="CO505" s="408">
        <v>-7662.10808</v>
      </c>
      <c r="CP505" s="408">
        <v>861.96681999999987</v>
      </c>
      <c r="CQ505" s="408">
        <v>31</v>
      </c>
      <c r="CR505" s="408">
        <v>1030.6907546244402</v>
      </c>
      <c r="CS505" s="408">
        <v>22.901636046426688</v>
      </c>
      <c r="CT505" s="408">
        <v>74.999761484850183</v>
      </c>
      <c r="CU505" s="408">
        <v>0</v>
      </c>
      <c r="CV505" s="408">
        <v>0</v>
      </c>
      <c r="CW505" s="408">
        <v>0</v>
      </c>
      <c r="CX505" s="408">
        <v>0</v>
      </c>
      <c r="CY505" s="408">
        <v>0</v>
      </c>
      <c r="CZ505" s="408">
        <v>-26.851670180527663</v>
      </c>
      <c r="DA505" s="408">
        <v>0</v>
      </c>
      <c r="DB505" s="408">
        <v>0</v>
      </c>
      <c r="DC505" s="408">
        <v>840.25024393429885</v>
      </c>
      <c r="DD505" s="408">
        <v>25.092761690227803</v>
      </c>
      <c r="DE505" s="408">
        <v>2.8969379212332882</v>
      </c>
      <c r="DF505" s="408">
        <v>0</v>
      </c>
      <c r="DG505" s="408">
        <v>97.006173534365871</v>
      </c>
      <c r="DH505" s="408">
        <v>0</v>
      </c>
      <c r="DI505" s="408">
        <v>0</v>
      </c>
      <c r="DJ505" s="408"/>
      <c r="DK505" s="408">
        <v>0</v>
      </c>
      <c r="DL505" s="408">
        <v>0</v>
      </c>
      <c r="DM505" s="408">
        <v>-3.6603110843664695</v>
      </c>
      <c r="DN505" s="408">
        <v>0</v>
      </c>
      <c r="DO505" s="408">
        <v>0</v>
      </c>
      <c r="DP505" s="408">
        <v>-1.9447787220679231</v>
      </c>
      <c r="DQ505" s="408">
        <v>0</v>
      </c>
      <c r="DR505" s="408">
        <v>0</v>
      </c>
      <c r="DS505" s="408"/>
      <c r="DT505" s="408"/>
      <c r="DU505" s="408"/>
      <c r="DV505" s="408">
        <v>14791.163315790982</v>
      </c>
      <c r="DW505" s="408">
        <v>0</v>
      </c>
      <c r="DX505" s="408">
        <v>0</v>
      </c>
      <c r="DY505" s="408">
        <v>-7662.10808</v>
      </c>
      <c r="DZ505" s="408">
        <v>861.96682000000055</v>
      </c>
      <c r="EA505" s="408">
        <v>0</v>
      </c>
      <c r="EB505" s="408">
        <v>0</v>
      </c>
      <c r="EC505" s="408">
        <v>-7831.1368151788984</v>
      </c>
      <c r="ED505" s="408">
        <v>0</v>
      </c>
      <c r="EE505" s="408">
        <v>0</v>
      </c>
      <c r="EF505" s="408">
        <v>0</v>
      </c>
      <c r="EG505" s="408">
        <v>0</v>
      </c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>
        <v>0</v>
      </c>
      <c r="EN505" s="408">
        <v>0</v>
      </c>
      <c r="EO505" s="408">
        <v>0</v>
      </c>
      <c r="EP505" s="408">
        <v>0</v>
      </c>
      <c r="EQ505" s="408">
        <v>0</v>
      </c>
      <c r="ER505" s="408">
        <v>0</v>
      </c>
      <c r="ES505" s="408">
        <v>0</v>
      </c>
      <c r="ET505" s="408">
        <v>0</v>
      </c>
      <c r="EU505" s="408">
        <v>0</v>
      </c>
      <c r="EV505" s="408">
        <v>239</v>
      </c>
      <c r="EW505" s="408">
        <v>0</v>
      </c>
      <c r="EX505" s="408">
        <v>0</v>
      </c>
      <c r="EY505" s="408">
        <v>0</v>
      </c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510</v>
      </c>
      <c r="B506" s="408" t="s">
        <v>2236</v>
      </c>
      <c r="C506" s="408" t="s">
        <v>2233</v>
      </c>
      <c r="D506" s="408" t="s">
        <v>1953</v>
      </c>
      <c r="E506" s="408" t="s">
        <v>967</v>
      </c>
      <c r="F506" s="408" t="s">
        <v>2240</v>
      </c>
      <c r="G506" s="408" t="s">
        <v>1320</v>
      </c>
      <c r="H506" s="408" t="s">
        <v>1320</v>
      </c>
      <c r="I506" s="408" t="s">
        <v>1320</v>
      </c>
      <c r="J506" s="408" t="s">
        <v>2234</v>
      </c>
      <c r="K506" s="827">
        <v>44621</v>
      </c>
      <c r="L506" s="408">
        <v>0</v>
      </c>
      <c r="M506" s="408">
        <v>0</v>
      </c>
      <c r="N506" s="408">
        <v>0.371</v>
      </c>
      <c r="O506" s="408">
        <v>0.371</v>
      </c>
      <c r="P506" s="408">
        <v>0.371</v>
      </c>
      <c r="Q506" s="408">
        <v>0.371</v>
      </c>
      <c r="R506" s="408"/>
      <c r="S506" s="408">
        <v>446.23</v>
      </c>
      <c r="T506" s="408">
        <v>173.82</v>
      </c>
      <c r="U506" s="408"/>
      <c r="V506" s="408">
        <v>230.03854999999999</v>
      </c>
      <c r="W506" s="408">
        <v>230.03854999999999</v>
      </c>
      <c r="X506" s="408">
        <v>168.01848000000001</v>
      </c>
      <c r="Y506" s="408">
        <v>0</v>
      </c>
      <c r="Z506" s="408">
        <v>0</v>
      </c>
      <c r="AA506" s="408">
        <v>0</v>
      </c>
      <c r="AB506" s="408">
        <v>0</v>
      </c>
      <c r="AC506" s="408">
        <v>1.0085427512280127</v>
      </c>
      <c r="AD506" s="408">
        <v>12.772272874686484</v>
      </c>
      <c r="AE506" s="408">
        <v>134.90146000684533</v>
      </c>
      <c r="AF506" s="408">
        <v>59.702112285873866</v>
      </c>
      <c r="AG506" s="408">
        <v>3.0035660604567567</v>
      </c>
      <c r="AH506" s="408">
        <v>0</v>
      </c>
      <c r="AI506" s="408">
        <v>0</v>
      </c>
      <c r="AJ506" s="408">
        <v>0</v>
      </c>
      <c r="AK506" s="408">
        <v>0</v>
      </c>
      <c r="AL506" s="408">
        <v>0</v>
      </c>
      <c r="AM506" s="408"/>
      <c r="AN506" s="408">
        <v>0.57562207266923493</v>
      </c>
      <c r="AO506" s="408">
        <v>2.1512449020592483</v>
      </c>
      <c r="AP506" s="408">
        <v>7.0450361809469015</v>
      </c>
      <c r="AQ506" s="408">
        <v>0</v>
      </c>
      <c r="AR506" s="408">
        <v>0</v>
      </c>
      <c r="AS506" s="408">
        <v>0</v>
      </c>
      <c r="AT506" s="408">
        <v>0</v>
      </c>
      <c r="AU506" s="408">
        <v>0</v>
      </c>
      <c r="AV506" s="408">
        <v>0</v>
      </c>
      <c r="AW506" s="408">
        <v>0</v>
      </c>
      <c r="AX506" s="408">
        <v>0</v>
      </c>
      <c r="AY506" s="408">
        <v>0</v>
      </c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0.20583548092633133</v>
      </c>
      <c r="BF506" s="408">
        <v>1.7829103731981162</v>
      </c>
      <c r="BG506" s="408">
        <v>6.8925579094800549</v>
      </c>
      <c r="BH506" s="408">
        <v>0</v>
      </c>
      <c r="BI506" s="408">
        <v>0</v>
      </c>
      <c r="BJ506" s="408">
        <v>0</v>
      </c>
      <c r="BK506" s="408">
        <v>99.04</v>
      </c>
      <c r="BL506" s="408">
        <v>5</v>
      </c>
      <c r="BM506" s="408"/>
      <c r="BN506" s="408"/>
      <c r="BO506" s="408"/>
      <c r="BP506" s="408"/>
      <c r="BQ506" s="408"/>
      <c r="BR506" s="408"/>
      <c r="BS506" s="408"/>
      <c r="BT506" s="408"/>
      <c r="BU506" s="408"/>
      <c r="BV506" s="408">
        <v>68.583416049478373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167.56560000000002</v>
      </c>
      <c r="CJ506" s="408">
        <v>-62.502949999999942</v>
      </c>
      <c r="CK506" s="408"/>
      <c r="CL506" s="408"/>
      <c r="CM506" s="408"/>
      <c r="CN506" s="408"/>
      <c r="CO506" s="408">
        <v>-69.881560000000007</v>
      </c>
      <c r="CP506" s="408">
        <v>7.861489999999999</v>
      </c>
      <c r="CQ506" s="408">
        <v>31</v>
      </c>
      <c r="CR506" s="408">
        <v>9.4003213030549091</v>
      </c>
      <c r="CS506" s="408">
        <v>0.20887228903152355</v>
      </c>
      <c r="CT506" s="408">
        <v>0.68402850461869935</v>
      </c>
      <c r="CU506" s="408">
        <v>0</v>
      </c>
      <c r="CV506" s="408">
        <v>0</v>
      </c>
      <c r="CW506" s="408">
        <v>0</v>
      </c>
      <c r="CX506" s="408">
        <v>0</v>
      </c>
      <c r="CY506" s="408">
        <v>0</v>
      </c>
      <c r="CZ506" s="408">
        <v>-0.2448982161604718</v>
      </c>
      <c r="DA506" s="408">
        <v>0</v>
      </c>
      <c r="DB506" s="408">
        <v>0</v>
      </c>
      <c r="DC506" s="408">
        <v>7.6634259427608242</v>
      </c>
      <c r="DD506" s="408">
        <v>0.22885625121870579</v>
      </c>
      <c r="DE506" s="408">
        <v>2.642125888139904E-2</v>
      </c>
      <c r="DF506" s="408">
        <v>0</v>
      </c>
      <c r="DG506" s="408">
        <v>0.88473598459240232</v>
      </c>
      <c r="DH506" s="408">
        <v>0</v>
      </c>
      <c r="DI506" s="408">
        <v>0</v>
      </c>
      <c r="DJ506" s="408"/>
      <c r="DK506" s="408">
        <v>0</v>
      </c>
      <c r="DL506" s="408">
        <v>0</v>
      </c>
      <c r="DM506" s="408">
        <v>-3.3383534399429315E-2</v>
      </c>
      <c r="DN506" s="408">
        <v>0</v>
      </c>
      <c r="DO506" s="408">
        <v>0</v>
      </c>
      <c r="DP506" s="408">
        <v>-1.7737177488745703E-2</v>
      </c>
      <c r="DQ506" s="408">
        <v>0</v>
      </c>
      <c r="DR506" s="408">
        <v>0</v>
      </c>
      <c r="DS506" s="408"/>
      <c r="DT506" s="408"/>
      <c r="DU506" s="408"/>
      <c r="DV506" s="408">
        <v>134.90146000684533</v>
      </c>
      <c r="DW506" s="408">
        <v>0</v>
      </c>
      <c r="DX506" s="408">
        <v>0</v>
      </c>
      <c r="DY506" s="408">
        <v>-69.881560000000007</v>
      </c>
      <c r="DZ506" s="408">
        <v>7.8614900000000034</v>
      </c>
      <c r="EA506" s="408">
        <v>0</v>
      </c>
      <c r="EB506" s="408">
        <v>0</v>
      </c>
      <c r="EC506" s="408">
        <v>-71.423171208795196</v>
      </c>
      <c r="ED506" s="408">
        <v>0</v>
      </c>
      <c r="EE506" s="408">
        <v>0</v>
      </c>
      <c r="EF506" s="408">
        <v>0</v>
      </c>
      <c r="EG506" s="408">
        <v>0</v>
      </c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>
        <v>0</v>
      </c>
      <c r="EN506" s="408">
        <v>0</v>
      </c>
      <c r="EO506" s="408">
        <v>0</v>
      </c>
      <c r="EP506" s="408">
        <v>0</v>
      </c>
      <c r="EQ506" s="408">
        <v>0</v>
      </c>
      <c r="ER506" s="408">
        <v>0</v>
      </c>
      <c r="ES506" s="408">
        <v>0</v>
      </c>
      <c r="ET506" s="408">
        <v>0</v>
      </c>
      <c r="EU506" s="408">
        <v>0</v>
      </c>
      <c r="EV506" s="408">
        <v>239</v>
      </c>
      <c r="EW506" s="408">
        <v>0</v>
      </c>
      <c r="EX506" s="408">
        <v>0</v>
      </c>
      <c r="EY506" s="408">
        <v>0</v>
      </c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511</v>
      </c>
      <c r="B507" s="408" t="s">
        <v>1034</v>
      </c>
      <c r="C507" s="408" t="s">
        <v>2233</v>
      </c>
      <c r="D507" s="408" t="s">
        <v>1956</v>
      </c>
      <c r="E507" s="408" t="s">
        <v>968</v>
      </c>
      <c r="F507" s="408" t="s">
        <v>1320</v>
      </c>
      <c r="G507" s="408" t="s">
        <v>1320</v>
      </c>
      <c r="H507" s="408" t="s">
        <v>1320</v>
      </c>
      <c r="I507" s="408" t="s">
        <v>1320</v>
      </c>
      <c r="J507" s="408" t="s">
        <v>2234</v>
      </c>
      <c r="K507" s="827">
        <v>44621</v>
      </c>
      <c r="L507" s="408">
        <v>0</v>
      </c>
      <c r="M507" s="408">
        <v>0</v>
      </c>
      <c r="N507" s="408">
        <v>80.697999999999993</v>
      </c>
      <c r="O507" s="408">
        <v>80.697999999999993</v>
      </c>
      <c r="P507" s="408">
        <v>80.697999999999993</v>
      </c>
      <c r="Q507" s="408">
        <v>80.697999999999993</v>
      </c>
      <c r="R507" s="408"/>
      <c r="S507" s="408">
        <v>516.83000000000004</v>
      </c>
      <c r="T507" s="408">
        <v>173.82</v>
      </c>
      <c r="U507" s="408"/>
      <c r="V507" s="408">
        <v>55734.073700000001</v>
      </c>
      <c r="W507" s="408">
        <v>55734.073700000001</v>
      </c>
      <c r="X507" s="408">
        <v>42079.972099999999</v>
      </c>
      <c r="Y507" s="408">
        <v>0</v>
      </c>
      <c r="Z507" s="408">
        <v>4934.6387807609963</v>
      </c>
      <c r="AA507" s="408">
        <v>0</v>
      </c>
      <c r="AB507" s="408">
        <v>0</v>
      </c>
      <c r="AC507" s="408">
        <v>219.37299983449643</v>
      </c>
      <c r="AD507" s="408">
        <v>2778.1586966076816</v>
      </c>
      <c r="AE507" s="408">
        <v>29343.067438362272</v>
      </c>
      <c r="AF507" s="408">
        <v>12986.094493923043</v>
      </c>
      <c r="AG507" s="408">
        <v>653.32014540900082</v>
      </c>
      <c r="AH507" s="408">
        <v>0</v>
      </c>
      <c r="AI507" s="408">
        <v>0</v>
      </c>
      <c r="AJ507" s="408">
        <v>0</v>
      </c>
      <c r="AK507" s="408">
        <v>0</v>
      </c>
      <c r="AL507" s="408">
        <v>762.71687727655728</v>
      </c>
      <c r="AM507" s="408"/>
      <c r="AN507" s="408">
        <v>125.20633428642027</v>
      </c>
      <c r="AO507" s="408">
        <v>467.92765796867167</v>
      </c>
      <c r="AP507" s="408">
        <v>1532.3998105931348</v>
      </c>
      <c r="AQ507" s="408">
        <v>0</v>
      </c>
      <c r="AR507" s="408">
        <v>0</v>
      </c>
      <c r="AS507" s="408">
        <v>0</v>
      </c>
      <c r="AT507" s="408">
        <v>0</v>
      </c>
      <c r="AU507" s="408">
        <v>0</v>
      </c>
      <c r="AV507" s="408">
        <v>0</v>
      </c>
      <c r="AW507" s="408">
        <v>0</v>
      </c>
      <c r="AX507" s="408">
        <v>0</v>
      </c>
      <c r="AY507" s="408">
        <v>0</v>
      </c>
      <c r="AZ507" s="408">
        <v>0</v>
      </c>
      <c r="BA507" s="408"/>
      <c r="BB507" s="408">
        <v>0</v>
      </c>
      <c r="BC507" s="408">
        <v>0</v>
      </c>
      <c r="BD507" s="408">
        <v>0</v>
      </c>
      <c r="BE507" s="408">
        <v>44.77226857087085</v>
      </c>
      <c r="BF507" s="408">
        <v>387.80943745644629</v>
      </c>
      <c r="BG507" s="408">
        <v>1499.2335260895456</v>
      </c>
      <c r="BH507" s="408">
        <v>0</v>
      </c>
      <c r="BI507" s="408">
        <v>0</v>
      </c>
      <c r="BJ507" s="408">
        <v>0</v>
      </c>
      <c r="BK507" s="408">
        <v>10965.54</v>
      </c>
      <c r="BL507" s="408">
        <v>37</v>
      </c>
      <c r="BM507" s="408"/>
      <c r="BN507" s="408"/>
      <c r="BO507" s="408"/>
      <c r="BP507" s="408"/>
      <c r="BQ507" s="408"/>
      <c r="BR507" s="408"/>
      <c r="BS507" s="408"/>
      <c r="BT507" s="408"/>
      <c r="BU507" s="408"/>
      <c r="BV507" s="408">
        <v>14917.909726039905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42081.014999999999</v>
      </c>
      <c r="CJ507" s="408">
        <v>-13653.088700000008</v>
      </c>
      <c r="CK507" s="408"/>
      <c r="CL507" s="408"/>
      <c r="CM507" s="408"/>
      <c r="CN507" s="408"/>
      <c r="CO507" s="408">
        <v>-15364.092220000002</v>
      </c>
      <c r="CP507" s="408">
        <v>1709.9906199999996</v>
      </c>
      <c r="CQ507" s="408">
        <v>31</v>
      </c>
      <c r="CR507" s="408">
        <v>1880.7378246724184</v>
      </c>
      <c r="CS507" s="408">
        <v>45.432819353816456</v>
      </c>
      <c r="CT507" s="408">
        <v>148.78634033886738</v>
      </c>
      <c r="CU507" s="408">
        <v>0</v>
      </c>
      <c r="CV507" s="408">
        <v>0</v>
      </c>
      <c r="CW507" s="408">
        <v>0</v>
      </c>
      <c r="CX507" s="408">
        <v>0</v>
      </c>
      <c r="CY507" s="408">
        <v>0</v>
      </c>
      <c r="CZ507" s="408">
        <v>-53.268992581449766</v>
      </c>
      <c r="DA507" s="408">
        <v>0</v>
      </c>
      <c r="DB507" s="408">
        <v>0</v>
      </c>
      <c r="DC507" s="408">
        <v>1666.9087512908718</v>
      </c>
      <c r="DD507" s="408">
        <v>49.779627387728056</v>
      </c>
      <c r="DE507" s="408">
        <v>5.7470154965259823</v>
      </c>
      <c r="DF507" s="408">
        <v>0</v>
      </c>
      <c r="DG507" s="408">
        <v>192.4431926809641</v>
      </c>
      <c r="DH507" s="408">
        <v>0</v>
      </c>
      <c r="DI507" s="408">
        <v>-144.21731292993445</v>
      </c>
      <c r="DJ507" s="408"/>
      <c r="DK507" s="408">
        <v>0</v>
      </c>
      <c r="DL507" s="408">
        <v>0</v>
      </c>
      <c r="DM507" s="408">
        <v>-7.2614136360245993</v>
      </c>
      <c r="DN507" s="408">
        <v>0</v>
      </c>
      <c r="DO507" s="408">
        <v>-19.754103675065039</v>
      </c>
      <c r="DP507" s="408">
        <v>-3.8580990538727917</v>
      </c>
      <c r="DQ507" s="408">
        <v>0</v>
      </c>
      <c r="DR507" s="408">
        <v>0</v>
      </c>
      <c r="DS507" s="408"/>
      <c r="DT507" s="408"/>
      <c r="DU507" s="408"/>
      <c r="DV507" s="408">
        <v>29343.067438362272</v>
      </c>
      <c r="DW507" s="408">
        <v>0</v>
      </c>
      <c r="DX507" s="408">
        <v>0</v>
      </c>
      <c r="DY507" s="408">
        <v>-15364.092220000006</v>
      </c>
      <c r="DZ507" s="408">
        <v>1709.9906200000005</v>
      </c>
      <c r="EA507" s="408">
        <v>0</v>
      </c>
      <c r="EB507" s="408">
        <v>0</v>
      </c>
      <c r="EC507" s="408">
        <v>-15535.598571987475</v>
      </c>
      <c r="ED507" s="408">
        <v>0</v>
      </c>
      <c r="EE507" s="408">
        <v>0</v>
      </c>
      <c r="EF507" s="408">
        <v>0</v>
      </c>
      <c r="EG507" s="408">
        <v>0</v>
      </c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>
        <v>0</v>
      </c>
      <c r="EN507" s="408">
        <v>0</v>
      </c>
      <c r="EO507" s="408">
        <v>0</v>
      </c>
      <c r="EP507" s="408">
        <v>0</v>
      </c>
      <c r="EQ507" s="408">
        <v>0</v>
      </c>
      <c r="ER507" s="408">
        <v>0</v>
      </c>
      <c r="ES507" s="408">
        <v>0</v>
      </c>
      <c r="ET507" s="408">
        <v>0</v>
      </c>
      <c r="EU507" s="408">
        <v>0</v>
      </c>
      <c r="EV507" s="408">
        <v>239</v>
      </c>
      <c r="EW507" s="408">
        <v>0</v>
      </c>
      <c r="EX507" s="408">
        <v>0</v>
      </c>
      <c r="EY507" s="408">
        <v>0</v>
      </c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512</v>
      </c>
      <c r="B508" s="408" t="s">
        <v>2236</v>
      </c>
      <c r="C508" s="408" t="s">
        <v>2233</v>
      </c>
      <c r="D508" s="408" t="s">
        <v>1956</v>
      </c>
      <c r="E508" s="408" t="s">
        <v>968</v>
      </c>
      <c r="F508" s="408" t="s">
        <v>1320</v>
      </c>
      <c r="G508" s="408" t="s">
        <v>1320</v>
      </c>
      <c r="H508" s="408" t="s">
        <v>1320</v>
      </c>
      <c r="I508" s="408" t="s">
        <v>1320</v>
      </c>
      <c r="J508" s="408" t="s">
        <v>2234</v>
      </c>
      <c r="K508" s="827">
        <v>44621</v>
      </c>
      <c r="L508" s="408">
        <v>0</v>
      </c>
      <c r="M508" s="408">
        <v>0</v>
      </c>
      <c r="N508" s="408">
        <v>1.681</v>
      </c>
      <c r="O508" s="408">
        <v>1.681</v>
      </c>
      <c r="P508" s="408">
        <v>1.681</v>
      </c>
      <c r="Q508" s="408">
        <v>1.681</v>
      </c>
      <c r="R508" s="408"/>
      <c r="S508" s="408">
        <v>516.83000000000004</v>
      </c>
      <c r="T508" s="408">
        <v>173.82</v>
      </c>
      <c r="U508" s="408"/>
      <c r="V508" s="408">
        <v>1160.9826499999999</v>
      </c>
      <c r="W508" s="408">
        <v>1160.9826499999999</v>
      </c>
      <c r="X508" s="408">
        <v>876.55745000000002</v>
      </c>
      <c r="Y508" s="408">
        <v>0</v>
      </c>
      <c r="Z508" s="408">
        <v>102.79223512923784</v>
      </c>
      <c r="AA508" s="408">
        <v>0</v>
      </c>
      <c r="AB508" s="408">
        <v>0</v>
      </c>
      <c r="AC508" s="408">
        <v>4.5697044873700525</v>
      </c>
      <c r="AD508" s="408">
        <v>57.871133968592943</v>
      </c>
      <c r="AE508" s="408">
        <v>611.23815167522105</v>
      </c>
      <c r="AF508" s="408">
        <v>270.51010984515898</v>
      </c>
      <c r="AG508" s="408">
        <v>13.609149724064173</v>
      </c>
      <c r="AH508" s="408">
        <v>0</v>
      </c>
      <c r="AI508" s="408">
        <v>0</v>
      </c>
      <c r="AJ508" s="408">
        <v>0</v>
      </c>
      <c r="AK508" s="408">
        <v>0</v>
      </c>
      <c r="AL508" s="408">
        <v>15.887965881457943</v>
      </c>
      <c r="AM508" s="408"/>
      <c r="AN508" s="408">
        <v>2.6081420597223288</v>
      </c>
      <c r="AO508" s="408">
        <v>9.7472848527266756</v>
      </c>
      <c r="AP508" s="408">
        <v>31.921039946554561</v>
      </c>
      <c r="AQ508" s="408">
        <v>0</v>
      </c>
      <c r="AR508" s="408">
        <v>0</v>
      </c>
      <c r="AS508" s="408">
        <v>0</v>
      </c>
      <c r="AT508" s="408">
        <v>0</v>
      </c>
      <c r="AU508" s="408">
        <v>0</v>
      </c>
      <c r="AV508" s="408">
        <v>0</v>
      </c>
      <c r="AW508" s="408">
        <v>0</v>
      </c>
      <c r="AX508" s="408">
        <v>0</v>
      </c>
      <c r="AY508" s="408">
        <v>0</v>
      </c>
      <c r="AZ508" s="408">
        <v>0</v>
      </c>
      <c r="BA508" s="408"/>
      <c r="BB508" s="408">
        <v>0</v>
      </c>
      <c r="BC508" s="408">
        <v>0</v>
      </c>
      <c r="BD508" s="408">
        <v>0</v>
      </c>
      <c r="BE508" s="408">
        <v>0.93264000926459034</v>
      </c>
      <c r="BF508" s="408">
        <v>8.0783620952723272</v>
      </c>
      <c r="BG508" s="408">
        <v>31.230161309530924</v>
      </c>
      <c r="BH508" s="408">
        <v>0</v>
      </c>
      <c r="BI508" s="408">
        <v>0</v>
      </c>
      <c r="BJ508" s="408">
        <v>0</v>
      </c>
      <c r="BK508" s="408">
        <v>640.48</v>
      </c>
      <c r="BL508" s="408">
        <v>7</v>
      </c>
      <c r="BM508" s="408"/>
      <c r="BN508" s="408"/>
      <c r="BO508" s="408"/>
      <c r="BP508" s="408"/>
      <c r="BQ508" s="408"/>
      <c r="BR508" s="408"/>
      <c r="BS508" s="408"/>
      <c r="BT508" s="408"/>
      <c r="BU508" s="408"/>
      <c r="BV508" s="408">
        <v>310.75127325922682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876.03599999999983</v>
      </c>
      <c r="CJ508" s="408">
        <v>-284.97665000000006</v>
      </c>
      <c r="CK508" s="408"/>
      <c r="CL508" s="408"/>
      <c r="CM508" s="408"/>
      <c r="CN508" s="408"/>
      <c r="CO508" s="408">
        <v>-320.04559000000006</v>
      </c>
      <c r="CP508" s="408">
        <v>35.62039</v>
      </c>
      <c r="CQ508" s="408">
        <v>31</v>
      </c>
      <c r="CR508" s="408">
        <v>39.177182622547662</v>
      </c>
      <c r="CS508" s="408">
        <v>0.94639977860374813</v>
      </c>
      <c r="CT508" s="408">
        <v>3.0993313106847218</v>
      </c>
      <c r="CU508" s="408">
        <v>0</v>
      </c>
      <c r="CV508" s="408">
        <v>0</v>
      </c>
      <c r="CW508" s="408">
        <v>0</v>
      </c>
      <c r="CX508" s="408">
        <v>0</v>
      </c>
      <c r="CY508" s="408">
        <v>0</v>
      </c>
      <c r="CZ508" s="408">
        <v>-1.109633157320097</v>
      </c>
      <c r="DA508" s="408">
        <v>0</v>
      </c>
      <c r="DB508" s="408">
        <v>0</v>
      </c>
      <c r="DC508" s="408">
        <v>34.722962290514658</v>
      </c>
      <c r="DD508" s="408">
        <v>1.036947057408744</v>
      </c>
      <c r="DE508" s="408">
        <v>0.1197146527752877</v>
      </c>
      <c r="DF508" s="408">
        <v>0</v>
      </c>
      <c r="DG508" s="408">
        <v>4.0087363614550604</v>
      </c>
      <c r="DH508" s="408">
        <v>0</v>
      </c>
      <c r="DI508" s="408">
        <v>-3.0041550352576252</v>
      </c>
      <c r="DJ508" s="408"/>
      <c r="DK508" s="408">
        <v>0</v>
      </c>
      <c r="DL508" s="408">
        <v>0</v>
      </c>
      <c r="DM508" s="408">
        <v>-0.15126070438124195</v>
      </c>
      <c r="DN508" s="408">
        <v>0</v>
      </c>
      <c r="DO508" s="408">
        <v>-0.41149282854326508</v>
      </c>
      <c r="DP508" s="408">
        <v>-8.0367103392403383E-2</v>
      </c>
      <c r="DQ508" s="408">
        <v>0</v>
      </c>
      <c r="DR508" s="408">
        <v>0</v>
      </c>
      <c r="DS508" s="408"/>
      <c r="DT508" s="408"/>
      <c r="DU508" s="408"/>
      <c r="DV508" s="408">
        <v>611.23815167522105</v>
      </c>
      <c r="DW508" s="408">
        <v>0</v>
      </c>
      <c r="DX508" s="408">
        <v>0</v>
      </c>
      <c r="DY508" s="408">
        <v>-320.04559000000006</v>
      </c>
      <c r="DZ508" s="408">
        <v>35.620389999999986</v>
      </c>
      <c r="EA508" s="408">
        <v>0</v>
      </c>
      <c r="EB508" s="408">
        <v>0</v>
      </c>
      <c r="EC508" s="408">
        <v>-323.61819623176478</v>
      </c>
      <c r="ED508" s="408">
        <v>0</v>
      </c>
      <c r="EE508" s="408">
        <v>0</v>
      </c>
      <c r="EF508" s="408">
        <v>0</v>
      </c>
      <c r="EG508" s="408">
        <v>0</v>
      </c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>
        <v>0</v>
      </c>
      <c r="EN508" s="408">
        <v>0</v>
      </c>
      <c r="EO508" s="408">
        <v>0</v>
      </c>
      <c r="EP508" s="408">
        <v>0</v>
      </c>
      <c r="EQ508" s="408">
        <v>0</v>
      </c>
      <c r="ER508" s="408">
        <v>0</v>
      </c>
      <c r="ES508" s="408">
        <v>0</v>
      </c>
      <c r="ET508" s="408">
        <v>0</v>
      </c>
      <c r="EU508" s="408">
        <v>0</v>
      </c>
      <c r="EV508" s="408">
        <v>239</v>
      </c>
      <c r="EW508" s="408">
        <v>0</v>
      </c>
      <c r="EX508" s="408">
        <v>0</v>
      </c>
      <c r="EY508" s="408">
        <v>0</v>
      </c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513</v>
      </c>
      <c r="B509" s="408" t="s">
        <v>1034</v>
      </c>
      <c r="C509" s="408" t="s">
        <v>2245</v>
      </c>
      <c r="D509" s="408" t="s">
        <v>596</v>
      </c>
      <c r="E509" s="408" t="s">
        <v>968</v>
      </c>
      <c r="F509" s="408" t="s">
        <v>1320</v>
      </c>
      <c r="G509" s="408" t="s">
        <v>1320</v>
      </c>
      <c r="H509" s="408" t="s">
        <v>1320</v>
      </c>
      <c r="I509" s="408" t="s">
        <v>971</v>
      </c>
      <c r="J509" s="408" t="s">
        <v>2234</v>
      </c>
      <c r="K509" s="827">
        <v>44621</v>
      </c>
      <c r="L509" s="408">
        <v>1604</v>
      </c>
      <c r="M509" s="408">
        <v>1604</v>
      </c>
      <c r="N509" s="408">
        <v>37.411999999999999</v>
      </c>
      <c r="O509" s="408">
        <v>37.411999999999999</v>
      </c>
      <c r="P509" s="408">
        <v>37.411999999999999</v>
      </c>
      <c r="Q509" s="408">
        <v>37.411999999999999</v>
      </c>
      <c r="R509" s="408">
        <v>67.099999999999994</v>
      </c>
      <c r="S509" s="408">
        <v>70.33</v>
      </c>
      <c r="T509" s="408">
        <v>173.82</v>
      </c>
      <c r="U509" s="408">
        <v>107628.4</v>
      </c>
      <c r="V509" s="408">
        <v>9134.139799999999</v>
      </c>
      <c r="W509" s="408">
        <v>116762.5398</v>
      </c>
      <c r="X509" s="408">
        <v>77321.273960000006</v>
      </c>
      <c r="Y509" s="408">
        <v>0</v>
      </c>
      <c r="Z509" s="408">
        <v>1990.3193917726919</v>
      </c>
      <c r="AA509" s="408">
        <v>0</v>
      </c>
      <c r="AB509" s="408">
        <v>0</v>
      </c>
      <c r="AC509" s="408">
        <v>1200.4626101590097</v>
      </c>
      <c r="AD509" s="408">
        <v>18313.241957579183</v>
      </c>
      <c r="AE509" s="408">
        <v>77251.523594930928</v>
      </c>
      <c r="AF509" s="408">
        <v>6020.4189348763157</v>
      </c>
      <c r="AG509" s="408">
        <v>302.88251604800047</v>
      </c>
      <c r="AH509" s="408">
        <v>0</v>
      </c>
      <c r="AI509" s="408">
        <v>0</v>
      </c>
      <c r="AJ509" s="408">
        <v>0</v>
      </c>
      <c r="AK509" s="408">
        <v>0</v>
      </c>
      <c r="AL509" s="408">
        <v>353.599392954851</v>
      </c>
      <c r="AM509" s="408"/>
      <c r="AN509" s="408">
        <v>46.493039664373768</v>
      </c>
      <c r="AO509" s="408">
        <v>2578.1096877894406</v>
      </c>
      <c r="AP509" s="408">
        <v>8289.948658720361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0</v>
      </c>
      <c r="BE509" s="408">
        <v>6.980840687139696</v>
      </c>
      <c r="BF509" s="408">
        <v>179.7904120810995</v>
      </c>
      <c r="BG509" s="408">
        <v>233.75876926770252</v>
      </c>
      <c r="BH509" s="408">
        <v>0</v>
      </c>
      <c r="BI509" s="408">
        <v>0</v>
      </c>
      <c r="BJ509" s="408">
        <v>0</v>
      </c>
      <c r="BK509" s="408">
        <v>0</v>
      </c>
      <c r="BL509" s="408">
        <v>0</v>
      </c>
      <c r="BM509" s="408"/>
      <c r="BN509" s="408"/>
      <c r="BO509" s="408"/>
      <c r="BP509" s="408"/>
      <c r="BQ509" s="408"/>
      <c r="BR509" s="408"/>
      <c r="BS509" s="408"/>
      <c r="BT509" s="408"/>
      <c r="BU509" s="408"/>
      <c r="BV509" s="408">
        <v>6440.9489569122579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77320.745299999995</v>
      </c>
      <c r="CJ509" s="408">
        <v>-39441.824499999988</v>
      </c>
      <c r="CK509" s="408"/>
      <c r="CL509" s="408"/>
      <c r="CM509" s="408"/>
      <c r="CN509" s="408"/>
      <c r="CO509" s="408">
        <v>-40234.026119999988</v>
      </c>
      <c r="CP509" s="408">
        <v>792.76027999999985</v>
      </c>
      <c r="CQ509" s="408">
        <v>31</v>
      </c>
      <c r="CR509" s="408">
        <v>1458.7196250892812</v>
      </c>
      <c r="CS509" s="408">
        <v>250.31816291462019</v>
      </c>
      <c r="CT509" s="408">
        <v>804.90164120469126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-351.14190962941211</v>
      </c>
      <c r="DA509" s="408">
        <v>0</v>
      </c>
      <c r="DB509" s="408">
        <v>0</v>
      </c>
      <c r="DC509" s="408">
        <v>772.78730827646359</v>
      </c>
      <c r="DD509" s="408">
        <v>23.078086443650193</v>
      </c>
      <c r="DE509" s="408">
        <v>0.89606805481090301</v>
      </c>
      <c r="DF509" s="408">
        <v>0</v>
      </c>
      <c r="DG509" s="408">
        <v>30.005521549657942</v>
      </c>
      <c r="DH509" s="408">
        <v>0</v>
      </c>
      <c r="DI509" s="408">
        <v>-58.168090372268352</v>
      </c>
      <c r="DJ509" s="408"/>
      <c r="DK509" s="408">
        <v>0</v>
      </c>
      <c r="DL509" s="408">
        <v>0</v>
      </c>
      <c r="DM509" s="408">
        <v>-3.3664280025645326</v>
      </c>
      <c r="DN509" s="408">
        <v>0</v>
      </c>
      <c r="DO509" s="408">
        <v>-9.1581021424512983</v>
      </c>
      <c r="DP509" s="408">
        <v>-1.432633207921242</v>
      </c>
      <c r="DQ509" s="408">
        <v>0</v>
      </c>
      <c r="DR509" s="408">
        <v>0</v>
      </c>
      <c r="DS509" s="408"/>
      <c r="DT509" s="408"/>
      <c r="DU509" s="408">
        <v>77251.523594930928</v>
      </c>
      <c r="DV509" s="408">
        <v>0</v>
      </c>
      <c r="DW509" s="408">
        <v>0</v>
      </c>
      <c r="DX509" s="408">
        <v>0</v>
      </c>
      <c r="DY509" s="408">
        <v>-40234.026119999995</v>
      </c>
      <c r="DZ509" s="408">
        <v>792.76028000000042</v>
      </c>
      <c r="EA509" s="408">
        <v>0</v>
      </c>
      <c r="EB509" s="408">
        <v>0</v>
      </c>
      <c r="EC509" s="408">
        <v>-40900.586217384611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0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239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514</v>
      </c>
      <c r="B510" s="408" t="s">
        <v>1034</v>
      </c>
      <c r="C510" s="408" t="s">
        <v>2245</v>
      </c>
      <c r="D510" s="408" t="s">
        <v>596</v>
      </c>
      <c r="E510" s="408" t="s">
        <v>968</v>
      </c>
      <c r="F510" s="408" t="s">
        <v>1320</v>
      </c>
      <c r="G510" s="408" t="s">
        <v>1320</v>
      </c>
      <c r="H510" s="408" t="s">
        <v>1320</v>
      </c>
      <c r="I510" s="408" t="s">
        <v>2242</v>
      </c>
      <c r="J510" s="408" t="s">
        <v>2234</v>
      </c>
      <c r="K510" s="827">
        <v>44621</v>
      </c>
      <c r="L510" s="408">
        <v>1730</v>
      </c>
      <c r="M510" s="408">
        <v>1730</v>
      </c>
      <c r="N510" s="408">
        <v>320.75400000000002</v>
      </c>
      <c r="O510" s="408">
        <v>320.75400000000002</v>
      </c>
      <c r="P510" s="408">
        <v>320.75400000000002</v>
      </c>
      <c r="Q510" s="408">
        <v>320.75400000000002</v>
      </c>
      <c r="R510" s="408">
        <v>59.12</v>
      </c>
      <c r="S510" s="408">
        <v>70.33</v>
      </c>
      <c r="T510" s="408">
        <v>173.82</v>
      </c>
      <c r="U510" s="408">
        <v>102277.59999999999</v>
      </c>
      <c r="V510" s="408">
        <v>78312.089099999997</v>
      </c>
      <c r="W510" s="408">
        <v>180589.68909999999</v>
      </c>
      <c r="X510" s="408">
        <v>143656.80482000002</v>
      </c>
      <c r="Y510" s="408">
        <v>0</v>
      </c>
      <c r="Z510" s="408">
        <v>17064.121303021973</v>
      </c>
      <c r="AA510" s="408">
        <v>0</v>
      </c>
      <c r="AB510" s="408">
        <v>0</v>
      </c>
      <c r="AC510" s="408">
        <v>989.66442856726997</v>
      </c>
      <c r="AD510" s="408">
        <v>8852.4491857376943</v>
      </c>
      <c r="AE510" s="408">
        <v>83319.910111739722</v>
      </c>
      <c r="AF510" s="408">
        <v>51616.418663458724</v>
      </c>
      <c r="AG510" s="408">
        <v>2596.7812079669716</v>
      </c>
      <c r="AH510" s="408">
        <v>0</v>
      </c>
      <c r="AI510" s="408">
        <v>0</v>
      </c>
      <c r="AJ510" s="408">
        <v>0</v>
      </c>
      <c r="AK510" s="408">
        <v>0</v>
      </c>
      <c r="AL510" s="408">
        <v>3031.6053589180019</v>
      </c>
      <c r="AM510" s="408"/>
      <c r="AN510" s="408">
        <v>398.61083193912503</v>
      </c>
      <c r="AO510" s="408">
        <v>2089.9647601438037</v>
      </c>
      <c r="AP510" s="408">
        <v>7025.5090047544963</v>
      </c>
      <c r="AQ510" s="408">
        <v>0</v>
      </c>
      <c r="AR510" s="408">
        <v>0</v>
      </c>
      <c r="AS510" s="408">
        <v>0</v>
      </c>
      <c r="AT510" s="408">
        <v>0</v>
      </c>
      <c r="AU510" s="408">
        <v>0</v>
      </c>
      <c r="AV510" s="408">
        <v>0</v>
      </c>
      <c r="AW510" s="408">
        <v>0</v>
      </c>
      <c r="AX510" s="408">
        <v>0</v>
      </c>
      <c r="AY510" s="408">
        <v>0</v>
      </c>
      <c r="AZ510" s="408">
        <v>0</v>
      </c>
      <c r="BA510" s="408"/>
      <c r="BB510" s="408">
        <v>0</v>
      </c>
      <c r="BC510" s="408">
        <v>0</v>
      </c>
      <c r="BD510" s="408">
        <v>0</v>
      </c>
      <c r="BE510" s="408">
        <v>59.850651495851764</v>
      </c>
      <c r="BF510" s="408">
        <v>1541.4437569940394</v>
      </c>
      <c r="BG510" s="408">
        <v>2004.1446668901062</v>
      </c>
      <c r="BH510" s="408">
        <v>0</v>
      </c>
      <c r="BI510" s="408">
        <v>0</v>
      </c>
      <c r="BJ510" s="408">
        <v>0</v>
      </c>
      <c r="BK510" s="408">
        <v>0</v>
      </c>
      <c r="BL510" s="408">
        <v>0</v>
      </c>
      <c r="BM510" s="408"/>
      <c r="BN510" s="408"/>
      <c r="BO510" s="408"/>
      <c r="BP510" s="408"/>
      <c r="BQ510" s="408"/>
      <c r="BR510" s="408"/>
      <c r="BS510" s="408"/>
      <c r="BT510" s="408"/>
      <c r="BU510" s="408"/>
      <c r="BV510" s="408">
        <v>55221.85773883872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143655.7475</v>
      </c>
      <c r="CJ510" s="408">
        <v>-36933.97159999999</v>
      </c>
      <c r="CK510" s="408"/>
      <c r="CL510" s="408"/>
      <c r="CM510" s="408"/>
      <c r="CN510" s="408"/>
      <c r="CO510" s="408">
        <v>-43729.661540000001</v>
      </c>
      <c r="CP510" s="408">
        <v>6796.7772599999998</v>
      </c>
      <c r="CQ510" s="408">
        <v>31</v>
      </c>
      <c r="CR510" s="408">
        <v>7185.2818288045964</v>
      </c>
      <c r="CS510" s="408">
        <v>202.92237440217923</v>
      </c>
      <c r="CT510" s="408">
        <v>682.13253917763723</v>
      </c>
      <c r="CU510" s="408">
        <v>0</v>
      </c>
      <c r="CV510" s="408">
        <v>0</v>
      </c>
      <c r="CW510" s="408">
        <v>0</v>
      </c>
      <c r="CX510" s="408">
        <v>0</v>
      </c>
      <c r="CY510" s="408">
        <v>0</v>
      </c>
      <c r="CZ510" s="408">
        <v>-169.73870160064871</v>
      </c>
      <c r="DA510" s="408">
        <v>0</v>
      </c>
      <c r="DB510" s="408">
        <v>0</v>
      </c>
      <c r="DC510" s="408">
        <v>6625.537802814848</v>
      </c>
      <c r="DD510" s="408">
        <v>197.86134232723634</v>
      </c>
      <c r="DE510" s="408">
        <v>7.6824925920243885</v>
      </c>
      <c r="DF510" s="408">
        <v>0</v>
      </c>
      <c r="DG510" s="408">
        <v>257.2541179070613</v>
      </c>
      <c r="DH510" s="408">
        <v>0</v>
      </c>
      <c r="DI510" s="408">
        <v>-498.70757134786982</v>
      </c>
      <c r="DJ510" s="408"/>
      <c r="DK510" s="408">
        <v>0</v>
      </c>
      <c r="DL510" s="408">
        <v>0</v>
      </c>
      <c r="DM510" s="408">
        <v>-28.862270061332765</v>
      </c>
      <c r="DN510" s="408">
        <v>0</v>
      </c>
      <c r="DO510" s="408">
        <v>-78.517531663632781</v>
      </c>
      <c r="DP510" s="408">
        <v>-12.282765742905212</v>
      </c>
      <c r="DQ510" s="408">
        <v>0</v>
      </c>
      <c r="DR510" s="408">
        <v>0</v>
      </c>
      <c r="DS510" s="408"/>
      <c r="DT510" s="408"/>
      <c r="DU510" s="408">
        <v>83319.910111739722</v>
      </c>
      <c r="DV510" s="408">
        <v>0</v>
      </c>
      <c r="DW510" s="408">
        <v>0</v>
      </c>
      <c r="DX510" s="408">
        <v>0</v>
      </c>
      <c r="DY510" s="408">
        <v>-43729.661539999986</v>
      </c>
      <c r="DZ510" s="408">
        <v>6796.7772600000026</v>
      </c>
      <c r="EA510" s="408">
        <v>0</v>
      </c>
      <c r="EB510" s="408">
        <v>0</v>
      </c>
      <c r="EC510" s="408">
        <v>-44113.475159647998</v>
      </c>
      <c r="ED510" s="408">
        <v>0</v>
      </c>
      <c r="EE510" s="408">
        <v>0</v>
      </c>
      <c r="EF510" s="408">
        <v>0</v>
      </c>
      <c r="EG510" s="408">
        <v>0</v>
      </c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>
        <v>0</v>
      </c>
      <c r="EN510" s="408">
        <v>0</v>
      </c>
      <c r="EO510" s="408">
        <v>0</v>
      </c>
      <c r="EP510" s="408">
        <v>0</v>
      </c>
      <c r="EQ510" s="408">
        <v>0</v>
      </c>
      <c r="ER510" s="408">
        <v>0</v>
      </c>
      <c r="ES510" s="408">
        <v>0</v>
      </c>
      <c r="ET510" s="408">
        <v>0</v>
      </c>
      <c r="EU510" s="408">
        <v>0</v>
      </c>
      <c r="EV510" s="408">
        <v>239</v>
      </c>
      <c r="EW510" s="408">
        <v>0</v>
      </c>
      <c r="EX510" s="408">
        <v>0</v>
      </c>
      <c r="EY510" s="408">
        <v>0</v>
      </c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515</v>
      </c>
      <c r="B511" s="408" t="s">
        <v>1034</v>
      </c>
      <c r="C511" s="408" t="s">
        <v>2245</v>
      </c>
      <c r="D511" s="408" t="s">
        <v>596</v>
      </c>
      <c r="E511" s="408" t="s">
        <v>968</v>
      </c>
      <c r="F511" s="408" t="s">
        <v>1320</v>
      </c>
      <c r="G511" s="408" t="s">
        <v>1320</v>
      </c>
      <c r="H511" s="408" t="s">
        <v>1320</v>
      </c>
      <c r="I511" s="408" t="s">
        <v>1320</v>
      </c>
      <c r="J511" s="408" t="s">
        <v>2234</v>
      </c>
      <c r="K511" s="827">
        <v>44621</v>
      </c>
      <c r="L511" s="408">
        <v>0</v>
      </c>
      <c r="M511" s="408">
        <v>0</v>
      </c>
      <c r="N511" s="408">
        <v>0</v>
      </c>
      <c r="O511" s="408">
        <v>0</v>
      </c>
      <c r="P511" s="408">
        <v>0</v>
      </c>
      <c r="Q511" s="408">
        <v>0</v>
      </c>
      <c r="R511" s="408"/>
      <c r="S511" s="408"/>
      <c r="T511" s="408"/>
      <c r="U511" s="408"/>
      <c r="V511" s="408"/>
      <c r="W511" s="408"/>
      <c r="X511" s="408"/>
      <c r="Y511" s="408"/>
      <c r="Z511" s="408"/>
      <c r="AA511" s="408">
        <v>0</v>
      </c>
      <c r="AB511" s="408"/>
      <c r="AC511" s="408"/>
      <c r="AD511" s="408"/>
      <c r="AE511" s="408"/>
      <c r="AF511" s="408"/>
      <c r="AG511" s="408"/>
      <c r="AH511" s="408"/>
      <c r="AI511" s="408"/>
      <c r="AJ511" s="408"/>
      <c r="AK511" s="408"/>
      <c r="AL511" s="408"/>
      <c r="AM511" s="408"/>
      <c r="AN511" s="408"/>
      <c r="AO511" s="408"/>
      <c r="AP511" s="408"/>
      <c r="AQ511" s="408"/>
      <c r="AR511" s="408"/>
      <c r="AS511" s="408"/>
      <c r="AT511" s="408"/>
      <c r="AU511" s="408"/>
      <c r="AV511" s="408"/>
      <c r="AW511" s="408"/>
      <c r="AX511" s="408"/>
      <c r="AY511" s="408"/>
      <c r="AZ511" s="408">
        <v>0</v>
      </c>
      <c r="BA511" s="408"/>
      <c r="BB511" s="408"/>
      <c r="BC511" s="408"/>
      <c r="BD511" s="408"/>
      <c r="BE511" s="408"/>
      <c r="BF511" s="408"/>
      <c r="BG511" s="408"/>
      <c r="BH511" s="408"/>
      <c r="BI511" s="408">
        <v>0</v>
      </c>
      <c r="BJ511" s="408">
        <v>0</v>
      </c>
      <c r="BK511" s="408">
        <v>70023.149999999994</v>
      </c>
      <c r="BL511" s="408">
        <v>1</v>
      </c>
      <c r="BM511" s="408"/>
      <c r="BN511" s="408"/>
      <c r="BO511" s="408"/>
      <c r="BP511" s="408"/>
      <c r="BQ511" s="408"/>
      <c r="BR511" s="408"/>
      <c r="BS511" s="408"/>
      <c r="BT511" s="408"/>
      <c r="BU511" s="408"/>
      <c r="BV511" s="408"/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/>
      <c r="CJ511" s="408">
        <v>-0.03</v>
      </c>
      <c r="CK511" s="408"/>
      <c r="CL511" s="408"/>
      <c r="CM511" s="408"/>
      <c r="CN511" s="408"/>
      <c r="CO511" s="408">
        <v>0</v>
      </c>
      <c r="CP511" s="408">
        <v>0</v>
      </c>
      <c r="CQ511" s="408">
        <v>31</v>
      </c>
      <c r="CR511" s="408"/>
      <c r="CS511" s="408"/>
      <c r="CT511" s="408"/>
      <c r="CU511" s="408"/>
      <c r="CV511" s="408"/>
      <c r="CW511" s="408"/>
      <c r="CX511" s="408"/>
      <c r="CY511" s="408"/>
      <c r="CZ511" s="408"/>
      <c r="DA511" s="408"/>
      <c r="DB511" s="408"/>
      <c r="DC511" s="408"/>
      <c r="DD511" s="408"/>
      <c r="DE511" s="408"/>
      <c r="DF511" s="408"/>
      <c r="DG511" s="408"/>
      <c r="DH511" s="408"/>
      <c r="DI511" s="408"/>
      <c r="DJ511" s="408"/>
      <c r="DK511" s="408">
        <v>0</v>
      </c>
      <c r="DL511" s="408"/>
      <c r="DM511" s="408"/>
      <c r="DN511" s="408"/>
      <c r="DO511" s="408"/>
      <c r="DP511" s="408"/>
      <c r="DQ511" s="408"/>
      <c r="DR511" s="408"/>
      <c r="DS511" s="408"/>
      <c r="DT511" s="408"/>
      <c r="DU511" s="408"/>
      <c r="DV511" s="408"/>
      <c r="DW511" s="408"/>
      <c r="DX511" s="408"/>
      <c r="DY511" s="408"/>
      <c r="DZ511" s="408"/>
      <c r="EA511" s="408"/>
      <c r="EB511" s="408"/>
      <c r="EC511" s="408"/>
      <c r="ED511" s="408"/>
      <c r="EE511" s="408"/>
      <c r="EF511" s="408"/>
      <c r="EG511" s="408"/>
      <c r="EH511" s="408"/>
      <c r="EI511" s="408"/>
      <c r="EJ511" s="408"/>
      <c r="EK511" s="408"/>
      <c r="EL511" s="408"/>
      <c r="EM511" s="408"/>
      <c r="EN511" s="408"/>
      <c r="EO511" s="408"/>
      <c r="EP511" s="408"/>
      <c r="EQ511" s="408"/>
      <c r="ER511" s="408"/>
      <c r="ES511" s="408"/>
      <c r="ET511" s="408"/>
      <c r="EU511" s="408"/>
      <c r="EV511" s="408">
        <v>239</v>
      </c>
      <c r="EW511" s="408"/>
      <c r="EX511" s="408"/>
      <c r="EY511" s="408"/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516</v>
      </c>
      <c r="B512" s="408" t="s">
        <v>1034</v>
      </c>
      <c r="C512" s="408" t="s">
        <v>2241</v>
      </c>
      <c r="D512" s="408" t="s">
        <v>596</v>
      </c>
      <c r="E512" s="408" t="s">
        <v>968</v>
      </c>
      <c r="F512" s="408" t="s">
        <v>1320</v>
      </c>
      <c r="G512" s="408" t="s">
        <v>1320</v>
      </c>
      <c r="H512" s="408" t="s">
        <v>1320</v>
      </c>
      <c r="I512" s="408" t="s">
        <v>971</v>
      </c>
      <c r="J512" s="408" t="s">
        <v>2234</v>
      </c>
      <c r="K512" s="827">
        <v>44621</v>
      </c>
      <c r="L512" s="408">
        <v>0</v>
      </c>
      <c r="M512" s="408">
        <v>0</v>
      </c>
      <c r="N512" s="408">
        <v>38.469000000000001</v>
      </c>
      <c r="O512" s="408">
        <v>38.469000000000001</v>
      </c>
      <c r="P512" s="408">
        <v>38.469000000000001</v>
      </c>
      <c r="Q512" s="408">
        <v>38.469000000000001</v>
      </c>
      <c r="R512" s="408"/>
      <c r="S512" s="408">
        <v>1684.16</v>
      </c>
      <c r="T512" s="408">
        <v>173.82</v>
      </c>
      <c r="U512" s="408"/>
      <c r="V512" s="408">
        <v>71474.632620000004</v>
      </c>
      <c r="W512" s="408">
        <v>71474.632620000004</v>
      </c>
      <c r="X512" s="408">
        <v>49065.670740000001</v>
      </c>
      <c r="Y512" s="408">
        <v>0</v>
      </c>
      <c r="Z512" s="408">
        <v>2046.5518197932131</v>
      </c>
      <c r="AA512" s="408">
        <v>0</v>
      </c>
      <c r="AB512" s="408">
        <v>0</v>
      </c>
      <c r="AC512" s="408">
        <v>692.41891320416119</v>
      </c>
      <c r="AD512" s="408">
        <v>10563.046109626612</v>
      </c>
      <c r="AE512" s="408">
        <v>44558.352470462167</v>
      </c>
      <c r="AF512" s="408">
        <v>6190.5136321436166</v>
      </c>
      <c r="AG512" s="408">
        <v>311.43984576741502</v>
      </c>
      <c r="AH512" s="408">
        <v>0</v>
      </c>
      <c r="AI512" s="408">
        <v>0</v>
      </c>
      <c r="AJ512" s="408">
        <v>0</v>
      </c>
      <c r="AK512" s="408">
        <v>0</v>
      </c>
      <c r="AL512" s="408">
        <v>363.58962492195457</v>
      </c>
      <c r="AM512" s="408"/>
      <c r="AN512" s="408">
        <v>47.80660597799622</v>
      </c>
      <c r="AO512" s="408">
        <v>1487.0631892668632</v>
      </c>
      <c r="AP512" s="408">
        <v>4781.6455750364503</v>
      </c>
      <c r="AQ512" s="408">
        <v>0</v>
      </c>
      <c r="AR512" s="408">
        <v>0</v>
      </c>
      <c r="AS512" s="408">
        <v>0</v>
      </c>
      <c r="AT512" s="408">
        <v>0</v>
      </c>
      <c r="AU512" s="408">
        <v>0</v>
      </c>
      <c r="AV512" s="408">
        <v>0</v>
      </c>
      <c r="AW512" s="408">
        <v>0</v>
      </c>
      <c r="AX512" s="408">
        <v>0</v>
      </c>
      <c r="AY512" s="408">
        <v>0</v>
      </c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7.1780701484437346</v>
      </c>
      <c r="BF512" s="408">
        <v>184.87002465379604</v>
      </c>
      <c r="BG512" s="408">
        <v>240.36314805301103</v>
      </c>
      <c r="BH512" s="408">
        <v>0</v>
      </c>
      <c r="BI512" s="408">
        <v>0</v>
      </c>
      <c r="BJ512" s="408">
        <v>0</v>
      </c>
      <c r="BK512" s="408">
        <v>0</v>
      </c>
      <c r="BL512" s="408">
        <v>0</v>
      </c>
      <c r="BM512" s="408"/>
      <c r="BN512" s="408"/>
      <c r="BO512" s="408"/>
      <c r="BP512" s="408"/>
      <c r="BQ512" s="408"/>
      <c r="BR512" s="408"/>
      <c r="BS512" s="408"/>
      <c r="BT512" s="408"/>
      <c r="BU512" s="408"/>
      <c r="BV512" s="408">
        <v>6622.9248749988683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49066.946199999998</v>
      </c>
      <c r="CJ512" s="408">
        <v>-22407.716420000004</v>
      </c>
      <c r="CK512" s="408"/>
      <c r="CL512" s="408"/>
      <c r="CM512" s="408"/>
      <c r="CN512" s="408"/>
      <c r="CO512" s="408">
        <v>-23224.119990000003</v>
      </c>
      <c r="CP512" s="408">
        <v>815.15810999999997</v>
      </c>
      <c r="CQ512" s="408">
        <v>31</v>
      </c>
      <c r="CR512" s="408">
        <v>1182.0765728158112</v>
      </c>
      <c r="CS512" s="408">
        <v>144.38444083207628</v>
      </c>
      <c r="CT512" s="408">
        <v>464.26757624816037</v>
      </c>
      <c r="CU512" s="408">
        <v>0</v>
      </c>
      <c r="CV512" s="408">
        <v>0</v>
      </c>
      <c r="CW512" s="408">
        <v>0</v>
      </c>
      <c r="CX512" s="408">
        <v>0</v>
      </c>
      <c r="CY512" s="408">
        <v>0</v>
      </c>
      <c r="CZ512" s="408">
        <v>-202.53804274693175</v>
      </c>
      <c r="DA512" s="408">
        <v>0</v>
      </c>
      <c r="DB512" s="408">
        <v>0</v>
      </c>
      <c r="DC512" s="408">
        <v>794.62084256621711</v>
      </c>
      <c r="DD512" s="408">
        <v>23.73011085749971</v>
      </c>
      <c r="DE512" s="408">
        <v>0.9213846359596003</v>
      </c>
      <c r="DF512" s="408">
        <v>0</v>
      </c>
      <c r="DG512" s="408">
        <v>30.853266558692127</v>
      </c>
      <c r="DH512" s="408">
        <v>0</v>
      </c>
      <c r="DI512" s="408">
        <v>-59.811511507826026</v>
      </c>
      <c r="DJ512" s="408"/>
      <c r="DK512" s="408">
        <v>0</v>
      </c>
      <c r="DL512" s="408">
        <v>0</v>
      </c>
      <c r="DM512" s="408">
        <v>-3.4615395817025387</v>
      </c>
      <c r="DN512" s="408">
        <v>0</v>
      </c>
      <c r="DO512" s="408">
        <v>-9.416845699720966</v>
      </c>
      <c r="DP512" s="408">
        <v>-1.4731093466139811</v>
      </c>
      <c r="DQ512" s="408">
        <v>0</v>
      </c>
      <c r="DR512" s="408">
        <v>0</v>
      </c>
      <c r="DS512" s="408"/>
      <c r="DT512" s="408"/>
      <c r="DU512" s="408"/>
      <c r="DV512" s="408">
        <v>44558.352470462167</v>
      </c>
      <c r="DW512" s="408">
        <v>0</v>
      </c>
      <c r="DX512" s="408">
        <v>0</v>
      </c>
      <c r="DY512" s="408">
        <v>-23224.119990000007</v>
      </c>
      <c r="DZ512" s="408">
        <v>815.1581099999994</v>
      </c>
      <c r="EA512" s="408">
        <v>0</v>
      </c>
      <c r="EB512" s="408">
        <v>0</v>
      </c>
      <c r="EC512" s="408">
        <v>-23591.285350938149</v>
      </c>
      <c r="ED512" s="408">
        <v>0</v>
      </c>
      <c r="EE512" s="408">
        <v>0</v>
      </c>
      <c r="EF512" s="408">
        <v>0</v>
      </c>
      <c r="EG512" s="408">
        <v>0</v>
      </c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>
        <v>0</v>
      </c>
      <c r="EN512" s="408">
        <v>0</v>
      </c>
      <c r="EO512" s="408">
        <v>0</v>
      </c>
      <c r="EP512" s="408">
        <v>0</v>
      </c>
      <c r="EQ512" s="408">
        <v>0</v>
      </c>
      <c r="ER512" s="408">
        <v>0</v>
      </c>
      <c r="ES512" s="408">
        <v>0</v>
      </c>
      <c r="ET512" s="408">
        <v>0</v>
      </c>
      <c r="EU512" s="408">
        <v>0</v>
      </c>
      <c r="EV512" s="408">
        <v>239</v>
      </c>
      <c r="EW512" s="408">
        <v>0</v>
      </c>
      <c r="EX512" s="408">
        <v>0</v>
      </c>
      <c r="EY512" s="408">
        <v>0</v>
      </c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517</v>
      </c>
      <c r="B513" s="408" t="s">
        <v>2236</v>
      </c>
      <c r="C513" s="408" t="s">
        <v>2241</v>
      </c>
      <c r="D513" s="408" t="s">
        <v>596</v>
      </c>
      <c r="E513" s="408" t="s">
        <v>968</v>
      </c>
      <c r="F513" s="408" t="s">
        <v>1320</v>
      </c>
      <c r="G513" s="408" t="s">
        <v>1320</v>
      </c>
      <c r="H513" s="408" t="s">
        <v>1320</v>
      </c>
      <c r="I513" s="408" t="s">
        <v>971</v>
      </c>
      <c r="J513" s="408" t="s">
        <v>2234</v>
      </c>
      <c r="K513" s="827">
        <v>44621</v>
      </c>
      <c r="L513" s="408">
        <v>0</v>
      </c>
      <c r="M513" s="408">
        <v>0</v>
      </c>
      <c r="N513" s="408">
        <v>1.7999999999999999E-2</v>
      </c>
      <c r="O513" s="408">
        <v>1.7999999999999999E-2</v>
      </c>
      <c r="P513" s="408">
        <v>1.7999999999999999E-2</v>
      </c>
      <c r="Q513" s="408">
        <v>1.7999999999999999E-2</v>
      </c>
      <c r="R513" s="408"/>
      <c r="S513" s="408">
        <v>1684.16</v>
      </c>
      <c r="T513" s="408">
        <v>173.82</v>
      </c>
      <c r="U513" s="408"/>
      <c r="V513" s="408">
        <v>33.443640000000002</v>
      </c>
      <c r="W513" s="408">
        <v>33.443640000000002</v>
      </c>
      <c r="X513" s="408">
        <v>22.958279999999998</v>
      </c>
      <c r="Y513" s="408">
        <v>0</v>
      </c>
      <c r="Z513" s="408">
        <v>0.95760047717065255</v>
      </c>
      <c r="AA513" s="408">
        <v>0</v>
      </c>
      <c r="AB513" s="408">
        <v>0</v>
      </c>
      <c r="AC513" s="408">
        <v>0.32398919747523719</v>
      </c>
      <c r="AD513" s="408">
        <v>4.9425467252405575</v>
      </c>
      <c r="AE513" s="408">
        <v>20.849264198921698</v>
      </c>
      <c r="AF513" s="408">
        <v>2.8965984397459015</v>
      </c>
      <c r="AG513" s="408">
        <v>0.14572557705720113</v>
      </c>
      <c r="AH513" s="408">
        <v>0</v>
      </c>
      <c r="AI513" s="408">
        <v>0</v>
      </c>
      <c r="AJ513" s="408">
        <v>0</v>
      </c>
      <c r="AK513" s="408">
        <v>0</v>
      </c>
      <c r="AL513" s="408">
        <v>0.1701269398371463</v>
      </c>
      <c r="AM513" s="408"/>
      <c r="AN513" s="408">
        <v>2.2369151982217679E-2</v>
      </c>
      <c r="AO513" s="408">
        <v>0.69581058532333917</v>
      </c>
      <c r="AP513" s="408">
        <v>2.237376078157896</v>
      </c>
      <c r="AQ513" s="408">
        <v>0</v>
      </c>
      <c r="AR513" s="408">
        <v>0</v>
      </c>
      <c r="AS513" s="408">
        <v>0</v>
      </c>
      <c r="AT513" s="408">
        <v>0</v>
      </c>
      <c r="AU513" s="408">
        <v>0</v>
      </c>
      <c r="AV513" s="408">
        <v>0</v>
      </c>
      <c r="AW513" s="408">
        <v>0</v>
      </c>
      <c r="AX513" s="408">
        <v>0</v>
      </c>
      <c r="AY513" s="408">
        <v>0</v>
      </c>
      <c r="AZ513" s="408">
        <v>0</v>
      </c>
      <c r="BA513" s="408"/>
      <c r="BB513" s="408">
        <v>0</v>
      </c>
      <c r="BC513" s="408">
        <v>0</v>
      </c>
      <c r="BD513" s="408">
        <v>0</v>
      </c>
      <c r="BE513" s="408">
        <v>3.3586852445342276E-3</v>
      </c>
      <c r="BF513" s="408">
        <v>8.6502390074302132E-2</v>
      </c>
      <c r="BG513" s="408">
        <v>0.11246813447072183</v>
      </c>
      <c r="BH513" s="408">
        <v>0</v>
      </c>
      <c r="BI513" s="408">
        <v>0</v>
      </c>
      <c r="BJ513" s="408">
        <v>0</v>
      </c>
      <c r="BK513" s="408">
        <v>0</v>
      </c>
      <c r="BL513" s="408">
        <v>0</v>
      </c>
      <c r="BM513" s="408"/>
      <c r="BN513" s="408"/>
      <c r="BO513" s="408"/>
      <c r="BP513" s="408"/>
      <c r="BQ513" s="408"/>
      <c r="BR513" s="408"/>
      <c r="BS513" s="408"/>
      <c r="BT513" s="408"/>
      <c r="BU513" s="408"/>
      <c r="BV513" s="408">
        <v>3.0989276495354598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25.5092</v>
      </c>
      <c r="CJ513" s="408">
        <v>-7.9644399999999962</v>
      </c>
      <c r="CK513" s="408"/>
      <c r="CL513" s="408"/>
      <c r="CM513" s="408"/>
      <c r="CN513" s="408"/>
      <c r="CO513" s="408">
        <v>-10.86678</v>
      </c>
      <c r="CP513" s="408">
        <v>0.38141999999999993</v>
      </c>
      <c r="CQ513" s="408">
        <v>31</v>
      </c>
      <c r="CR513" s="408">
        <v>0.55310453379824054</v>
      </c>
      <c r="CS513" s="408">
        <v>6.7558811899903093E-2</v>
      </c>
      <c r="CT513" s="408">
        <v>0.21723508207821585</v>
      </c>
      <c r="CU513" s="408">
        <v>0</v>
      </c>
      <c r="CV513" s="408">
        <v>0</v>
      </c>
      <c r="CW513" s="408">
        <v>0</v>
      </c>
      <c r="CX513" s="408">
        <v>0</v>
      </c>
      <c r="CY513" s="408">
        <v>0</v>
      </c>
      <c r="CZ513" s="408">
        <v>-9.4769418738329669E-2</v>
      </c>
      <c r="DA513" s="408">
        <v>0</v>
      </c>
      <c r="DB513" s="408">
        <v>0</v>
      </c>
      <c r="DC513" s="408">
        <v>0.37181042309890833</v>
      </c>
      <c r="DD513" s="408">
        <v>1.1103537794977622E-2</v>
      </c>
      <c r="DE513" s="408">
        <v>4.311243715010224E-4</v>
      </c>
      <c r="DF513" s="408">
        <v>0</v>
      </c>
      <c r="DG513" s="408">
        <v>1.4436528063023688E-2</v>
      </c>
      <c r="DH513" s="408">
        <v>0</v>
      </c>
      <c r="DI513" s="408">
        <v>-2.7986358032204395E-2</v>
      </c>
      <c r="DJ513" s="408"/>
      <c r="DK513" s="408">
        <v>0</v>
      </c>
      <c r="DL513" s="408">
        <v>0</v>
      </c>
      <c r="DM513" s="408">
        <v>-1.6196863050935983E-3</v>
      </c>
      <c r="DN513" s="408">
        <v>0</v>
      </c>
      <c r="DO513" s="408">
        <v>-4.4062289790474662E-3</v>
      </c>
      <c r="DP513" s="408">
        <v>-6.8928145361334126E-4</v>
      </c>
      <c r="DQ513" s="408">
        <v>0</v>
      </c>
      <c r="DR513" s="408">
        <v>0</v>
      </c>
      <c r="DS513" s="408"/>
      <c r="DT513" s="408"/>
      <c r="DU513" s="408"/>
      <c r="DV513" s="408">
        <v>20.849264198921698</v>
      </c>
      <c r="DW513" s="408">
        <v>0</v>
      </c>
      <c r="DX513" s="408">
        <v>0</v>
      </c>
      <c r="DY513" s="408">
        <v>-10.866779999999999</v>
      </c>
      <c r="DZ513" s="408">
        <v>0.38141999999999987</v>
      </c>
      <c r="EA513" s="408">
        <v>0</v>
      </c>
      <c r="EB513" s="408">
        <v>0</v>
      </c>
      <c r="EC513" s="408">
        <v>-11.038580059707467</v>
      </c>
      <c r="ED513" s="408">
        <v>0</v>
      </c>
      <c r="EE513" s="408">
        <v>0</v>
      </c>
      <c r="EF513" s="408">
        <v>0</v>
      </c>
      <c r="EG513" s="408">
        <v>0</v>
      </c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>
        <v>0</v>
      </c>
      <c r="EN513" s="408">
        <v>0</v>
      </c>
      <c r="EO513" s="408">
        <v>0</v>
      </c>
      <c r="EP513" s="408">
        <v>0</v>
      </c>
      <c r="EQ513" s="408">
        <v>0</v>
      </c>
      <c r="ER513" s="408">
        <v>0</v>
      </c>
      <c r="ES513" s="408">
        <v>0</v>
      </c>
      <c r="ET513" s="408">
        <v>0</v>
      </c>
      <c r="EU513" s="408">
        <v>0</v>
      </c>
      <c r="EV513" s="408">
        <v>239</v>
      </c>
      <c r="EW513" s="408">
        <v>0</v>
      </c>
      <c r="EX513" s="408">
        <v>0</v>
      </c>
      <c r="EY513" s="408">
        <v>0</v>
      </c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518</v>
      </c>
      <c r="B514" s="408" t="s">
        <v>1034</v>
      </c>
      <c r="C514" s="408" t="s">
        <v>2241</v>
      </c>
      <c r="D514" s="408" t="s">
        <v>596</v>
      </c>
      <c r="E514" s="408" t="s">
        <v>968</v>
      </c>
      <c r="F514" s="408" t="s">
        <v>1320</v>
      </c>
      <c r="G514" s="408" t="s">
        <v>1320</v>
      </c>
      <c r="H514" s="408" t="s">
        <v>1320</v>
      </c>
      <c r="I514" s="408" t="s">
        <v>2242</v>
      </c>
      <c r="J514" s="408" t="s">
        <v>2234</v>
      </c>
      <c r="K514" s="827">
        <v>44621</v>
      </c>
      <c r="L514" s="408">
        <v>0</v>
      </c>
      <c r="M514" s="408">
        <v>0</v>
      </c>
      <c r="N514" s="408">
        <v>938.06799999999998</v>
      </c>
      <c r="O514" s="408">
        <v>938.06799999999998</v>
      </c>
      <c r="P514" s="408">
        <v>938.06799999999998</v>
      </c>
      <c r="Q514" s="408">
        <v>938.06799999999998</v>
      </c>
      <c r="R514" s="408"/>
      <c r="S514" s="408">
        <v>70.33</v>
      </c>
      <c r="T514" s="408">
        <v>173.82</v>
      </c>
      <c r="U514" s="408"/>
      <c r="V514" s="408">
        <v>229029.30219999998</v>
      </c>
      <c r="W514" s="408">
        <v>229029.30219999998</v>
      </c>
      <c r="X514" s="408">
        <v>247959.51443999997</v>
      </c>
      <c r="Y514" s="408">
        <v>0</v>
      </c>
      <c r="Z514" s="408">
        <v>49905.242467695542</v>
      </c>
      <c r="AA514" s="408">
        <v>0</v>
      </c>
      <c r="AB514" s="408">
        <v>0</v>
      </c>
      <c r="AC514" s="408">
        <v>0</v>
      </c>
      <c r="AD514" s="408">
        <v>0</v>
      </c>
      <c r="AE514" s="408">
        <v>0</v>
      </c>
      <c r="AF514" s="408">
        <v>150955.9058430866</v>
      </c>
      <c r="AG514" s="408">
        <v>7594.4722566052524</v>
      </c>
      <c r="AH514" s="408">
        <v>0</v>
      </c>
      <c r="AI514" s="408">
        <v>0</v>
      </c>
      <c r="AJ514" s="408">
        <v>0</v>
      </c>
      <c r="AK514" s="408">
        <v>0</v>
      </c>
      <c r="AL514" s="408">
        <v>8866.1465666195654</v>
      </c>
      <c r="AM514" s="408"/>
      <c r="AN514" s="408">
        <v>1165.765870091943</v>
      </c>
      <c r="AO514" s="408">
        <v>0</v>
      </c>
      <c r="AP514" s="408">
        <v>0</v>
      </c>
      <c r="AQ514" s="408">
        <v>0</v>
      </c>
      <c r="AR514" s="408">
        <v>0</v>
      </c>
      <c r="AS514" s="408">
        <v>0</v>
      </c>
      <c r="AT514" s="408">
        <v>0</v>
      </c>
      <c r="AU514" s="408">
        <v>0</v>
      </c>
      <c r="AV514" s="408">
        <v>0</v>
      </c>
      <c r="AW514" s="408">
        <v>0</v>
      </c>
      <c r="AX514" s="408">
        <v>0</v>
      </c>
      <c r="AY514" s="408">
        <v>0</v>
      </c>
      <c r="AZ514" s="408">
        <v>0</v>
      </c>
      <c r="BA514" s="408"/>
      <c r="BB514" s="408">
        <v>0</v>
      </c>
      <c r="BC514" s="408">
        <v>0</v>
      </c>
      <c r="BD514" s="408">
        <v>0</v>
      </c>
      <c r="BE514" s="408">
        <v>175.03750833165188</v>
      </c>
      <c r="BF514" s="408">
        <v>4508.0624473455809</v>
      </c>
      <c r="BG514" s="408">
        <v>5861.2643314822826</v>
      </c>
      <c r="BH514" s="408">
        <v>0</v>
      </c>
      <c r="BI514" s="408">
        <v>0</v>
      </c>
      <c r="BJ514" s="408">
        <v>0</v>
      </c>
      <c r="BK514" s="408">
        <v>0</v>
      </c>
      <c r="BL514" s="408">
        <v>0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>
        <v>161500.27013024612</v>
      </c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>
        <v>247960.04310000001</v>
      </c>
      <c r="CJ514" s="408">
        <v>18930.710900000005</v>
      </c>
      <c r="CK514" s="408"/>
      <c r="CL514" s="408"/>
      <c r="CM514" s="408"/>
      <c r="CN514" s="408"/>
      <c r="CO514" s="408">
        <v>-947.44868000000474</v>
      </c>
      <c r="CP514" s="408">
        <v>19877.660919999998</v>
      </c>
      <c r="CQ514" s="408">
        <v>31</v>
      </c>
      <c r="CR514" s="408">
        <v>18921.876909544982</v>
      </c>
      <c r="CS514" s="408">
        <v>0</v>
      </c>
      <c r="CT514" s="408">
        <v>0</v>
      </c>
      <c r="CU514" s="408">
        <v>0</v>
      </c>
      <c r="CV514" s="408">
        <v>0</v>
      </c>
      <c r="CW514" s="408">
        <v>0</v>
      </c>
      <c r="CX514" s="408">
        <v>0</v>
      </c>
      <c r="CY514" s="408">
        <v>0</v>
      </c>
      <c r="CZ514" s="408">
        <v>0</v>
      </c>
      <c r="DA514" s="408">
        <v>0</v>
      </c>
      <c r="DB514" s="408">
        <v>0</v>
      </c>
      <c r="DC514" s="408">
        <v>19376.858887530369</v>
      </c>
      <c r="DD514" s="408">
        <v>578.65963845883743</v>
      </c>
      <c r="DE514" s="408">
        <v>22.467998718067832</v>
      </c>
      <c r="DF514" s="408">
        <v>0</v>
      </c>
      <c r="DG514" s="408">
        <v>752.35805594580688</v>
      </c>
      <c r="DH514" s="408">
        <v>0</v>
      </c>
      <c r="DI514" s="408">
        <v>-1458.5059392529947</v>
      </c>
      <c r="DJ514" s="408"/>
      <c r="DK514" s="408">
        <v>0</v>
      </c>
      <c r="DL514" s="408">
        <v>0</v>
      </c>
      <c r="DM514" s="408">
        <v>-84.409771824807649</v>
      </c>
      <c r="DN514" s="408">
        <v>0</v>
      </c>
      <c r="DO514" s="408">
        <v>-229.63013366206178</v>
      </c>
      <c r="DP514" s="408">
        <v>-35.921826368230995</v>
      </c>
      <c r="DQ514" s="408">
        <v>0</v>
      </c>
      <c r="DR514" s="408">
        <v>0</v>
      </c>
      <c r="DS514" s="408"/>
      <c r="DT514" s="408"/>
      <c r="DU514" s="408"/>
      <c r="DV514" s="408">
        <v>0</v>
      </c>
      <c r="DW514" s="408">
        <v>0</v>
      </c>
      <c r="DX514" s="408">
        <v>0</v>
      </c>
      <c r="DY514" s="408">
        <v>-947.44868000000861</v>
      </c>
      <c r="DZ514" s="408">
        <v>19877.660919999995</v>
      </c>
      <c r="EA514" s="408">
        <v>0</v>
      </c>
      <c r="EB514" s="408">
        <v>0</v>
      </c>
      <c r="EC514" s="408">
        <v>0</v>
      </c>
      <c r="ED514" s="408">
        <v>0</v>
      </c>
      <c r="EE514" s="408">
        <v>0</v>
      </c>
      <c r="EF514" s="408">
        <v>0</v>
      </c>
      <c r="EG514" s="408">
        <v>0</v>
      </c>
      <c r="EH514" s="408">
        <v>0</v>
      </c>
      <c r="EI514" s="408">
        <v>0</v>
      </c>
      <c r="EJ514" s="408">
        <v>0</v>
      </c>
      <c r="EK514" s="408">
        <v>0</v>
      </c>
      <c r="EL514" s="408">
        <v>0</v>
      </c>
      <c r="EM514" s="408">
        <v>0</v>
      </c>
      <c r="EN514" s="408">
        <v>0</v>
      </c>
      <c r="EO514" s="408">
        <v>0</v>
      </c>
      <c r="EP514" s="408">
        <v>0</v>
      </c>
      <c r="EQ514" s="408">
        <v>0</v>
      </c>
      <c r="ER514" s="408">
        <v>0</v>
      </c>
      <c r="ES514" s="408">
        <v>0</v>
      </c>
      <c r="ET514" s="408">
        <v>0</v>
      </c>
      <c r="EU514" s="408">
        <v>0</v>
      </c>
      <c r="EV514" s="408">
        <v>239</v>
      </c>
      <c r="EW514" s="408">
        <v>0</v>
      </c>
      <c r="EX514" s="408">
        <v>0</v>
      </c>
      <c r="EY514" s="408">
        <v>0</v>
      </c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519</v>
      </c>
      <c r="B515" s="408" t="s">
        <v>2236</v>
      </c>
      <c r="C515" s="408" t="s">
        <v>2241</v>
      </c>
      <c r="D515" s="408" t="s">
        <v>596</v>
      </c>
      <c r="E515" s="408" t="s">
        <v>968</v>
      </c>
      <c r="F515" s="408" t="s">
        <v>1320</v>
      </c>
      <c r="G515" s="408" t="s">
        <v>1320</v>
      </c>
      <c r="H515" s="408" t="s">
        <v>1320</v>
      </c>
      <c r="I515" s="408" t="s">
        <v>2242</v>
      </c>
      <c r="J515" s="408" t="s">
        <v>2234</v>
      </c>
      <c r="K515" s="827">
        <v>44621</v>
      </c>
      <c r="L515" s="408">
        <v>0</v>
      </c>
      <c r="M515" s="408">
        <v>0</v>
      </c>
      <c r="N515" s="408">
        <v>1.9950000000000001</v>
      </c>
      <c r="O515" s="408">
        <v>1.9950000000000001</v>
      </c>
      <c r="P515" s="408">
        <v>1.9950000000000001</v>
      </c>
      <c r="Q515" s="408">
        <v>1.9950000000000001</v>
      </c>
      <c r="R515" s="408"/>
      <c r="S515" s="408">
        <v>70.33</v>
      </c>
      <c r="T515" s="408">
        <v>173.82</v>
      </c>
      <c r="U515" s="408"/>
      <c r="V515" s="408">
        <v>487.07925</v>
      </c>
      <c r="W515" s="408">
        <v>487.07925</v>
      </c>
      <c r="X515" s="408">
        <v>527.33834999999999</v>
      </c>
      <c r="Y515" s="408">
        <v>0</v>
      </c>
      <c r="Z515" s="408">
        <v>106.134052886414</v>
      </c>
      <c r="AA515" s="408">
        <v>0</v>
      </c>
      <c r="AB515" s="408">
        <v>0</v>
      </c>
      <c r="AC515" s="408">
        <v>0</v>
      </c>
      <c r="AD515" s="408">
        <v>0</v>
      </c>
      <c r="AE515" s="408">
        <v>0</v>
      </c>
      <c r="AF515" s="408">
        <v>321.03966040517082</v>
      </c>
      <c r="AG515" s="408">
        <v>16.151251457173124</v>
      </c>
      <c r="AH515" s="408">
        <v>0</v>
      </c>
      <c r="AI515" s="408">
        <v>0</v>
      </c>
      <c r="AJ515" s="408">
        <v>0</v>
      </c>
      <c r="AK515" s="408">
        <v>0</v>
      </c>
      <c r="AL515" s="408">
        <v>18.855735831950383</v>
      </c>
      <c r="AM515" s="408"/>
      <c r="AN515" s="408">
        <v>2.4792476780291262</v>
      </c>
      <c r="AO515" s="408">
        <v>0</v>
      </c>
      <c r="AP515" s="408">
        <v>0</v>
      </c>
      <c r="AQ515" s="408">
        <v>0</v>
      </c>
      <c r="AR515" s="408">
        <v>0</v>
      </c>
      <c r="AS515" s="408">
        <v>0</v>
      </c>
      <c r="AT515" s="408">
        <v>0</v>
      </c>
      <c r="AU515" s="408">
        <v>0</v>
      </c>
      <c r="AV515" s="408">
        <v>0</v>
      </c>
      <c r="AW515" s="408">
        <v>0</v>
      </c>
      <c r="AX515" s="408">
        <v>0</v>
      </c>
      <c r="AY515" s="408">
        <v>0</v>
      </c>
      <c r="AZ515" s="408">
        <v>0</v>
      </c>
      <c r="BA515" s="408"/>
      <c r="BB515" s="408">
        <v>0</v>
      </c>
      <c r="BC515" s="408">
        <v>0</v>
      </c>
      <c r="BD515" s="408">
        <v>0</v>
      </c>
      <c r="BE515" s="408">
        <v>0.37225428126921029</v>
      </c>
      <c r="BF515" s="408">
        <v>9.5873482332351543</v>
      </c>
      <c r="BG515" s="408">
        <v>12.465218237171671</v>
      </c>
      <c r="BH515" s="408">
        <v>0</v>
      </c>
      <c r="BI515" s="408">
        <v>0</v>
      </c>
      <c r="BJ515" s="408">
        <v>0</v>
      </c>
      <c r="BK515" s="408">
        <v>0</v>
      </c>
      <c r="BL515" s="408">
        <v>0</v>
      </c>
      <c r="BM515" s="408"/>
      <c r="BN515" s="408"/>
      <c r="BO515" s="408"/>
      <c r="BP515" s="408"/>
      <c r="BQ515" s="408"/>
      <c r="BR515" s="408"/>
      <c r="BS515" s="408"/>
      <c r="BT515" s="408"/>
      <c r="BU515" s="408"/>
      <c r="BV515" s="408">
        <v>343.46448115684683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528.66</v>
      </c>
      <c r="CJ515" s="408">
        <v>41.550749999999994</v>
      </c>
      <c r="CK515" s="408"/>
      <c r="CL515" s="408"/>
      <c r="CM515" s="408"/>
      <c r="CN515" s="408"/>
      <c r="CO515" s="408">
        <v>-2.0149500000000105</v>
      </c>
      <c r="CP515" s="408">
        <v>42.274049999999995</v>
      </c>
      <c r="CQ515" s="408">
        <v>31</v>
      </c>
      <c r="CR515" s="408">
        <v>40.241373156895008</v>
      </c>
      <c r="CS515" s="408">
        <v>0</v>
      </c>
      <c r="CT515" s="408">
        <v>0</v>
      </c>
      <c r="CU515" s="408">
        <v>0</v>
      </c>
      <c r="CV515" s="408">
        <v>0</v>
      </c>
      <c r="CW515" s="408">
        <v>0</v>
      </c>
      <c r="CX515" s="408">
        <v>0</v>
      </c>
      <c r="CY515" s="408">
        <v>0</v>
      </c>
      <c r="CZ515" s="408">
        <v>0</v>
      </c>
      <c r="DA515" s="408">
        <v>0</v>
      </c>
      <c r="DB515" s="408">
        <v>0</v>
      </c>
      <c r="DC515" s="408">
        <v>41.208988560129001</v>
      </c>
      <c r="DD515" s="408">
        <v>1.2306421056100199</v>
      </c>
      <c r="DE515" s="408">
        <v>4.7782951174696608E-2</v>
      </c>
      <c r="DF515" s="408">
        <v>0</v>
      </c>
      <c r="DG515" s="408">
        <v>1.6000485269851268</v>
      </c>
      <c r="DH515" s="408">
        <v>0</v>
      </c>
      <c r="DI515" s="408">
        <v>-3.1018213485693167</v>
      </c>
      <c r="DJ515" s="408"/>
      <c r="DK515" s="408">
        <v>0</v>
      </c>
      <c r="DL515" s="408">
        <v>0</v>
      </c>
      <c r="DM515" s="408">
        <v>-0.17951523214787279</v>
      </c>
      <c r="DN515" s="408">
        <v>0</v>
      </c>
      <c r="DO515" s="408">
        <v>-0.4883570451777608</v>
      </c>
      <c r="DP515" s="408">
        <v>-7.6395361108811954E-2</v>
      </c>
      <c r="DQ515" s="408">
        <v>0</v>
      </c>
      <c r="DR515" s="408">
        <v>0</v>
      </c>
      <c r="DS515" s="408"/>
      <c r="DT515" s="408"/>
      <c r="DU515" s="408"/>
      <c r="DV515" s="408">
        <v>0</v>
      </c>
      <c r="DW515" s="408">
        <v>0</v>
      </c>
      <c r="DX515" s="408">
        <v>0</v>
      </c>
      <c r="DY515" s="408">
        <v>-2.0149499999999989</v>
      </c>
      <c r="DZ515" s="408">
        <v>42.274050000000045</v>
      </c>
      <c r="EA515" s="408">
        <v>0</v>
      </c>
      <c r="EB515" s="408">
        <v>0</v>
      </c>
      <c r="EC515" s="408">
        <v>0</v>
      </c>
      <c r="ED515" s="408">
        <v>0</v>
      </c>
      <c r="EE515" s="408">
        <v>0</v>
      </c>
      <c r="EF515" s="408">
        <v>0</v>
      </c>
      <c r="EG515" s="408">
        <v>0</v>
      </c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>
        <v>0</v>
      </c>
      <c r="EN515" s="408">
        <v>0</v>
      </c>
      <c r="EO515" s="408">
        <v>0</v>
      </c>
      <c r="EP515" s="408">
        <v>0</v>
      </c>
      <c r="EQ515" s="408">
        <v>0</v>
      </c>
      <c r="ER515" s="408">
        <v>0</v>
      </c>
      <c r="ES515" s="408">
        <v>0</v>
      </c>
      <c r="ET515" s="408">
        <v>0</v>
      </c>
      <c r="EU515" s="408">
        <v>0</v>
      </c>
      <c r="EV515" s="408">
        <v>239</v>
      </c>
      <c r="EW515" s="408">
        <v>0</v>
      </c>
      <c r="EX515" s="408">
        <v>0</v>
      </c>
      <c r="EY515" s="408">
        <v>0</v>
      </c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520</v>
      </c>
      <c r="B516" s="408" t="s">
        <v>1034</v>
      </c>
      <c r="C516" s="408" t="s">
        <v>2241</v>
      </c>
      <c r="D516" s="408" t="s">
        <v>596</v>
      </c>
      <c r="E516" s="408" t="s">
        <v>968</v>
      </c>
      <c r="F516" s="408" t="s">
        <v>1320</v>
      </c>
      <c r="G516" s="408" t="s">
        <v>1320</v>
      </c>
      <c r="H516" s="408" t="s">
        <v>1320</v>
      </c>
      <c r="I516" s="408" t="s">
        <v>1320</v>
      </c>
      <c r="J516" s="408" t="s">
        <v>2234</v>
      </c>
      <c r="K516" s="827">
        <v>44621</v>
      </c>
      <c r="L516" s="408">
        <v>5218</v>
      </c>
      <c r="M516" s="408">
        <v>5218</v>
      </c>
      <c r="N516" s="408">
        <v>0</v>
      </c>
      <c r="O516" s="408">
        <v>0</v>
      </c>
      <c r="P516" s="408">
        <v>0</v>
      </c>
      <c r="Q516" s="408">
        <v>0</v>
      </c>
      <c r="R516" s="408">
        <v>59.12</v>
      </c>
      <c r="S516" s="408"/>
      <c r="T516" s="408"/>
      <c r="U516" s="408">
        <v>308488.15999999997</v>
      </c>
      <c r="V516" s="408"/>
      <c r="W516" s="408">
        <v>308488.15999999997</v>
      </c>
      <c r="X516" s="408">
        <v>177568.54</v>
      </c>
      <c r="Y516" s="408">
        <v>0</v>
      </c>
      <c r="Z516" s="408">
        <v>0</v>
      </c>
      <c r="AA516" s="408">
        <v>0</v>
      </c>
      <c r="AB516" s="408">
        <v>0</v>
      </c>
      <c r="AC516" s="408">
        <v>2985.0109758751528</v>
      </c>
      <c r="AD516" s="408">
        <v>26700.624191433115</v>
      </c>
      <c r="AE516" s="408">
        <v>251308.26067228775</v>
      </c>
      <c r="AF516" s="408"/>
      <c r="AG516" s="408"/>
      <c r="AH516" s="408"/>
      <c r="AI516" s="408">
        <v>0</v>
      </c>
      <c r="AJ516" s="408">
        <v>0</v>
      </c>
      <c r="AK516" s="408">
        <v>0</v>
      </c>
      <c r="AL516" s="408">
        <v>0</v>
      </c>
      <c r="AM516" s="408"/>
      <c r="AN516" s="408">
        <v>0</v>
      </c>
      <c r="AO516" s="408">
        <v>6303.7202996707329</v>
      </c>
      <c r="AP516" s="408">
        <v>21190.234674456045</v>
      </c>
      <c r="AQ516" s="408">
        <v>0</v>
      </c>
      <c r="AR516" s="408">
        <v>0</v>
      </c>
      <c r="AS516" s="408"/>
      <c r="AT516" s="408"/>
      <c r="AU516" s="408">
        <v>0</v>
      </c>
      <c r="AV516" s="408">
        <v>0</v>
      </c>
      <c r="AW516" s="408">
        <v>0</v>
      </c>
      <c r="AX516" s="408"/>
      <c r="AY516" s="408"/>
      <c r="AZ516" s="408">
        <v>0</v>
      </c>
      <c r="BA516" s="408"/>
      <c r="BB516" s="408">
        <v>0</v>
      </c>
      <c r="BC516" s="408">
        <v>0</v>
      </c>
      <c r="BD516" s="408">
        <v>0</v>
      </c>
      <c r="BE516" s="408">
        <v>0</v>
      </c>
      <c r="BF516" s="408"/>
      <c r="BG516" s="408">
        <v>0</v>
      </c>
      <c r="BH516" s="408">
        <v>0</v>
      </c>
      <c r="BI516" s="408">
        <v>0</v>
      </c>
      <c r="BJ516" s="408">
        <v>0</v>
      </c>
      <c r="BK516" s="408">
        <v>127482.51</v>
      </c>
      <c r="BL516" s="408">
        <v>25</v>
      </c>
      <c r="BM516" s="408"/>
      <c r="BN516" s="408"/>
      <c r="BO516" s="408"/>
      <c r="BP516" s="408"/>
      <c r="BQ516" s="408"/>
      <c r="BR516" s="408"/>
      <c r="BS516" s="408"/>
      <c r="BT516" s="408"/>
      <c r="BU516" s="408"/>
      <c r="BV516" s="408">
        <v>0</v>
      </c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>
        <v>177568.54</v>
      </c>
      <c r="CJ516" s="408">
        <v>-130919.65</v>
      </c>
      <c r="CK516" s="408"/>
      <c r="CL516" s="408"/>
      <c r="CM516" s="408"/>
      <c r="CN516" s="408"/>
      <c r="CO516" s="408">
        <v>-130919.61999999998</v>
      </c>
      <c r="CP516" s="408">
        <v>0</v>
      </c>
      <c r="CQ516" s="408">
        <v>31</v>
      </c>
      <c r="CR516" s="408">
        <v>2157.5260081544984</v>
      </c>
      <c r="CS516" s="408">
        <v>612.05141597142847</v>
      </c>
      <c r="CT516" s="408">
        <v>2057.4379129646913</v>
      </c>
      <c r="CU516" s="408">
        <v>0</v>
      </c>
      <c r="CV516" s="408">
        <v>0</v>
      </c>
      <c r="CW516" s="408"/>
      <c r="CX516" s="408"/>
      <c r="CY516" s="408"/>
      <c r="CZ516" s="408">
        <v>-511.9633207816114</v>
      </c>
      <c r="DA516" s="408">
        <v>0</v>
      </c>
      <c r="DB516" s="408">
        <v>0</v>
      </c>
      <c r="DC516" s="408"/>
      <c r="DD516" s="408"/>
      <c r="DE516" s="408">
        <v>0</v>
      </c>
      <c r="DF516" s="408">
        <v>0</v>
      </c>
      <c r="DG516" s="408">
        <v>0</v>
      </c>
      <c r="DH516" s="408">
        <v>0</v>
      </c>
      <c r="DI516" s="408">
        <v>0</v>
      </c>
      <c r="DJ516" s="408"/>
      <c r="DK516" s="408">
        <v>0</v>
      </c>
      <c r="DL516" s="408">
        <v>0</v>
      </c>
      <c r="DM516" s="408"/>
      <c r="DN516" s="408">
        <v>0</v>
      </c>
      <c r="DO516" s="408">
        <v>0</v>
      </c>
      <c r="DP516" s="408">
        <v>0</v>
      </c>
      <c r="DQ516" s="408">
        <v>0</v>
      </c>
      <c r="DR516" s="408">
        <v>0</v>
      </c>
      <c r="DS516" s="408"/>
      <c r="DT516" s="408"/>
      <c r="DU516" s="408">
        <v>251308.26067228775</v>
      </c>
      <c r="DV516" s="408"/>
      <c r="DW516" s="408">
        <v>0</v>
      </c>
      <c r="DX516" s="408">
        <v>0</v>
      </c>
      <c r="DY516" s="408">
        <v>-130919.61999999997</v>
      </c>
      <c r="DZ516" s="408"/>
      <c r="EA516" s="408">
        <v>0</v>
      </c>
      <c r="EB516" s="408"/>
      <c r="EC516" s="408">
        <v>-133054.40079944691</v>
      </c>
      <c r="ED516" s="408"/>
      <c r="EE516" s="408">
        <v>0</v>
      </c>
      <c r="EF516" s="408">
        <v>0</v>
      </c>
      <c r="EG516" s="408"/>
      <c r="EH516" s="408">
        <v>0</v>
      </c>
      <c r="EI516" s="408">
        <v>0</v>
      </c>
      <c r="EJ516" s="408">
        <v>0</v>
      </c>
      <c r="EK516" s="408">
        <v>0</v>
      </c>
      <c r="EL516" s="408">
        <v>0</v>
      </c>
      <c r="EM516" s="408"/>
      <c r="EN516" s="408"/>
      <c r="EO516" s="408">
        <v>0</v>
      </c>
      <c r="EP516" s="408">
        <v>0</v>
      </c>
      <c r="EQ516" s="408"/>
      <c r="ER516" s="408">
        <v>0</v>
      </c>
      <c r="ES516" s="408"/>
      <c r="ET516" s="408">
        <v>0</v>
      </c>
      <c r="EU516" s="408"/>
      <c r="EV516" s="408">
        <v>239</v>
      </c>
      <c r="EW516" s="408"/>
      <c r="EX516" s="408"/>
      <c r="EY516" s="408"/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521</v>
      </c>
      <c r="B517" s="408" t="s">
        <v>2236</v>
      </c>
      <c r="C517" s="408" t="s">
        <v>2241</v>
      </c>
      <c r="D517" s="408" t="s">
        <v>596</v>
      </c>
      <c r="E517" s="408" t="s">
        <v>968</v>
      </c>
      <c r="F517" s="408" t="s">
        <v>1320</v>
      </c>
      <c r="G517" s="408" t="s">
        <v>1320</v>
      </c>
      <c r="H517" s="408" t="s">
        <v>1320</v>
      </c>
      <c r="I517" s="408" t="s">
        <v>1320</v>
      </c>
      <c r="J517" s="408" t="s">
        <v>2234</v>
      </c>
      <c r="K517" s="827">
        <v>44621</v>
      </c>
      <c r="L517" s="408">
        <v>115</v>
      </c>
      <c r="M517" s="408">
        <v>115</v>
      </c>
      <c r="N517" s="408">
        <v>0</v>
      </c>
      <c r="O517" s="408">
        <v>0</v>
      </c>
      <c r="P517" s="408">
        <v>0</v>
      </c>
      <c r="Q517" s="408">
        <v>0</v>
      </c>
      <c r="R517" s="408">
        <v>59.12</v>
      </c>
      <c r="S517" s="408"/>
      <c r="T517" s="408"/>
      <c r="U517" s="408">
        <v>6798.7999999999993</v>
      </c>
      <c r="V517" s="408"/>
      <c r="W517" s="408">
        <v>6798.7999999999993</v>
      </c>
      <c r="X517" s="408">
        <v>3913.4500000000003</v>
      </c>
      <c r="Y517" s="408">
        <v>0</v>
      </c>
      <c r="Z517" s="408">
        <v>0</v>
      </c>
      <c r="AA517" s="408">
        <v>0</v>
      </c>
      <c r="AB517" s="408">
        <v>0</v>
      </c>
      <c r="AC517" s="408">
        <v>65.786941783373436</v>
      </c>
      <c r="AD517" s="408">
        <v>588.45760483227446</v>
      </c>
      <c r="AE517" s="408">
        <v>5538.6067415318312</v>
      </c>
      <c r="AF517" s="408"/>
      <c r="AG517" s="408"/>
      <c r="AH517" s="408"/>
      <c r="AI517" s="408">
        <v>0</v>
      </c>
      <c r="AJ517" s="408">
        <v>0</v>
      </c>
      <c r="AK517" s="408">
        <v>0</v>
      </c>
      <c r="AL517" s="408">
        <v>0</v>
      </c>
      <c r="AM517" s="408"/>
      <c r="AN517" s="408">
        <v>0</v>
      </c>
      <c r="AO517" s="408">
        <v>138.92829330435691</v>
      </c>
      <c r="AP517" s="408">
        <v>467.01360436229311</v>
      </c>
      <c r="AQ517" s="408">
        <v>0</v>
      </c>
      <c r="AR517" s="408">
        <v>0</v>
      </c>
      <c r="AS517" s="408"/>
      <c r="AT517" s="408"/>
      <c r="AU517" s="408">
        <v>0</v>
      </c>
      <c r="AV517" s="408">
        <v>0</v>
      </c>
      <c r="AW517" s="408">
        <v>0</v>
      </c>
      <c r="AX517" s="408"/>
      <c r="AY517" s="408"/>
      <c r="AZ517" s="408">
        <v>0</v>
      </c>
      <c r="BA517" s="408"/>
      <c r="BB517" s="408">
        <v>0</v>
      </c>
      <c r="BC517" s="408">
        <v>0</v>
      </c>
      <c r="BD517" s="408">
        <v>0</v>
      </c>
      <c r="BE517" s="408">
        <v>0</v>
      </c>
      <c r="BF517" s="408"/>
      <c r="BG517" s="408">
        <v>0</v>
      </c>
      <c r="BH517" s="408">
        <v>0</v>
      </c>
      <c r="BI517" s="408">
        <v>0</v>
      </c>
      <c r="BJ517" s="408">
        <v>0</v>
      </c>
      <c r="BK517" s="408">
        <v>792.91</v>
      </c>
      <c r="BL517" s="408">
        <v>1</v>
      </c>
      <c r="BM517" s="408"/>
      <c r="BN517" s="408"/>
      <c r="BO517" s="408"/>
      <c r="BP517" s="408"/>
      <c r="BQ517" s="408"/>
      <c r="BR517" s="408"/>
      <c r="BS517" s="408"/>
      <c r="BT517" s="408"/>
      <c r="BU517" s="408"/>
      <c r="BV517" s="408">
        <v>0</v>
      </c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>
        <v>3913.4500000000003</v>
      </c>
      <c r="CJ517" s="408">
        <v>-2885.3799999999997</v>
      </c>
      <c r="CK517" s="408"/>
      <c r="CL517" s="408"/>
      <c r="CM517" s="408"/>
      <c r="CN517" s="408"/>
      <c r="CO517" s="408">
        <v>-2885.3499999999995</v>
      </c>
      <c r="CP517" s="408">
        <v>0</v>
      </c>
      <c r="CQ517" s="408">
        <v>31</v>
      </c>
      <c r="CR517" s="408">
        <v>47.54992160555139</v>
      </c>
      <c r="CS517" s="408">
        <v>13.489059570087022</v>
      </c>
      <c r="CT517" s="408">
        <v>45.344070523368941</v>
      </c>
      <c r="CU517" s="408">
        <v>0</v>
      </c>
      <c r="CV517" s="408">
        <v>0</v>
      </c>
      <c r="CW517" s="408"/>
      <c r="CX517" s="408"/>
      <c r="CY517" s="408"/>
      <c r="CZ517" s="408">
        <v>-11.283208487904403</v>
      </c>
      <c r="DA517" s="408">
        <v>0</v>
      </c>
      <c r="DB517" s="408">
        <v>0</v>
      </c>
      <c r="DC517" s="408"/>
      <c r="DD517" s="408"/>
      <c r="DE517" s="408">
        <v>0</v>
      </c>
      <c r="DF517" s="408">
        <v>0</v>
      </c>
      <c r="DG517" s="408">
        <v>0</v>
      </c>
      <c r="DH517" s="408">
        <v>0</v>
      </c>
      <c r="DI517" s="408">
        <v>0</v>
      </c>
      <c r="DJ517" s="408"/>
      <c r="DK517" s="408">
        <v>0</v>
      </c>
      <c r="DL517" s="408">
        <v>0</v>
      </c>
      <c r="DM517" s="408"/>
      <c r="DN517" s="408">
        <v>0</v>
      </c>
      <c r="DO517" s="408">
        <v>0</v>
      </c>
      <c r="DP517" s="408">
        <v>0</v>
      </c>
      <c r="DQ517" s="408">
        <v>0</v>
      </c>
      <c r="DR517" s="408">
        <v>0</v>
      </c>
      <c r="DS517" s="408"/>
      <c r="DT517" s="408"/>
      <c r="DU517" s="408">
        <v>5538.6067415318312</v>
      </c>
      <c r="DV517" s="408"/>
      <c r="DW517" s="408">
        <v>0</v>
      </c>
      <c r="DX517" s="408">
        <v>0</v>
      </c>
      <c r="DY517" s="408">
        <v>-2885.349999999999</v>
      </c>
      <c r="DZ517" s="408"/>
      <c r="EA517" s="408">
        <v>0</v>
      </c>
      <c r="EB517" s="408"/>
      <c r="EC517" s="408">
        <v>-2932.3986377800693</v>
      </c>
      <c r="ED517" s="408"/>
      <c r="EE517" s="408">
        <v>0</v>
      </c>
      <c r="EF517" s="408">
        <v>0</v>
      </c>
      <c r="EG517" s="408"/>
      <c r="EH517" s="408">
        <v>0</v>
      </c>
      <c r="EI517" s="408">
        <v>0</v>
      </c>
      <c r="EJ517" s="408">
        <v>0</v>
      </c>
      <c r="EK517" s="408">
        <v>0</v>
      </c>
      <c r="EL517" s="408">
        <v>0</v>
      </c>
      <c r="EM517" s="408"/>
      <c r="EN517" s="408"/>
      <c r="EO517" s="408">
        <v>0</v>
      </c>
      <c r="EP517" s="408">
        <v>0</v>
      </c>
      <c r="EQ517" s="408"/>
      <c r="ER517" s="408">
        <v>0</v>
      </c>
      <c r="ES517" s="408"/>
      <c r="ET517" s="408">
        <v>0</v>
      </c>
      <c r="EU517" s="408"/>
      <c r="EV517" s="408">
        <v>239</v>
      </c>
      <c r="EW517" s="408"/>
      <c r="EX517" s="408"/>
      <c r="EY517" s="408"/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522</v>
      </c>
      <c r="B518" s="408" t="s">
        <v>1034</v>
      </c>
      <c r="C518" s="408" t="s">
        <v>2233</v>
      </c>
      <c r="D518" s="408" t="s">
        <v>1956</v>
      </c>
      <c r="E518" s="408" t="s">
        <v>996</v>
      </c>
      <c r="F518" s="408" t="s">
        <v>1320</v>
      </c>
      <c r="G518" s="408" t="s">
        <v>1320</v>
      </c>
      <c r="H518" s="408" t="s">
        <v>1320</v>
      </c>
      <c r="I518" s="408" t="s">
        <v>1320</v>
      </c>
      <c r="J518" s="408" t="s">
        <v>2234</v>
      </c>
      <c r="K518" s="827">
        <v>44621</v>
      </c>
      <c r="L518" s="408">
        <v>0</v>
      </c>
      <c r="M518" s="408">
        <v>0</v>
      </c>
      <c r="N518" s="408">
        <v>434.04899999999998</v>
      </c>
      <c r="O518" s="408">
        <v>434.04899999999998</v>
      </c>
      <c r="P518" s="408">
        <v>434.04899999999998</v>
      </c>
      <c r="Q518" s="408">
        <v>434.04899999999998</v>
      </c>
      <c r="R518" s="408"/>
      <c r="S518" s="408">
        <v>516.83000000000004</v>
      </c>
      <c r="T518" s="408">
        <v>173.82</v>
      </c>
      <c r="U518" s="408"/>
      <c r="V518" s="408">
        <v>299775.94185</v>
      </c>
      <c r="W518" s="408">
        <v>299775.94185</v>
      </c>
      <c r="X518" s="408">
        <v>226334.85105</v>
      </c>
      <c r="Y518" s="408">
        <v>0</v>
      </c>
      <c r="Z518" s="408">
        <v>26541.860122314429</v>
      </c>
      <c r="AA518" s="408">
        <v>0</v>
      </c>
      <c r="AB518" s="408">
        <v>0</v>
      </c>
      <c r="AC518" s="408">
        <v>1179.9379316112338</v>
      </c>
      <c r="AD518" s="408">
        <v>14942.836304541222</v>
      </c>
      <c r="AE518" s="408">
        <v>157827.07227631053</v>
      </c>
      <c r="AF518" s="408">
        <v>69848.092009626052</v>
      </c>
      <c r="AG518" s="408">
        <v>3514.0022775611715</v>
      </c>
      <c r="AH518" s="408">
        <v>0</v>
      </c>
      <c r="AI518" s="408">
        <v>0</v>
      </c>
      <c r="AJ518" s="408">
        <v>0</v>
      </c>
      <c r="AK518" s="408">
        <v>0</v>
      </c>
      <c r="AL518" s="408">
        <v>4102.412672742973</v>
      </c>
      <c r="AM518" s="408"/>
      <c r="AN518" s="408">
        <v>673.44524264153301</v>
      </c>
      <c r="AO518" s="408">
        <v>2516.8347668299584</v>
      </c>
      <c r="AP518" s="408">
        <v>8242.293556074992</v>
      </c>
      <c r="AQ518" s="408">
        <v>0</v>
      </c>
      <c r="AR518" s="408">
        <v>0</v>
      </c>
      <c r="AS518" s="408">
        <v>0</v>
      </c>
      <c r="AT518" s="408">
        <v>0</v>
      </c>
      <c r="AU518" s="408">
        <v>0</v>
      </c>
      <c r="AV518" s="408">
        <v>0</v>
      </c>
      <c r="AW518" s="408">
        <v>0</v>
      </c>
      <c r="AX518" s="408">
        <v>0</v>
      </c>
      <c r="AY518" s="408">
        <v>0</v>
      </c>
      <c r="AZ518" s="408">
        <v>0</v>
      </c>
      <c r="BA518" s="408"/>
      <c r="BB518" s="408">
        <v>0</v>
      </c>
      <c r="BC518" s="408">
        <v>0</v>
      </c>
      <c r="BD518" s="408">
        <v>0</v>
      </c>
      <c r="BE518" s="408">
        <v>240.81586161884957</v>
      </c>
      <c r="BF518" s="408">
        <v>2085.904217186709</v>
      </c>
      <c r="BG518" s="408">
        <v>8063.9026093043349</v>
      </c>
      <c r="BH518" s="408">
        <v>0</v>
      </c>
      <c r="BI518" s="408">
        <v>0</v>
      </c>
      <c r="BJ518" s="408">
        <v>0</v>
      </c>
      <c r="BK518" s="408">
        <v>95986.12</v>
      </c>
      <c r="BL518" s="408">
        <v>532</v>
      </c>
      <c r="BM518" s="408"/>
      <c r="BN518" s="408"/>
      <c r="BO518" s="408"/>
      <c r="BP518" s="408"/>
      <c r="BQ518" s="408"/>
      <c r="BR518" s="408"/>
      <c r="BS518" s="408"/>
      <c r="BT518" s="408"/>
      <c r="BU518" s="408"/>
      <c r="BV518" s="408">
        <v>80238.714697735937</v>
      </c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>
        <v>226335.3725</v>
      </c>
      <c r="CJ518" s="408">
        <v>-73440.599350000033</v>
      </c>
      <c r="CK518" s="408"/>
      <c r="CL518" s="408"/>
      <c r="CM518" s="408"/>
      <c r="CN518" s="408"/>
      <c r="CO518" s="408">
        <v>-82638.589110000015</v>
      </c>
      <c r="CP518" s="408">
        <v>9197.498309999999</v>
      </c>
      <c r="CQ518" s="408">
        <v>31</v>
      </c>
      <c r="CR518" s="408">
        <v>10115.893480151164</v>
      </c>
      <c r="CS518" s="408">
        <v>244.36875520712601</v>
      </c>
      <c r="CT518" s="408">
        <v>800.27463180927589</v>
      </c>
      <c r="CU518" s="408">
        <v>0</v>
      </c>
      <c r="CV518" s="408">
        <v>0</v>
      </c>
      <c r="CW518" s="408">
        <v>0</v>
      </c>
      <c r="CX518" s="408">
        <v>0</v>
      </c>
      <c r="CY518" s="408">
        <v>0</v>
      </c>
      <c r="CZ518" s="408">
        <v>-286.51705074457459</v>
      </c>
      <c r="DA518" s="408">
        <v>0</v>
      </c>
      <c r="DB518" s="408">
        <v>0</v>
      </c>
      <c r="DC518" s="408">
        <v>8965.774574203213</v>
      </c>
      <c r="DD518" s="408">
        <v>267.7488597984584</v>
      </c>
      <c r="DE518" s="408">
        <v>30.911377348281349</v>
      </c>
      <c r="DF518" s="408">
        <v>0</v>
      </c>
      <c r="DG518" s="408">
        <v>1035.0910225777561</v>
      </c>
      <c r="DH518" s="408">
        <v>0</v>
      </c>
      <c r="DI518" s="408">
        <v>-775.6992795351216</v>
      </c>
      <c r="DJ518" s="408"/>
      <c r="DK518" s="408">
        <v>0</v>
      </c>
      <c r="DL518" s="408">
        <v>0</v>
      </c>
      <c r="DM518" s="408">
        <v>-39.056845613309179</v>
      </c>
      <c r="DN518" s="408">
        <v>0</v>
      </c>
      <c r="DO518" s="408">
        <v>-106.25107122925374</v>
      </c>
      <c r="DP518" s="408">
        <v>-20.751493670653872</v>
      </c>
      <c r="DQ518" s="408">
        <v>0</v>
      </c>
      <c r="DR518" s="408">
        <v>0</v>
      </c>
      <c r="DS518" s="408"/>
      <c r="DT518" s="408"/>
      <c r="DU518" s="408"/>
      <c r="DV518" s="408">
        <v>157827.07227631053</v>
      </c>
      <c r="DW518" s="408">
        <v>0</v>
      </c>
      <c r="DX518" s="408">
        <v>0</v>
      </c>
      <c r="DY518" s="408">
        <v>-82638.589110000001</v>
      </c>
      <c r="DZ518" s="408">
        <v>9197.4983099999954</v>
      </c>
      <c r="EA518" s="408">
        <v>0</v>
      </c>
      <c r="EB518" s="408">
        <v>0</v>
      </c>
      <c r="EC518" s="408">
        <v>-83561.067493278562</v>
      </c>
      <c r="ED518" s="408">
        <v>0</v>
      </c>
      <c r="EE518" s="408">
        <v>0</v>
      </c>
      <c r="EF518" s="408">
        <v>0</v>
      </c>
      <c r="EG518" s="408">
        <v>0</v>
      </c>
      <c r="EH518" s="408">
        <v>0</v>
      </c>
      <c r="EI518" s="408">
        <v>0</v>
      </c>
      <c r="EJ518" s="408">
        <v>0</v>
      </c>
      <c r="EK518" s="408">
        <v>0</v>
      </c>
      <c r="EL518" s="408">
        <v>0</v>
      </c>
      <c r="EM518" s="408">
        <v>0</v>
      </c>
      <c r="EN518" s="408">
        <v>0</v>
      </c>
      <c r="EO518" s="408">
        <v>0</v>
      </c>
      <c r="EP518" s="408">
        <v>0</v>
      </c>
      <c r="EQ518" s="408">
        <v>0</v>
      </c>
      <c r="ER518" s="408">
        <v>0</v>
      </c>
      <c r="ES518" s="408">
        <v>0</v>
      </c>
      <c r="ET518" s="408">
        <v>0</v>
      </c>
      <c r="EU518" s="408">
        <v>0</v>
      </c>
      <c r="EV518" s="408">
        <v>239</v>
      </c>
      <c r="EW518" s="408">
        <v>0</v>
      </c>
      <c r="EX518" s="408">
        <v>0</v>
      </c>
      <c r="EY518" s="408">
        <v>0</v>
      </c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523</v>
      </c>
      <c r="B519" s="408" t="s">
        <v>2236</v>
      </c>
      <c r="C519" s="408" t="s">
        <v>2233</v>
      </c>
      <c r="D519" s="408" t="s">
        <v>1956</v>
      </c>
      <c r="E519" s="408" t="s">
        <v>996</v>
      </c>
      <c r="F519" s="408" t="s">
        <v>1320</v>
      </c>
      <c r="G519" s="408" t="s">
        <v>1320</v>
      </c>
      <c r="H519" s="408" t="s">
        <v>1320</v>
      </c>
      <c r="I519" s="408" t="s">
        <v>1320</v>
      </c>
      <c r="J519" s="408" t="s">
        <v>2234</v>
      </c>
      <c r="K519" s="827">
        <v>44621</v>
      </c>
      <c r="L519" s="408">
        <v>0</v>
      </c>
      <c r="M519" s="408">
        <v>0</v>
      </c>
      <c r="N519" s="408">
        <v>51.499000000000002</v>
      </c>
      <c r="O519" s="408">
        <v>51.499000000000002</v>
      </c>
      <c r="P519" s="408">
        <v>51.499000000000002</v>
      </c>
      <c r="Q519" s="408">
        <v>51.499000000000002</v>
      </c>
      <c r="R519" s="408"/>
      <c r="S519" s="408">
        <v>516.83000000000004</v>
      </c>
      <c r="T519" s="408">
        <v>173.82</v>
      </c>
      <c r="U519" s="408"/>
      <c r="V519" s="408">
        <v>35567.784350000002</v>
      </c>
      <c r="W519" s="408">
        <v>35567.784350000002</v>
      </c>
      <c r="X519" s="408">
        <v>26854.153549999999</v>
      </c>
      <c r="Y519" s="408">
        <v>0</v>
      </c>
      <c r="Z519" s="408">
        <v>3149.1358220824627</v>
      </c>
      <c r="AA519" s="408">
        <v>0</v>
      </c>
      <c r="AB519" s="408">
        <v>0</v>
      </c>
      <c r="AC519" s="408">
        <v>139.99715133555642</v>
      </c>
      <c r="AD519" s="408">
        <v>1772.936066774877</v>
      </c>
      <c r="AE519" s="408">
        <v>18725.849835289831</v>
      </c>
      <c r="AF519" s="408">
        <v>8287.3290582485661</v>
      </c>
      <c r="AG519" s="408">
        <v>416.92897182604452</v>
      </c>
      <c r="AH519" s="408">
        <v>0</v>
      </c>
      <c r="AI519" s="408">
        <v>0</v>
      </c>
      <c r="AJ519" s="408">
        <v>0</v>
      </c>
      <c r="AK519" s="408">
        <v>0</v>
      </c>
      <c r="AL519" s="408">
        <v>486.74262637073326</v>
      </c>
      <c r="AM519" s="408"/>
      <c r="AN519" s="408">
        <v>79.902860162784179</v>
      </c>
      <c r="AO519" s="408">
        <v>298.61714612169601</v>
      </c>
      <c r="AP519" s="408">
        <v>977.93077704200675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0</v>
      </c>
      <c r="BE519" s="408">
        <v>28.57229496556641</v>
      </c>
      <c r="BF519" s="408">
        <v>247.48814369091588</v>
      </c>
      <c r="BG519" s="408">
        <v>956.76506679329748</v>
      </c>
      <c r="BH519" s="408">
        <v>0</v>
      </c>
      <c r="BI519" s="408">
        <v>0</v>
      </c>
      <c r="BJ519" s="408">
        <v>0</v>
      </c>
      <c r="BK519" s="408">
        <v>17711</v>
      </c>
      <c r="BL519" s="408">
        <v>51</v>
      </c>
      <c r="BM519" s="408"/>
      <c r="BN519" s="408"/>
      <c r="BO519" s="408"/>
      <c r="BP519" s="408"/>
      <c r="BQ519" s="408"/>
      <c r="BR519" s="408"/>
      <c r="BS519" s="408"/>
      <c r="BT519" s="408"/>
      <c r="BU519" s="408"/>
      <c r="BV519" s="408">
        <v>9520.1545636983465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26854.674999999999</v>
      </c>
      <c r="CJ519" s="408">
        <v>-8713.1393500000013</v>
      </c>
      <c r="CK519" s="408"/>
      <c r="CL519" s="408"/>
      <c r="CM519" s="408"/>
      <c r="CN519" s="408"/>
      <c r="CO519" s="408">
        <v>-9804.894610000003</v>
      </c>
      <c r="CP519" s="408">
        <v>1091.2638099999999</v>
      </c>
      <c r="CQ519" s="408">
        <v>31</v>
      </c>
      <c r="CR519" s="408">
        <v>1200.2294633424062</v>
      </c>
      <c r="CS519" s="408">
        <v>28.99383830952678</v>
      </c>
      <c r="CT519" s="408">
        <v>94.95090015999574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-33.994644835709551</v>
      </c>
      <c r="DA519" s="408">
        <v>0</v>
      </c>
      <c r="DB519" s="408">
        <v>0</v>
      </c>
      <c r="DC519" s="408">
        <v>1063.770276620593</v>
      </c>
      <c r="DD519" s="408">
        <v>31.767838494641865</v>
      </c>
      <c r="DE519" s="408">
        <v>3.6675698413292999</v>
      </c>
      <c r="DF519" s="408">
        <v>0</v>
      </c>
      <c r="DG519" s="408">
        <v>122.81137054049634</v>
      </c>
      <c r="DH519" s="408">
        <v>0</v>
      </c>
      <c r="DI519" s="408">
        <v>-92.035086353796942</v>
      </c>
      <c r="DJ519" s="408"/>
      <c r="DK519" s="408">
        <v>0</v>
      </c>
      <c r="DL519" s="408">
        <v>0</v>
      </c>
      <c r="DM519" s="408">
        <v>-4.6340125014452838</v>
      </c>
      <c r="DN519" s="408">
        <v>0</v>
      </c>
      <c r="DO519" s="408">
        <v>-12.606465899553655</v>
      </c>
      <c r="DP519" s="408">
        <v>-2.4621210336736254</v>
      </c>
      <c r="DQ519" s="408">
        <v>0</v>
      </c>
      <c r="DR519" s="408">
        <v>0</v>
      </c>
      <c r="DS519" s="408"/>
      <c r="DT519" s="408"/>
      <c r="DU519" s="408"/>
      <c r="DV519" s="408">
        <v>18725.849835289831</v>
      </c>
      <c r="DW519" s="408">
        <v>0</v>
      </c>
      <c r="DX519" s="408">
        <v>0</v>
      </c>
      <c r="DY519" s="408">
        <v>-9804.894610000003</v>
      </c>
      <c r="DZ519" s="408">
        <v>1091.2638100000004</v>
      </c>
      <c r="EA519" s="408">
        <v>0</v>
      </c>
      <c r="EB519" s="408">
        <v>0</v>
      </c>
      <c r="EC519" s="408">
        <v>-9914.3447279831362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0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239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524</v>
      </c>
      <c r="B520" s="408" t="s">
        <v>1034</v>
      </c>
      <c r="C520" s="408" t="s">
        <v>2241</v>
      </c>
      <c r="D520" s="408" t="s">
        <v>596</v>
      </c>
      <c r="E520" s="408" t="s">
        <v>996</v>
      </c>
      <c r="F520" s="408" t="s">
        <v>1320</v>
      </c>
      <c r="G520" s="408" t="s">
        <v>1320</v>
      </c>
      <c r="H520" s="408" t="s">
        <v>1320</v>
      </c>
      <c r="I520" s="408" t="s">
        <v>971</v>
      </c>
      <c r="J520" s="408" t="s">
        <v>2234</v>
      </c>
      <c r="K520" s="827">
        <v>44621</v>
      </c>
      <c r="L520" s="408">
        <v>0</v>
      </c>
      <c r="M520" s="408">
        <v>0</v>
      </c>
      <c r="N520" s="408">
        <v>8.9849999999999994</v>
      </c>
      <c r="O520" s="408">
        <v>8.9849999999999994</v>
      </c>
      <c r="P520" s="408">
        <v>8.9849999999999994</v>
      </c>
      <c r="Q520" s="408">
        <v>8.9849999999999994</v>
      </c>
      <c r="R520" s="408"/>
      <c r="S520" s="408">
        <v>1684.16</v>
      </c>
      <c r="T520" s="408">
        <v>173.82</v>
      </c>
      <c r="U520" s="408"/>
      <c r="V520" s="408">
        <v>16693.9503</v>
      </c>
      <c r="W520" s="408">
        <v>16693.9503</v>
      </c>
      <c r="X520" s="408">
        <v>11460.008099999999</v>
      </c>
      <c r="Y520" s="408">
        <v>0</v>
      </c>
      <c r="Z520" s="408">
        <v>478.00223818768404</v>
      </c>
      <c r="AA520" s="408">
        <v>0</v>
      </c>
      <c r="AB520" s="408">
        <v>0</v>
      </c>
      <c r="AC520" s="408">
        <v>161.72460773972259</v>
      </c>
      <c r="AD520" s="408">
        <v>2467.1545736825783</v>
      </c>
      <c r="AE520" s="408">
        <v>10407.257712628416</v>
      </c>
      <c r="AF520" s="408">
        <v>1445.8853878398293</v>
      </c>
      <c r="AG520" s="408">
        <v>72.741350547719563</v>
      </c>
      <c r="AH520" s="408">
        <v>0</v>
      </c>
      <c r="AI520" s="408">
        <v>0</v>
      </c>
      <c r="AJ520" s="408">
        <v>0</v>
      </c>
      <c r="AK520" s="408">
        <v>0</v>
      </c>
      <c r="AL520" s="408">
        <v>84.921697468708857</v>
      </c>
      <c r="AM520" s="408"/>
      <c r="AN520" s="408">
        <v>11.165935031123658</v>
      </c>
      <c r="AO520" s="408">
        <v>347.32545050723348</v>
      </c>
      <c r="AP520" s="408">
        <v>1116.8235590138163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0</v>
      </c>
      <c r="BE520" s="408">
        <v>1.6765437178966687</v>
      </c>
      <c r="BF520" s="408">
        <v>43.179109712089144</v>
      </c>
      <c r="BG520" s="408">
        <v>56.140343789968647</v>
      </c>
      <c r="BH520" s="408">
        <v>0</v>
      </c>
      <c r="BI520" s="408">
        <v>0</v>
      </c>
      <c r="BJ520" s="408">
        <v>0</v>
      </c>
      <c r="BK520" s="408">
        <v>0</v>
      </c>
      <c r="BL520" s="408">
        <v>0</v>
      </c>
      <c r="BM520" s="408"/>
      <c r="BN520" s="408"/>
      <c r="BO520" s="408"/>
      <c r="BP520" s="408"/>
      <c r="BQ520" s="408"/>
      <c r="BR520" s="408"/>
      <c r="BS520" s="408"/>
      <c r="BT520" s="408"/>
      <c r="BU520" s="408"/>
      <c r="BV520" s="408">
        <v>1546.8813850597837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11466.385400000001</v>
      </c>
      <c r="CJ520" s="408">
        <v>-5227.5948999999982</v>
      </c>
      <c r="CK520" s="408"/>
      <c r="CL520" s="408"/>
      <c r="CM520" s="408"/>
      <c r="CN520" s="408"/>
      <c r="CO520" s="408">
        <v>-5424.3343500000001</v>
      </c>
      <c r="CP520" s="408">
        <v>190.39214999999996</v>
      </c>
      <c r="CQ520" s="408">
        <v>31</v>
      </c>
      <c r="CR520" s="408">
        <v>276.09134645428912</v>
      </c>
      <c r="CS520" s="408">
        <v>33.723106940034995</v>
      </c>
      <c r="CT520" s="408">
        <v>108.43651180404299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-47.305734853549438</v>
      </c>
      <c r="DA520" s="408">
        <v>0</v>
      </c>
      <c r="DB520" s="408">
        <v>0</v>
      </c>
      <c r="DC520" s="408">
        <v>185.59536953020506</v>
      </c>
      <c r="DD520" s="408">
        <v>5.5425159493263365</v>
      </c>
      <c r="DE520" s="408">
        <v>0.21520291544092696</v>
      </c>
      <c r="DF520" s="408">
        <v>0</v>
      </c>
      <c r="DG520" s="408">
        <v>7.2062335914593305</v>
      </c>
      <c r="DH520" s="408">
        <v>0</v>
      </c>
      <c r="DI520" s="408">
        <v>-13.969857051075337</v>
      </c>
      <c r="DJ520" s="408"/>
      <c r="DK520" s="408">
        <v>0</v>
      </c>
      <c r="DL520" s="408">
        <v>0</v>
      </c>
      <c r="DM520" s="408">
        <v>-0.80849341395922636</v>
      </c>
      <c r="DN520" s="408">
        <v>0</v>
      </c>
      <c r="DO520" s="408">
        <v>-2.1994426320411833</v>
      </c>
      <c r="DP520" s="408">
        <v>-0.34406632559532646</v>
      </c>
      <c r="DQ520" s="408">
        <v>0</v>
      </c>
      <c r="DR520" s="408">
        <v>0</v>
      </c>
      <c r="DS520" s="408"/>
      <c r="DT520" s="408"/>
      <c r="DU520" s="408"/>
      <c r="DV520" s="408">
        <v>10407.257712628416</v>
      </c>
      <c r="DW520" s="408">
        <v>0</v>
      </c>
      <c r="DX520" s="408">
        <v>0</v>
      </c>
      <c r="DY520" s="408">
        <v>-5424.3343499999992</v>
      </c>
      <c r="DZ520" s="408">
        <v>190.39215000000013</v>
      </c>
      <c r="EA520" s="408">
        <v>0</v>
      </c>
      <c r="EB520" s="408">
        <v>0</v>
      </c>
      <c r="EC520" s="408">
        <v>-5510.0912131373125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0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239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525</v>
      </c>
      <c r="B521" s="408" t="s">
        <v>2236</v>
      </c>
      <c r="C521" s="408" t="s">
        <v>2241</v>
      </c>
      <c r="D521" s="408" t="s">
        <v>596</v>
      </c>
      <c r="E521" s="408" t="s">
        <v>996</v>
      </c>
      <c r="F521" s="408" t="s">
        <v>1320</v>
      </c>
      <c r="G521" s="408" t="s">
        <v>1320</v>
      </c>
      <c r="H521" s="408" t="s">
        <v>1320</v>
      </c>
      <c r="I521" s="408" t="s">
        <v>971</v>
      </c>
      <c r="J521" s="408" t="s">
        <v>2234</v>
      </c>
      <c r="K521" s="827">
        <v>44621</v>
      </c>
      <c r="L521" s="408">
        <v>0</v>
      </c>
      <c r="M521" s="408">
        <v>0</v>
      </c>
      <c r="N521" s="408">
        <v>11.816000000000001</v>
      </c>
      <c r="O521" s="408">
        <v>11.816000000000001</v>
      </c>
      <c r="P521" s="408">
        <v>11.816000000000001</v>
      </c>
      <c r="Q521" s="408">
        <v>11.816000000000001</v>
      </c>
      <c r="R521" s="408"/>
      <c r="S521" s="408">
        <v>1684.16</v>
      </c>
      <c r="T521" s="408">
        <v>173.82</v>
      </c>
      <c r="U521" s="408"/>
      <c r="V521" s="408">
        <v>21953.891680000004</v>
      </c>
      <c r="W521" s="408">
        <v>21953.891680000004</v>
      </c>
      <c r="X521" s="408">
        <v>15070.835360000001</v>
      </c>
      <c r="Y521" s="408">
        <v>0</v>
      </c>
      <c r="Z521" s="408">
        <v>628.61151323602405</v>
      </c>
      <c r="AA521" s="408">
        <v>0</v>
      </c>
      <c r="AB521" s="408">
        <v>0</v>
      </c>
      <c r="AC521" s="408">
        <v>212.68090874263351</v>
      </c>
      <c r="AD521" s="408">
        <v>3244.507339191246</v>
      </c>
      <c r="AE521" s="408">
        <v>13686.383654136602</v>
      </c>
      <c r="AF521" s="408">
        <v>1901.4559535576432</v>
      </c>
      <c r="AG521" s="408">
        <v>95.66074547266048</v>
      </c>
      <c r="AH521" s="408">
        <v>0</v>
      </c>
      <c r="AI521" s="408">
        <v>0</v>
      </c>
      <c r="AJ521" s="408">
        <v>0</v>
      </c>
      <c r="AK521" s="408">
        <v>0</v>
      </c>
      <c r="AL521" s="408">
        <v>111.67888450642894</v>
      </c>
      <c r="AM521" s="408"/>
      <c r="AN521" s="408">
        <v>14.684105545660229</v>
      </c>
      <c r="AO521" s="408">
        <v>456.76099312114314</v>
      </c>
      <c r="AP521" s="408">
        <v>1468.7130966396501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</v>
      </c>
      <c r="BE521" s="408">
        <v>2.2047902694120243</v>
      </c>
      <c r="BF521" s="408">
        <v>56.784013395441889</v>
      </c>
      <c r="BG521" s="408">
        <v>73.829082050336069</v>
      </c>
      <c r="BH521" s="408">
        <v>0</v>
      </c>
      <c r="BI521" s="408">
        <v>0</v>
      </c>
      <c r="BJ521" s="408">
        <v>0</v>
      </c>
      <c r="BK521" s="408">
        <v>0</v>
      </c>
      <c r="BL521" s="408">
        <v>0</v>
      </c>
      <c r="BM521" s="408"/>
      <c r="BN521" s="408"/>
      <c r="BO521" s="408"/>
      <c r="BP521" s="408"/>
      <c r="BQ521" s="408"/>
      <c r="BR521" s="408"/>
      <c r="BS521" s="408"/>
      <c r="BT521" s="408"/>
      <c r="BU521" s="408"/>
      <c r="BV521" s="408">
        <v>2034.2738392728334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15075.937200000002</v>
      </c>
      <c r="CJ521" s="408">
        <v>-6877.9844799999973</v>
      </c>
      <c r="CK521" s="408"/>
      <c r="CL521" s="408"/>
      <c r="CM521" s="408"/>
      <c r="CN521" s="408"/>
      <c r="CO521" s="408">
        <v>-7133.4373600000008</v>
      </c>
      <c r="CP521" s="408">
        <v>250.38103999999998</v>
      </c>
      <c r="CQ521" s="408">
        <v>31</v>
      </c>
      <c r="CR521" s="408">
        <v>363.08239840889109</v>
      </c>
      <c r="CS521" s="408">
        <v>44.348606744958659</v>
      </c>
      <c r="CT521" s="408">
        <v>142.60276276867785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-62.210858434005331</v>
      </c>
      <c r="DA521" s="408">
        <v>0</v>
      </c>
      <c r="DB521" s="408">
        <v>0</v>
      </c>
      <c r="DC521" s="408">
        <v>244.07288662981682</v>
      </c>
      <c r="DD521" s="408">
        <v>7.2888556991919842</v>
      </c>
      <c r="DE521" s="408">
        <v>0.2830091985364489</v>
      </c>
      <c r="DF521" s="408">
        <v>0</v>
      </c>
      <c r="DG521" s="408">
        <v>9.4767786440382338</v>
      </c>
      <c r="DH521" s="408">
        <v>0</v>
      </c>
      <c r="DI521" s="408">
        <v>-18.371489250473815</v>
      </c>
      <c r="DJ521" s="408"/>
      <c r="DK521" s="408">
        <v>0</v>
      </c>
      <c r="DL521" s="408">
        <v>0</v>
      </c>
      <c r="DM521" s="408">
        <v>-1.063234076721443</v>
      </c>
      <c r="DN521" s="408">
        <v>0</v>
      </c>
      <c r="DO521" s="408">
        <v>-2.8924445342458256</v>
      </c>
      <c r="DP521" s="408">
        <v>-0.4524749808830677</v>
      </c>
      <c r="DQ521" s="408">
        <v>0</v>
      </c>
      <c r="DR521" s="408">
        <v>0</v>
      </c>
      <c r="DS521" s="408"/>
      <c r="DT521" s="408"/>
      <c r="DU521" s="408"/>
      <c r="DV521" s="408">
        <v>13686.383654136602</v>
      </c>
      <c r="DW521" s="408">
        <v>0</v>
      </c>
      <c r="DX521" s="408">
        <v>0</v>
      </c>
      <c r="DY521" s="408">
        <v>-7133.4373600000017</v>
      </c>
      <c r="DZ521" s="408">
        <v>250.38103999999976</v>
      </c>
      <c r="EA521" s="408">
        <v>0</v>
      </c>
      <c r="EB521" s="408">
        <v>0</v>
      </c>
      <c r="EC521" s="408">
        <v>-7246.2145547501923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0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239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526</v>
      </c>
      <c r="B522" s="408" t="s">
        <v>1034</v>
      </c>
      <c r="C522" s="408" t="s">
        <v>2241</v>
      </c>
      <c r="D522" s="408" t="s">
        <v>596</v>
      </c>
      <c r="E522" s="408" t="s">
        <v>996</v>
      </c>
      <c r="F522" s="408" t="s">
        <v>1320</v>
      </c>
      <c r="G522" s="408" t="s">
        <v>1320</v>
      </c>
      <c r="H522" s="408" t="s">
        <v>1320</v>
      </c>
      <c r="I522" s="408" t="s">
        <v>2242</v>
      </c>
      <c r="J522" s="408" t="s">
        <v>2234</v>
      </c>
      <c r="K522" s="827">
        <v>44621</v>
      </c>
      <c r="L522" s="408">
        <v>0</v>
      </c>
      <c r="M522" s="408">
        <v>0</v>
      </c>
      <c r="N522" s="408">
        <v>204.81399999999999</v>
      </c>
      <c r="O522" s="408">
        <v>204.81399999999999</v>
      </c>
      <c r="P522" s="408">
        <v>204.81399999999999</v>
      </c>
      <c r="Q522" s="408">
        <v>204.81399999999999</v>
      </c>
      <c r="R522" s="408"/>
      <c r="S522" s="408">
        <v>70.33</v>
      </c>
      <c r="T522" s="408">
        <v>173.82</v>
      </c>
      <c r="U522" s="408"/>
      <c r="V522" s="408">
        <v>50005.338099999994</v>
      </c>
      <c r="W522" s="408">
        <v>50005.338099999994</v>
      </c>
      <c r="X522" s="408">
        <v>54138.484619999996</v>
      </c>
      <c r="Y522" s="408">
        <v>0</v>
      </c>
      <c r="Z522" s="408">
        <v>10896.11022951278</v>
      </c>
      <c r="AA522" s="408">
        <v>0</v>
      </c>
      <c r="AB522" s="408">
        <v>0</v>
      </c>
      <c r="AC522" s="408">
        <v>0</v>
      </c>
      <c r="AD522" s="408">
        <v>0</v>
      </c>
      <c r="AE522" s="408">
        <v>0</v>
      </c>
      <c r="AF522" s="408">
        <v>32959.106268784286</v>
      </c>
      <c r="AG522" s="408">
        <v>1658.146574410755</v>
      </c>
      <c r="AH522" s="408">
        <v>0</v>
      </c>
      <c r="AI522" s="408">
        <v>0</v>
      </c>
      <c r="AJ522" s="408">
        <v>0</v>
      </c>
      <c r="AK522" s="408">
        <v>0</v>
      </c>
      <c r="AL522" s="408">
        <v>1935.7988364336268</v>
      </c>
      <c r="AM522" s="408"/>
      <c r="AN522" s="408">
        <v>254.52863856032954</v>
      </c>
      <c r="AO522" s="408">
        <v>0</v>
      </c>
      <c r="AP522" s="408">
        <v>0</v>
      </c>
      <c r="AQ522" s="408">
        <v>0</v>
      </c>
      <c r="AR522" s="408">
        <v>0</v>
      </c>
      <c r="AS522" s="408">
        <v>0</v>
      </c>
      <c r="AT522" s="408">
        <v>0</v>
      </c>
      <c r="AU522" s="408">
        <v>0</v>
      </c>
      <c r="AV522" s="408">
        <v>0</v>
      </c>
      <c r="AW522" s="408">
        <v>0</v>
      </c>
      <c r="AX522" s="408">
        <v>0</v>
      </c>
      <c r="AY522" s="408">
        <v>0</v>
      </c>
      <c r="AZ522" s="408">
        <v>0</v>
      </c>
      <c r="BA522" s="408"/>
      <c r="BB522" s="408">
        <v>0</v>
      </c>
      <c r="BC522" s="408">
        <v>0</v>
      </c>
      <c r="BD522" s="408">
        <v>0</v>
      </c>
      <c r="BE522" s="408">
        <v>38.216986648557409</v>
      </c>
      <c r="BF522" s="408">
        <v>984.27225114878422</v>
      </c>
      <c r="BG522" s="408">
        <v>1279.7249163048011</v>
      </c>
      <c r="BH522" s="408">
        <v>0</v>
      </c>
      <c r="BI522" s="408">
        <v>0</v>
      </c>
      <c r="BJ522" s="408">
        <v>0</v>
      </c>
      <c r="BK522" s="408">
        <v>0</v>
      </c>
      <c r="BL522" s="408">
        <v>0</v>
      </c>
      <c r="BM522" s="408"/>
      <c r="BN522" s="408"/>
      <c r="BO522" s="408"/>
      <c r="BP522" s="408"/>
      <c r="BQ522" s="408"/>
      <c r="BR522" s="408"/>
      <c r="BS522" s="408"/>
      <c r="BT522" s="408"/>
      <c r="BU522" s="408"/>
      <c r="BV522" s="408">
        <v>35261.320422886427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54137.427299999996</v>
      </c>
      <c r="CJ522" s="408">
        <v>4132.0591999999961</v>
      </c>
      <c r="CK522" s="408"/>
      <c r="CL522" s="408"/>
      <c r="CM522" s="408"/>
      <c r="CN522" s="408"/>
      <c r="CO522" s="408">
        <v>-206.86214000000103</v>
      </c>
      <c r="CP522" s="408">
        <v>4340.0086599999995</v>
      </c>
      <c r="CQ522" s="408">
        <v>31</v>
      </c>
      <c r="CR522" s="408">
        <v>4131.3266174217133</v>
      </c>
      <c r="CS522" s="408">
        <v>0</v>
      </c>
      <c r="CT522" s="408">
        <v>0</v>
      </c>
      <c r="CU522" s="408">
        <v>0</v>
      </c>
      <c r="CV522" s="408">
        <v>0</v>
      </c>
      <c r="CW522" s="408">
        <v>0</v>
      </c>
      <c r="CX522" s="408">
        <v>0</v>
      </c>
      <c r="CY522" s="408">
        <v>0</v>
      </c>
      <c r="CZ522" s="408">
        <v>0</v>
      </c>
      <c r="DA522" s="408">
        <v>0</v>
      </c>
      <c r="DB522" s="408">
        <v>0</v>
      </c>
      <c r="DC522" s="408">
        <v>4230.6655553655437</v>
      </c>
      <c r="DD522" s="408">
        <v>126.34222166336383</v>
      </c>
      <c r="DE522" s="408">
        <v>4.9055726124783519</v>
      </c>
      <c r="DF522" s="408">
        <v>0</v>
      </c>
      <c r="DG522" s="408">
        <v>164.26683659445212</v>
      </c>
      <c r="DH522" s="408">
        <v>0</v>
      </c>
      <c r="DI522" s="408">
        <v>-318.44432966710701</v>
      </c>
      <c r="DJ522" s="408"/>
      <c r="DK522" s="408">
        <v>0</v>
      </c>
      <c r="DL522" s="408">
        <v>0</v>
      </c>
      <c r="DM522" s="408">
        <v>-18.429690605079941</v>
      </c>
      <c r="DN522" s="408">
        <v>0</v>
      </c>
      <c r="DO522" s="408">
        <v>-50.136521228590254</v>
      </c>
      <c r="DP522" s="408">
        <v>-7.843027313353474</v>
      </c>
      <c r="DQ522" s="408">
        <v>0</v>
      </c>
      <c r="DR522" s="408">
        <v>0</v>
      </c>
      <c r="DS522" s="408"/>
      <c r="DT522" s="408"/>
      <c r="DU522" s="408"/>
      <c r="DV522" s="408">
        <v>0</v>
      </c>
      <c r="DW522" s="408">
        <v>0</v>
      </c>
      <c r="DX522" s="408">
        <v>0</v>
      </c>
      <c r="DY522" s="408">
        <v>-206.86214000000109</v>
      </c>
      <c r="DZ522" s="408">
        <v>4340.0086599999995</v>
      </c>
      <c r="EA522" s="408">
        <v>0</v>
      </c>
      <c r="EB522" s="408">
        <v>0</v>
      </c>
      <c r="EC522" s="408">
        <v>0</v>
      </c>
      <c r="ED522" s="408">
        <v>0</v>
      </c>
      <c r="EE522" s="408">
        <v>0</v>
      </c>
      <c r="EF522" s="408">
        <v>0</v>
      </c>
      <c r="EG522" s="408">
        <v>0</v>
      </c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>
        <v>0</v>
      </c>
      <c r="EN522" s="408">
        <v>0</v>
      </c>
      <c r="EO522" s="408">
        <v>0</v>
      </c>
      <c r="EP522" s="408">
        <v>0</v>
      </c>
      <c r="EQ522" s="408">
        <v>0</v>
      </c>
      <c r="ER522" s="408">
        <v>0</v>
      </c>
      <c r="ES522" s="408">
        <v>0</v>
      </c>
      <c r="ET522" s="408">
        <v>0</v>
      </c>
      <c r="EU522" s="408">
        <v>0</v>
      </c>
      <c r="EV522" s="408">
        <v>239</v>
      </c>
      <c r="EW522" s="408">
        <v>0</v>
      </c>
      <c r="EX522" s="408">
        <v>0</v>
      </c>
      <c r="EY522" s="408">
        <v>0</v>
      </c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527</v>
      </c>
      <c r="B523" s="408" t="s">
        <v>2236</v>
      </c>
      <c r="C523" s="408" t="s">
        <v>2241</v>
      </c>
      <c r="D523" s="408" t="s">
        <v>596</v>
      </c>
      <c r="E523" s="408" t="s">
        <v>996</v>
      </c>
      <c r="F523" s="408" t="s">
        <v>1320</v>
      </c>
      <c r="G523" s="408" t="s">
        <v>1320</v>
      </c>
      <c r="H523" s="408" t="s">
        <v>1320</v>
      </c>
      <c r="I523" s="408" t="s">
        <v>2242</v>
      </c>
      <c r="J523" s="408" t="s">
        <v>2234</v>
      </c>
      <c r="K523" s="827">
        <v>44621</v>
      </c>
      <c r="L523" s="408">
        <v>0</v>
      </c>
      <c r="M523" s="408">
        <v>0</v>
      </c>
      <c r="N523" s="408">
        <v>70.665999999999997</v>
      </c>
      <c r="O523" s="408">
        <v>70.665999999999997</v>
      </c>
      <c r="P523" s="408">
        <v>70.665999999999997</v>
      </c>
      <c r="Q523" s="408">
        <v>70.665999999999997</v>
      </c>
      <c r="R523" s="408"/>
      <c r="S523" s="408">
        <v>70.33</v>
      </c>
      <c r="T523" s="408">
        <v>173.82</v>
      </c>
      <c r="U523" s="408"/>
      <c r="V523" s="408">
        <v>17253.103899999998</v>
      </c>
      <c r="W523" s="408">
        <v>17253.103899999998</v>
      </c>
      <c r="X523" s="408">
        <v>18679.143779999999</v>
      </c>
      <c r="Y523" s="408">
        <v>0</v>
      </c>
      <c r="Z523" s="408">
        <v>3759.4330733189631</v>
      </c>
      <c r="AA523" s="408">
        <v>0</v>
      </c>
      <c r="AB523" s="408">
        <v>0</v>
      </c>
      <c r="AC523" s="408">
        <v>0</v>
      </c>
      <c r="AD523" s="408">
        <v>0</v>
      </c>
      <c r="AE523" s="408">
        <v>0</v>
      </c>
      <c r="AF523" s="408">
        <v>11371.723630171327</v>
      </c>
      <c r="AG523" s="408">
        <v>572.10242379578744</v>
      </c>
      <c r="AH523" s="408">
        <v>0</v>
      </c>
      <c r="AI523" s="408">
        <v>0</v>
      </c>
      <c r="AJ523" s="408">
        <v>0</v>
      </c>
      <c r="AK523" s="408">
        <v>0</v>
      </c>
      <c r="AL523" s="408">
        <v>667.89946280732113</v>
      </c>
      <c r="AM523" s="408"/>
      <c r="AN523" s="408">
        <v>87.818805220855253</v>
      </c>
      <c r="AO523" s="408">
        <v>0</v>
      </c>
      <c r="AP523" s="408">
        <v>0</v>
      </c>
      <c r="AQ523" s="408">
        <v>0</v>
      </c>
      <c r="AR523" s="408">
        <v>0</v>
      </c>
      <c r="AS523" s="408">
        <v>0</v>
      </c>
      <c r="AT523" s="408">
        <v>0</v>
      </c>
      <c r="AU523" s="408">
        <v>0</v>
      </c>
      <c r="AV523" s="408">
        <v>0</v>
      </c>
      <c r="AW523" s="408">
        <v>0</v>
      </c>
      <c r="AX523" s="408">
        <v>0</v>
      </c>
      <c r="AY523" s="408">
        <v>0</v>
      </c>
      <c r="AZ523" s="408">
        <v>0</v>
      </c>
      <c r="BA523" s="408"/>
      <c r="BB523" s="408">
        <v>0</v>
      </c>
      <c r="BC523" s="408">
        <v>0</v>
      </c>
      <c r="BD523" s="408">
        <v>0</v>
      </c>
      <c r="BE523" s="408">
        <v>13.185825082791986</v>
      </c>
      <c r="BF523" s="408">
        <v>339.59877205503523</v>
      </c>
      <c r="BG523" s="408">
        <v>441.53739947266826</v>
      </c>
      <c r="BH523" s="408">
        <v>0</v>
      </c>
      <c r="BI523" s="408">
        <v>0</v>
      </c>
      <c r="BJ523" s="408">
        <v>0</v>
      </c>
      <c r="BK523" s="408">
        <v>0</v>
      </c>
      <c r="BL523" s="408">
        <v>0</v>
      </c>
      <c r="BM523" s="408"/>
      <c r="BN523" s="408"/>
      <c r="BO523" s="408"/>
      <c r="BP523" s="408"/>
      <c r="BQ523" s="408"/>
      <c r="BR523" s="408"/>
      <c r="BS523" s="408"/>
      <c r="BT523" s="408"/>
      <c r="BU523" s="408"/>
      <c r="BV523" s="408">
        <v>12166.045626781823</v>
      </c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>
        <v>18680.201099999998</v>
      </c>
      <c r="CJ523" s="408">
        <v>1427.0672000000013</v>
      </c>
      <c r="CK523" s="408"/>
      <c r="CL523" s="408"/>
      <c r="CM523" s="408"/>
      <c r="CN523" s="408"/>
      <c r="CO523" s="408">
        <v>-71.372660000000351</v>
      </c>
      <c r="CP523" s="408">
        <v>1497.4125399999998</v>
      </c>
      <c r="CQ523" s="408">
        <v>31</v>
      </c>
      <c r="CR523" s="408">
        <v>1425.4119676717528</v>
      </c>
      <c r="CS523" s="408">
        <v>0</v>
      </c>
      <c r="CT523" s="408">
        <v>0</v>
      </c>
      <c r="CU523" s="408">
        <v>0</v>
      </c>
      <c r="CV523" s="408">
        <v>0</v>
      </c>
      <c r="CW523" s="408">
        <v>0</v>
      </c>
      <c r="CX523" s="408">
        <v>0</v>
      </c>
      <c r="CY523" s="408">
        <v>0</v>
      </c>
      <c r="CZ523" s="408">
        <v>0</v>
      </c>
      <c r="DA523" s="408">
        <v>0</v>
      </c>
      <c r="DB523" s="408">
        <v>0</v>
      </c>
      <c r="DC523" s="408">
        <v>1459.6864088170805</v>
      </c>
      <c r="DD523" s="408">
        <v>43.591255656660564</v>
      </c>
      <c r="DE523" s="408">
        <v>1.6925463798050675</v>
      </c>
      <c r="DF523" s="408">
        <v>0</v>
      </c>
      <c r="DG523" s="408">
        <v>56.676205116757387</v>
      </c>
      <c r="DH523" s="408">
        <v>0</v>
      </c>
      <c r="DI523" s="408">
        <v>-109.87133203909752</v>
      </c>
      <c r="DJ523" s="408"/>
      <c r="DK523" s="408">
        <v>0</v>
      </c>
      <c r="DL523" s="408">
        <v>0</v>
      </c>
      <c r="DM523" s="408">
        <v>-6.3587084686524804</v>
      </c>
      <c r="DN523" s="408">
        <v>0</v>
      </c>
      <c r="DO523" s="408">
        <v>-17.298365390742674</v>
      </c>
      <c r="DP523" s="408">
        <v>-2.7060424000577967</v>
      </c>
      <c r="DQ523" s="408">
        <v>0</v>
      </c>
      <c r="DR523" s="408">
        <v>0</v>
      </c>
      <c r="DS523" s="408"/>
      <c r="DT523" s="408"/>
      <c r="DU523" s="408"/>
      <c r="DV523" s="408">
        <v>0</v>
      </c>
      <c r="DW523" s="408">
        <v>0</v>
      </c>
      <c r="DX523" s="408">
        <v>0</v>
      </c>
      <c r="DY523" s="408">
        <v>-71.372659999999996</v>
      </c>
      <c r="DZ523" s="408">
        <v>1497.4125399999994</v>
      </c>
      <c r="EA523" s="408">
        <v>0</v>
      </c>
      <c r="EB523" s="408">
        <v>0</v>
      </c>
      <c r="EC523" s="408">
        <v>0</v>
      </c>
      <c r="ED523" s="408">
        <v>0</v>
      </c>
      <c r="EE523" s="408">
        <v>0</v>
      </c>
      <c r="EF523" s="408">
        <v>0</v>
      </c>
      <c r="EG523" s="408">
        <v>0</v>
      </c>
      <c r="EH523" s="408">
        <v>0</v>
      </c>
      <c r="EI523" s="408">
        <v>0</v>
      </c>
      <c r="EJ523" s="408">
        <v>0</v>
      </c>
      <c r="EK523" s="408">
        <v>0</v>
      </c>
      <c r="EL523" s="408">
        <v>0</v>
      </c>
      <c r="EM523" s="408">
        <v>0</v>
      </c>
      <c r="EN523" s="408">
        <v>0</v>
      </c>
      <c r="EO523" s="408">
        <v>0</v>
      </c>
      <c r="EP523" s="408">
        <v>0</v>
      </c>
      <c r="EQ523" s="408">
        <v>0</v>
      </c>
      <c r="ER523" s="408">
        <v>0</v>
      </c>
      <c r="ES523" s="408">
        <v>0</v>
      </c>
      <c r="ET523" s="408">
        <v>0</v>
      </c>
      <c r="EU523" s="408">
        <v>0</v>
      </c>
      <c r="EV523" s="408">
        <v>239</v>
      </c>
      <c r="EW523" s="408">
        <v>0</v>
      </c>
      <c r="EX523" s="408">
        <v>0</v>
      </c>
      <c r="EY523" s="408">
        <v>0</v>
      </c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528</v>
      </c>
      <c r="B524" s="408" t="s">
        <v>1034</v>
      </c>
      <c r="C524" s="408" t="s">
        <v>2241</v>
      </c>
      <c r="D524" s="408" t="s">
        <v>596</v>
      </c>
      <c r="E524" s="408" t="s">
        <v>996</v>
      </c>
      <c r="F524" s="408" t="s">
        <v>1320</v>
      </c>
      <c r="G524" s="408" t="s">
        <v>1320</v>
      </c>
      <c r="H524" s="408" t="s">
        <v>1320</v>
      </c>
      <c r="I524" s="408" t="s">
        <v>1320</v>
      </c>
      <c r="J524" s="408" t="s">
        <v>2234</v>
      </c>
      <c r="K524" s="827">
        <v>44621</v>
      </c>
      <c r="L524" s="408">
        <v>2400</v>
      </c>
      <c r="M524" s="408">
        <v>2400</v>
      </c>
      <c r="N524" s="408">
        <v>0</v>
      </c>
      <c r="O524" s="408">
        <v>0</v>
      </c>
      <c r="P524" s="408">
        <v>0</v>
      </c>
      <c r="Q524" s="408">
        <v>0</v>
      </c>
      <c r="R524" s="408">
        <v>59.12</v>
      </c>
      <c r="S524" s="408"/>
      <c r="T524" s="408"/>
      <c r="U524" s="408">
        <v>141888</v>
      </c>
      <c r="V524" s="408"/>
      <c r="W524" s="408">
        <v>141888</v>
      </c>
      <c r="X524" s="408">
        <v>81672</v>
      </c>
      <c r="Y524" s="408">
        <v>0</v>
      </c>
      <c r="Z524" s="408">
        <v>0</v>
      </c>
      <c r="AA524" s="408">
        <v>0</v>
      </c>
      <c r="AB524" s="408">
        <v>0</v>
      </c>
      <c r="AC524" s="408">
        <v>1372.944872000837</v>
      </c>
      <c r="AD524" s="408">
        <v>12280.854361717033</v>
      </c>
      <c r="AE524" s="408">
        <v>115588.31460588169</v>
      </c>
      <c r="AF524" s="408"/>
      <c r="AG524" s="408"/>
      <c r="AH524" s="408"/>
      <c r="AI524" s="408">
        <v>0</v>
      </c>
      <c r="AJ524" s="408">
        <v>0</v>
      </c>
      <c r="AK524" s="408">
        <v>0</v>
      </c>
      <c r="AL524" s="408">
        <v>0</v>
      </c>
      <c r="AM524" s="408"/>
      <c r="AN524" s="408">
        <v>0</v>
      </c>
      <c r="AO524" s="408">
        <v>2899.3730776561442</v>
      </c>
      <c r="AP524" s="408">
        <v>9746.3708736478566</v>
      </c>
      <c r="AQ524" s="408">
        <v>0</v>
      </c>
      <c r="AR524" s="408">
        <v>0</v>
      </c>
      <c r="AS524" s="408"/>
      <c r="AT524" s="408"/>
      <c r="AU524" s="408">
        <v>0</v>
      </c>
      <c r="AV524" s="408">
        <v>0</v>
      </c>
      <c r="AW524" s="408">
        <v>0</v>
      </c>
      <c r="AX524" s="408"/>
      <c r="AY524" s="408"/>
      <c r="AZ524" s="408">
        <v>0</v>
      </c>
      <c r="BA524" s="408"/>
      <c r="BB524" s="408">
        <v>0</v>
      </c>
      <c r="BC524" s="408">
        <v>0</v>
      </c>
      <c r="BD524" s="408">
        <v>0</v>
      </c>
      <c r="BE524" s="408">
        <v>0</v>
      </c>
      <c r="BF524" s="408"/>
      <c r="BG524" s="408">
        <v>0</v>
      </c>
      <c r="BH524" s="408">
        <v>0</v>
      </c>
      <c r="BI524" s="408">
        <v>0</v>
      </c>
      <c r="BJ524" s="408">
        <v>0</v>
      </c>
      <c r="BK524" s="408">
        <v>54048.59</v>
      </c>
      <c r="BL524" s="408">
        <v>13</v>
      </c>
      <c r="BM524" s="408"/>
      <c r="BN524" s="408"/>
      <c r="BO524" s="408"/>
      <c r="BP524" s="408"/>
      <c r="BQ524" s="408"/>
      <c r="BR524" s="408"/>
      <c r="BS524" s="408"/>
      <c r="BT524" s="408"/>
      <c r="BU524" s="408"/>
      <c r="BV524" s="408">
        <v>0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81672</v>
      </c>
      <c r="CJ524" s="408">
        <v>-60216.030000000028</v>
      </c>
      <c r="CK524" s="408"/>
      <c r="CL524" s="408"/>
      <c r="CM524" s="408"/>
      <c r="CN524" s="408"/>
      <c r="CO524" s="408">
        <v>-60215.999999999993</v>
      </c>
      <c r="CP524" s="408">
        <v>0</v>
      </c>
      <c r="CQ524" s="408">
        <v>31</v>
      </c>
      <c r="CR524" s="408">
        <v>992.34619002889667</v>
      </c>
      <c r="CS524" s="408">
        <v>281.51080841920793</v>
      </c>
      <c r="CT524" s="408">
        <v>946.31103700943822</v>
      </c>
      <c r="CU524" s="408">
        <v>0</v>
      </c>
      <c r="CV524" s="408">
        <v>0</v>
      </c>
      <c r="CW524" s="408"/>
      <c r="CX524" s="408"/>
      <c r="CY524" s="408"/>
      <c r="CZ524" s="408">
        <v>-235.47565539974494</v>
      </c>
      <c r="DA524" s="408">
        <v>0</v>
      </c>
      <c r="DB524" s="408">
        <v>0</v>
      </c>
      <c r="DC524" s="408"/>
      <c r="DD524" s="408"/>
      <c r="DE524" s="408">
        <v>0</v>
      </c>
      <c r="DF524" s="408">
        <v>0</v>
      </c>
      <c r="DG524" s="408">
        <v>0</v>
      </c>
      <c r="DH524" s="408">
        <v>0</v>
      </c>
      <c r="DI524" s="408">
        <v>0</v>
      </c>
      <c r="DJ524" s="408"/>
      <c r="DK524" s="408">
        <v>0</v>
      </c>
      <c r="DL524" s="408">
        <v>0</v>
      </c>
      <c r="DM524" s="408"/>
      <c r="DN524" s="408">
        <v>0</v>
      </c>
      <c r="DO524" s="408">
        <v>0</v>
      </c>
      <c r="DP524" s="408">
        <v>0</v>
      </c>
      <c r="DQ524" s="408">
        <v>0</v>
      </c>
      <c r="DR524" s="408">
        <v>0</v>
      </c>
      <c r="DS524" s="408"/>
      <c r="DT524" s="408"/>
      <c r="DU524" s="408">
        <v>115588.31460588169</v>
      </c>
      <c r="DV524" s="408"/>
      <c r="DW524" s="408">
        <v>0</v>
      </c>
      <c r="DX524" s="408">
        <v>0</v>
      </c>
      <c r="DY524" s="408">
        <v>-60216</v>
      </c>
      <c r="DZ524" s="408"/>
      <c r="EA524" s="408">
        <v>0</v>
      </c>
      <c r="EB524" s="408"/>
      <c r="EC524" s="408">
        <v>-61197.88461454057</v>
      </c>
      <c r="ED524" s="408"/>
      <c r="EE524" s="408">
        <v>0</v>
      </c>
      <c r="EF524" s="408">
        <v>0</v>
      </c>
      <c r="EG524" s="408"/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/>
      <c r="EN524" s="408"/>
      <c r="EO524" s="408">
        <v>0</v>
      </c>
      <c r="EP524" s="408">
        <v>0</v>
      </c>
      <c r="EQ524" s="408"/>
      <c r="ER524" s="408">
        <v>0</v>
      </c>
      <c r="ES524" s="408"/>
      <c r="ET524" s="408">
        <v>0</v>
      </c>
      <c r="EU524" s="408"/>
      <c r="EV524" s="408">
        <v>239</v>
      </c>
      <c r="EW524" s="408"/>
      <c r="EX524" s="408"/>
      <c r="EY524" s="408"/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529</v>
      </c>
      <c r="B525" s="408" t="s">
        <v>2236</v>
      </c>
      <c r="C525" s="408" t="s">
        <v>2241</v>
      </c>
      <c r="D525" s="408" t="s">
        <v>596</v>
      </c>
      <c r="E525" s="408" t="s">
        <v>996</v>
      </c>
      <c r="F525" s="408" t="s">
        <v>1320</v>
      </c>
      <c r="G525" s="408" t="s">
        <v>1320</v>
      </c>
      <c r="H525" s="408" t="s">
        <v>1320</v>
      </c>
      <c r="I525" s="408" t="s">
        <v>1320</v>
      </c>
      <c r="J525" s="408" t="s">
        <v>2234</v>
      </c>
      <c r="K525" s="827">
        <v>44621</v>
      </c>
      <c r="L525" s="408">
        <v>299</v>
      </c>
      <c r="M525" s="408">
        <v>299</v>
      </c>
      <c r="N525" s="408">
        <v>0</v>
      </c>
      <c r="O525" s="408">
        <v>0</v>
      </c>
      <c r="P525" s="408">
        <v>0</v>
      </c>
      <c r="Q525" s="408">
        <v>0</v>
      </c>
      <c r="R525" s="408">
        <v>59.12</v>
      </c>
      <c r="S525" s="408"/>
      <c r="T525" s="408"/>
      <c r="U525" s="408">
        <v>17676.88</v>
      </c>
      <c r="V525" s="408"/>
      <c r="W525" s="408">
        <v>17676.88</v>
      </c>
      <c r="X525" s="408">
        <v>10174.970000000001</v>
      </c>
      <c r="Y525" s="408">
        <v>0</v>
      </c>
      <c r="Z525" s="408">
        <v>0</v>
      </c>
      <c r="AA525" s="408">
        <v>0</v>
      </c>
      <c r="AB525" s="408">
        <v>0</v>
      </c>
      <c r="AC525" s="408">
        <v>171.04604863677093</v>
      </c>
      <c r="AD525" s="408">
        <v>1529.9897725639137</v>
      </c>
      <c r="AE525" s="408">
        <v>14400.377527982761</v>
      </c>
      <c r="AF525" s="408"/>
      <c r="AG525" s="408"/>
      <c r="AH525" s="408"/>
      <c r="AI525" s="408">
        <v>0</v>
      </c>
      <c r="AJ525" s="408">
        <v>0</v>
      </c>
      <c r="AK525" s="408">
        <v>0</v>
      </c>
      <c r="AL525" s="408">
        <v>0</v>
      </c>
      <c r="AM525" s="408"/>
      <c r="AN525" s="408">
        <v>0</v>
      </c>
      <c r="AO525" s="408">
        <v>361.21356259132796</v>
      </c>
      <c r="AP525" s="408">
        <v>1214.235371341962</v>
      </c>
      <c r="AQ525" s="408">
        <v>0</v>
      </c>
      <c r="AR525" s="408">
        <v>0</v>
      </c>
      <c r="AS525" s="408"/>
      <c r="AT525" s="408"/>
      <c r="AU525" s="408">
        <v>0</v>
      </c>
      <c r="AV525" s="408">
        <v>0</v>
      </c>
      <c r="AW525" s="408">
        <v>0</v>
      </c>
      <c r="AX525" s="408"/>
      <c r="AY525" s="408"/>
      <c r="AZ525" s="408">
        <v>0</v>
      </c>
      <c r="BA525" s="408"/>
      <c r="BB525" s="408">
        <v>0</v>
      </c>
      <c r="BC525" s="408">
        <v>0</v>
      </c>
      <c r="BD525" s="408">
        <v>0</v>
      </c>
      <c r="BE525" s="408">
        <v>0</v>
      </c>
      <c r="BF525" s="408"/>
      <c r="BG525" s="408">
        <v>0</v>
      </c>
      <c r="BH525" s="408">
        <v>0</v>
      </c>
      <c r="BI525" s="408">
        <v>0</v>
      </c>
      <c r="BJ525" s="408">
        <v>0</v>
      </c>
      <c r="BK525" s="408">
        <v>19070.419999999998</v>
      </c>
      <c r="BL525" s="408">
        <v>3</v>
      </c>
      <c r="BM525" s="408"/>
      <c r="BN525" s="408"/>
      <c r="BO525" s="408"/>
      <c r="BP525" s="408"/>
      <c r="BQ525" s="408"/>
      <c r="BR525" s="408"/>
      <c r="BS525" s="408"/>
      <c r="BT525" s="408"/>
      <c r="BU525" s="408"/>
      <c r="BV525" s="408">
        <v>0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10174.970000000001</v>
      </c>
      <c r="CJ525" s="408">
        <v>-7501.9399999999951</v>
      </c>
      <c r="CK525" s="408"/>
      <c r="CL525" s="408"/>
      <c r="CM525" s="408"/>
      <c r="CN525" s="408"/>
      <c r="CO525" s="408">
        <v>-7501.9099999999989</v>
      </c>
      <c r="CP525" s="408">
        <v>0</v>
      </c>
      <c r="CQ525" s="408">
        <v>31</v>
      </c>
      <c r="CR525" s="408">
        <v>123.62979617443398</v>
      </c>
      <c r="CS525" s="408">
        <v>35.071554882226337</v>
      </c>
      <c r="CT525" s="408">
        <v>117.89458336075927</v>
      </c>
      <c r="CU525" s="408">
        <v>0</v>
      </c>
      <c r="CV525" s="408">
        <v>0</v>
      </c>
      <c r="CW525" s="408"/>
      <c r="CX525" s="408"/>
      <c r="CY525" s="408"/>
      <c r="CZ525" s="408">
        <v>-29.33634206855163</v>
      </c>
      <c r="DA525" s="408">
        <v>0</v>
      </c>
      <c r="DB525" s="408">
        <v>0</v>
      </c>
      <c r="DC525" s="408"/>
      <c r="DD525" s="408"/>
      <c r="DE525" s="408">
        <v>0</v>
      </c>
      <c r="DF525" s="408">
        <v>0</v>
      </c>
      <c r="DG525" s="408">
        <v>0</v>
      </c>
      <c r="DH525" s="408">
        <v>0</v>
      </c>
      <c r="DI525" s="408">
        <v>0</v>
      </c>
      <c r="DJ525" s="408"/>
      <c r="DK525" s="408">
        <v>0</v>
      </c>
      <c r="DL525" s="408">
        <v>0</v>
      </c>
      <c r="DM525" s="408"/>
      <c r="DN525" s="408">
        <v>0</v>
      </c>
      <c r="DO525" s="408">
        <v>0</v>
      </c>
      <c r="DP525" s="408">
        <v>0</v>
      </c>
      <c r="DQ525" s="408">
        <v>0</v>
      </c>
      <c r="DR525" s="408">
        <v>0</v>
      </c>
      <c r="DS525" s="408"/>
      <c r="DT525" s="408"/>
      <c r="DU525" s="408">
        <v>14400.377527982761</v>
      </c>
      <c r="DV525" s="408"/>
      <c r="DW525" s="408">
        <v>0</v>
      </c>
      <c r="DX525" s="408">
        <v>0</v>
      </c>
      <c r="DY525" s="408">
        <v>-7501.91</v>
      </c>
      <c r="DZ525" s="408"/>
      <c r="EA525" s="408">
        <v>0</v>
      </c>
      <c r="EB525" s="408"/>
      <c r="EC525" s="408">
        <v>-7624.2364582281789</v>
      </c>
      <c r="ED525" s="408"/>
      <c r="EE525" s="408">
        <v>0</v>
      </c>
      <c r="EF525" s="408">
        <v>0</v>
      </c>
      <c r="EG525" s="408"/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/>
      <c r="EN525" s="408"/>
      <c r="EO525" s="408">
        <v>0</v>
      </c>
      <c r="EP525" s="408">
        <v>0</v>
      </c>
      <c r="EQ525" s="408"/>
      <c r="ER525" s="408">
        <v>0</v>
      </c>
      <c r="ES525" s="408"/>
      <c r="ET525" s="408">
        <v>0</v>
      </c>
      <c r="EU525" s="408"/>
      <c r="EV525" s="408">
        <v>239</v>
      </c>
      <c r="EW525" s="408"/>
      <c r="EX525" s="408"/>
      <c r="EY525" s="408"/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530</v>
      </c>
      <c r="B526" s="408" t="s">
        <v>1034</v>
      </c>
      <c r="C526" s="408" t="s">
        <v>2233</v>
      </c>
      <c r="D526" s="408" t="s">
        <v>2243</v>
      </c>
      <c r="E526" s="408" t="s">
        <v>972</v>
      </c>
      <c r="F526" s="408" t="s">
        <v>1320</v>
      </c>
      <c r="G526" s="408" t="s">
        <v>1320</v>
      </c>
      <c r="H526" s="408" t="s">
        <v>1320</v>
      </c>
      <c r="I526" s="408" t="s">
        <v>1320</v>
      </c>
      <c r="J526" s="408" t="s">
        <v>2234</v>
      </c>
      <c r="K526" s="827">
        <v>44621</v>
      </c>
      <c r="L526" s="408">
        <v>0</v>
      </c>
      <c r="M526" s="408">
        <v>0</v>
      </c>
      <c r="N526" s="408">
        <v>3238.971</v>
      </c>
      <c r="O526" s="408">
        <v>3238.971</v>
      </c>
      <c r="P526" s="408">
        <v>3238.971</v>
      </c>
      <c r="Q526" s="408">
        <v>3238.971</v>
      </c>
      <c r="R526" s="408"/>
      <c r="S526" s="408">
        <v>516.83000000000004</v>
      </c>
      <c r="T526" s="408">
        <v>173.82</v>
      </c>
      <c r="U526" s="408"/>
      <c r="V526" s="408">
        <v>2236995.3211500002</v>
      </c>
      <c r="W526" s="408">
        <v>2236995.3211500002</v>
      </c>
      <c r="X526" s="408">
        <v>1688961.4279499999</v>
      </c>
      <c r="Y526" s="408">
        <v>0</v>
      </c>
      <c r="Z526" s="408">
        <v>198061.31386602178</v>
      </c>
      <c r="AA526" s="408">
        <v>0</v>
      </c>
      <c r="AB526" s="408">
        <v>0</v>
      </c>
      <c r="AC526" s="408">
        <v>8804.9615188348998</v>
      </c>
      <c r="AD526" s="408">
        <v>111506.79634823762</v>
      </c>
      <c r="AE526" s="408">
        <v>1177741.0156868782</v>
      </c>
      <c r="AF526" s="408">
        <v>521222.13027679018</v>
      </c>
      <c r="AG526" s="408">
        <v>26222.273224807766</v>
      </c>
      <c r="AH526" s="408">
        <v>0</v>
      </c>
      <c r="AI526" s="408">
        <v>0</v>
      </c>
      <c r="AJ526" s="408">
        <v>0</v>
      </c>
      <c r="AK526" s="408">
        <v>0</v>
      </c>
      <c r="AL526" s="408">
        <v>30613.123580625645</v>
      </c>
      <c r="AM526" s="408"/>
      <c r="AN526" s="408">
        <v>5025.3994618208753</v>
      </c>
      <c r="AO526" s="408">
        <v>18781.185584010094</v>
      </c>
      <c r="AP526" s="408">
        <v>61505.843353201533</v>
      </c>
      <c r="AQ526" s="408">
        <v>0</v>
      </c>
      <c r="AR526" s="408">
        <v>0</v>
      </c>
      <c r="AS526" s="408">
        <v>0</v>
      </c>
      <c r="AT526" s="408">
        <v>0</v>
      </c>
      <c r="AU526" s="408">
        <v>0</v>
      </c>
      <c r="AV526" s="408">
        <v>0</v>
      </c>
      <c r="AW526" s="408">
        <v>0</v>
      </c>
      <c r="AX526" s="408">
        <v>0</v>
      </c>
      <c r="AY526" s="408">
        <v>0</v>
      </c>
      <c r="AZ526" s="408">
        <v>0</v>
      </c>
      <c r="BA526" s="408"/>
      <c r="BB526" s="408">
        <v>0</v>
      </c>
      <c r="BC526" s="408">
        <v>0</v>
      </c>
      <c r="BD526" s="408">
        <v>0</v>
      </c>
      <c r="BE526" s="408">
        <v>1797.0219770658771</v>
      </c>
      <c r="BF526" s="408">
        <v>15565.485160075137</v>
      </c>
      <c r="BG526" s="408">
        <v>60174.650093332944</v>
      </c>
      <c r="BH526" s="408">
        <v>0</v>
      </c>
      <c r="BI526" s="408">
        <v>0</v>
      </c>
      <c r="BJ526" s="408">
        <v>0</v>
      </c>
      <c r="BK526" s="408">
        <v>95822.24</v>
      </c>
      <c r="BL526" s="408">
        <v>10199</v>
      </c>
      <c r="BM526" s="408"/>
      <c r="BN526" s="408"/>
      <c r="BO526" s="408"/>
      <c r="BP526" s="408"/>
      <c r="BQ526" s="408"/>
      <c r="BR526" s="408">
        <v>202662.41546999998</v>
      </c>
      <c r="BS526" s="408"/>
      <c r="BT526" s="408"/>
      <c r="BU526" s="408"/>
      <c r="BV526" s="408">
        <v>598759.28750726418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1486298.5535999998</v>
      </c>
      <c r="CJ526" s="408">
        <v>-482250.88107000035</v>
      </c>
      <c r="CK526" s="408"/>
      <c r="CL526" s="408"/>
      <c r="CM526" s="408"/>
      <c r="CN526" s="408"/>
      <c r="CO526" s="408">
        <v>-616667.6886900001</v>
      </c>
      <c r="CP526" s="408">
        <v>68633.79548999999</v>
      </c>
      <c r="CQ526" s="408">
        <v>31</v>
      </c>
      <c r="CR526" s="408">
        <v>75487.066255880985</v>
      </c>
      <c r="CS526" s="408">
        <v>1823.5344659749935</v>
      </c>
      <c r="CT526" s="408">
        <v>5971.8288130278524</v>
      </c>
      <c r="CU526" s="408">
        <v>0</v>
      </c>
      <c r="CV526" s="408">
        <v>0</v>
      </c>
      <c r="CW526" s="408">
        <v>0</v>
      </c>
      <c r="CX526" s="408">
        <v>0</v>
      </c>
      <c r="CY526" s="408">
        <v>0</v>
      </c>
      <c r="CZ526" s="408">
        <v>-2138.0545016051328</v>
      </c>
      <c r="DA526" s="408">
        <v>0</v>
      </c>
      <c r="DB526" s="408">
        <v>0</v>
      </c>
      <c r="DC526" s="408">
        <v>66904.620995282952</v>
      </c>
      <c r="DD526" s="408">
        <v>1998.0020508520265</v>
      </c>
      <c r="DE526" s="408">
        <v>230.66763153731517</v>
      </c>
      <c r="DF526" s="408">
        <v>0</v>
      </c>
      <c r="DG526" s="408">
        <v>7724.0813928604839</v>
      </c>
      <c r="DH526" s="408">
        <v>0</v>
      </c>
      <c r="DI526" s="408">
        <v>-5788.4420218342857</v>
      </c>
      <c r="DJ526" s="408"/>
      <c r="DK526" s="408">
        <v>0</v>
      </c>
      <c r="DL526" s="408">
        <v>0</v>
      </c>
      <c r="DM526" s="408">
        <v>-291.45094284974039</v>
      </c>
      <c r="DN526" s="408">
        <v>0</v>
      </c>
      <c r="DO526" s="408">
        <v>-792.86932680523751</v>
      </c>
      <c r="DP526" s="408">
        <v>-154.85230056037835</v>
      </c>
      <c r="DQ526" s="408">
        <v>0</v>
      </c>
      <c r="DR526" s="408">
        <v>0</v>
      </c>
      <c r="DS526" s="408"/>
      <c r="DT526" s="408"/>
      <c r="DU526" s="408"/>
      <c r="DV526" s="408">
        <v>1177741.0156868782</v>
      </c>
      <c r="DW526" s="408">
        <v>0</v>
      </c>
      <c r="DX526" s="408">
        <v>0</v>
      </c>
      <c r="DY526" s="408">
        <v>-616667.68869000021</v>
      </c>
      <c r="DZ526" s="408">
        <v>68633.795490000048</v>
      </c>
      <c r="EA526" s="408">
        <v>0</v>
      </c>
      <c r="EB526" s="408">
        <v>0</v>
      </c>
      <c r="EC526" s="408">
        <v>-623551.42930814717</v>
      </c>
      <c r="ED526" s="408">
        <v>0</v>
      </c>
      <c r="EE526" s="408">
        <v>0</v>
      </c>
      <c r="EF526" s="408">
        <v>0</v>
      </c>
      <c r="EG526" s="408">
        <v>0</v>
      </c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>
        <v>0</v>
      </c>
      <c r="EN526" s="408">
        <v>0</v>
      </c>
      <c r="EO526" s="408">
        <v>0</v>
      </c>
      <c r="EP526" s="408">
        <v>0</v>
      </c>
      <c r="EQ526" s="408">
        <v>0</v>
      </c>
      <c r="ER526" s="408">
        <v>0</v>
      </c>
      <c r="ES526" s="408">
        <v>0</v>
      </c>
      <c r="ET526" s="408">
        <v>0</v>
      </c>
      <c r="EU526" s="408">
        <v>0</v>
      </c>
      <c r="EV526" s="408">
        <v>239</v>
      </c>
      <c r="EW526" s="408">
        <v>0</v>
      </c>
      <c r="EX526" s="408">
        <v>0</v>
      </c>
      <c r="EY526" s="408">
        <v>0</v>
      </c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531</v>
      </c>
      <c r="B527" s="408" t="s">
        <v>2235</v>
      </c>
      <c r="C527" s="408" t="s">
        <v>2233</v>
      </c>
      <c r="D527" s="408" t="s">
        <v>2243</v>
      </c>
      <c r="E527" s="408" t="s">
        <v>972</v>
      </c>
      <c r="F527" s="408" t="s">
        <v>1320</v>
      </c>
      <c r="G527" s="408" t="s">
        <v>1320</v>
      </c>
      <c r="H527" s="408" t="s">
        <v>1320</v>
      </c>
      <c r="I527" s="408" t="s">
        <v>1320</v>
      </c>
      <c r="J527" s="408" t="s">
        <v>2234</v>
      </c>
      <c r="K527" s="827">
        <v>44621</v>
      </c>
      <c r="L527" s="408">
        <v>0</v>
      </c>
      <c r="M527" s="408">
        <v>0</v>
      </c>
      <c r="N527" s="408">
        <v>-0.13200000000000001</v>
      </c>
      <c r="O527" s="408">
        <v>-0.13200000000000001</v>
      </c>
      <c r="P527" s="408">
        <v>-0.13200000000000001</v>
      </c>
      <c r="Q527" s="408">
        <v>-0.13200000000000001</v>
      </c>
      <c r="R527" s="408"/>
      <c r="S527" s="408">
        <v>516.83000000000004</v>
      </c>
      <c r="T527" s="408">
        <v>173.82</v>
      </c>
      <c r="U527" s="408"/>
      <c r="V527" s="408">
        <v>-91.165800000000019</v>
      </c>
      <c r="W527" s="408">
        <v>-91.165800000000019</v>
      </c>
      <c r="X527" s="408">
        <v>-68.831400000000002</v>
      </c>
      <c r="Y527" s="408">
        <v>0</v>
      </c>
      <c r="Z527" s="408">
        <v>-8.0717281600591289</v>
      </c>
      <c r="AA527" s="408">
        <v>0</v>
      </c>
      <c r="AB527" s="408">
        <v>0</v>
      </c>
      <c r="AC527" s="408">
        <v>-0.35883461768759489</v>
      </c>
      <c r="AD527" s="408">
        <v>-4.5443127209127114</v>
      </c>
      <c r="AE527" s="408">
        <v>-47.997284962004272</v>
      </c>
      <c r="AF527" s="408">
        <v>-21.241721891469947</v>
      </c>
      <c r="AG527" s="408">
        <v>-1.0686542317528083</v>
      </c>
      <c r="AH527" s="408">
        <v>0</v>
      </c>
      <c r="AI527" s="408">
        <v>0</v>
      </c>
      <c r="AJ527" s="408">
        <v>0</v>
      </c>
      <c r="AK527" s="408">
        <v>0</v>
      </c>
      <c r="AL527" s="408">
        <v>-1.2475975588057397</v>
      </c>
      <c r="AM527" s="408"/>
      <c r="AN527" s="408">
        <v>-0.20480354068015907</v>
      </c>
      <c r="AO527" s="408">
        <v>-0.76540249884587808</v>
      </c>
      <c r="AP527" s="408">
        <v>-2.5065896924123749</v>
      </c>
      <c r="AQ527" s="408">
        <v>0</v>
      </c>
      <c r="AR527" s="408">
        <v>0</v>
      </c>
      <c r="AS527" s="408">
        <v>0</v>
      </c>
      <c r="AT527" s="408">
        <v>0</v>
      </c>
      <c r="AU527" s="408">
        <v>0</v>
      </c>
      <c r="AV527" s="408">
        <v>0</v>
      </c>
      <c r="AW527" s="408">
        <v>0</v>
      </c>
      <c r="AX527" s="408">
        <v>0</v>
      </c>
      <c r="AY527" s="408">
        <v>0</v>
      </c>
      <c r="AZ527" s="408">
        <v>0</v>
      </c>
      <c r="BA527" s="408"/>
      <c r="BB527" s="408">
        <v>0</v>
      </c>
      <c r="BC527" s="408">
        <v>0</v>
      </c>
      <c r="BD527" s="408">
        <v>0</v>
      </c>
      <c r="BE527" s="408">
        <v>-7.3235265450877995E-2</v>
      </c>
      <c r="BF527" s="408">
        <v>-0.63435086054488232</v>
      </c>
      <c r="BG527" s="408">
        <v>-2.4523386632112327</v>
      </c>
      <c r="BH527" s="408">
        <v>0</v>
      </c>
      <c r="BI527" s="408">
        <v>-0.31</v>
      </c>
      <c r="BJ527" s="408">
        <v>-1.39</v>
      </c>
      <c r="BK527" s="408">
        <v>-6.17</v>
      </c>
      <c r="BL527" s="408">
        <v>0</v>
      </c>
      <c r="BM527" s="408"/>
      <c r="BN527" s="408"/>
      <c r="BO527" s="408"/>
      <c r="BP527" s="408"/>
      <c r="BQ527" s="408"/>
      <c r="BR527" s="408">
        <v>-8.2592399999999984</v>
      </c>
      <c r="BS527" s="408"/>
      <c r="BT527" s="408"/>
      <c r="BU527" s="408"/>
      <c r="BV527" s="408">
        <v>-24.40164668067694</v>
      </c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>
        <v>-59.65440000000001</v>
      </c>
      <c r="CJ527" s="408">
        <v>20.541239999999988</v>
      </c>
      <c r="CK527" s="408"/>
      <c r="CL527" s="408"/>
      <c r="CM527" s="408"/>
      <c r="CN527" s="408"/>
      <c r="CO527" s="408">
        <v>25.131480000000007</v>
      </c>
      <c r="CP527" s="408">
        <v>-2.7970799999999998</v>
      </c>
      <c r="CQ527" s="408">
        <v>31</v>
      </c>
      <c r="CR527" s="408">
        <v>-3.076376029849051</v>
      </c>
      <c r="CS527" s="408">
        <v>-7.4315747040865521E-2</v>
      </c>
      <c r="CT527" s="408">
        <v>-0.2433740232066528</v>
      </c>
      <c r="CU527" s="408">
        <v>0</v>
      </c>
      <c r="CV527" s="408">
        <v>0</v>
      </c>
      <c r="CW527" s="408">
        <v>0</v>
      </c>
      <c r="CX527" s="408">
        <v>0</v>
      </c>
      <c r="CY527" s="408">
        <v>0</v>
      </c>
      <c r="CZ527" s="408">
        <v>8.7133597124481099E-2</v>
      </c>
      <c r="DA527" s="408">
        <v>0</v>
      </c>
      <c r="DB527" s="408">
        <v>0</v>
      </c>
      <c r="DC527" s="408">
        <v>-2.7266097693919953</v>
      </c>
      <c r="DD527" s="408">
        <v>-8.1425943829836034E-2</v>
      </c>
      <c r="DE527" s="408">
        <v>-9.400555720605594E-3</v>
      </c>
      <c r="DF527" s="408">
        <v>0</v>
      </c>
      <c r="DG527" s="408">
        <v>-0.31478477079837486</v>
      </c>
      <c r="DH527" s="408">
        <v>0</v>
      </c>
      <c r="DI527" s="408">
        <v>0.23590033590363291</v>
      </c>
      <c r="DJ527" s="408"/>
      <c r="DK527" s="408">
        <v>0</v>
      </c>
      <c r="DL527" s="408">
        <v>0</v>
      </c>
      <c r="DM527" s="408">
        <v>1.1877699570686406E-2</v>
      </c>
      <c r="DN527" s="408">
        <v>0</v>
      </c>
      <c r="DO527" s="408">
        <v>3.2312345846348123E-2</v>
      </c>
      <c r="DP527" s="408">
        <v>6.3108016941089973E-3</v>
      </c>
      <c r="DQ527" s="408">
        <v>0</v>
      </c>
      <c r="DR527" s="408">
        <v>0</v>
      </c>
      <c r="DS527" s="408"/>
      <c r="DT527" s="408"/>
      <c r="DU527" s="408"/>
      <c r="DV527" s="408">
        <v>-47.997284962004272</v>
      </c>
      <c r="DW527" s="408">
        <v>0</v>
      </c>
      <c r="DX527" s="408">
        <v>0</v>
      </c>
      <c r="DY527" s="408">
        <v>25.13148000000001</v>
      </c>
      <c r="DZ527" s="408">
        <v>-2.7970800000000011</v>
      </c>
      <c r="EA527" s="408">
        <v>0</v>
      </c>
      <c r="EB527" s="408">
        <v>0</v>
      </c>
      <c r="EC527" s="408">
        <v>25.412017788574037</v>
      </c>
      <c r="ED527" s="408">
        <v>0</v>
      </c>
      <c r="EE527" s="408">
        <v>0</v>
      </c>
      <c r="EF527" s="408">
        <v>0</v>
      </c>
      <c r="EG527" s="408">
        <v>0</v>
      </c>
      <c r="EH527" s="408">
        <v>0</v>
      </c>
      <c r="EI527" s="408">
        <v>0</v>
      </c>
      <c r="EJ527" s="408">
        <v>0</v>
      </c>
      <c r="EK527" s="408">
        <v>0</v>
      </c>
      <c r="EL527" s="408">
        <v>0</v>
      </c>
      <c r="EM527" s="408">
        <v>0</v>
      </c>
      <c r="EN527" s="408">
        <v>0</v>
      </c>
      <c r="EO527" s="408">
        <v>0</v>
      </c>
      <c r="EP527" s="408">
        <v>0</v>
      </c>
      <c r="EQ527" s="408">
        <v>0</v>
      </c>
      <c r="ER527" s="408">
        <v>0</v>
      </c>
      <c r="ES527" s="408">
        <v>0</v>
      </c>
      <c r="ET527" s="408">
        <v>0</v>
      </c>
      <c r="EU527" s="408">
        <v>0</v>
      </c>
      <c r="EV527" s="408">
        <v>239</v>
      </c>
      <c r="EW527" s="408">
        <v>0</v>
      </c>
      <c r="EX527" s="408">
        <v>0</v>
      </c>
      <c r="EY527" s="408">
        <v>0</v>
      </c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532</v>
      </c>
      <c r="B528" s="408" t="s">
        <v>2236</v>
      </c>
      <c r="C528" s="408" t="s">
        <v>2233</v>
      </c>
      <c r="D528" s="408" t="s">
        <v>2243</v>
      </c>
      <c r="E528" s="408" t="s">
        <v>972</v>
      </c>
      <c r="F528" s="408" t="s">
        <v>1320</v>
      </c>
      <c r="G528" s="408" t="s">
        <v>1320</v>
      </c>
      <c r="H528" s="408" t="s">
        <v>1320</v>
      </c>
      <c r="I528" s="408" t="s">
        <v>1320</v>
      </c>
      <c r="J528" s="408" t="s">
        <v>2234</v>
      </c>
      <c r="K528" s="827">
        <v>44621</v>
      </c>
      <c r="L528" s="408">
        <v>0</v>
      </c>
      <c r="M528" s="408">
        <v>0</v>
      </c>
      <c r="N528" s="408">
        <v>58.551000000000002</v>
      </c>
      <c r="O528" s="408">
        <v>58.551000000000002</v>
      </c>
      <c r="P528" s="408">
        <v>58.551000000000002</v>
      </c>
      <c r="Q528" s="408">
        <v>58.551000000000002</v>
      </c>
      <c r="R528" s="408"/>
      <c r="S528" s="408">
        <v>516.83000000000004</v>
      </c>
      <c r="T528" s="408">
        <v>173.82</v>
      </c>
      <c r="U528" s="408"/>
      <c r="V528" s="408">
        <v>40438.248149999999</v>
      </c>
      <c r="W528" s="408">
        <v>40438.248149999999</v>
      </c>
      <c r="X528" s="408">
        <v>30531.418949999999</v>
      </c>
      <c r="Y528" s="408">
        <v>0</v>
      </c>
      <c r="Z528" s="408">
        <v>3580.3617840880456</v>
      </c>
      <c r="AA528" s="408">
        <v>0</v>
      </c>
      <c r="AB528" s="408">
        <v>0</v>
      </c>
      <c r="AC528" s="408">
        <v>159.16761894110886</v>
      </c>
      <c r="AD528" s="408">
        <v>2015.7125312284863</v>
      </c>
      <c r="AE528" s="408">
        <v>21290.068422805394</v>
      </c>
      <c r="AF528" s="408">
        <v>9422.1519580867953</v>
      </c>
      <c r="AG528" s="408">
        <v>474.02101457089907</v>
      </c>
      <c r="AH528" s="408">
        <v>0</v>
      </c>
      <c r="AI528" s="408">
        <v>0</v>
      </c>
      <c r="AJ528" s="408">
        <v>0</v>
      </c>
      <c r="AK528" s="408">
        <v>0</v>
      </c>
      <c r="AL528" s="408">
        <v>553.39458080026407</v>
      </c>
      <c r="AM528" s="408"/>
      <c r="AN528" s="408">
        <v>90.844334169424201</v>
      </c>
      <c r="AO528" s="408">
        <v>339.50819477215913</v>
      </c>
      <c r="AP528" s="408">
        <v>1111.8434324275527</v>
      </c>
      <c r="AQ528" s="408">
        <v>0</v>
      </c>
      <c r="AR528" s="408">
        <v>0</v>
      </c>
      <c r="AS528" s="408">
        <v>0</v>
      </c>
      <c r="AT528" s="408">
        <v>0</v>
      </c>
      <c r="AU528" s="408">
        <v>0</v>
      </c>
      <c r="AV528" s="408">
        <v>0</v>
      </c>
      <c r="AW528" s="408">
        <v>0</v>
      </c>
      <c r="AX528" s="408">
        <v>0</v>
      </c>
      <c r="AY528" s="408">
        <v>0</v>
      </c>
      <c r="AZ528" s="408">
        <v>0</v>
      </c>
      <c r="BA528" s="408"/>
      <c r="BB528" s="408">
        <v>0</v>
      </c>
      <c r="BC528" s="408">
        <v>0</v>
      </c>
      <c r="BD528" s="408">
        <v>0</v>
      </c>
      <c r="BE528" s="408">
        <v>32.484833541017863</v>
      </c>
      <c r="BF528" s="408">
        <v>281.37785784669245</v>
      </c>
      <c r="BG528" s="408">
        <v>1087.779402043037</v>
      </c>
      <c r="BH528" s="408">
        <v>0</v>
      </c>
      <c r="BI528" s="408">
        <v>0</v>
      </c>
      <c r="BJ528" s="408">
        <v>0</v>
      </c>
      <c r="BK528" s="408">
        <v>2167.34</v>
      </c>
      <c r="BL528" s="408">
        <v>282</v>
      </c>
      <c r="BM528" s="408"/>
      <c r="BN528" s="408"/>
      <c r="BO528" s="408"/>
      <c r="BP528" s="408"/>
      <c r="BQ528" s="408"/>
      <c r="BR528" s="408">
        <v>3663.5360699999992</v>
      </c>
      <c r="BS528" s="408"/>
      <c r="BT528" s="408"/>
      <c r="BU528" s="408"/>
      <c r="BV528" s="408">
        <v>10823.794051517541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26867.423999999999</v>
      </c>
      <c r="CJ528" s="408">
        <v>-8718.1472700000013</v>
      </c>
      <c r="CK528" s="408"/>
      <c r="CL528" s="408"/>
      <c r="CM528" s="408"/>
      <c r="CN528" s="408"/>
      <c r="CO528" s="408">
        <v>-11147.524890000002</v>
      </c>
      <c r="CP528" s="408">
        <v>1240.69569</v>
      </c>
      <c r="CQ528" s="408">
        <v>31</v>
      </c>
      <c r="CR528" s="408">
        <v>1364.5825221491868</v>
      </c>
      <c r="CS528" s="408">
        <v>32.96410079537668</v>
      </c>
      <c r="CT528" s="408">
        <v>107.95297297555112</v>
      </c>
      <c r="CU528" s="408">
        <v>0</v>
      </c>
      <c r="CV528" s="408">
        <v>0</v>
      </c>
      <c r="CW528" s="408">
        <v>0</v>
      </c>
      <c r="CX528" s="408">
        <v>0</v>
      </c>
      <c r="CY528" s="408">
        <v>0</v>
      </c>
      <c r="CZ528" s="408">
        <v>-38.649691251784134</v>
      </c>
      <c r="DA528" s="408">
        <v>0</v>
      </c>
      <c r="DB528" s="408">
        <v>0</v>
      </c>
      <c r="DC528" s="408">
        <v>1209.4373379368972</v>
      </c>
      <c r="DD528" s="408">
        <v>36.117957857429758</v>
      </c>
      <c r="DE528" s="408">
        <v>4.1697874090695279</v>
      </c>
      <c r="DF528" s="408">
        <v>0</v>
      </c>
      <c r="DG528" s="408">
        <v>139.62850844708828</v>
      </c>
      <c r="DH528" s="408">
        <v>0</v>
      </c>
      <c r="DI528" s="408">
        <v>-104.63788308707262</v>
      </c>
      <c r="DJ528" s="408"/>
      <c r="DK528" s="408">
        <v>0</v>
      </c>
      <c r="DL528" s="408">
        <v>0</v>
      </c>
      <c r="DM528" s="408">
        <v>-5.2685696027519384</v>
      </c>
      <c r="DN528" s="408">
        <v>0</v>
      </c>
      <c r="DO528" s="408">
        <v>-14.332728497344874</v>
      </c>
      <c r="DP528" s="408">
        <v>-2.7992708332710379</v>
      </c>
      <c r="DQ528" s="408">
        <v>0</v>
      </c>
      <c r="DR528" s="408">
        <v>0</v>
      </c>
      <c r="DS528" s="408"/>
      <c r="DT528" s="408"/>
      <c r="DU528" s="408"/>
      <c r="DV528" s="408">
        <v>21290.068422805394</v>
      </c>
      <c r="DW528" s="408">
        <v>0</v>
      </c>
      <c r="DX528" s="408">
        <v>0</v>
      </c>
      <c r="DY528" s="408">
        <v>-11147.524890000004</v>
      </c>
      <c r="DZ528" s="408">
        <v>1240.6956900000005</v>
      </c>
      <c r="EA528" s="408">
        <v>0</v>
      </c>
      <c r="EB528" s="408">
        <v>0</v>
      </c>
      <c r="EC528" s="408">
        <v>-11271.962526809077</v>
      </c>
      <c r="ED528" s="408">
        <v>0</v>
      </c>
      <c r="EE528" s="408">
        <v>0</v>
      </c>
      <c r="EF528" s="408">
        <v>0</v>
      </c>
      <c r="EG528" s="408">
        <v>0</v>
      </c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>
        <v>0</v>
      </c>
      <c r="EN528" s="408">
        <v>0</v>
      </c>
      <c r="EO528" s="408">
        <v>0</v>
      </c>
      <c r="EP528" s="408">
        <v>0</v>
      </c>
      <c r="EQ528" s="408">
        <v>0</v>
      </c>
      <c r="ER528" s="408">
        <v>0</v>
      </c>
      <c r="ES528" s="408">
        <v>0</v>
      </c>
      <c r="ET528" s="408">
        <v>0</v>
      </c>
      <c r="EU528" s="408">
        <v>0</v>
      </c>
      <c r="EV528" s="408">
        <v>239</v>
      </c>
      <c r="EW528" s="408">
        <v>0</v>
      </c>
      <c r="EX528" s="408">
        <v>0</v>
      </c>
      <c r="EY528" s="408">
        <v>0</v>
      </c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533</v>
      </c>
      <c r="B529" s="408" t="s">
        <v>1034</v>
      </c>
      <c r="C529" s="408" t="s">
        <v>2241</v>
      </c>
      <c r="D529" s="408" t="s">
        <v>596</v>
      </c>
      <c r="E529" s="408" t="s">
        <v>972</v>
      </c>
      <c r="F529" s="408" t="s">
        <v>1320</v>
      </c>
      <c r="G529" s="408" t="s">
        <v>1320</v>
      </c>
      <c r="H529" s="408" t="s">
        <v>1320</v>
      </c>
      <c r="I529" s="408" t="s">
        <v>971</v>
      </c>
      <c r="J529" s="408" t="s">
        <v>2234</v>
      </c>
      <c r="K529" s="827">
        <v>44621</v>
      </c>
      <c r="L529" s="408">
        <v>0</v>
      </c>
      <c r="M529" s="408">
        <v>0</v>
      </c>
      <c r="N529" s="408">
        <v>50.412999999999997</v>
      </c>
      <c r="O529" s="408">
        <v>48.396479999999997</v>
      </c>
      <c r="P529" s="408">
        <v>50.412999999999997</v>
      </c>
      <c r="Q529" s="408">
        <v>48.396479999999997</v>
      </c>
      <c r="R529" s="408"/>
      <c r="S529" s="408">
        <v>1684.16</v>
      </c>
      <c r="T529" s="408">
        <v>173.82</v>
      </c>
      <c r="U529" s="408"/>
      <c r="V529" s="408">
        <v>93666.345740000004</v>
      </c>
      <c r="W529" s="408">
        <v>93666.345740000004</v>
      </c>
      <c r="X529" s="408">
        <v>64299.764979999993</v>
      </c>
      <c r="Y529" s="408">
        <v>0</v>
      </c>
      <c r="Z529" s="408">
        <v>2681.9729364224504</v>
      </c>
      <c r="AA529" s="408">
        <v>0</v>
      </c>
      <c r="AB529" s="408">
        <v>0</v>
      </c>
      <c r="AC529" s="408">
        <v>907.40374512884068</v>
      </c>
      <c r="AD529" s="408">
        <v>13842.700447752901</v>
      </c>
      <c r="AE529" s="408">
        <v>58392.997558902207</v>
      </c>
      <c r="AF529" s="408">
        <v>8112.5676190505637</v>
      </c>
      <c r="AG529" s="408">
        <v>408.13686201026002</v>
      </c>
      <c r="AH529" s="408">
        <v>0</v>
      </c>
      <c r="AI529" s="408">
        <v>0</v>
      </c>
      <c r="AJ529" s="408">
        <v>0</v>
      </c>
      <c r="AK529" s="408">
        <v>0</v>
      </c>
      <c r="AL529" s="408">
        <v>476.4783010005587</v>
      </c>
      <c r="AM529" s="408"/>
      <c r="AN529" s="408">
        <v>62.649781048863325</v>
      </c>
      <c r="AO529" s="408">
        <v>1948.7721687725275</v>
      </c>
      <c r="AP529" s="408">
        <v>6266.2689015652222</v>
      </c>
      <c r="AQ529" s="408">
        <v>0</v>
      </c>
      <c r="AR529" s="408">
        <v>0</v>
      </c>
      <c r="AS529" s="408">
        <v>0</v>
      </c>
      <c r="AT529" s="408">
        <v>0</v>
      </c>
      <c r="AU529" s="408">
        <v>0</v>
      </c>
      <c r="AV529" s="408">
        <v>0</v>
      </c>
      <c r="AW529" s="408">
        <v>0</v>
      </c>
      <c r="AX529" s="408">
        <v>0</v>
      </c>
      <c r="AY529" s="408">
        <v>0</v>
      </c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9.4067444018168906</v>
      </c>
      <c r="BF529" s="408">
        <v>242.26916615643296</v>
      </c>
      <c r="BG529" s="408">
        <v>314.99200350402776</v>
      </c>
      <c r="BH529" s="408">
        <v>0</v>
      </c>
      <c r="BI529" s="408">
        <v>0</v>
      </c>
      <c r="BJ529" s="408">
        <v>0</v>
      </c>
      <c r="BK529" s="408">
        <v>0</v>
      </c>
      <c r="BL529" s="408">
        <v>0</v>
      </c>
      <c r="BM529" s="408"/>
      <c r="BN529" s="408"/>
      <c r="BO529" s="408"/>
      <c r="BP529" s="408"/>
      <c r="BQ529" s="408"/>
      <c r="BR529" s="408">
        <v>2571.9905991999999</v>
      </c>
      <c r="BS529" s="408"/>
      <c r="BT529" s="408"/>
      <c r="BU529" s="408"/>
      <c r="BV529" s="408">
        <v>8679.2355331128419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61732.263999999996</v>
      </c>
      <c r="CJ529" s="408">
        <v>-28187.457910399986</v>
      </c>
      <c r="CK529" s="408"/>
      <c r="CL529" s="408"/>
      <c r="CM529" s="408"/>
      <c r="CN529" s="408"/>
      <c r="CO529" s="408">
        <v>-30434.83223</v>
      </c>
      <c r="CP529" s="408">
        <v>1068.2514699999999</v>
      </c>
      <c r="CQ529" s="408">
        <v>31</v>
      </c>
      <c r="CR529" s="408">
        <v>1549.092159020598</v>
      </c>
      <c r="CS529" s="408">
        <v>189.21346579499004</v>
      </c>
      <c r="CT529" s="408">
        <v>608.415121822728</v>
      </c>
      <c r="CU529" s="408">
        <v>0</v>
      </c>
      <c r="CV529" s="408">
        <v>0</v>
      </c>
      <c r="CW529" s="408">
        <v>0</v>
      </c>
      <c r="CX529" s="408">
        <v>0</v>
      </c>
      <c r="CY529" s="408">
        <v>0</v>
      </c>
      <c r="CZ529" s="408">
        <v>-265.42281704752168</v>
      </c>
      <c r="DA529" s="408">
        <v>0</v>
      </c>
      <c r="DB529" s="408">
        <v>0</v>
      </c>
      <c r="DC529" s="408">
        <v>1041.337714426958</v>
      </c>
      <c r="DD529" s="408">
        <v>31.097925047678189</v>
      </c>
      <c r="DE529" s="408">
        <v>1.2074596078045019</v>
      </c>
      <c r="DF529" s="408">
        <v>0</v>
      </c>
      <c r="DG529" s="408">
        <v>40.432704957845203</v>
      </c>
      <c r="DH529" s="408">
        <v>0</v>
      </c>
      <c r="DI529" s="408">
        <v>-78.382014859862011</v>
      </c>
      <c r="DJ529" s="408"/>
      <c r="DK529" s="408">
        <v>0</v>
      </c>
      <c r="DL529" s="408">
        <v>0</v>
      </c>
      <c r="DM529" s="408">
        <v>-4.5362914277046684</v>
      </c>
      <c r="DN529" s="408">
        <v>0</v>
      </c>
      <c r="DO529" s="408">
        <v>-12.340623417817767</v>
      </c>
      <c r="DP529" s="408">
        <v>-1.9304858845005199</v>
      </c>
      <c r="DQ529" s="408">
        <v>0</v>
      </c>
      <c r="DR529" s="408">
        <v>0</v>
      </c>
      <c r="DS529" s="408"/>
      <c r="DT529" s="408"/>
      <c r="DU529" s="408"/>
      <c r="DV529" s="408">
        <v>58392.997558902207</v>
      </c>
      <c r="DW529" s="408">
        <v>0</v>
      </c>
      <c r="DX529" s="408">
        <v>0</v>
      </c>
      <c r="DY529" s="408">
        <v>-30434.832230000007</v>
      </c>
      <c r="DZ529" s="408">
        <v>1068.2514699999992</v>
      </c>
      <c r="EA529" s="408">
        <v>0</v>
      </c>
      <c r="EB529" s="408">
        <v>0</v>
      </c>
      <c r="EC529" s="408">
        <v>-30915.996475001815</v>
      </c>
      <c r="ED529" s="408">
        <v>0</v>
      </c>
      <c r="EE529" s="408">
        <v>0</v>
      </c>
      <c r="EF529" s="408">
        <v>0</v>
      </c>
      <c r="EG529" s="408">
        <v>0</v>
      </c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>
        <v>0</v>
      </c>
      <c r="EN529" s="408">
        <v>0</v>
      </c>
      <c r="EO529" s="408">
        <v>0</v>
      </c>
      <c r="EP529" s="408">
        <v>0</v>
      </c>
      <c r="EQ529" s="408">
        <v>0</v>
      </c>
      <c r="ER529" s="408">
        <v>0</v>
      </c>
      <c r="ES529" s="408">
        <v>0</v>
      </c>
      <c r="ET529" s="408">
        <v>0</v>
      </c>
      <c r="EU529" s="408">
        <v>0</v>
      </c>
      <c r="EV529" s="408">
        <v>239</v>
      </c>
      <c r="EW529" s="408">
        <v>0</v>
      </c>
      <c r="EX529" s="408">
        <v>0</v>
      </c>
      <c r="EY529" s="408">
        <v>0</v>
      </c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534</v>
      </c>
      <c r="B530" s="408" t="s">
        <v>2236</v>
      </c>
      <c r="C530" s="408" t="s">
        <v>2241</v>
      </c>
      <c r="D530" s="408" t="s">
        <v>596</v>
      </c>
      <c r="E530" s="408" t="s">
        <v>972</v>
      </c>
      <c r="F530" s="408" t="s">
        <v>1320</v>
      </c>
      <c r="G530" s="408" t="s">
        <v>1320</v>
      </c>
      <c r="H530" s="408" t="s">
        <v>1320</v>
      </c>
      <c r="I530" s="408" t="s">
        <v>971</v>
      </c>
      <c r="J530" s="408" t="s">
        <v>2234</v>
      </c>
      <c r="K530" s="827">
        <v>44621</v>
      </c>
      <c r="L530" s="408">
        <v>0</v>
      </c>
      <c r="M530" s="408">
        <v>0</v>
      </c>
      <c r="N530" s="408">
        <v>7.0049999999999999</v>
      </c>
      <c r="O530" s="408">
        <v>6.7248000000000001</v>
      </c>
      <c r="P530" s="408">
        <v>7.0049999999999999</v>
      </c>
      <c r="Q530" s="408">
        <v>6.7248000000000001</v>
      </c>
      <c r="R530" s="408"/>
      <c r="S530" s="408">
        <v>1684.16</v>
      </c>
      <c r="T530" s="408">
        <v>173.82</v>
      </c>
      <c r="U530" s="408"/>
      <c r="V530" s="408">
        <v>13015.1499</v>
      </c>
      <c r="W530" s="408">
        <v>13015.1499</v>
      </c>
      <c r="X530" s="408">
        <v>8934.5973000000013</v>
      </c>
      <c r="Y530" s="408">
        <v>0</v>
      </c>
      <c r="Z530" s="408">
        <v>372.66618569891233</v>
      </c>
      <c r="AA530" s="408">
        <v>0</v>
      </c>
      <c r="AB530" s="408">
        <v>0</v>
      </c>
      <c r="AC530" s="408">
        <v>126.08579601744648</v>
      </c>
      <c r="AD530" s="408">
        <v>1923.4744339061169</v>
      </c>
      <c r="AE530" s="408">
        <v>8113.8386507470286</v>
      </c>
      <c r="AF530" s="408">
        <v>1127.25955946778</v>
      </c>
      <c r="AG530" s="408">
        <v>56.711537071427436</v>
      </c>
      <c r="AH530" s="408">
        <v>0</v>
      </c>
      <c r="AI530" s="408">
        <v>0</v>
      </c>
      <c r="AJ530" s="408">
        <v>0</v>
      </c>
      <c r="AK530" s="408">
        <v>0</v>
      </c>
      <c r="AL530" s="408">
        <v>66.207734086622779</v>
      </c>
      <c r="AM530" s="408"/>
      <c r="AN530" s="408">
        <v>8.705328313079713</v>
      </c>
      <c r="AO530" s="408">
        <v>270.78628612166619</v>
      </c>
      <c r="AP530" s="408">
        <v>870.71219041644792</v>
      </c>
      <c r="AQ530" s="408">
        <v>0</v>
      </c>
      <c r="AR530" s="408">
        <v>0</v>
      </c>
      <c r="AS530" s="408">
        <v>0</v>
      </c>
      <c r="AT530" s="408">
        <v>0</v>
      </c>
      <c r="AU530" s="408">
        <v>0</v>
      </c>
      <c r="AV530" s="408">
        <v>0</v>
      </c>
      <c r="AW530" s="408">
        <v>0</v>
      </c>
      <c r="AX530" s="408">
        <v>0</v>
      </c>
      <c r="AY530" s="408">
        <v>0</v>
      </c>
      <c r="AZ530" s="408">
        <v>0</v>
      </c>
      <c r="BA530" s="408"/>
      <c r="BB530" s="408">
        <v>0</v>
      </c>
      <c r="BC530" s="408">
        <v>0</v>
      </c>
      <c r="BD530" s="408">
        <v>0</v>
      </c>
      <c r="BE530" s="408">
        <v>1.3070883409979037</v>
      </c>
      <c r="BF530" s="408">
        <v>33.663846803915909</v>
      </c>
      <c r="BG530" s="408">
        <v>43.768848998189249</v>
      </c>
      <c r="BH530" s="408">
        <v>0</v>
      </c>
      <c r="BI530" s="408">
        <v>0</v>
      </c>
      <c r="BJ530" s="408">
        <v>0</v>
      </c>
      <c r="BK530" s="408">
        <v>0</v>
      </c>
      <c r="BL530" s="408">
        <v>0</v>
      </c>
      <c r="BM530" s="408"/>
      <c r="BN530" s="408"/>
      <c r="BO530" s="408"/>
      <c r="BP530" s="408"/>
      <c r="BQ530" s="408"/>
      <c r="BR530" s="408">
        <v>357.38389199999972</v>
      </c>
      <c r="BS530" s="408"/>
      <c r="BT530" s="408"/>
      <c r="BU530" s="408"/>
      <c r="BV530" s="408">
        <v>1205.9993436108832</v>
      </c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>
        <v>8571.0911999999989</v>
      </c>
      <c r="CJ530" s="408">
        <v>-3923.4827040000037</v>
      </c>
      <c r="CK530" s="408"/>
      <c r="CL530" s="408"/>
      <c r="CM530" s="408"/>
      <c r="CN530" s="408"/>
      <c r="CO530" s="408">
        <v>-4228.98855</v>
      </c>
      <c r="CP530" s="408">
        <v>148.43594999999999</v>
      </c>
      <c r="CQ530" s="408">
        <v>31</v>
      </c>
      <c r="CR530" s="408">
        <v>215.24984773648157</v>
      </c>
      <c r="CS530" s="408">
        <v>26.291637631045603</v>
      </c>
      <c r="CT530" s="408">
        <v>84.540652775438957</v>
      </c>
      <c r="CU530" s="408">
        <v>0</v>
      </c>
      <c r="CV530" s="408">
        <v>0</v>
      </c>
      <c r="CW530" s="408">
        <v>0</v>
      </c>
      <c r="CX530" s="408">
        <v>0</v>
      </c>
      <c r="CY530" s="408">
        <v>0</v>
      </c>
      <c r="CZ530" s="408">
        <v>-36.881098792332978</v>
      </c>
      <c r="DA530" s="408">
        <v>0</v>
      </c>
      <c r="DB530" s="408">
        <v>0</v>
      </c>
      <c r="DC530" s="408">
        <v>144.69622298932518</v>
      </c>
      <c r="DD530" s="408">
        <v>4.3211267918787968</v>
      </c>
      <c r="DE530" s="408">
        <v>0.16777923457581445</v>
      </c>
      <c r="DF530" s="408">
        <v>0</v>
      </c>
      <c r="DG530" s="408">
        <v>5.6182155045267237</v>
      </c>
      <c r="DH530" s="408">
        <v>0</v>
      </c>
      <c r="DI530" s="408">
        <v>-10.891357667532873</v>
      </c>
      <c r="DJ530" s="408"/>
      <c r="DK530" s="408">
        <v>0</v>
      </c>
      <c r="DL530" s="408">
        <v>0</v>
      </c>
      <c r="DM530" s="408">
        <v>-0.63032792039892627</v>
      </c>
      <c r="DN530" s="408">
        <v>0</v>
      </c>
      <c r="DO530" s="408">
        <v>-1.7147574443459774</v>
      </c>
      <c r="DP530" s="408">
        <v>-0.26824536569785806</v>
      </c>
      <c r="DQ530" s="408">
        <v>0</v>
      </c>
      <c r="DR530" s="408">
        <v>0</v>
      </c>
      <c r="DS530" s="408"/>
      <c r="DT530" s="408"/>
      <c r="DU530" s="408"/>
      <c r="DV530" s="408">
        <v>8113.8386507470286</v>
      </c>
      <c r="DW530" s="408">
        <v>0</v>
      </c>
      <c r="DX530" s="408">
        <v>0</v>
      </c>
      <c r="DY530" s="408">
        <v>-4228.98855</v>
      </c>
      <c r="DZ530" s="408">
        <v>148.43595000000005</v>
      </c>
      <c r="EA530" s="408">
        <v>0</v>
      </c>
      <c r="EB530" s="408">
        <v>0</v>
      </c>
      <c r="EC530" s="408">
        <v>-4295.84740656949</v>
      </c>
      <c r="ED530" s="408">
        <v>0</v>
      </c>
      <c r="EE530" s="408">
        <v>0</v>
      </c>
      <c r="EF530" s="408">
        <v>0</v>
      </c>
      <c r="EG530" s="408">
        <v>0</v>
      </c>
      <c r="EH530" s="408">
        <v>0</v>
      </c>
      <c r="EI530" s="408">
        <v>0</v>
      </c>
      <c r="EJ530" s="408">
        <v>0</v>
      </c>
      <c r="EK530" s="408">
        <v>0</v>
      </c>
      <c r="EL530" s="408">
        <v>0</v>
      </c>
      <c r="EM530" s="408">
        <v>0</v>
      </c>
      <c r="EN530" s="408">
        <v>0</v>
      </c>
      <c r="EO530" s="408">
        <v>0</v>
      </c>
      <c r="EP530" s="408">
        <v>0</v>
      </c>
      <c r="EQ530" s="408">
        <v>0</v>
      </c>
      <c r="ER530" s="408">
        <v>0</v>
      </c>
      <c r="ES530" s="408">
        <v>0</v>
      </c>
      <c r="ET530" s="408">
        <v>0</v>
      </c>
      <c r="EU530" s="408">
        <v>0</v>
      </c>
      <c r="EV530" s="408">
        <v>239</v>
      </c>
      <c r="EW530" s="408">
        <v>0</v>
      </c>
      <c r="EX530" s="408">
        <v>0</v>
      </c>
      <c r="EY530" s="408">
        <v>0</v>
      </c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535</v>
      </c>
      <c r="B531" s="408" t="s">
        <v>1034</v>
      </c>
      <c r="C531" s="408" t="s">
        <v>2241</v>
      </c>
      <c r="D531" s="408" t="s">
        <v>596</v>
      </c>
      <c r="E531" s="408" t="s">
        <v>972</v>
      </c>
      <c r="F531" s="408" t="s">
        <v>1320</v>
      </c>
      <c r="G531" s="408" t="s">
        <v>1320</v>
      </c>
      <c r="H531" s="408" t="s">
        <v>1320</v>
      </c>
      <c r="I531" s="408" t="s">
        <v>2242</v>
      </c>
      <c r="J531" s="408" t="s">
        <v>2234</v>
      </c>
      <c r="K531" s="827">
        <v>44621</v>
      </c>
      <c r="L531" s="408">
        <v>0</v>
      </c>
      <c r="M531" s="408">
        <v>0</v>
      </c>
      <c r="N531" s="408">
        <v>525.40700000000004</v>
      </c>
      <c r="O531" s="408">
        <v>504.39071999999999</v>
      </c>
      <c r="P531" s="408">
        <v>525.40700000000004</v>
      </c>
      <c r="Q531" s="408">
        <v>504.39071999999999</v>
      </c>
      <c r="R531" s="408"/>
      <c r="S531" s="408">
        <v>70.33</v>
      </c>
      <c r="T531" s="408">
        <v>173.82</v>
      </c>
      <c r="U531" s="408"/>
      <c r="V531" s="408">
        <v>128278.11905000001</v>
      </c>
      <c r="W531" s="408">
        <v>128278.11905000001</v>
      </c>
      <c r="X531" s="408">
        <v>138880.83231</v>
      </c>
      <c r="Y531" s="408">
        <v>0</v>
      </c>
      <c r="Z531" s="408">
        <v>27951.666328266729</v>
      </c>
      <c r="AA531" s="408">
        <v>0</v>
      </c>
      <c r="AB531" s="408">
        <v>0</v>
      </c>
      <c r="AC531" s="408">
        <v>0</v>
      </c>
      <c r="AD531" s="408">
        <v>0</v>
      </c>
      <c r="AE531" s="408">
        <v>0</v>
      </c>
      <c r="AF531" s="408">
        <v>84549.616468420849</v>
      </c>
      <c r="AG531" s="408">
        <v>4253.6243480496041</v>
      </c>
      <c r="AH531" s="408">
        <v>0</v>
      </c>
      <c r="AI531" s="408">
        <v>0</v>
      </c>
      <c r="AJ531" s="408">
        <v>0</v>
      </c>
      <c r="AK531" s="408">
        <v>0</v>
      </c>
      <c r="AL531" s="408">
        <v>4965.8825043897523</v>
      </c>
      <c r="AM531" s="408"/>
      <c r="AN531" s="408">
        <v>652.93939086228033</v>
      </c>
      <c r="AO531" s="408">
        <v>0</v>
      </c>
      <c r="AP531" s="408">
        <v>0</v>
      </c>
      <c r="AQ531" s="408">
        <v>0</v>
      </c>
      <c r="AR531" s="408">
        <v>0</v>
      </c>
      <c r="AS531" s="408">
        <v>0</v>
      </c>
      <c r="AT531" s="408">
        <v>0</v>
      </c>
      <c r="AU531" s="408">
        <v>0</v>
      </c>
      <c r="AV531" s="408">
        <v>0</v>
      </c>
      <c r="AW531" s="408">
        <v>0</v>
      </c>
      <c r="AX531" s="408">
        <v>0</v>
      </c>
      <c r="AY531" s="408">
        <v>0</v>
      </c>
      <c r="AZ531" s="408">
        <v>0</v>
      </c>
      <c r="BA531" s="408"/>
      <c r="BB531" s="408">
        <v>0</v>
      </c>
      <c r="BC531" s="408">
        <v>0</v>
      </c>
      <c r="BD531" s="408">
        <v>0</v>
      </c>
      <c r="BE531" s="408">
        <v>98.037596570833074</v>
      </c>
      <c r="BF531" s="408">
        <v>2524.9422923204925</v>
      </c>
      <c r="BG531" s="408">
        <v>3282.8636182143641</v>
      </c>
      <c r="BH531" s="408">
        <v>0</v>
      </c>
      <c r="BI531" s="408">
        <v>0</v>
      </c>
      <c r="BJ531" s="408">
        <v>0</v>
      </c>
      <c r="BK531" s="408">
        <v>0</v>
      </c>
      <c r="BL531" s="408">
        <v>0</v>
      </c>
      <c r="BM531" s="408"/>
      <c r="BN531" s="408"/>
      <c r="BO531" s="408"/>
      <c r="BP531" s="408"/>
      <c r="BQ531" s="408"/>
      <c r="BR531" s="408">
        <v>5555.2332924000139</v>
      </c>
      <c r="BS531" s="408"/>
      <c r="BT531" s="408"/>
      <c r="BU531" s="408"/>
      <c r="BV531" s="408">
        <v>90455.459975526552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133325.40869999997</v>
      </c>
      <c r="CJ531" s="408">
        <v>10178.38441199997</v>
      </c>
      <c r="CK531" s="408"/>
      <c r="CL531" s="408"/>
      <c r="CM531" s="408"/>
      <c r="CN531" s="408"/>
      <c r="CO531" s="408">
        <v>-530.66107000000272</v>
      </c>
      <c r="CP531" s="408">
        <v>11133.374329999999</v>
      </c>
      <c r="CQ531" s="408">
        <v>31</v>
      </c>
      <c r="CR531" s="408">
        <v>10598.044684834473</v>
      </c>
      <c r="CS531" s="408">
        <v>0</v>
      </c>
      <c r="CT531" s="408">
        <v>0</v>
      </c>
      <c r="CU531" s="408">
        <v>0</v>
      </c>
      <c r="CV531" s="408">
        <v>0</v>
      </c>
      <c r="CW531" s="408">
        <v>0</v>
      </c>
      <c r="CX531" s="408">
        <v>0</v>
      </c>
      <c r="CY531" s="408">
        <v>0</v>
      </c>
      <c r="CZ531" s="408">
        <v>0</v>
      </c>
      <c r="DA531" s="408">
        <v>0</v>
      </c>
      <c r="DB531" s="408">
        <v>0</v>
      </c>
      <c r="DC531" s="408">
        <v>10852.877720507109</v>
      </c>
      <c r="DD531" s="408">
        <v>324.1042490136565</v>
      </c>
      <c r="DE531" s="408">
        <v>12.584209036513201</v>
      </c>
      <c r="DF531" s="408">
        <v>0</v>
      </c>
      <c r="DG531" s="408">
        <v>421.39182777828273</v>
      </c>
      <c r="DH531" s="408">
        <v>0</v>
      </c>
      <c r="DI531" s="408">
        <v>-816.90157859035389</v>
      </c>
      <c r="DJ531" s="408"/>
      <c r="DK531" s="408">
        <v>0</v>
      </c>
      <c r="DL531" s="408">
        <v>0</v>
      </c>
      <c r="DM531" s="408">
        <v>-47.277473472238853</v>
      </c>
      <c r="DN531" s="408">
        <v>0</v>
      </c>
      <c r="DO531" s="408">
        <v>-128.61464162191078</v>
      </c>
      <c r="DP531" s="408">
        <v>-20.11962781659031</v>
      </c>
      <c r="DQ531" s="408">
        <v>0</v>
      </c>
      <c r="DR531" s="408">
        <v>0</v>
      </c>
      <c r="DS531" s="408"/>
      <c r="DT531" s="408"/>
      <c r="DU531" s="408"/>
      <c r="DV531" s="408">
        <v>0</v>
      </c>
      <c r="DW531" s="408">
        <v>0</v>
      </c>
      <c r="DX531" s="408">
        <v>0</v>
      </c>
      <c r="DY531" s="408">
        <v>-530.66107000000193</v>
      </c>
      <c r="DZ531" s="408">
        <v>11133.374329999991</v>
      </c>
      <c r="EA531" s="408">
        <v>0</v>
      </c>
      <c r="EB531" s="408">
        <v>0</v>
      </c>
      <c r="EC531" s="408">
        <v>0</v>
      </c>
      <c r="ED531" s="408">
        <v>0</v>
      </c>
      <c r="EE531" s="408">
        <v>0</v>
      </c>
      <c r="EF531" s="408">
        <v>0</v>
      </c>
      <c r="EG531" s="408">
        <v>0</v>
      </c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>
        <v>0</v>
      </c>
      <c r="EN531" s="408">
        <v>0</v>
      </c>
      <c r="EO531" s="408">
        <v>0</v>
      </c>
      <c r="EP531" s="408">
        <v>0</v>
      </c>
      <c r="EQ531" s="408">
        <v>0</v>
      </c>
      <c r="ER531" s="408">
        <v>0</v>
      </c>
      <c r="ES531" s="408">
        <v>0</v>
      </c>
      <c r="ET531" s="408">
        <v>0</v>
      </c>
      <c r="EU531" s="408">
        <v>0</v>
      </c>
      <c r="EV531" s="408">
        <v>239</v>
      </c>
      <c r="EW531" s="408">
        <v>0</v>
      </c>
      <c r="EX531" s="408">
        <v>0</v>
      </c>
      <c r="EY531" s="408">
        <v>0</v>
      </c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536</v>
      </c>
      <c r="B532" s="408" t="s">
        <v>2236</v>
      </c>
      <c r="C532" s="408" t="s">
        <v>2241</v>
      </c>
      <c r="D532" s="408" t="s">
        <v>596</v>
      </c>
      <c r="E532" s="408" t="s">
        <v>972</v>
      </c>
      <c r="F532" s="408" t="s">
        <v>1320</v>
      </c>
      <c r="G532" s="408" t="s">
        <v>1320</v>
      </c>
      <c r="H532" s="408" t="s">
        <v>1320</v>
      </c>
      <c r="I532" s="408" t="s">
        <v>2242</v>
      </c>
      <c r="J532" s="408" t="s">
        <v>2234</v>
      </c>
      <c r="K532" s="827">
        <v>44621</v>
      </c>
      <c r="L532" s="408">
        <v>0</v>
      </c>
      <c r="M532" s="408">
        <v>0</v>
      </c>
      <c r="N532" s="408">
        <v>54.393999999999998</v>
      </c>
      <c r="O532" s="408">
        <v>52.218240000000002</v>
      </c>
      <c r="P532" s="408">
        <v>54.393999999999998</v>
      </c>
      <c r="Q532" s="408">
        <v>52.218240000000002</v>
      </c>
      <c r="R532" s="408"/>
      <c r="S532" s="408">
        <v>70.33</v>
      </c>
      <c r="T532" s="408">
        <v>173.82</v>
      </c>
      <c r="U532" s="408"/>
      <c r="V532" s="408">
        <v>13280.295099999999</v>
      </c>
      <c r="W532" s="408">
        <v>13280.295099999999</v>
      </c>
      <c r="X532" s="408">
        <v>14377.96602</v>
      </c>
      <c r="Y532" s="408">
        <v>0</v>
      </c>
      <c r="Z532" s="408">
        <v>2893.7622419566933</v>
      </c>
      <c r="AA532" s="408">
        <v>0</v>
      </c>
      <c r="AB532" s="408">
        <v>0</v>
      </c>
      <c r="AC532" s="408">
        <v>0</v>
      </c>
      <c r="AD532" s="408">
        <v>0</v>
      </c>
      <c r="AE532" s="408">
        <v>0</v>
      </c>
      <c r="AF532" s="408">
        <v>8753.1986406410324</v>
      </c>
      <c r="AG532" s="408">
        <v>440.36650213607766</v>
      </c>
      <c r="AH532" s="408">
        <v>0</v>
      </c>
      <c r="AI532" s="408">
        <v>0</v>
      </c>
      <c r="AJ532" s="408">
        <v>0</v>
      </c>
      <c r="AK532" s="408">
        <v>0</v>
      </c>
      <c r="AL532" s="408">
        <v>514.10470919454087</v>
      </c>
      <c r="AM532" s="408"/>
      <c r="AN532" s="408">
        <v>67.597091828930473</v>
      </c>
      <c r="AO532" s="408">
        <v>0</v>
      </c>
      <c r="AP532" s="408">
        <v>0</v>
      </c>
      <c r="AQ532" s="408">
        <v>0</v>
      </c>
      <c r="AR532" s="408">
        <v>0</v>
      </c>
      <c r="AS532" s="408">
        <v>0</v>
      </c>
      <c r="AT532" s="408">
        <v>0</v>
      </c>
      <c r="AU532" s="408">
        <v>0</v>
      </c>
      <c r="AV532" s="408">
        <v>0</v>
      </c>
      <c r="AW532" s="408">
        <v>0</v>
      </c>
      <c r="AX532" s="408">
        <v>0</v>
      </c>
      <c r="AY532" s="408">
        <v>0</v>
      </c>
      <c r="AZ532" s="408">
        <v>0</v>
      </c>
      <c r="BA532" s="408"/>
      <c r="BB532" s="408">
        <v>0</v>
      </c>
      <c r="BC532" s="408">
        <v>0</v>
      </c>
      <c r="BD532" s="408">
        <v>0</v>
      </c>
      <c r="BE532" s="408">
        <v>10.149573621733044</v>
      </c>
      <c r="BF532" s="408">
        <v>261.40061142786612</v>
      </c>
      <c r="BG532" s="408">
        <v>339.86620591113575</v>
      </c>
      <c r="BH532" s="408">
        <v>0</v>
      </c>
      <c r="BI532" s="408">
        <v>0</v>
      </c>
      <c r="BJ532" s="408">
        <v>0</v>
      </c>
      <c r="BK532" s="408">
        <v>0</v>
      </c>
      <c r="BL532" s="408">
        <v>0</v>
      </c>
      <c r="BM532" s="408"/>
      <c r="BN532" s="408"/>
      <c r="BO532" s="408"/>
      <c r="BP532" s="408"/>
      <c r="BQ532" s="408"/>
      <c r="BR532" s="408">
        <v>575.11864079999918</v>
      </c>
      <c r="BS532" s="408"/>
      <c r="BT532" s="408"/>
      <c r="BU532" s="408"/>
      <c r="BV532" s="408">
        <v>9364.6150316017665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13803.312599999999</v>
      </c>
      <c r="CJ532" s="408">
        <v>1054.1993039999979</v>
      </c>
      <c r="CK532" s="408"/>
      <c r="CL532" s="408"/>
      <c r="CM532" s="408"/>
      <c r="CN532" s="408"/>
      <c r="CO532" s="408">
        <v>-54.937940000000275</v>
      </c>
      <c r="CP532" s="408">
        <v>1152.6088599999998</v>
      </c>
      <c r="CQ532" s="408">
        <v>31</v>
      </c>
      <c r="CR532" s="408">
        <v>1097.1875947349145</v>
      </c>
      <c r="CS532" s="408">
        <v>0</v>
      </c>
      <c r="CT532" s="408">
        <v>0</v>
      </c>
      <c r="CU532" s="408">
        <v>0</v>
      </c>
      <c r="CV532" s="408">
        <v>0</v>
      </c>
      <c r="CW532" s="408">
        <v>0</v>
      </c>
      <c r="CX532" s="408">
        <v>0</v>
      </c>
      <c r="CY532" s="408">
        <v>0</v>
      </c>
      <c r="CZ532" s="408">
        <v>0</v>
      </c>
      <c r="DA532" s="408">
        <v>0</v>
      </c>
      <c r="DB532" s="408">
        <v>0</v>
      </c>
      <c r="DC532" s="408">
        <v>1123.5697863356672</v>
      </c>
      <c r="DD532" s="408">
        <v>33.553657490000717</v>
      </c>
      <c r="DE532" s="408">
        <v>1.3028099479681448</v>
      </c>
      <c r="DF532" s="408">
        <v>0</v>
      </c>
      <c r="DG532" s="408">
        <v>43.625583747783935</v>
      </c>
      <c r="DH532" s="408">
        <v>0</v>
      </c>
      <c r="DI532" s="408">
        <v>-84.571664377984689</v>
      </c>
      <c r="DJ532" s="408"/>
      <c r="DK532" s="408">
        <v>0</v>
      </c>
      <c r="DL532" s="408">
        <v>0</v>
      </c>
      <c r="DM532" s="408">
        <v>-4.8945120488478437</v>
      </c>
      <c r="DN532" s="408">
        <v>0</v>
      </c>
      <c r="DO532" s="408">
        <v>-13.315134393683707</v>
      </c>
      <c r="DP532" s="408">
        <v>-2.0829319659913352</v>
      </c>
      <c r="DQ532" s="408">
        <v>0</v>
      </c>
      <c r="DR532" s="408">
        <v>0</v>
      </c>
      <c r="DS532" s="408"/>
      <c r="DT532" s="408"/>
      <c r="DU532" s="408"/>
      <c r="DV532" s="408">
        <v>0</v>
      </c>
      <c r="DW532" s="408">
        <v>0</v>
      </c>
      <c r="DX532" s="408">
        <v>0</v>
      </c>
      <c r="DY532" s="408">
        <v>-54.937940000000253</v>
      </c>
      <c r="DZ532" s="408">
        <v>1152.6088600000003</v>
      </c>
      <c r="EA532" s="408">
        <v>0</v>
      </c>
      <c r="EB532" s="408">
        <v>0</v>
      </c>
      <c r="EC532" s="408">
        <v>0</v>
      </c>
      <c r="ED532" s="408">
        <v>0</v>
      </c>
      <c r="EE532" s="408">
        <v>0</v>
      </c>
      <c r="EF532" s="408">
        <v>0</v>
      </c>
      <c r="EG532" s="408">
        <v>0</v>
      </c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>
        <v>0</v>
      </c>
      <c r="EN532" s="408">
        <v>0</v>
      </c>
      <c r="EO532" s="408">
        <v>0</v>
      </c>
      <c r="EP532" s="408">
        <v>0</v>
      </c>
      <c r="EQ532" s="408">
        <v>0</v>
      </c>
      <c r="ER532" s="408">
        <v>0</v>
      </c>
      <c r="ES532" s="408">
        <v>0</v>
      </c>
      <c r="ET532" s="408">
        <v>0</v>
      </c>
      <c r="EU532" s="408">
        <v>0</v>
      </c>
      <c r="EV532" s="408">
        <v>239</v>
      </c>
      <c r="EW532" s="408">
        <v>0</v>
      </c>
      <c r="EX532" s="408">
        <v>0</v>
      </c>
      <c r="EY532" s="408">
        <v>0</v>
      </c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537</v>
      </c>
      <c r="B533" s="408" t="s">
        <v>1034</v>
      </c>
      <c r="C533" s="408" t="s">
        <v>2241</v>
      </c>
      <c r="D533" s="408" t="s">
        <v>596</v>
      </c>
      <c r="E533" s="408" t="s">
        <v>972</v>
      </c>
      <c r="F533" s="408" t="s">
        <v>1320</v>
      </c>
      <c r="G533" s="408" t="s">
        <v>1320</v>
      </c>
      <c r="H533" s="408" t="s">
        <v>1320</v>
      </c>
      <c r="I533" s="408" t="s">
        <v>1320</v>
      </c>
      <c r="J533" s="408" t="s">
        <v>2234</v>
      </c>
      <c r="K533" s="827">
        <v>44621</v>
      </c>
      <c r="L533" s="408">
        <v>2236</v>
      </c>
      <c r="M533" s="408">
        <v>2146.56</v>
      </c>
      <c r="N533" s="408">
        <v>0</v>
      </c>
      <c r="O533" s="408">
        <v>0</v>
      </c>
      <c r="P533" s="408">
        <v>0</v>
      </c>
      <c r="Q533" s="408">
        <v>0</v>
      </c>
      <c r="R533" s="408">
        <v>59.12</v>
      </c>
      <c r="S533" s="408"/>
      <c r="T533" s="408"/>
      <c r="U533" s="408">
        <v>132192.32000000001</v>
      </c>
      <c r="V533" s="408"/>
      <c r="W533" s="408">
        <v>132192.32000000001</v>
      </c>
      <c r="X533" s="408">
        <v>76091.08</v>
      </c>
      <c r="Y533" s="408">
        <v>0</v>
      </c>
      <c r="Z533" s="408">
        <v>0</v>
      </c>
      <c r="AA533" s="408">
        <v>0</v>
      </c>
      <c r="AB533" s="408">
        <v>0</v>
      </c>
      <c r="AC533" s="408">
        <v>1279.126972414113</v>
      </c>
      <c r="AD533" s="408">
        <v>11441.662646999703</v>
      </c>
      <c r="AE533" s="408">
        <v>107689.77977447977</v>
      </c>
      <c r="AF533" s="408"/>
      <c r="AG533" s="408"/>
      <c r="AH533" s="408"/>
      <c r="AI533" s="408">
        <v>0</v>
      </c>
      <c r="AJ533" s="408">
        <v>0</v>
      </c>
      <c r="AK533" s="408">
        <v>0</v>
      </c>
      <c r="AL533" s="408">
        <v>0</v>
      </c>
      <c r="AM533" s="408"/>
      <c r="AN533" s="408">
        <v>0</v>
      </c>
      <c r="AO533" s="408">
        <v>2701.249250682974</v>
      </c>
      <c r="AP533" s="408">
        <v>9080.3688639485863</v>
      </c>
      <c r="AQ533" s="408">
        <v>0</v>
      </c>
      <c r="AR533" s="408">
        <v>0</v>
      </c>
      <c r="AS533" s="408"/>
      <c r="AT533" s="408"/>
      <c r="AU533" s="408">
        <v>0</v>
      </c>
      <c r="AV533" s="408">
        <v>0</v>
      </c>
      <c r="AW533" s="408">
        <v>0</v>
      </c>
      <c r="AX533" s="408"/>
      <c r="AY533" s="408"/>
      <c r="AZ533" s="408">
        <v>0</v>
      </c>
      <c r="BA533" s="408"/>
      <c r="BB533" s="408">
        <v>0</v>
      </c>
      <c r="BC533" s="408">
        <v>0</v>
      </c>
      <c r="BD533" s="408">
        <v>0</v>
      </c>
      <c r="BE533" s="408">
        <v>0</v>
      </c>
      <c r="BF533" s="408"/>
      <c r="BG533" s="408">
        <v>0</v>
      </c>
      <c r="BH533" s="408">
        <v>0</v>
      </c>
      <c r="BI533" s="408">
        <v>0</v>
      </c>
      <c r="BJ533" s="408">
        <v>0</v>
      </c>
      <c r="BK533" s="408">
        <v>9263</v>
      </c>
      <c r="BL533" s="408">
        <v>14</v>
      </c>
      <c r="BM533" s="408"/>
      <c r="BN533" s="408"/>
      <c r="BO533" s="408"/>
      <c r="BP533" s="408"/>
      <c r="BQ533" s="408"/>
      <c r="BR533" s="408">
        <v>3043.6432000000018</v>
      </c>
      <c r="BS533" s="408"/>
      <c r="BT533" s="408"/>
      <c r="BU533" s="408"/>
      <c r="BV533" s="408">
        <v>0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73047.436799999996</v>
      </c>
      <c r="CJ533" s="408">
        <v>-53857.220399999977</v>
      </c>
      <c r="CK533" s="408"/>
      <c r="CL533" s="408"/>
      <c r="CM533" s="408"/>
      <c r="CN533" s="408"/>
      <c r="CO533" s="408">
        <v>-56101.239999999991</v>
      </c>
      <c r="CP533" s="408">
        <v>0</v>
      </c>
      <c r="CQ533" s="408">
        <v>31</v>
      </c>
      <c r="CR533" s="408">
        <v>924.53586704359623</v>
      </c>
      <c r="CS533" s="408">
        <v>262.27423651056233</v>
      </c>
      <c r="CT533" s="408">
        <v>881.64644948046043</v>
      </c>
      <c r="CU533" s="408">
        <v>0</v>
      </c>
      <c r="CV533" s="408">
        <v>0</v>
      </c>
      <c r="CW533" s="408"/>
      <c r="CX533" s="408"/>
      <c r="CY533" s="408"/>
      <c r="CZ533" s="408">
        <v>-219.38481894743018</v>
      </c>
      <c r="DA533" s="408">
        <v>0</v>
      </c>
      <c r="DB533" s="408">
        <v>0</v>
      </c>
      <c r="DC533" s="408"/>
      <c r="DD533" s="408"/>
      <c r="DE533" s="408">
        <v>0</v>
      </c>
      <c r="DF533" s="408">
        <v>0</v>
      </c>
      <c r="DG533" s="408">
        <v>0</v>
      </c>
      <c r="DH533" s="408">
        <v>0</v>
      </c>
      <c r="DI533" s="408">
        <v>0</v>
      </c>
      <c r="DJ533" s="408"/>
      <c r="DK533" s="408">
        <v>0</v>
      </c>
      <c r="DL533" s="408">
        <v>0</v>
      </c>
      <c r="DM533" s="408"/>
      <c r="DN533" s="408">
        <v>0</v>
      </c>
      <c r="DO533" s="408">
        <v>0</v>
      </c>
      <c r="DP533" s="408">
        <v>0</v>
      </c>
      <c r="DQ533" s="408">
        <v>0</v>
      </c>
      <c r="DR533" s="408">
        <v>0</v>
      </c>
      <c r="DS533" s="408"/>
      <c r="DT533" s="408"/>
      <c r="DU533" s="408">
        <v>107689.77977447977</v>
      </c>
      <c r="DV533" s="408"/>
      <c r="DW533" s="408">
        <v>0</v>
      </c>
      <c r="DX533" s="408">
        <v>0</v>
      </c>
      <c r="DY533" s="408">
        <v>-56101.240000000005</v>
      </c>
      <c r="DZ533" s="408"/>
      <c r="EA533" s="408">
        <v>0</v>
      </c>
      <c r="EB533" s="408"/>
      <c r="EC533" s="408">
        <v>-57016.029165880296</v>
      </c>
      <c r="ED533" s="408"/>
      <c r="EE533" s="408">
        <v>0</v>
      </c>
      <c r="EF533" s="408">
        <v>0</v>
      </c>
      <c r="EG533" s="408"/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/>
      <c r="EN533" s="408"/>
      <c r="EO533" s="408">
        <v>0</v>
      </c>
      <c r="EP533" s="408">
        <v>0</v>
      </c>
      <c r="EQ533" s="408"/>
      <c r="ER533" s="408">
        <v>0</v>
      </c>
      <c r="ES533" s="408"/>
      <c r="ET533" s="408">
        <v>0</v>
      </c>
      <c r="EU533" s="408"/>
      <c r="EV533" s="408">
        <v>239</v>
      </c>
      <c r="EW533" s="408"/>
      <c r="EX533" s="408"/>
      <c r="EY533" s="408"/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538</v>
      </c>
      <c r="B534" s="408" t="s">
        <v>2236</v>
      </c>
      <c r="C534" s="408" t="s">
        <v>2241</v>
      </c>
      <c r="D534" s="408" t="s">
        <v>596</v>
      </c>
      <c r="E534" s="408" t="s">
        <v>972</v>
      </c>
      <c r="F534" s="408" t="s">
        <v>1320</v>
      </c>
      <c r="G534" s="408" t="s">
        <v>1320</v>
      </c>
      <c r="H534" s="408" t="s">
        <v>1320</v>
      </c>
      <c r="I534" s="408" t="s">
        <v>1320</v>
      </c>
      <c r="J534" s="408" t="s">
        <v>2234</v>
      </c>
      <c r="K534" s="827">
        <v>44621</v>
      </c>
      <c r="L534" s="408">
        <v>211</v>
      </c>
      <c r="M534" s="408">
        <v>202.56</v>
      </c>
      <c r="N534" s="408">
        <v>0</v>
      </c>
      <c r="O534" s="408">
        <v>0</v>
      </c>
      <c r="P534" s="408">
        <v>0</v>
      </c>
      <c r="Q534" s="408">
        <v>0</v>
      </c>
      <c r="R534" s="408">
        <v>59.12</v>
      </c>
      <c r="S534" s="408"/>
      <c r="T534" s="408"/>
      <c r="U534" s="408">
        <v>12474.32</v>
      </c>
      <c r="V534" s="408"/>
      <c r="W534" s="408">
        <v>12474.32</v>
      </c>
      <c r="X534" s="408">
        <v>7180.33</v>
      </c>
      <c r="Y534" s="408">
        <v>0</v>
      </c>
      <c r="Z534" s="408">
        <v>0</v>
      </c>
      <c r="AA534" s="408">
        <v>0</v>
      </c>
      <c r="AB534" s="408">
        <v>0</v>
      </c>
      <c r="AC534" s="408">
        <v>120.7047366634069</v>
      </c>
      <c r="AD534" s="408">
        <v>1079.6917793009559</v>
      </c>
      <c r="AE534" s="408">
        <v>10162.139325767099</v>
      </c>
      <c r="AF534" s="408"/>
      <c r="AG534" s="408"/>
      <c r="AH534" s="408"/>
      <c r="AI534" s="408">
        <v>0</v>
      </c>
      <c r="AJ534" s="408">
        <v>0</v>
      </c>
      <c r="AK534" s="408">
        <v>0</v>
      </c>
      <c r="AL534" s="408">
        <v>0</v>
      </c>
      <c r="AM534" s="408"/>
      <c r="AN534" s="408">
        <v>0</v>
      </c>
      <c r="AO534" s="408">
        <v>254.90321641060265</v>
      </c>
      <c r="AP534" s="408">
        <v>856.86843930820737</v>
      </c>
      <c r="AQ534" s="408">
        <v>0</v>
      </c>
      <c r="AR534" s="408">
        <v>0</v>
      </c>
      <c r="AS534" s="408"/>
      <c r="AT534" s="408"/>
      <c r="AU534" s="408">
        <v>0</v>
      </c>
      <c r="AV534" s="408">
        <v>0</v>
      </c>
      <c r="AW534" s="408">
        <v>0</v>
      </c>
      <c r="AX534" s="408"/>
      <c r="AY534" s="408"/>
      <c r="AZ534" s="408">
        <v>0</v>
      </c>
      <c r="BA534" s="408"/>
      <c r="BB534" s="408">
        <v>0</v>
      </c>
      <c r="BC534" s="408">
        <v>0</v>
      </c>
      <c r="BD534" s="408">
        <v>0</v>
      </c>
      <c r="BE534" s="408">
        <v>0</v>
      </c>
      <c r="BF534" s="408"/>
      <c r="BG534" s="408">
        <v>0</v>
      </c>
      <c r="BH534" s="408">
        <v>0</v>
      </c>
      <c r="BI534" s="408">
        <v>0</v>
      </c>
      <c r="BJ534" s="408">
        <v>0</v>
      </c>
      <c r="BK534" s="408">
        <v>7.05</v>
      </c>
      <c r="BL534" s="408">
        <v>1</v>
      </c>
      <c r="BM534" s="408"/>
      <c r="BN534" s="408"/>
      <c r="BO534" s="408"/>
      <c r="BP534" s="408"/>
      <c r="BQ534" s="408"/>
      <c r="BR534" s="408">
        <v>287.21319999999992</v>
      </c>
      <c r="BS534" s="408"/>
      <c r="BT534" s="408"/>
      <c r="BU534" s="408"/>
      <c r="BV534" s="408">
        <v>0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6893.1168000000007</v>
      </c>
      <c r="CJ534" s="408">
        <v>-5082.2604000000001</v>
      </c>
      <c r="CK534" s="408"/>
      <c r="CL534" s="408"/>
      <c r="CM534" s="408"/>
      <c r="CN534" s="408"/>
      <c r="CO534" s="408">
        <v>-5293.9899999999989</v>
      </c>
      <c r="CP534" s="408">
        <v>0</v>
      </c>
      <c r="CQ534" s="408">
        <v>31</v>
      </c>
      <c r="CR534" s="408">
        <v>87.243769206707839</v>
      </c>
      <c r="CS534" s="408">
        <v>24.749491906855354</v>
      </c>
      <c r="CT534" s="408">
        <v>83.196512003746534</v>
      </c>
      <c r="CU534" s="408">
        <v>0</v>
      </c>
      <c r="CV534" s="408">
        <v>0</v>
      </c>
      <c r="CW534" s="408"/>
      <c r="CX534" s="408"/>
      <c r="CY534" s="408"/>
      <c r="CZ534" s="408">
        <v>-20.702234703894419</v>
      </c>
      <c r="DA534" s="408">
        <v>0</v>
      </c>
      <c r="DB534" s="408">
        <v>0</v>
      </c>
      <c r="DC534" s="408"/>
      <c r="DD534" s="408"/>
      <c r="DE534" s="408">
        <v>0</v>
      </c>
      <c r="DF534" s="408">
        <v>0</v>
      </c>
      <c r="DG534" s="408">
        <v>0</v>
      </c>
      <c r="DH534" s="408">
        <v>0</v>
      </c>
      <c r="DI534" s="408">
        <v>0</v>
      </c>
      <c r="DJ534" s="408"/>
      <c r="DK534" s="408">
        <v>0</v>
      </c>
      <c r="DL534" s="408">
        <v>0</v>
      </c>
      <c r="DM534" s="408"/>
      <c r="DN534" s="408">
        <v>0</v>
      </c>
      <c r="DO534" s="408">
        <v>0</v>
      </c>
      <c r="DP534" s="408">
        <v>0</v>
      </c>
      <c r="DQ534" s="408">
        <v>0</v>
      </c>
      <c r="DR534" s="408">
        <v>0</v>
      </c>
      <c r="DS534" s="408"/>
      <c r="DT534" s="408"/>
      <c r="DU534" s="408">
        <v>10162.139325767099</v>
      </c>
      <c r="DV534" s="408"/>
      <c r="DW534" s="408">
        <v>0</v>
      </c>
      <c r="DX534" s="408">
        <v>0</v>
      </c>
      <c r="DY534" s="408">
        <v>-5293.99</v>
      </c>
      <c r="DZ534" s="408"/>
      <c r="EA534" s="408">
        <v>0</v>
      </c>
      <c r="EB534" s="408"/>
      <c r="EC534" s="408">
        <v>-5380.314022361692</v>
      </c>
      <c r="ED534" s="408"/>
      <c r="EE534" s="408">
        <v>0</v>
      </c>
      <c r="EF534" s="408">
        <v>0</v>
      </c>
      <c r="EG534" s="408"/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/>
      <c r="EN534" s="408"/>
      <c r="EO534" s="408">
        <v>0</v>
      </c>
      <c r="EP534" s="408">
        <v>0</v>
      </c>
      <c r="EQ534" s="408"/>
      <c r="ER534" s="408">
        <v>0</v>
      </c>
      <c r="ES534" s="408"/>
      <c r="ET534" s="408">
        <v>0</v>
      </c>
      <c r="EU534" s="408"/>
      <c r="EV534" s="408">
        <v>239</v>
      </c>
      <c r="EW534" s="408"/>
      <c r="EX534" s="408"/>
      <c r="EY534" s="408"/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539</v>
      </c>
      <c r="B535" s="408" t="s">
        <v>1034</v>
      </c>
      <c r="C535" s="408" t="s">
        <v>2233</v>
      </c>
      <c r="D535" s="408" t="s">
        <v>1956</v>
      </c>
      <c r="E535" s="408" t="s">
        <v>2244</v>
      </c>
      <c r="F535" s="408" t="s">
        <v>1320</v>
      </c>
      <c r="G535" s="408" t="s">
        <v>1320</v>
      </c>
      <c r="H535" s="408" t="s">
        <v>1320</v>
      </c>
      <c r="I535" s="408" t="s">
        <v>1320</v>
      </c>
      <c r="J535" s="408" t="s">
        <v>2234</v>
      </c>
      <c r="K535" s="827">
        <v>44621</v>
      </c>
      <c r="L535" s="408">
        <v>0</v>
      </c>
      <c r="M535" s="408">
        <v>0</v>
      </c>
      <c r="N535" s="408">
        <v>284.75</v>
      </c>
      <c r="O535" s="408">
        <v>284.75</v>
      </c>
      <c r="P535" s="408">
        <v>284.75</v>
      </c>
      <c r="Q535" s="408">
        <v>284.75</v>
      </c>
      <c r="R535" s="408"/>
      <c r="S535" s="408">
        <v>516.83000000000004</v>
      </c>
      <c r="T535" s="408">
        <v>173.82</v>
      </c>
      <c r="U535" s="408"/>
      <c r="V535" s="408">
        <v>196662.58749999999</v>
      </c>
      <c r="W535" s="408">
        <v>196662.58749999999</v>
      </c>
      <c r="X535" s="408">
        <v>148482.88749999998</v>
      </c>
      <c r="Y535" s="408">
        <v>0</v>
      </c>
      <c r="Z535" s="408">
        <v>17412.307527097248</v>
      </c>
      <c r="AA535" s="408">
        <v>0</v>
      </c>
      <c r="AB535" s="408">
        <v>0</v>
      </c>
      <c r="AC535" s="408">
        <v>774.07694989805032</v>
      </c>
      <c r="AD535" s="408">
        <v>9802.9776309082918</v>
      </c>
      <c r="AE535" s="408">
        <v>103539.59767371754</v>
      </c>
      <c r="AF535" s="408">
        <v>45822.578095424753</v>
      </c>
      <c r="AG535" s="408">
        <v>2305.2976703910012</v>
      </c>
      <c r="AH535" s="408">
        <v>0</v>
      </c>
      <c r="AI535" s="408">
        <v>0</v>
      </c>
      <c r="AJ535" s="408">
        <v>0</v>
      </c>
      <c r="AK535" s="408">
        <v>0</v>
      </c>
      <c r="AL535" s="408">
        <v>2691.3136732570783</v>
      </c>
      <c r="AM535" s="408"/>
      <c r="AN535" s="408">
        <v>441.80157733844919</v>
      </c>
      <c r="AO535" s="408">
        <v>1651.1239511088165</v>
      </c>
      <c r="AP535" s="408">
        <v>5407.2076887456342</v>
      </c>
      <c r="AQ535" s="408">
        <v>0</v>
      </c>
      <c r="AR535" s="408">
        <v>0</v>
      </c>
      <c r="AS535" s="408">
        <v>0</v>
      </c>
      <c r="AT535" s="408">
        <v>0</v>
      </c>
      <c r="AU535" s="408">
        <v>0</v>
      </c>
      <c r="AV535" s="408">
        <v>0</v>
      </c>
      <c r="AW535" s="408">
        <v>0</v>
      </c>
      <c r="AX535" s="408">
        <v>0</v>
      </c>
      <c r="AY535" s="408">
        <v>0</v>
      </c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157.9828927055872</v>
      </c>
      <c r="BF535" s="408">
        <v>1368.4197540920852</v>
      </c>
      <c r="BG535" s="408">
        <v>5290.1775329499878</v>
      </c>
      <c r="BH535" s="408">
        <v>0</v>
      </c>
      <c r="BI535" s="408">
        <v>0</v>
      </c>
      <c r="BJ535" s="408">
        <v>0</v>
      </c>
      <c r="BK535" s="408">
        <v>60059.09</v>
      </c>
      <c r="BL535" s="408">
        <v>258</v>
      </c>
      <c r="BM535" s="408"/>
      <c r="BN535" s="408"/>
      <c r="BO535" s="408"/>
      <c r="BP535" s="408"/>
      <c r="BQ535" s="408"/>
      <c r="BR535" s="408"/>
      <c r="BS535" s="408"/>
      <c r="BT535" s="408"/>
      <c r="BU535" s="408"/>
      <c r="BV535" s="408">
        <v>52639.158275172413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148482.88749999998</v>
      </c>
      <c r="CJ535" s="408">
        <v>-48179.73000000004</v>
      </c>
      <c r="CK535" s="408"/>
      <c r="CL535" s="408"/>
      <c r="CM535" s="408"/>
      <c r="CN535" s="408"/>
      <c r="CO535" s="408">
        <v>-54213.552500000013</v>
      </c>
      <c r="CP535" s="408">
        <v>6033.8524999999991</v>
      </c>
      <c r="CQ535" s="408">
        <v>31</v>
      </c>
      <c r="CR535" s="408">
        <v>6636.3490492388082</v>
      </c>
      <c r="CS535" s="408">
        <v>160.31370431732148</v>
      </c>
      <c r="CT535" s="408">
        <v>525.00570536435225</v>
      </c>
      <c r="CU535" s="408">
        <v>0</v>
      </c>
      <c r="CV535" s="408">
        <v>0</v>
      </c>
      <c r="CW535" s="408">
        <v>0</v>
      </c>
      <c r="CX535" s="408">
        <v>0</v>
      </c>
      <c r="CY535" s="408">
        <v>0</v>
      </c>
      <c r="CZ535" s="408">
        <v>-187.9643316757265</v>
      </c>
      <c r="DA535" s="408">
        <v>0</v>
      </c>
      <c r="DB535" s="408">
        <v>0</v>
      </c>
      <c r="DC535" s="408">
        <v>5881.8343320785643</v>
      </c>
      <c r="DD535" s="408">
        <v>175.65179928443786</v>
      </c>
      <c r="DE535" s="408">
        <v>20.278850313957889</v>
      </c>
      <c r="DF535" s="408">
        <v>0</v>
      </c>
      <c r="DG535" s="408">
        <v>679.05275367300965</v>
      </c>
      <c r="DH535" s="408">
        <v>0</v>
      </c>
      <c r="DI535" s="408">
        <v>-508.88348976181442</v>
      </c>
      <c r="DJ535" s="408"/>
      <c r="DK535" s="408">
        <v>0</v>
      </c>
      <c r="DL535" s="408">
        <v>0</v>
      </c>
      <c r="DM535" s="408">
        <v>-25.622537520855531</v>
      </c>
      <c r="DN535" s="408">
        <v>0</v>
      </c>
      <c r="DO535" s="408">
        <v>-69.704094543542396</v>
      </c>
      <c r="DP535" s="408">
        <v>-13.613642290890425</v>
      </c>
      <c r="DQ535" s="408">
        <v>0</v>
      </c>
      <c r="DR535" s="408">
        <v>0</v>
      </c>
      <c r="DS535" s="408"/>
      <c r="DT535" s="408"/>
      <c r="DU535" s="408"/>
      <c r="DV535" s="408">
        <v>103539.59767371754</v>
      </c>
      <c r="DW535" s="408">
        <v>0</v>
      </c>
      <c r="DX535" s="408">
        <v>0</v>
      </c>
      <c r="DY535" s="408">
        <v>-54213.552500000005</v>
      </c>
      <c r="DZ535" s="408">
        <v>6033.8525000000009</v>
      </c>
      <c r="EA535" s="408">
        <v>0</v>
      </c>
      <c r="EB535" s="408">
        <v>0</v>
      </c>
      <c r="EC535" s="408">
        <v>-54818.727767397388</v>
      </c>
      <c r="ED535" s="408">
        <v>0</v>
      </c>
      <c r="EE535" s="408">
        <v>0</v>
      </c>
      <c r="EF535" s="408">
        <v>0</v>
      </c>
      <c r="EG535" s="408">
        <v>0</v>
      </c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>
        <v>0</v>
      </c>
      <c r="EN535" s="408">
        <v>0</v>
      </c>
      <c r="EO535" s="408">
        <v>0</v>
      </c>
      <c r="EP535" s="408">
        <v>0</v>
      </c>
      <c r="EQ535" s="408">
        <v>0</v>
      </c>
      <c r="ER535" s="408">
        <v>0</v>
      </c>
      <c r="ES535" s="408">
        <v>0</v>
      </c>
      <c r="ET535" s="408">
        <v>0</v>
      </c>
      <c r="EU535" s="408">
        <v>0</v>
      </c>
      <c r="EV535" s="408">
        <v>239</v>
      </c>
      <c r="EW535" s="408">
        <v>0</v>
      </c>
      <c r="EX535" s="408">
        <v>0</v>
      </c>
      <c r="EY535" s="408">
        <v>0</v>
      </c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540</v>
      </c>
      <c r="B536" s="408" t="s">
        <v>2236</v>
      </c>
      <c r="C536" s="408" t="s">
        <v>2233</v>
      </c>
      <c r="D536" s="408" t="s">
        <v>1956</v>
      </c>
      <c r="E536" s="408" t="s">
        <v>2244</v>
      </c>
      <c r="F536" s="408" t="s">
        <v>1320</v>
      </c>
      <c r="G536" s="408" t="s">
        <v>1320</v>
      </c>
      <c r="H536" s="408" t="s">
        <v>1320</v>
      </c>
      <c r="I536" s="408" t="s">
        <v>1320</v>
      </c>
      <c r="J536" s="408" t="s">
        <v>2234</v>
      </c>
      <c r="K536" s="827">
        <v>44621</v>
      </c>
      <c r="L536" s="408">
        <v>0</v>
      </c>
      <c r="M536" s="408">
        <v>0</v>
      </c>
      <c r="N536" s="408">
        <v>0.1</v>
      </c>
      <c r="O536" s="408">
        <v>0.1</v>
      </c>
      <c r="P536" s="408">
        <v>0.1</v>
      </c>
      <c r="Q536" s="408">
        <v>0.1</v>
      </c>
      <c r="R536" s="408"/>
      <c r="S536" s="408">
        <v>516.83000000000004</v>
      </c>
      <c r="T536" s="408">
        <v>173.82</v>
      </c>
      <c r="U536" s="408"/>
      <c r="V536" s="408">
        <v>69.065000000000012</v>
      </c>
      <c r="W536" s="408">
        <v>69.065000000000012</v>
      </c>
      <c r="X536" s="408">
        <v>52.144999999999996</v>
      </c>
      <c r="Y536" s="408">
        <v>0</v>
      </c>
      <c r="Z536" s="408">
        <v>6.1149455758023699</v>
      </c>
      <c r="AA536" s="408">
        <v>0</v>
      </c>
      <c r="AB536" s="408">
        <v>0</v>
      </c>
      <c r="AC536" s="408">
        <v>0.27184440733908705</v>
      </c>
      <c r="AD536" s="408">
        <v>3.4426611522066</v>
      </c>
      <c r="AE536" s="408">
        <v>36.361579516669899</v>
      </c>
      <c r="AF536" s="408">
        <v>16.0922135541439</v>
      </c>
      <c r="AG536" s="408">
        <v>0.80958653920667301</v>
      </c>
      <c r="AH536" s="408">
        <v>0</v>
      </c>
      <c r="AI536" s="408">
        <v>0</v>
      </c>
      <c r="AJ536" s="408">
        <v>0</v>
      </c>
      <c r="AK536" s="408">
        <v>0</v>
      </c>
      <c r="AL536" s="408">
        <v>0.94514966576192405</v>
      </c>
      <c r="AM536" s="408"/>
      <c r="AN536" s="408">
        <v>0.155154197484969</v>
      </c>
      <c r="AO536" s="408">
        <v>0.57985037791354399</v>
      </c>
      <c r="AP536" s="408">
        <v>1.8989315851608901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0</v>
      </c>
      <c r="BE536" s="408">
        <v>5.5481261705210609E-2</v>
      </c>
      <c r="BF536" s="408">
        <v>0.48056883374612297</v>
      </c>
      <c r="BG536" s="408">
        <v>1.8578323206145702</v>
      </c>
      <c r="BH536" s="408">
        <v>0</v>
      </c>
      <c r="BI536" s="408">
        <v>0</v>
      </c>
      <c r="BJ536" s="408">
        <v>0</v>
      </c>
      <c r="BK536" s="408">
        <v>221.12</v>
      </c>
      <c r="BL536" s="408">
        <v>1</v>
      </c>
      <c r="BM536" s="408"/>
      <c r="BN536" s="408"/>
      <c r="BO536" s="408"/>
      <c r="BP536" s="408"/>
      <c r="BQ536" s="408"/>
      <c r="BR536" s="408"/>
      <c r="BS536" s="408"/>
      <c r="BT536" s="408"/>
      <c r="BU536" s="408"/>
      <c r="BV536" s="408">
        <v>18.486095970209803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52.144999999999996</v>
      </c>
      <c r="CJ536" s="408">
        <v>-16.950000000000017</v>
      </c>
      <c r="CK536" s="408"/>
      <c r="CL536" s="408"/>
      <c r="CM536" s="408"/>
      <c r="CN536" s="408"/>
      <c r="CO536" s="408">
        <v>-19.039000000000005</v>
      </c>
      <c r="CP536" s="408">
        <v>2.1189999999999998</v>
      </c>
      <c r="CQ536" s="408">
        <v>31</v>
      </c>
      <c r="CR536" s="408">
        <v>2.3305879014008113</v>
      </c>
      <c r="CS536" s="408">
        <v>5.6299808364292048E-2</v>
      </c>
      <c r="CT536" s="408">
        <v>0.1843742600050402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-6.6010300851879755E-2</v>
      </c>
      <c r="DA536" s="408">
        <v>0</v>
      </c>
      <c r="DB536" s="408">
        <v>0</v>
      </c>
      <c r="DC536" s="408">
        <v>2.0656134616606003</v>
      </c>
      <c r="DD536" s="408">
        <v>6.1686321083209095E-2</v>
      </c>
      <c r="DE536" s="408">
        <v>7.1216331216709047E-3</v>
      </c>
      <c r="DF536" s="408">
        <v>0</v>
      </c>
      <c r="DG536" s="408">
        <v>0.23847331121088988</v>
      </c>
      <c r="DH536" s="408">
        <v>0</v>
      </c>
      <c r="DI536" s="408">
        <v>-0.17871237568456966</v>
      </c>
      <c r="DJ536" s="408"/>
      <c r="DK536" s="408">
        <v>0</v>
      </c>
      <c r="DL536" s="408">
        <v>0</v>
      </c>
      <c r="DM536" s="408">
        <v>-8.9982572505200586E-3</v>
      </c>
      <c r="DN536" s="408">
        <v>0</v>
      </c>
      <c r="DO536" s="408">
        <v>-2.4479049883597059E-2</v>
      </c>
      <c r="DP536" s="408">
        <v>-4.780910374324987E-3</v>
      </c>
      <c r="DQ536" s="408">
        <v>0</v>
      </c>
      <c r="DR536" s="408">
        <v>0</v>
      </c>
      <c r="DS536" s="408"/>
      <c r="DT536" s="408"/>
      <c r="DU536" s="408"/>
      <c r="DV536" s="408">
        <v>36.361579516669899</v>
      </c>
      <c r="DW536" s="408">
        <v>0</v>
      </c>
      <c r="DX536" s="408">
        <v>0</v>
      </c>
      <c r="DY536" s="408">
        <v>-19.039000000000009</v>
      </c>
      <c r="DZ536" s="408">
        <v>2.1189999999999998</v>
      </c>
      <c r="EA536" s="408">
        <v>0</v>
      </c>
      <c r="EB536" s="408">
        <v>0</v>
      </c>
      <c r="EC536" s="408">
        <v>-19.251528627707597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0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239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541</v>
      </c>
      <c r="B537" s="408" t="s">
        <v>1034</v>
      </c>
      <c r="C537" s="408" t="s">
        <v>2245</v>
      </c>
      <c r="D537" s="408" t="s">
        <v>596</v>
      </c>
      <c r="E537" s="408" t="s">
        <v>2244</v>
      </c>
      <c r="F537" s="408" t="s">
        <v>1320</v>
      </c>
      <c r="G537" s="408" t="s">
        <v>1320</v>
      </c>
      <c r="H537" s="408" t="s">
        <v>1320</v>
      </c>
      <c r="I537" s="408" t="s">
        <v>971</v>
      </c>
      <c r="J537" s="408" t="s">
        <v>2234</v>
      </c>
      <c r="K537" s="827">
        <v>44621</v>
      </c>
      <c r="L537" s="408">
        <v>440</v>
      </c>
      <c r="M537" s="408">
        <v>440</v>
      </c>
      <c r="N537" s="408">
        <v>24.181000000000001</v>
      </c>
      <c r="O537" s="408">
        <v>24.181000000000001</v>
      </c>
      <c r="P537" s="408">
        <v>24.181000000000001</v>
      </c>
      <c r="Q537" s="408">
        <v>24.181000000000001</v>
      </c>
      <c r="R537" s="408">
        <v>67.099999999999994</v>
      </c>
      <c r="S537" s="408">
        <v>70.33</v>
      </c>
      <c r="T537" s="408">
        <v>173.82</v>
      </c>
      <c r="U537" s="408">
        <v>29523.999999999996</v>
      </c>
      <c r="V537" s="408">
        <v>5903.79115</v>
      </c>
      <c r="W537" s="408">
        <v>35427.791149999997</v>
      </c>
      <c r="X537" s="408">
        <v>24889.363729999997</v>
      </c>
      <c r="Y537" s="408">
        <v>0</v>
      </c>
      <c r="Z537" s="408">
        <v>1286.4298410257529</v>
      </c>
      <c r="AA537" s="408">
        <v>0</v>
      </c>
      <c r="AB537" s="408">
        <v>0</v>
      </c>
      <c r="AC537" s="408">
        <v>329.30395789898023</v>
      </c>
      <c r="AD537" s="408">
        <v>5023.5825818795756</v>
      </c>
      <c r="AE537" s="408">
        <v>21191.19101107831</v>
      </c>
      <c r="AF537" s="408">
        <v>3891.2581595275365</v>
      </c>
      <c r="AG537" s="408">
        <v>195.7661210455656</v>
      </c>
      <c r="AH537" s="408">
        <v>0</v>
      </c>
      <c r="AI537" s="408">
        <v>0</v>
      </c>
      <c r="AJ537" s="408">
        <v>0</v>
      </c>
      <c r="AK537" s="408">
        <v>0</v>
      </c>
      <c r="AL537" s="408">
        <v>228.54664067789085</v>
      </c>
      <c r="AM537" s="408"/>
      <c r="AN537" s="408">
        <v>30.050470226778096</v>
      </c>
      <c r="AO537" s="408">
        <v>707.21213380757717</v>
      </c>
      <c r="AP537" s="408">
        <v>2274.0507542624432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0</v>
      </c>
      <c r="BE537" s="408">
        <v>4.5120204387823426</v>
      </c>
      <c r="BF537" s="408">
        <v>116.20634968815</v>
      </c>
      <c r="BG537" s="408">
        <v>151.08844220202914</v>
      </c>
      <c r="BH537" s="408">
        <v>0</v>
      </c>
      <c r="BI537" s="408">
        <v>0</v>
      </c>
      <c r="BJ537" s="408">
        <v>0</v>
      </c>
      <c r="BK537" s="408">
        <v>0</v>
      </c>
      <c r="BL537" s="408">
        <v>0</v>
      </c>
      <c r="BM537" s="408"/>
      <c r="BN537" s="408"/>
      <c r="BO537" s="408"/>
      <c r="BP537" s="408"/>
      <c r="BQ537" s="408"/>
      <c r="BR537" s="408"/>
      <c r="BS537" s="408"/>
      <c r="BT537" s="408"/>
      <c r="BU537" s="408"/>
      <c r="BV537" s="408">
        <v>4163.0649718564982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24889.099399999999</v>
      </c>
      <c r="CJ537" s="408">
        <v>-10538.721749999997</v>
      </c>
      <c r="CK537" s="408"/>
      <c r="CL537" s="408"/>
      <c r="CM537" s="408"/>
      <c r="CN537" s="408"/>
      <c r="CO537" s="408">
        <v>-11050.822809999998</v>
      </c>
      <c r="CP537" s="408">
        <v>512.39539000000002</v>
      </c>
      <c r="CQ537" s="408">
        <v>31</v>
      </c>
      <c r="CR537" s="408">
        <v>680.89629099290141</v>
      </c>
      <c r="CS537" s="408">
        <v>68.665830225955688</v>
      </c>
      <c r="CT537" s="408">
        <v>220.79596142772107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-96.323217105324147</v>
      </c>
      <c r="DA537" s="408">
        <v>0</v>
      </c>
      <c r="DB537" s="408">
        <v>0</v>
      </c>
      <c r="DC537" s="408">
        <v>499.48599116415016</v>
      </c>
      <c r="DD537" s="408">
        <v>14.9163693011308</v>
      </c>
      <c r="DE537" s="408">
        <v>0.5791676904036791</v>
      </c>
      <c r="DF537" s="408">
        <v>0</v>
      </c>
      <c r="DG537" s="408">
        <v>19.393871393998694</v>
      </c>
      <c r="DH537" s="408">
        <v>0</v>
      </c>
      <c r="DI537" s="408">
        <v>-37.596562420929786</v>
      </c>
      <c r="DJ537" s="408"/>
      <c r="DK537" s="408">
        <v>0</v>
      </c>
      <c r="DL537" s="408">
        <v>0</v>
      </c>
      <c r="DM537" s="408">
        <v>-2.1758685857482476</v>
      </c>
      <c r="DN537" s="408">
        <v>0</v>
      </c>
      <c r="DO537" s="408">
        <v>-5.9192790523526071</v>
      </c>
      <c r="DP537" s="408">
        <v>-0.92597304610134401</v>
      </c>
      <c r="DQ537" s="408">
        <v>0</v>
      </c>
      <c r="DR537" s="408">
        <v>0</v>
      </c>
      <c r="DS537" s="408"/>
      <c r="DT537" s="408"/>
      <c r="DU537" s="408">
        <v>21191.19101107831</v>
      </c>
      <c r="DV537" s="408">
        <v>0</v>
      </c>
      <c r="DW537" s="408">
        <v>0</v>
      </c>
      <c r="DX537" s="408">
        <v>0</v>
      </c>
      <c r="DY537" s="408">
        <v>-11050.822809999998</v>
      </c>
      <c r="DZ537" s="408">
        <v>512.39538999999968</v>
      </c>
      <c r="EA537" s="408">
        <v>0</v>
      </c>
      <c r="EB537" s="408">
        <v>0</v>
      </c>
      <c r="EC537" s="408">
        <v>-11219.612179332438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0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239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542</v>
      </c>
      <c r="B538" s="408" t="s">
        <v>1034</v>
      </c>
      <c r="C538" s="408" t="s">
        <v>2245</v>
      </c>
      <c r="D538" s="408" t="s">
        <v>596</v>
      </c>
      <c r="E538" s="408" t="s">
        <v>2244</v>
      </c>
      <c r="F538" s="408" t="s">
        <v>1320</v>
      </c>
      <c r="G538" s="408" t="s">
        <v>1320</v>
      </c>
      <c r="H538" s="408" t="s">
        <v>1320</v>
      </c>
      <c r="I538" s="408" t="s">
        <v>2242</v>
      </c>
      <c r="J538" s="408" t="s">
        <v>2234</v>
      </c>
      <c r="K538" s="827">
        <v>44621</v>
      </c>
      <c r="L538" s="408">
        <v>435</v>
      </c>
      <c r="M538" s="408">
        <v>435</v>
      </c>
      <c r="N538" s="408">
        <v>149.54400000000001</v>
      </c>
      <c r="O538" s="408">
        <v>149.54400000000001</v>
      </c>
      <c r="P538" s="408">
        <v>149.54400000000001</v>
      </c>
      <c r="Q538" s="408">
        <v>149.54400000000001</v>
      </c>
      <c r="R538" s="408">
        <v>59.12</v>
      </c>
      <c r="S538" s="408">
        <v>70.33</v>
      </c>
      <c r="T538" s="408">
        <v>173.82</v>
      </c>
      <c r="U538" s="408">
        <v>25717.199999999997</v>
      </c>
      <c r="V538" s="408">
        <v>36511.167600000001</v>
      </c>
      <c r="W538" s="408">
        <v>62228.367599999998</v>
      </c>
      <c r="X538" s="408">
        <v>54332.015520000001</v>
      </c>
      <c r="Y538" s="408">
        <v>0</v>
      </c>
      <c r="Z538" s="408">
        <v>7955.7447643337828</v>
      </c>
      <c r="AA538" s="408">
        <v>0</v>
      </c>
      <c r="AB538" s="408">
        <v>0</v>
      </c>
      <c r="AC538" s="408">
        <v>248.84625805015168</v>
      </c>
      <c r="AD538" s="408">
        <v>2225.9048530612122</v>
      </c>
      <c r="AE538" s="408">
        <v>20950.382022316055</v>
      </c>
      <c r="AF538" s="408">
        <v>24064.939837408954</v>
      </c>
      <c r="AG538" s="408">
        <v>1210.688094191227</v>
      </c>
      <c r="AH538" s="408">
        <v>0</v>
      </c>
      <c r="AI538" s="408">
        <v>0</v>
      </c>
      <c r="AJ538" s="408">
        <v>0</v>
      </c>
      <c r="AK538" s="408">
        <v>0</v>
      </c>
      <c r="AL538" s="408">
        <v>1413.4146161670117</v>
      </c>
      <c r="AM538" s="408"/>
      <c r="AN538" s="408">
        <v>185.84291466826451</v>
      </c>
      <c r="AO538" s="408">
        <v>525.51137032517613</v>
      </c>
      <c r="AP538" s="408">
        <v>1766.5297208486738</v>
      </c>
      <c r="AQ538" s="408">
        <v>0</v>
      </c>
      <c r="AR538" s="408">
        <v>0</v>
      </c>
      <c r="AS538" s="408">
        <v>0</v>
      </c>
      <c r="AT538" s="408">
        <v>0</v>
      </c>
      <c r="AU538" s="408">
        <v>0</v>
      </c>
      <c r="AV538" s="408">
        <v>0</v>
      </c>
      <c r="AW538" s="408">
        <v>0</v>
      </c>
      <c r="AX538" s="408">
        <v>0</v>
      </c>
      <c r="AY538" s="408">
        <v>0</v>
      </c>
      <c r="AZ538" s="408">
        <v>0</v>
      </c>
      <c r="BA538" s="408"/>
      <c r="BB538" s="408">
        <v>0</v>
      </c>
      <c r="BC538" s="408">
        <v>0</v>
      </c>
      <c r="BD538" s="408">
        <v>0</v>
      </c>
      <c r="BE538" s="408">
        <v>27.903957011590368</v>
      </c>
      <c r="BF538" s="408">
        <v>718.66185673730217</v>
      </c>
      <c r="BG538" s="408">
        <v>934.38526118275706</v>
      </c>
      <c r="BH538" s="408">
        <v>0</v>
      </c>
      <c r="BI538" s="408">
        <v>0</v>
      </c>
      <c r="BJ538" s="408">
        <v>0</v>
      </c>
      <c r="BK538" s="408">
        <v>0</v>
      </c>
      <c r="BL538" s="408">
        <v>0</v>
      </c>
      <c r="BM538" s="408"/>
      <c r="BN538" s="408"/>
      <c r="BO538" s="408"/>
      <c r="BP538" s="408"/>
      <c r="BQ538" s="408"/>
      <c r="BR538" s="408"/>
      <c r="BS538" s="408"/>
      <c r="BT538" s="408"/>
      <c r="BU538" s="408"/>
      <c r="BV538" s="408">
        <v>25745.890912340601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54330.958199999994</v>
      </c>
      <c r="CJ538" s="408">
        <v>-7897.4394000000102</v>
      </c>
      <c r="CK538" s="408"/>
      <c r="CL538" s="408"/>
      <c r="CM538" s="408"/>
      <c r="CN538" s="408"/>
      <c r="CO538" s="408">
        <v>-11065.189439999998</v>
      </c>
      <c r="CP538" s="408">
        <v>3168.83736</v>
      </c>
      <c r="CQ538" s="408">
        <v>31</v>
      </c>
      <c r="CR538" s="408">
        <v>3196.3318734463755</v>
      </c>
      <c r="CS538" s="408">
        <v>51.023834025981387</v>
      </c>
      <c r="CT538" s="408">
        <v>171.51887545796103</v>
      </c>
      <c r="CU538" s="408">
        <v>0</v>
      </c>
      <c r="CV538" s="408">
        <v>0</v>
      </c>
      <c r="CW538" s="408">
        <v>0</v>
      </c>
      <c r="CX538" s="408">
        <v>0</v>
      </c>
      <c r="CY538" s="408">
        <v>0</v>
      </c>
      <c r="CZ538" s="408">
        <v>-42.679962541203622</v>
      </c>
      <c r="DA538" s="408">
        <v>0</v>
      </c>
      <c r="DB538" s="408">
        <v>0</v>
      </c>
      <c r="DC538" s="408">
        <v>3089.0009951057291</v>
      </c>
      <c r="DD538" s="408">
        <v>92.24819200067418</v>
      </c>
      <c r="DE538" s="408">
        <v>3.5817812784304941</v>
      </c>
      <c r="DF538" s="408">
        <v>0</v>
      </c>
      <c r="DG538" s="408">
        <v>119.93867514760097</v>
      </c>
      <c r="DH538" s="408">
        <v>0</v>
      </c>
      <c r="DI538" s="408">
        <v>-232.51066253155386</v>
      </c>
      <c r="DJ538" s="408"/>
      <c r="DK538" s="408">
        <v>0</v>
      </c>
      <c r="DL538" s="408">
        <v>0</v>
      </c>
      <c r="DM538" s="408">
        <v>-13.456353822717574</v>
      </c>
      <c r="DN538" s="408">
        <v>0</v>
      </c>
      <c r="DO538" s="408">
        <v>-36.60695035792628</v>
      </c>
      <c r="DP538" s="408">
        <v>-5.7265503166196368</v>
      </c>
      <c r="DQ538" s="408">
        <v>0</v>
      </c>
      <c r="DR538" s="408">
        <v>0</v>
      </c>
      <c r="DS538" s="408"/>
      <c r="DT538" s="408"/>
      <c r="DU538" s="408">
        <v>20950.382022316055</v>
      </c>
      <c r="DV538" s="408">
        <v>0</v>
      </c>
      <c r="DW538" s="408">
        <v>0</v>
      </c>
      <c r="DX538" s="408">
        <v>0</v>
      </c>
      <c r="DY538" s="408">
        <v>-11065.189439999995</v>
      </c>
      <c r="DZ538" s="408">
        <v>3168.8373600000014</v>
      </c>
      <c r="EA538" s="408">
        <v>0</v>
      </c>
      <c r="EB538" s="408">
        <v>0</v>
      </c>
      <c r="EC538" s="408">
        <v>-11092.116586385477</v>
      </c>
      <c r="ED538" s="408">
        <v>0</v>
      </c>
      <c r="EE538" s="408">
        <v>0</v>
      </c>
      <c r="EF538" s="408">
        <v>0</v>
      </c>
      <c r="EG538" s="408">
        <v>0</v>
      </c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>
        <v>0</v>
      </c>
      <c r="EN538" s="408">
        <v>0</v>
      </c>
      <c r="EO538" s="408">
        <v>0</v>
      </c>
      <c r="EP538" s="408">
        <v>0</v>
      </c>
      <c r="EQ538" s="408">
        <v>0</v>
      </c>
      <c r="ER538" s="408">
        <v>0</v>
      </c>
      <c r="ES538" s="408">
        <v>0</v>
      </c>
      <c r="ET538" s="408">
        <v>0</v>
      </c>
      <c r="EU538" s="408">
        <v>0</v>
      </c>
      <c r="EV538" s="408">
        <v>239</v>
      </c>
      <c r="EW538" s="408">
        <v>0</v>
      </c>
      <c r="EX538" s="408">
        <v>0</v>
      </c>
      <c r="EY538" s="408">
        <v>0</v>
      </c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543</v>
      </c>
      <c r="B539" s="408" t="s">
        <v>1034</v>
      </c>
      <c r="C539" s="408" t="s">
        <v>2245</v>
      </c>
      <c r="D539" s="408" t="s">
        <v>596</v>
      </c>
      <c r="E539" s="408" t="s">
        <v>2244</v>
      </c>
      <c r="F539" s="408" t="s">
        <v>1320</v>
      </c>
      <c r="G539" s="408" t="s">
        <v>1320</v>
      </c>
      <c r="H539" s="408" t="s">
        <v>1320</v>
      </c>
      <c r="I539" s="408" t="s">
        <v>1320</v>
      </c>
      <c r="J539" s="408" t="s">
        <v>2234</v>
      </c>
      <c r="K539" s="827">
        <v>44621</v>
      </c>
      <c r="L539" s="408">
        <v>0</v>
      </c>
      <c r="M539" s="408">
        <v>0</v>
      </c>
      <c r="N539" s="408">
        <v>0</v>
      </c>
      <c r="O539" s="408">
        <v>0</v>
      </c>
      <c r="P539" s="408">
        <v>0</v>
      </c>
      <c r="Q539" s="408">
        <v>0</v>
      </c>
      <c r="R539" s="408"/>
      <c r="S539" s="408"/>
      <c r="T539" s="408"/>
      <c r="U539" s="408"/>
      <c r="V539" s="408"/>
      <c r="W539" s="408"/>
      <c r="X539" s="408"/>
      <c r="Y539" s="408"/>
      <c r="Z539" s="408"/>
      <c r="AA539" s="408">
        <v>0</v>
      </c>
      <c r="AB539" s="408"/>
      <c r="AC539" s="408"/>
      <c r="AD539" s="408"/>
      <c r="AE539" s="408"/>
      <c r="AF539" s="408"/>
      <c r="AG539" s="408"/>
      <c r="AH539" s="408"/>
      <c r="AI539" s="408"/>
      <c r="AJ539" s="408"/>
      <c r="AK539" s="408"/>
      <c r="AL539" s="408"/>
      <c r="AM539" s="408"/>
      <c r="AN539" s="408"/>
      <c r="AO539" s="408"/>
      <c r="AP539" s="408"/>
      <c r="AQ539" s="408"/>
      <c r="AR539" s="408"/>
      <c r="AS539" s="408"/>
      <c r="AT539" s="408"/>
      <c r="AU539" s="408"/>
      <c r="AV539" s="408"/>
      <c r="AW539" s="408"/>
      <c r="AX539" s="408"/>
      <c r="AY539" s="408"/>
      <c r="AZ539" s="408">
        <v>0</v>
      </c>
      <c r="BA539" s="408"/>
      <c r="BB539" s="408"/>
      <c r="BC539" s="408"/>
      <c r="BD539" s="408"/>
      <c r="BE539" s="408"/>
      <c r="BF539" s="408"/>
      <c r="BG539" s="408"/>
      <c r="BH539" s="408"/>
      <c r="BI539" s="408">
        <v>0</v>
      </c>
      <c r="BJ539" s="408">
        <v>0</v>
      </c>
      <c r="BK539" s="408">
        <v>0</v>
      </c>
      <c r="BL539" s="408">
        <v>1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/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/>
      <c r="CJ539" s="408">
        <v>-0.03</v>
      </c>
      <c r="CK539" s="408"/>
      <c r="CL539" s="408"/>
      <c r="CM539" s="408"/>
      <c r="CN539" s="408"/>
      <c r="CO539" s="408">
        <v>0</v>
      </c>
      <c r="CP539" s="408">
        <v>0</v>
      </c>
      <c r="CQ539" s="408">
        <v>31</v>
      </c>
      <c r="CR539" s="408"/>
      <c r="CS539" s="408"/>
      <c r="CT539" s="408"/>
      <c r="CU539" s="408"/>
      <c r="CV539" s="408"/>
      <c r="CW539" s="408"/>
      <c r="CX539" s="408"/>
      <c r="CY539" s="408"/>
      <c r="CZ539" s="408"/>
      <c r="DA539" s="408"/>
      <c r="DB539" s="408"/>
      <c r="DC539" s="408"/>
      <c r="DD539" s="408"/>
      <c r="DE539" s="408"/>
      <c r="DF539" s="408"/>
      <c r="DG539" s="408"/>
      <c r="DH539" s="408"/>
      <c r="DI539" s="408"/>
      <c r="DJ539" s="408"/>
      <c r="DK539" s="408">
        <v>0</v>
      </c>
      <c r="DL539" s="408"/>
      <c r="DM539" s="408"/>
      <c r="DN539" s="408"/>
      <c r="DO539" s="408"/>
      <c r="DP539" s="408"/>
      <c r="DQ539" s="408"/>
      <c r="DR539" s="408"/>
      <c r="DS539" s="408"/>
      <c r="DT539" s="408"/>
      <c r="DU539" s="408"/>
      <c r="DV539" s="408"/>
      <c r="DW539" s="408"/>
      <c r="DX539" s="408"/>
      <c r="DY539" s="408"/>
      <c r="DZ539" s="408"/>
      <c r="EA539" s="408"/>
      <c r="EB539" s="408"/>
      <c r="EC539" s="408"/>
      <c r="ED539" s="408"/>
      <c r="EE539" s="408"/>
      <c r="EF539" s="408"/>
      <c r="EG539" s="408"/>
      <c r="EH539" s="408"/>
      <c r="EI539" s="408"/>
      <c r="EJ539" s="408"/>
      <c r="EK539" s="408"/>
      <c r="EL539" s="408"/>
      <c r="EM539" s="408"/>
      <c r="EN539" s="408"/>
      <c r="EO539" s="408"/>
      <c r="EP539" s="408"/>
      <c r="EQ539" s="408"/>
      <c r="ER539" s="408"/>
      <c r="ES539" s="408"/>
      <c r="ET539" s="408"/>
      <c r="EU539" s="408"/>
      <c r="EV539" s="408">
        <v>239</v>
      </c>
      <c r="EW539" s="408"/>
      <c r="EX539" s="408"/>
      <c r="EY539" s="408"/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544</v>
      </c>
      <c r="B540" s="408" t="s">
        <v>1034</v>
      </c>
      <c r="C540" s="408" t="s">
        <v>2233</v>
      </c>
      <c r="D540" s="408" t="s">
        <v>2246</v>
      </c>
      <c r="E540" s="408" t="s">
        <v>2247</v>
      </c>
      <c r="F540" s="408" t="s">
        <v>2248</v>
      </c>
      <c r="G540" s="408" t="s">
        <v>1320</v>
      </c>
      <c r="H540" s="408" t="s">
        <v>1320</v>
      </c>
      <c r="I540" s="408" t="s">
        <v>1320</v>
      </c>
      <c r="J540" s="408" t="s">
        <v>2234</v>
      </c>
      <c r="K540" s="827">
        <v>44621</v>
      </c>
      <c r="L540" s="408">
        <v>0</v>
      </c>
      <c r="M540" s="408">
        <v>0</v>
      </c>
      <c r="N540" s="408">
        <v>268.81700000000001</v>
      </c>
      <c r="O540" s="408">
        <v>268.81700000000001</v>
      </c>
      <c r="P540" s="408">
        <v>268.81700000000001</v>
      </c>
      <c r="Q540" s="408">
        <v>268.81700000000001</v>
      </c>
      <c r="R540" s="408"/>
      <c r="S540" s="408">
        <v>284.26</v>
      </c>
      <c r="T540" s="408">
        <v>95.6</v>
      </c>
      <c r="U540" s="408"/>
      <c r="V540" s="408">
        <v>102112.82561999999</v>
      </c>
      <c r="W540" s="408">
        <v>102112.82561999999</v>
      </c>
      <c r="X540" s="408">
        <v>77094.027430000002</v>
      </c>
      <c r="Y540" s="408">
        <v>0</v>
      </c>
      <c r="Z540" s="408">
        <v>9040.9072866775787</v>
      </c>
      <c r="AA540" s="408">
        <v>0</v>
      </c>
      <c r="AB540" s="408">
        <v>0</v>
      </c>
      <c r="AC540" s="408">
        <v>401.92018926219282</v>
      </c>
      <c r="AD540" s="408">
        <v>5089.9521362399691</v>
      </c>
      <c r="AE540" s="408">
        <v>53760.358965129468</v>
      </c>
      <c r="AF540" s="408">
        <v>23792.233140413697</v>
      </c>
      <c r="AG540" s="408">
        <v>1196.9684359045609</v>
      </c>
      <c r="AH540" s="408">
        <v>0</v>
      </c>
      <c r="AI540" s="408">
        <v>0</v>
      </c>
      <c r="AJ540" s="408">
        <v>0</v>
      </c>
      <c r="AK540" s="408">
        <v>0</v>
      </c>
      <c r="AL540" s="408">
        <v>1397.3976373561768</v>
      </c>
      <c r="AM540" s="408"/>
      <c r="AN540" s="408">
        <v>229.39447247924372</v>
      </c>
      <c r="AO540" s="408">
        <v>857.30501471771788</v>
      </c>
      <c r="AP540" s="408">
        <v>2807.5580056050735</v>
      </c>
      <c r="AQ540" s="408">
        <v>0</v>
      </c>
      <c r="AR540" s="408">
        <v>0</v>
      </c>
      <c r="AS540" s="408">
        <v>0</v>
      </c>
      <c r="AT540" s="408">
        <v>0</v>
      </c>
      <c r="AU540" s="408">
        <v>0</v>
      </c>
      <c r="AV540" s="408">
        <v>0</v>
      </c>
      <c r="AW540" s="408">
        <v>0</v>
      </c>
      <c r="AX540" s="408">
        <v>0</v>
      </c>
      <c r="AY540" s="408">
        <v>0</v>
      </c>
      <c r="AZ540" s="408">
        <v>0</v>
      </c>
      <c r="BA540" s="408"/>
      <c r="BB540" s="408">
        <v>0</v>
      </c>
      <c r="BC540" s="408">
        <v>0</v>
      </c>
      <c r="BD540" s="408">
        <v>0</v>
      </c>
      <c r="BE540" s="408">
        <v>82.028684802952711</v>
      </c>
      <c r="BF540" s="408">
        <v>710.51789699622452</v>
      </c>
      <c r="BG540" s="408">
        <v>2746.7930101185484</v>
      </c>
      <c r="BH540" s="408">
        <v>0</v>
      </c>
      <c r="BI540" s="408">
        <v>0</v>
      </c>
      <c r="BJ540" s="408">
        <v>0</v>
      </c>
      <c r="BK540" s="408">
        <v>28816.400000000001</v>
      </c>
      <c r="BL540" s="408">
        <v>14</v>
      </c>
      <c r="BM540" s="408"/>
      <c r="BN540" s="408"/>
      <c r="BO540" s="408"/>
      <c r="BP540" s="408"/>
      <c r="BQ540" s="408"/>
      <c r="BR540" s="408"/>
      <c r="BS540" s="408"/>
      <c r="BT540" s="408"/>
      <c r="BU540" s="408"/>
      <c r="BV540" s="408">
        <v>27331.572732331424</v>
      </c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>
        <v>77094.887799999997</v>
      </c>
      <c r="CJ540" s="408">
        <v>-25017.967819999976</v>
      </c>
      <c r="CK540" s="408"/>
      <c r="CL540" s="408"/>
      <c r="CM540" s="408"/>
      <c r="CN540" s="408"/>
      <c r="CO540" s="408">
        <v>-28150.516240000001</v>
      </c>
      <c r="CP540" s="408">
        <v>3131.7180500000018</v>
      </c>
      <c r="CQ540" s="408">
        <v>31</v>
      </c>
      <c r="CR540" s="408">
        <v>3445.7590633996297</v>
      </c>
      <c r="CS540" s="408">
        <v>83.238900717852403</v>
      </c>
      <c r="CT540" s="408">
        <v>272.59614498475639</v>
      </c>
      <c r="CU540" s="408">
        <v>0</v>
      </c>
      <c r="CV540" s="408">
        <v>0</v>
      </c>
      <c r="CW540" s="408">
        <v>0</v>
      </c>
      <c r="CX540" s="408">
        <v>0</v>
      </c>
      <c r="CY540" s="408">
        <v>0</v>
      </c>
      <c r="CZ540" s="408">
        <v>-97.595800742538813</v>
      </c>
      <c r="DA540" s="408">
        <v>0</v>
      </c>
      <c r="DB540" s="408">
        <v>0</v>
      </c>
      <c r="DC540" s="408">
        <v>3053.9960765775868</v>
      </c>
      <c r="DD540" s="408">
        <v>91.202824760437579</v>
      </c>
      <c r="DE540" s="408">
        <v>10.529288279775145</v>
      </c>
      <c r="DF540" s="408">
        <v>0</v>
      </c>
      <c r="DG540" s="408">
        <v>352.58124054877908</v>
      </c>
      <c r="DH540" s="408">
        <v>0</v>
      </c>
      <c r="DI540" s="408">
        <v>-264.22508581921102</v>
      </c>
      <c r="DJ540" s="408"/>
      <c r="DK540" s="408">
        <v>0</v>
      </c>
      <c r="DL540" s="408">
        <v>0</v>
      </c>
      <c r="DM540" s="408">
        <v>-13.303864856221935</v>
      </c>
      <c r="DN540" s="408">
        <v>0</v>
      </c>
      <c r="DO540" s="408">
        <v>-36.19211613907305</v>
      </c>
      <c r="DP540" s="408">
        <v>-7.0685449125225261</v>
      </c>
      <c r="DQ540" s="408">
        <v>0</v>
      </c>
      <c r="DR540" s="408">
        <v>0</v>
      </c>
      <c r="DS540" s="408"/>
      <c r="DT540" s="408"/>
      <c r="DU540" s="408"/>
      <c r="DV540" s="408">
        <v>53760.358965129468</v>
      </c>
      <c r="DW540" s="408">
        <v>0</v>
      </c>
      <c r="DX540" s="408">
        <v>0</v>
      </c>
      <c r="DY540" s="408">
        <v>-28150.516239999997</v>
      </c>
      <c r="DZ540" s="408">
        <v>3131.7180500000031</v>
      </c>
      <c r="EA540" s="408">
        <v>0</v>
      </c>
      <c r="EB540" s="408">
        <v>0</v>
      </c>
      <c r="EC540" s="408">
        <v>-28463.259941129523</v>
      </c>
      <c r="ED540" s="408">
        <v>0</v>
      </c>
      <c r="EE540" s="408">
        <v>0</v>
      </c>
      <c r="EF540" s="408">
        <v>0</v>
      </c>
      <c r="EG540" s="408">
        <v>0</v>
      </c>
      <c r="EH540" s="408">
        <v>0</v>
      </c>
      <c r="EI540" s="408">
        <v>0</v>
      </c>
      <c r="EJ540" s="408">
        <v>0</v>
      </c>
      <c r="EK540" s="408">
        <v>0</v>
      </c>
      <c r="EL540" s="408">
        <v>0</v>
      </c>
      <c r="EM540" s="408">
        <v>0</v>
      </c>
      <c r="EN540" s="408">
        <v>0</v>
      </c>
      <c r="EO540" s="408">
        <v>0</v>
      </c>
      <c r="EP540" s="408">
        <v>0</v>
      </c>
      <c r="EQ540" s="408">
        <v>0</v>
      </c>
      <c r="ER540" s="408">
        <v>0</v>
      </c>
      <c r="ES540" s="408">
        <v>0</v>
      </c>
      <c r="ET540" s="408">
        <v>0</v>
      </c>
      <c r="EU540" s="408">
        <v>0</v>
      </c>
      <c r="EV540" s="408">
        <v>239</v>
      </c>
      <c r="EW540" s="408">
        <v>0</v>
      </c>
      <c r="EX540" s="408">
        <v>0</v>
      </c>
      <c r="EY540" s="408">
        <v>0</v>
      </c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545</v>
      </c>
      <c r="B541" s="408" t="s">
        <v>1034</v>
      </c>
      <c r="C541" s="408" t="s">
        <v>2233</v>
      </c>
      <c r="D541" s="408" t="s">
        <v>1956</v>
      </c>
      <c r="E541" s="408" t="s">
        <v>999</v>
      </c>
      <c r="F541" s="408" t="s">
        <v>2249</v>
      </c>
      <c r="G541" s="408" t="s">
        <v>1320</v>
      </c>
      <c r="H541" s="408" t="s">
        <v>1320</v>
      </c>
      <c r="I541" s="408" t="s">
        <v>1320</v>
      </c>
      <c r="J541" s="408" t="s">
        <v>2234</v>
      </c>
      <c r="K541" s="827">
        <v>44621</v>
      </c>
      <c r="L541" s="408">
        <v>0</v>
      </c>
      <c r="M541" s="408">
        <v>0</v>
      </c>
      <c r="N541" s="408">
        <v>8.8520000000000003</v>
      </c>
      <c r="O541" s="408">
        <v>8.3208800000000007</v>
      </c>
      <c r="P541" s="408">
        <v>8.8520000000000003</v>
      </c>
      <c r="Q541" s="408">
        <v>8.3208800000000007</v>
      </c>
      <c r="R541" s="408"/>
      <c r="S541" s="408">
        <v>516.83000000000004</v>
      </c>
      <c r="T541" s="408">
        <v>173.82</v>
      </c>
      <c r="U541" s="408"/>
      <c r="V541" s="408">
        <v>6113.6338000000005</v>
      </c>
      <c r="W541" s="408">
        <v>6113.6338000000005</v>
      </c>
      <c r="X541" s="408">
        <v>4615.8753999999999</v>
      </c>
      <c r="Y541" s="408">
        <v>0</v>
      </c>
      <c r="Z541" s="408">
        <v>541.29498237002576</v>
      </c>
      <c r="AA541" s="408">
        <v>0</v>
      </c>
      <c r="AB541" s="408">
        <v>0</v>
      </c>
      <c r="AC541" s="408">
        <v>24.063666937655984</v>
      </c>
      <c r="AD541" s="408">
        <v>304.74436519332824</v>
      </c>
      <c r="AE541" s="408">
        <v>3218.7270188156199</v>
      </c>
      <c r="AF541" s="408">
        <v>1424.4827438128179</v>
      </c>
      <c r="AG541" s="408">
        <v>71.664600450574696</v>
      </c>
      <c r="AH541" s="408">
        <v>0</v>
      </c>
      <c r="AI541" s="408">
        <v>0</v>
      </c>
      <c r="AJ541" s="408">
        <v>0</v>
      </c>
      <c r="AK541" s="408">
        <v>0</v>
      </c>
      <c r="AL541" s="408">
        <v>83.664648413245516</v>
      </c>
      <c r="AM541" s="408"/>
      <c r="AN541" s="408">
        <v>13.734249561369456</v>
      </c>
      <c r="AO541" s="408">
        <v>51.328355452906919</v>
      </c>
      <c r="AP541" s="408">
        <v>168.093423918442</v>
      </c>
      <c r="AQ541" s="408">
        <v>0</v>
      </c>
      <c r="AR541" s="408">
        <v>0</v>
      </c>
      <c r="AS541" s="408">
        <v>0</v>
      </c>
      <c r="AT541" s="408">
        <v>0</v>
      </c>
      <c r="AU541" s="408">
        <v>0</v>
      </c>
      <c r="AV541" s="408">
        <v>0</v>
      </c>
      <c r="AW541" s="408">
        <v>0</v>
      </c>
      <c r="AX541" s="408">
        <v>0</v>
      </c>
      <c r="AY541" s="408">
        <v>0</v>
      </c>
      <c r="AZ541" s="408">
        <v>0</v>
      </c>
      <c r="BA541" s="408"/>
      <c r="BB541" s="408">
        <v>0</v>
      </c>
      <c r="BC541" s="408">
        <v>0</v>
      </c>
      <c r="BD541" s="408">
        <v>0</v>
      </c>
      <c r="BE541" s="408">
        <v>4.9112012861452428</v>
      </c>
      <c r="BF541" s="408">
        <v>42.539953163206803</v>
      </c>
      <c r="BG541" s="408">
        <v>164.45531702080174</v>
      </c>
      <c r="BH541" s="408">
        <v>0</v>
      </c>
      <c r="BI541" s="408">
        <v>0</v>
      </c>
      <c r="BJ541" s="408">
        <v>0</v>
      </c>
      <c r="BK541" s="408">
        <v>1957.58</v>
      </c>
      <c r="BL541" s="408">
        <v>7</v>
      </c>
      <c r="BM541" s="408"/>
      <c r="BN541" s="408"/>
      <c r="BO541" s="408"/>
      <c r="BP541" s="408"/>
      <c r="BQ541" s="408">
        <v>276.95252399999981</v>
      </c>
      <c r="BR541" s="408"/>
      <c r="BS541" s="408"/>
      <c r="BT541" s="408"/>
      <c r="BU541" s="408"/>
      <c r="BV541" s="408">
        <v>1636.3892152829717</v>
      </c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>
        <v>4338.4639999999999</v>
      </c>
      <c r="CJ541" s="408">
        <v>-1408.3817720000015</v>
      </c>
      <c r="CK541" s="408"/>
      <c r="CL541" s="408"/>
      <c r="CM541" s="408"/>
      <c r="CN541" s="408"/>
      <c r="CO541" s="408">
        <v>-1685.3322800000005</v>
      </c>
      <c r="CP541" s="408">
        <v>187.57387999999997</v>
      </c>
      <c r="CQ541" s="408">
        <v>31</v>
      </c>
      <c r="CR541" s="408">
        <v>206.30364103199963</v>
      </c>
      <c r="CS541" s="408">
        <v>4.9836590364071256</v>
      </c>
      <c r="CT541" s="408">
        <v>16.320809495646131</v>
      </c>
      <c r="CU541" s="408">
        <v>0</v>
      </c>
      <c r="CV541" s="408">
        <v>0</v>
      </c>
      <c r="CW541" s="408">
        <v>0</v>
      </c>
      <c r="CX541" s="408">
        <v>0</v>
      </c>
      <c r="CY541" s="408">
        <v>0</v>
      </c>
      <c r="CZ541" s="408">
        <v>-5.8432318314083886</v>
      </c>
      <c r="DA541" s="408">
        <v>0</v>
      </c>
      <c r="DB541" s="408">
        <v>0</v>
      </c>
      <c r="DC541" s="408">
        <v>182.84810362619646</v>
      </c>
      <c r="DD541" s="408">
        <v>5.4604731422856716</v>
      </c>
      <c r="DE541" s="408">
        <v>0.63040696393030871</v>
      </c>
      <c r="DF541" s="408">
        <v>0</v>
      </c>
      <c r="DG541" s="408">
        <v>21.109657508387983</v>
      </c>
      <c r="DH541" s="408">
        <v>0</v>
      </c>
      <c r="DI541" s="408">
        <v>-15.81961949559809</v>
      </c>
      <c r="DJ541" s="408"/>
      <c r="DK541" s="408">
        <v>0</v>
      </c>
      <c r="DL541" s="408">
        <v>0</v>
      </c>
      <c r="DM541" s="408">
        <v>-0.79652573181603259</v>
      </c>
      <c r="DN541" s="408">
        <v>0</v>
      </c>
      <c r="DO541" s="408">
        <v>-2.1668854956960075</v>
      </c>
      <c r="DP541" s="408">
        <v>-0.42320618633524987</v>
      </c>
      <c r="DQ541" s="408">
        <v>0</v>
      </c>
      <c r="DR541" s="408">
        <v>0</v>
      </c>
      <c r="DS541" s="408"/>
      <c r="DT541" s="408"/>
      <c r="DU541" s="408"/>
      <c r="DV541" s="408">
        <v>3218.7270188156199</v>
      </c>
      <c r="DW541" s="408">
        <v>0</v>
      </c>
      <c r="DX541" s="408">
        <v>0</v>
      </c>
      <c r="DY541" s="408">
        <v>-1685.3322800000005</v>
      </c>
      <c r="DZ541" s="408">
        <v>187.57387999999992</v>
      </c>
      <c r="EA541" s="408">
        <v>0</v>
      </c>
      <c r="EB541" s="408">
        <v>0</v>
      </c>
      <c r="EC541" s="408">
        <v>-1704.145314124677</v>
      </c>
      <c r="ED541" s="408">
        <v>0</v>
      </c>
      <c r="EE541" s="408">
        <v>0</v>
      </c>
      <c r="EF541" s="408">
        <v>0</v>
      </c>
      <c r="EG541" s="408">
        <v>0</v>
      </c>
      <c r="EH541" s="408">
        <v>0</v>
      </c>
      <c r="EI541" s="408">
        <v>0</v>
      </c>
      <c r="EJ541" s="408">
        <v>0</v>
      </c>
      <c r="EK541" s="408">
        <v>0</v>
      </c>
      <c r="EL541" s="408">
        <v>0</v>
      </c>
      <c r="EM541" s="408">
        <v>0</v>
      </c>
      <c r="EN541" s="408">
        <v>0</v>
      </c>
      <c r="EO541" s="408">
        <v>0</v>
      </c>
      <c r="EP541" s="408">
        <v>0</v>
      </c>
      <c r="EQ541" s="408">
        <v>0</v>
      </c>
      <c r="ER541" s="408">
        <v>0</v>
      </c>
      <c r="ES541" s="408">
        <v>0</v>
      </c>
      <c r="ET541" s="408">
        <v>0</v>
      </c>
      <c r="EU541" s="408">
        <v>0</v>
      </c>
      <c r="EV541" s="408">
        <v>239</v>
      </c>
      <c r="EW541" s="408">
        <v>0</v>
      </c>
      <c r="EX541" s="408">
        <v>0</v>
      </c>
      <c r="EY541" s="408">
        <v>0</v>
      </c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546</v>
      </c>
      <c r="B542" s="408" t="s">
        <v>1034</v>
      </c>
      <c r="C542" s="408" t="s">
        <v>2245</v>
      </c>
      <c r="D542" s="408" t="s">
        <v>596</v>
      </c>
      <c r="E542" s="408" t="s">
        <v>999</v>
      </c>
      <c r="F542" s="408" t="s">
        <v>2249</v>
      </c>
      <c r="G542" s="408" t="s">
        <v>1320</v>
      </c>
      <c r="H542" s="408" t="s">
        <v>1320</v>
      </c>
      <c r="I542" s="408" t="s">
        <v>971</v>
      </c>
      <c r="J542" s="408" t="s">
        <v>2234</v>
      </c>
      <c r="K542" s="827">
        <v>44621</v>
      </c>
      <c r="L542" s="408">
        <v>100</v>
      </c>
      <c r="M542" s="408">
        <v>94</v>
      </c>
      <c r="N542" s="408">
        <v>3.81</v>
      </c>
      <c r="O542" s="408">
        <v>3.5813999999999999</v>
      </c>
      <c r="P542" s="408">
        <v>3.81</v>
      </c>
      <c r="Q542" s="408">
        <v>3.5813999999999999</v>
      </c>
      <c r="R542" s="408">
        <v>67.099999999999994</v>
      </c>
      <c r="S542" s="408">
        <v>70.33</v>
      </c>
      <c r="T542" s="408">
        <v>173.82</v>
      </c>
      <c r="U542" s="408">
        <v>6709.9999999999991</v>
      </c>
      <c r="V542" s="408">
        <v>930.21149999999989</v>
      </c>
      <c r="W542" s="408">
        <v>7640.2114999999994</v>
      </c>
      <c r="X542" s="408">
        <v>5211.0972999999994</v>
      </c>
      <c r="Y542" s="408">
        <v>0</v>
      </c>
      <c r="Z542" s="408">
        <v>202.69210100112147</v>
      </c>
      <c r="AA542" s="408">
        <v>0</v>
      </c>
      <c r="AB542" s="408">
        <v>0</v>
      </c>
      <c r="AC542" s="408">
        <v>74.841808613404609</v>
      </c>
      <c r="AD542" s="408">
        <v>1141.7233140635399</v>
      </c>
      <c r="AE542" s="408">
        <v>4816.1797752450702</v>
      </c>
      <c r="AF542" s="408">
        <v>613.11333641288252</v>
      </c>
      <c r="AG542" s="408">
        <v>30.845247143774237</v>
      </c>
      <c r="AH542" s="408">
        <v>0</v>
      </c>
      <c r="AI542" s="408">
        <v>0</v>
      </c>
      <c r="AJ542" s="408">
        <v>0</v>
      </c>
      <c r="AK542" s="408">
        <v>0</v>
      </c>
      <c r="AL542" s="408">
        <v>36.010202265529301</v>
      </c>
      <c r="AM542" s="408"/>
      <c r="AN542" s="408">
        <v>4.7348038362360754</v>
      </c>
      <c r="AO542" s="408">
        <v>160.73003041081299</v>
      </c>
      <c r="AP542" s="408">
        <v>516.82971687782799</v>
      </c>
      <c r="AQ542" s="408">
        <v>0</v>
      </c>
      <c r="AR542" s="408">
        <v>0</v>
      </c>
      <c r="AS542" s="408">
        <v>0</v>
      </c>
      <c r="AT542" s="408">
        <v>0</v>
      </c>
      <c r="AU542" s="408">
        <v>0</v>
      </c>
      <c r="AV542" s="408">
        <v>0</v>
      </c>
      <c r="AW542" s="408">
        <v>0</v>
      </c>
      <c r="AX542" s="408">
        <v>0</v>
      </c>
      <c r="AY542" s="408">
        <v>0</v>
      </c>
      <c r="AZ542" s="408">
        <v>0</v>
      </c>
      <c r="BA542" s="408"/>
      <c r="BB542" s="408">
        <v>0</v>
      </c>
      <c r="BC542" s="408">
        <v>0</v>
      </c>
      <c r="BD542" s="408">
        <v>0</v>
      </c>
      <c r="BE542" s="408">
        <v>0.71092171009307825</v>
      </c>
      <c r="BF542" s="408">
        <v>18.309672565727286</v>
      </c>
      <c r="BG542" s="408">
        <v>23.805755129636122</v>
      </c>
      <c r="BH542" s="408">
        <v>0</v>
      </c>
      <c r="BI542" s="408">
        <v>0</v>
      </c>
      <c r="BJ542" s="408">
        <v>0</v>
      </c>
      <c r="BK542" s="408">
        <v>0</v>
      </c>
      <c r="BL542" s="408">
        <v>0</v>
      </c>
      <c r="BM542" s="408"/>
      <c r="BN542" s="408"/>
      <c r="BO542" s="408"/>
      <c r="BP542" s="408"/>
      <c r="BQ542" s="408">
        <v>312.66583800000006</v>
      </c>
      <c r="BR542" s="408"/>
      <c r="BS542" s="408"/>
      <c r="BT542" s="408"/>
      <c r="BU542" s="408"/>
      <c r="BV542" s="408">
        <v>655.93968581833906</v>
      </c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>
        <v>4898.0613999999996</v>
      </c>
      <c r="CJ542" s="408">
        <v>-2283.7674100000004</v>
      </c>
      <c r="CK542" s="408"/>
      <c r="CL542" s="408"/>
      <c r="CM542" s="408"/>
      <c r="CN542" s="408"/>
      <c r="CO542" s="408">
        <v>-2509.8480999999997</v>
      </c>
      <c r="CP542" s="408">
        <v>80.733899999999991</v>
      </c>
      <c r="CQ542" s="408">
        <v>31</v>
      </c>
      <c r="CR542" s="408">
        <v>120.74707630737657</v>
      </c>
      <c r="CS542" s="408">
        <v>15.60587050589902</v>
      </c>
      <c r="CT542" s="408">
        <v>50.180900324482081</v>
      </c>
      <c r="CU542" s="408">
        <v>0</v>
      </c>
      <c r="CV542" s="408">
        <v>0</v>
      </c>
      <c r="CW542" s="408">
        <v>0</v>
      </c>
      <c r="CX542" s="408">
        <v>0</v>
      </c>
      <c r="CY542" s="408">
        <v>0</v>
      </c>
      <c r="CZ542" s="408">
        <v>-21.891640251209992</v>
      </c>
      <c r="DA542" s="408">
        <v>0</v>
      </c>
      <c r="DB542" s="408">
        <v>0</v>
      </c>
      <c r="DC542" s="408">
        <v>78.699872889268931</v>
      </c>
      <c r="DD542" s="408">
        <v>2.350248833270264</v>
      </c>
      <c r="DE542" s="408">
        <v>9.125465863438309E-2</v>
      </c>
      <c r="DF542" s="408">
        <v>0</v>
      </c>
      <c r="DG542" s="408">
        <v>3.0557317733400176</v>
      </c>
      <c r="DH542" s="408">
        <v>0</v>
      </c>
      <c r="DI542" s="408">
        <v>-5.9237791168166041</v>
      </c>
      <c r="DJ542" s="408"/>
      <c r="DK542" s="408">
        <v>0</v>
      </c>
      <c r="DL542" s="408">
        <v>0</v>
      </c>
      <c r="DM542" s="408">
        <v>-0.34283360124480922</v>
      </c>
      <c r="DN542" s="408">
        <v>0</v>
      </c>
      <c r="DO542" s="408">
        <v>-0.93265180056503993</v>
      </c>
      <c r="DP542" s="408">
        <v>-0.14589790768149058</v>
      </c>
      <c r="DQ542" s="408">
        <v>0</v>
      </c>
      <c r="DR542" s="408">
        <v>0</v>
      </c>
      <c r="DS542" s="408"/>
      <c r="DT542" s="408"/>
      <c r="DU542" s="408">
        <v>4816.1797752450702</v>
      </c>
      <c r="DV542" s="408">
        <v>0</v>
      </c>
      <c r="DW542" s="408">
        <v>0</v>
      </c>
      <c r="DX542" s="408">
        <v>0</v>
      </c>
      <c r="DY542" s="408">
        <v>-2509.8480999999992</v>
      </c>
      <c r="DZ542" s="408">
        <v>80.733900000000062</v>
      </c>
      <c r="EA542" s="408">
        <v>0</v>
      </c>
      <c r="EB542" s="408">
        <v>0</v>
      </c>
      <c r="EC542" s="408">
        <v>-2549.9118589391901</v>
      </c>
      <c r="ED542" s="408">
        <v>0</v>
      </c>
      <c r="EE542" s="408">
        <v>0</v>
      </c>
      <c r="EF542" s="408">
        <v>0</v>
      </c>
      <c r="EG542" s="408">
        <v>0</v>
      </c>
      <c r="EH542" s="408">
        <v>0</v>
      </c>
      <c r="EI542" s="408">
        <v>0</v>
      </c>
      <c r="EJ542" s="408">
        <v>0</v>
      </c>
      <c r="EK542" s="408">
        <v>0</v>
      </c>
      <c r="EL542" s="408">
        <v>0</v>
      </c>
      <c r="EM542" s="408">
        <v>0</v>
      </c>
      <c r="EN542" s="408">
        <v>0</v>
      </c>
      <c r="EO542" s="408">
        <v>0</v>
      </c>
      <c r="EP542" s="408">
        <v>0</v>
      </c>
      <c r="EQ542" s="408">
        <v>0</v>
      </c>
      <c r="ER542" s="408">
        <v>0</v>
      </c>
      <c r="ES542" s="408">
        <v>0</v>
      </c>
      <c r="ET542" s="408">
        <v>0</v>
      </c>
      <c r="EU542" s="408">
        <v>0</v>
      </c>
      <c r="EV542" s="408">
        <v>239</v>
      </c>
      <c r="EW542" s="408">
        <v>0</v>
      </c>
      <c r="EX542" s="408">
        <v>0</v>
      </c>
      <c r="EY542" s="408">
        <v>0</v>
      </c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547</v>
      </c>
      <c r="B543" s="408" t="s">
        <v>1034</v>
      </c>
      <c r="C543" s="408" t="s">
        <v>2245</v>
      </c>
      <c r="D543" s="408" t="s">
        <v>596</v>
      </c>
      <c r="E543" s="408" t="s">
        <v>999</v>
      </c>
      <c r="F543" s="408" t="s">
        <v>2249</v>
      </c>
      <c r="G543" s="408" t="s">
        <v>1320</v>
      </c>
      <c r="H543" s="408" t="s">
        <v>1320</v>
      </c>
      <c r="I543" s="408" t="s">
        <v>2242</v>
      </c>
      <c r="J543" s="408" t="s">
        <v>2234</v>
      </c>
      <c r="K543" s="827">
        <v>44621</v>
      </c>
      <c r="L543" s="408">
        <v>100</v>
      </c>
      <c r="M543" s="408">
        <v>94</v>
      </c>
      <c r="N543" s="408">
        <v>35.637999999999998</v>
      </c>
      <c r="O543" s="408">
        <v>33.499720000000003</v>
      </c>
      <c r="P543" s="408">
        <v>35.637999999999998</v>
      </c>
      <c r="Q543" s="408">
        <v>33.499720000000003</v>
      </c>
      <c r="R543" s="408">
        <v>59.12</v>
      </c>
      <c r="S543" s="408">
        <v>70.33</v>
      </c>
      <c r="T543" s="408">
        <v>173.82</v>
      </c>
      <c r="U543" s="408">
        <v>5912</v>
      </c>
      <c r="V543" s="408">
        <v>8701.0176999999985</v>
      </c>
      <c r="W543" s="408">
        <v>14613.017699999999</v>
      </c>
      <c r="X543" s="408">
        <v>12823.192539999998</v>
      </c>
      <c r="Y543" s="408">
        <v>0</v>
      </c>
      <c r="Z543" s="408">
        <v>1895.9425447448732</v>
      </c>
      <c r="AA543" s="408">
        <v>0</v>
      </c>
      <c r="AB543" s="408">
        <v>0</v>
      </c>
      <c r="AC543" s="408">
        <v>57.206036333368203</v>
      </c>
      <c r="AD543" s="408">
        <v>511.70226507154302</v>
      </c>
      <c r="AE543" s="408">
        <v>4816.1797752450702</v>
      </c>
      <c r="AF543" s="408">
        <v>5734.9430664258025</v>
      </c>
      <c r="AG543" s="408">
        <v>288.52045084247408</v>
      </c>
      <c r="AH543" s="408">
        <v>0</v>
      </c>
      <c r="AI543" s="408">
        <v>0</v>
      </c>
      <c r="AJ543" s="408">
        <v>0</v>
      </c>
      <c r="AK543" s="408">
        <v>0</v>
      </c>
      <c r="AL543" s="408">
        <v>336.83243788423442</v>
      </c>
      <c r="AM543" s="408"/>
      <c r="AN543" s="408">
        <v>44.288435463459649</v>
      </c>
      <c r="AO543" s="408">
        <v>120.807211569006</v>
      </c>
      <c r="AP543" s="408">
        <v>406.098786401994</v>
      </c>
      <c r="AQ543" s="408">
        <v>0</v>
      </c>
      <c r="AR543" s="408">
        <v>0</v>
      </c>
      <c r="AS543" s="408">
        <v>0</v>
      </c>
      <c r="AT543" s="408">
        <v>0</v>
      </c>
      <c r="AU543" s="408">
        <v>0</v>
      </c>
      <c r="AV543" s="408">
        <v>0</v>
      </c>
      <c r="AW543" s="408">
        <v>0</v>
      </c>
      <c r="AX543" s="408">
        <v>0</v>
      </c>
      <c r="AY543" s="408">
        <v>0</v>
      </c>
      <c r="AZ543" s="408">
        <v>0</v>
      </c>
      <c r="BA543" s="408"/>
      <c r="BB543" s="408">
        <v>0</v>
      </c>
      <c r="BC543" s="408">
        <v>0</v>
      </c>
      <c r="BD543" s="408">
        <v>0</v>
      </c>
      <c r="BE543" s="408">
        <v>6.6498235969283783</v>
      </c>
      <c r="BF543" s="408">
        <v>171.26512097044329</v>
      </c>
      <c r="BG543" s="408">
        <v>222.67440979264359</v>
      </c>
      <c r="BH543" s="408">
        <v>0</v>
      </c>
      <c r="BI543" s="408">
        <v>0</v>
      </c>
      <c r="BJ543" s="408">
        <v>0</v>
      </c>
      <c r="BK543" s="408">
        <v>0</v>
      </c>
      <c r="BL543" s="408">
        <v>0</v>
      </c>
      <c r="BM543" s="408"/>
      <c r="BN543" s="408"/>
      <c r="BO543" s="408"/>
      <c r="BP543" s="408"/>
      <c r="BQ543" s="408">
        <v>769.39155239999855</v>
      </c>
      <c r="BR543" s="408"/>
      <c r="BS543" s="408"/>
      <c r="BT543" s="408"/>
      <c r="BU543" s="408"/>
      <c r="BV543" s="408">
        <v>6135.5324207858184</v>
      </c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>
        <v>12053.875</v>
      </c>
      <c r="CJ543" s="408">
        <v>-1682.391638000001</v>
      </c>
      <c r="CK543" s="408"/>
      <c r="CL543" s="408"/>
      <c r="CM543" s="408"/>
      <c r="CN543" s="408"/>
      <c r="CO543" s="408">
        <v>-2544.9943799999996</v>
      </c>
      <c r="CP543" s="408">
        <v>755.16921999999988</v>
      </c>
      <c r="CQ543" s="408">
        <v>31</v>
      </c>
      <c r="CR543" s="408">
        <v>760.20593163487683</v>
      </c>
      <c r="CS543" s="408">
        <v>11.729617017467007</v>
      </c>
      <c r="CT543" s="408">
        <v>39.429626542059964</v>
      </c>
      <c r="CU543" s="408">
        <v>0</v>
      </c>
      <c r="CV543" s="408">
        <v>0</v>
      </c>
      <c r="CW543" s="408">
        <v>0</v>
      </c>
      <c r="CX543" s="408">
        <v>0</v>
      </c>
      <c r="CY543" s="408">
        <v>0</v>
      </c>
      <c r="CZ543" s="408">
        <v>-9.8114856416560201</v>
      </c>
      <c r="DA543" s="408">
        <v>0</v>
      </c>
      <c r="DB543" s="408">
        <v>0</v>
      </c>
      <c r="DC543" s="408">
        <v>736.14332546660535</v>
      </c>
      <c r="DD543" s="408">
        <v>21.983771107634055</v>
      </c>
      <c r="DE543" s="408">
        <v>0.85357835286407902</v>
      </c>
      <c r="DF543" s="408">
        <v>0</v>
      </c>
      <c r="DG543" s="408">
        <v>28.582721506113245</v>
      </c>
      <c r="DH543" s="408">
        <v>0</v>
      </c>
      <c r="DI543" s="408">
        <v>-55.40987930842789</v>
      </c>
      <c r="DJ543" s="408"/>
      <c r="DK543" s="408">
        <v>0</v>
      </c>
      <c r="DL543" s="408">
        <v>0</v>
      </c>
      <c r="DM543" s="408">
        <v>-3.2067989189403079</v>
      </c>
      <c r="DN543" s="408">
        <v>0</v>
      </c>
      <c r="DO543" s="408">
        <v>-8.723843797516281</v>
      </c>
      <c r="DP543" s="408">
        <v>-1.3647006913262416</v>
      </c>
      <c r="DQ543" s="408">
        <v>0</v>
      </c>
      <c r="DR543" s="408">
        <v>0</v>
      </c>
      <c r="DS543" s="408"/>
      <c r="DT543" s="408"/>
      <c r="DU543" s="408">
        <v>4816.1797752450702</v>
      </c>
      <c r="DV543" s="408">
        <v>0</v>
      </c>
      <c r="DW543" s="408">
        <v>0</v>
      </c>
      <c r="DX543" s="408">
        <v>0</v>
      </c>
      <c r="DY543" s="408">
        <v>-2544.9943800000001</v>
      </c>
      <c r="DZ543" s="408">
        <v>755.16921999999977</v>
      </c>
      <c r="EA543" s="408">
        <v>0</v>
      </c>
      <c r="EB543" s="408">
        <v>0</v>
      </c>
      <c r="EC543" s="408">
        <v>-2549.9118589391901</v>
      </c>
      <c r="ED543" s="408">
        <v>0</v>
      </c>
      <c r="EE543" s="408">
        <v>0</v>
      </c>
      <c r="EF543" s="408">
        <v>0</v>
      </c>
      <c r="EG543" s="408">
        <v>0</v>
      </c>
      <c r="EH543" s="408">
        <v>0</v>
      </c>
      <c r="EI543" s="408">
        <v>0</v>
      </c>
      <c r="EJ543" s="408">
        <v>0</v>
      </c>
      <c r="EK543" s="408">
        <v>0</v>
      </c>
      <c r="EL543" s="408">
        <v>0</v>
      </c>
      <c r="EM543" s="408">
        <v>0</v>
      </c>
      <c r="EN543" s="408">
        <v>0</v>
      </c>
      <c r="EO543" s="408">
        <v>0</v>
      </c>
      <c r="EP543" s="408">
        <v>0</v>
      </c>
      <c r="EQ543" s="408">
        <v>0</v>
      </c>
      <c r="ER543" s="408">
        <v>0</v>
      </c>
      <c r="ES543" s="408">
        <v>0</v>
      </c>
      <c r="ET543" s="408">
        <v>0</v>
      </c>
      <c r="EU543" s="408">
        <v>0</v>
      </c>
      <c r="EV543" s="408">
        <v>239</v>
      </c>
      <c r="EW543" s="408">
        <v>0</v>
      </c>
      <c r="EX543" s="408">
        <v>0</v>
      </c>
      <c r="EY543" s="408">
        <v>0</v>
      </c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548</v>
      </c>
      <c r="B544" s="408" t="s">
        <v>1034</v>
      </c>
      <c r="C544" s="408" t="s">
        <v>2245</v>
      </c>
      <c r="D544" s="408" t="s">
        <v>596</v>
      </c>
      <c r="E544" s="408" t="s">
        <v>999</v>
      </c>
      <c r="F544" s="408" t="s">
        <v>2249</v>
      </c>
      <c r="G544" s="408" t="s">
        <v>1320</v>
      </c>
      <c r="H544" s="408" t="s">
        <v>1320</v>
      </c>
      <c r="I544" s="408" t="s">
        <v>1320</v>
      </c>
      <c r="J544" s="408" t="s">
        <v>2234</v>
      </c>
      <c r="K544" s="827">
        <v>44621</v>
      </c>
      <c r="L544" s="408">
        <v>0</v>
      </c>
      <c r="M544" s="408">
        <v>0</v>
      </c>
      <c r="N544" s="408">
        <v>0</v>
      </c>
      <c r="O544" s="408">
        <v>0</v>
      </c>
      <c r="P544" s="408">
        <v>0</v>
      </c>
      <c r="Q544" s="408">
        <v>0</v>
      </c>
      <c r="R544" s="408"/>
      <c r="S544" s="408"/>
      <c r="T544" s="408"/>
      <c r="U544" s="408"/>
      <c r="V544" s="408"/>
      <c r="W544" s="408"/>
      <c r="X544" s="408"/>
      <c r="Y544" s="408"/>
      <c r="Z544" s="408"/>
      <c r="AA544" s="408">
        <v>0</v>
      </c>
      <c r="AB544" s="408"/>
      <c r="AC544" s="408"/>
      <c r="AD544" s="408"/>
      <c r="AE544" s="408"/>
      <c r="AF544" s="408"/>
      <c r="AG544" s="408"/>
      <c r="AH544" s="408"/>
      <c r="AI544" s="408"/>
      <c r="AJ544" s="408"/>
      <c r="AK544" s="408"/>
      <c r="AL544" s="408"/>
      <c r="AM544" s="408"/>
      <c r="AN544" s="408"/>
      <c r="AO544" s="408"/>
      <c r="AP544" s="408"/>
      <c r="AQ544" s="408"/>
      <c r="AR544" s="408"/>
      <c r="AS544" s="408"/>
      <c r="AT544" s="408"/>
      <c r="AU544" s="408"/>
      <c r="AV544" s="408"/>
      <c r="AW544" s="408"/>
      <c r="AX544" s="408"/>
      <c r="AY544" s="408"/>
      <c r="AZ544" s="408">
        <v>0</v>
      </c>
      <c r="BA544" s="408"/>
      <c r="BB544" s="408"/>
      <c r="BC544" s="408"/>
      <c r="BD544" s="408"/>
      <c r="BE544" s="408"/>
      <c r="BF544" s="408"/>
      <c r="BG544" s="408"/>
      <c r="BH544" s="408"/>
      <c r="BI544" s="408">
        <v>0</v>
      </c>
      <c r="BJ544" s="408">
        <v>0</v>
      </c>
      <c r="BK544" s="408">
        <v>7650.41</v>
      </c>
      <c r="BL544" s="408">
        <v>1</v>
      </c>
      <c r="BM544" s="408"/>
      <c r="BN544" s="408"/>
      <c r="BO544" s="408"/>
      <c r="BP544" s="408"/>
      <c r="BQ544" s="408"/>
      <c r="BR544" s="408"/>
      <c r="BS544" s="408"/>
      <c r="BT544" s="408"/>
      <c r="BU544" s="408"/>
      <c r="BV544" s="408"/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/>
      <c r="CJ544" s="408">
        <v>-0.03</v>
      </c>
      <c r="CK544" s="408"/>
      <c r="CL544" s="408"/>
      <c r="CM544" s="408"/>
      <c r="CN544" s="408"/>
      <c r="CO544" s="408">
        <v>0</v>
      </c>
      <c r="CP544" s="408">
        <v>0</v>
      </c>
      <c r="CQ544" s="408">
        <v>31</v>
      </c>
      <c r="CR544" s="408"/>
      <c r="CS544" s="408"/>
      <c r="CT544" s="408"/>
      <c r="CU544" s="408"/>
      <c r="CV544" s="408"/>
      <c r="CW544" s="408"/>
      <c r="CX544" s="408"/>
      <c r="CY544" s="408"/>
      <c r="CZ544" s="408"/>
      <c r="DA544" s="408"/>
      <c r="DB544" s="408"/>
      <c r="DC544" s="408"/>
      <c r="DD544" s="408"/>
      <c r="DE544" s="408"/>
      <c r="DF544" s="408"/>
      <c r="DG544" s="408"/>
      <c r="DH544" s="408"/>
      <c r="DI544" s="408"/>
      <c r="DJ544" s="408"/>
      <c r="DK544" s="408">
        <v>0</v>
      </c>
      <c r="DL544" s="408"/>
      <c r="DM544" s="408"/>
      <c r="DN544" s="408"/>
      <c r="DO544" s="408"/>
      <c r="DP544" s="408"/>
      <c r="DQ544" s="408"/>
      <c r="DR544" s="408"/>
      <c r="DS544" s="408"/>
      <c r="DT544" s="408"/>
      <c r="DU544" s="408"/>
      <c r="DV544" s="408"/>
      <c r="DW544" s="408"/>
      <c r="DX544" s="408"/>
      <c r="DY544" s="408"/>
      <c r="DZ544" s="408"/>
      <c r="EA544" s="408"/>
      <c r="EB544" s="408"/>
      <c r="EC544" s="408"/>
      <c r="ED544" s="408"/>
      <c r="EE544" s="408"/>
      <c r="EF544" s="408"/>
      <c r="EG544" s="408"/>
      <c r="EH544" s="408"/>
      <c r="EI544" s="408"/>
      <c r="EJ544" s="408"/>
      <c r="EK544" s="408"/>
      <c r="EL544" s="408"/>
      <c r="EM544" s="408"/>
      <c r="EN544" s="408"/>
      <c r="EO544" s="408"/>
      <c r="EP544" s="408"/>
      <c r="EQ544" s="408"/>
      <c r="ER544" s="408"/>
      <c r="ES544" s="408"/>
      <c r="ET544" s="408"/>
      <c r="EU544" s="408"/>
      <c r="EV544" s="408">
        <v>239</v>
      </c>
      <c r="EW544" s="408"/>
      <c r="EX544" s="408"/>
      <c r="EY544" s="408"/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549</v>
      </c>
      <c r="B545" s="408" t="s">
        <v>1034</v>
      </c>
      <c r="C545" s="408" t="s">
        <v>2233</v>
      </c>
      <c r="D545" s="408" t="s">
        <v>1956</v>
      </c>
      <c r="E545" s="408" t="s">
        <v>2250</v>
      </c>
      <c r="F545" s="408" t="s">
        <v>1320</v>
      </c>
      <c r="G545" s="408" t="s">
        <v>1320</v>
      </c>
      <c r="H545" s="408" t="s">
        <v>1320</v>
      </c>
      <c r="I545" s="408" t="s">
        <v>1320</v>
      </c>
      <c r="J545" s="408" t="s">
        <v>2234</v>
      </c>
      <c r="K545" s="827">
        <v>44621</v>
      </c>
      <c r="L545" s="408">
        <v>0</v>
      </c>
      <c r="M545" s="408">
        <v>0</v>
      </c>
      <c r="N545" s="408">
        <v>1.536</v>
      </c>
      <c r="O545" s="408">
        <v>1.536</v>
      </c>
      <c r="P545" s="408">
        <v>1.536</v>
      </c>
      <c r="Q545" s="408">
        <v>1.536</v>
      </c>
      <c r="R545" s="408"/>
      <c r="S545" s="408">
        <v>516.83000000000004</v>
      </c>
      <c r="T545" s="408">
        <v>173.82</v>
      </c>
      <c r="U545" s="408"/>
      <c r="V545" s="408">
        <v>1060.8384000000001</v>
      </c>
      <c r="W545" s="408">
        <v>1060.8384000000001</v>
      </c>
      <c r="X545" s="408">
        <v>800.94719999999995</v>
      </c>
      <c r="Y545" s="408">
        <v>0</v>
      </c>
      <c r="Z545" s="408">
        <v>93.925564044324403</v>
      </c>
      <c r="AA545" s="408">
        <v>0</v>
      </c>
      <c r="AB545" s="408">
        <v>0</v>
      </c>
      <c r="AC545" s="408">
        <v>4.1755300967283766</v>
      </c>
      <c r="AD545" s="408">
        <v>52.879275297893372</v>
      </c>
      <c r="AE545" s="408">
        <v>558.5138613760497</v>
      </c>
      <c r="AF545" s="408">
        <v>247.17640019165029</v>
      </c>
      <c r="AG545" s="408">
        <v>12.435249242214496</v>
      </c>
      <c r="AH545" s="408">
        <v>0</v>
      </c>
      <c r="AI545" s="408">
        <v>0</v>
      </c>
      <c r="AJ545" s="408">
        <v>0</v>
      </c>
      <c r="AK545" s="408">
        <v>0</v>
      </c>
      <c r="AL545" s="408">
        <v>14.517498866103152</v>
      </c>
      <c r="AM545" s="408"/>
      <c r="AN545" s="408">
        <v>2.3831684733691239</v>
      </c>
      <c r="AO545" s="408">
        <v>8.9065018047520361</v>
      </c>
      <c r="AP545" s="408">
        <v>29.167589148071272</v>
      </c>
      <c r="AQ545" s="408">
        <v>0</v>
      </c>
      <c r="AR545" s="408">
        <v>0</v>
      </c>
      <c r="AS545" s="408">
        <v>0</v>
      </c>
      <c r="AT545" s="408">
        <v>0</v>
      </c>
      <c r="AU545" s="408">
        <v>0</v>
      </c>
      <c r="AV545" s="408">
        <v>0</v>
      </c>
      <c r="AW545" s="408">
        <v>0</v>
      </c>
      <c r="AX545" s="408">
        <v>0</v>
      </c>
      <c r="AY545" s="408">
        <v>0</v>
      </c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0.85219217979203488</v>
      </c>
      <c r="BF545" s="408">
        <v>7.3815372863404489</v>
      </c>
      <c r="BG545" s="408">
        <v>28.536304444639796</v>
      </c>
      <c r="BH545" s="408">
        <v>0</v>
      </c>
      <c r="BI545" s="408">
        <v>0</v>
      </c>
      <c r="BJ545" s="408">
        <v>0</v>
      </c>
      <c r="BK545" s="408">
        <v>339.64</v>
      </c>
      <c r="BL545" s="408">
        <v>7</v>
      </c>
      <c r="BM545" s="408"/>
      <c r="BN545" s="408"/>
      <c r="BO545" s="408"/>
      <c r="BP545" s="408"/>
      <c r="BQ545" s="408"/>
      <c r="BR545" s="408"/>
      <c r="BS545" s="408"/>
      <c r="BT545" s="408"/>
      <c r="BU545" s="408"/>
      <c r="BV545" s="408">
        <v>283.94643410242259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803.03300000000002</v>
      </c>
      <c r="CJ545" s="408">
        <v>-257.83540000000005</v>
      </c>
      <c r="CK545" s="408"/>
      <c r="CL545" s="408"/>
      <c r="CM545" s="408"/>
      <c r="CN545" s="408"/>
      <c r="CO545" s="408">
        <v>-292.43904000000009</v>
      </c>
      <c r="CP545" s="408">
        <v>32.547839999999994</v>
      </c>
      <c r="CQ545" s="408">
        <v>31</v>
      </c>
      <c r="CR545" s="408">
        <v>35.797830165516359</v>
      </c>
      <c r="CS545" s="408">
        <v>0.86476505647552493</v>
      </c>
      <c r="CT545" s="408">
        <v>2.8319886336774154</v>
      </c>
      <c r="CU545" s="408">
        <v>0</v>
      </c>
      <c r="CV545" s="408">
        <v>0</v>
      </c>
      <c r="CW545" s="408">
        <v>0</v>
      </c>
      <c r="CX545" s="408">
        <v>0</v>
      </c>
      <c r="CY545" s="408">
        <v>0</v>
      </c>
      <c r="CZ545" s="408">
        <v>-1.0139182210848716</v>
      </c>
      <c r="DA545" s="408">
        <v>0</v>
      </c>
      <c r="DB545" s="408">
        <v>0</v>
      </c>
      <c r="DC545" s="408">
        <v>31.727822771106815</v>
      </c>
      <c r="DD545" s="408">
        <v>0.9475018918380913</v>
      </c>
      <c r="DE545" s="408">
        <v>0.10938828474886508</v>
      </c>
      <c r="DF545" s="408">
        <v>0</v>
      </c>
      <c r="DG545" s="408">
        <v>3.6629500601992717</v>
      </c>
      <c r="DH545" s="408">
        <v>0</v>
      </c>
      <c r="DI545" s="408">
        <v>-2.7450220905149934</v>
      </c>
      <c r="DJ545" s="408"/>
      <c r="DK545" s="408">
        <v>0</v>
      </c>
      <c r="DL545" s="408">
        <v>0</v>
      </c>
      <c r="DM545" s="408">
        <v>-0.13821323136798647</v>
      </c>
      <c r="DN545" s="408">
        <v>0</v>
      </c>
      <c r="DO545" s="408">
        <v>-0.37599820621204927</v>
      </c>
      <c r="DP545" s="408">
        <v>-7.3434783349632049E-2</v>
      </c>
      <c r="DQ545" s="408">
        <v>0</v>
      </c>
      <c r="DR545" s="408">
        <v>0</v>
      </c>
      <c r="DS545" s="408"/>
      <c r="DT545" s="408"/>
      <c r="DU545" s="408"/>
      <c r="DV545" s="408">
        <v>558.5138613760497</v>
      </c>
      <c r="DW545" s="408">
        <v>0</v>
      </c>
      <c r="DX545" s="408">
        <v>0</v>
      </c>
      <c r="DY545" s="408">
        <v>-292.43904000000009</v>
      </c>
      <c r="DZ545" s="408">
        <v>32.547839999999951</v>
      </c>
      <c r="EA545" s="408">
        <v>0</v>
      </c>
      <c r="EB545" s="408">
        <v>0</v>
      </c>
      <c r="EC545" s="408">
        <v>-295.70347972158879</v>
      </c>
      <c r="ED545" s="408">
        <v>0</v>
      </c>
      <c r="EE545" s="408">
        <v>0</v>
      </c>
      <c r="EF545" s="408">
        <v>0</v>
      </c>
      <c r="EG545" s="408">
        <v>0</v>
      </c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>
        <v>0</v>
      </c>
      <c r="EN545" s="408">
        <v>0</v>
      </c>
      <c r="EO545" s="408">
        <v>0</v>
      </c>
      <c r="EP545" s="408">
        <v>0</v>
      </c>
      <c r="EQ545" s="408">
        <v>0</v>
      </c>
      <c r="ER545" s="408">
        <v>0</v>
      </c>
      <c r="ES545" s="408">
        <v>0</v>
      </c>
      <c r="ET545" s="408">
        <v>0</v>
      </c>
      <c r="EU545" s="408">
        <v>0</v>
      </c>
      <c r="EV545" s="408">
        <v>239</v>
      </c>
      <c r="EW545" s="408">
        <v>0</v>
      </c>
      <c r="EX545" s="408">
        <v>0</v>
      </c>
      <c r="EY545" s="408">
        <v>0</v>
      </c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550</v>
      </c>
      <c r="B546" s="408" t="s">
        <v>1034</v>
      </c>
      <c r="C546" s="408" t="s">
        <v>2233</v>
      </c>
      <c r="D546" s="408" t="s">
        <v>2243</v>
      </c>
      <c r="E546" s="408" t="s">
        <v>972</v>
      </c>
      <c r="F546" s="408" t="s">
        <v>2251</v>
      </c>
      <c r="G546" s="408" t="s">
        <v>2252</v>
      </c>
      <c r="H546" s="408" t="s">
        <v>1320</v>
      </c>
      <c r="I546" s="408" t="s">
        <v>1320</v>
      </c>
      <c r="J546" s="408" t="s">
        <v>2234</v>
      </c>
      <c r="K546" s="827">
        <v>44621</v>
      </c>
      <c r="L546" s="408">
        <v>0</v>
      </c>
      <c r="M546" s="408">
        <v>0</v>
      </c>
      <c r="N546" s="408">
        <v>0</v>
      </c>
      <c r="O546" s="408">
        <v>0</v>
      </c>
      <c r="P546" s="408">
        <v>0</v>
      </c>
      <c r="Q546" s="408">
        <v>0</v>
      </c>
      <c r="R546" s="408"/>
      <c r="S546" s="408"/>
      <c r="T546" s="408"/>
      <c r="U546" s="408"/>
      <c r="V546" s="408"/>
      <c r="W546" s="408"/>
      <c r="X546" s="408"/>
      <c r="Y546" s="408"/>
      <c r="Z546" s="408"/>
      <c r="AA546" s="408">
        <v>0</v>
      </c>
      <c r="AB546" s="408"/>
      <c r="AC546" s="408"/>
      <c r="AD546" s="408"/>
      <c r="AE546" s="408"/>
      <c r="AF546" s="408"/>
      <c r="AG546" s="408"/>
      <c r="AH546" s="408"/>
      <c r="AI546" s="408"/>
      <c r="AJ546" s="408"/>
      <c r="AK546" s="408"/>
      <c r="AL546" s="408"/>
      <c r="AM546" s="408"/>
      <c r="AN546" s="408"/>
      <c r="AO546" s="408"/>
      <c r="AP546" s="408"/>
      <c r="AQ546" s="408"/>
      <c r="AR546" s="408"/>
      <c r="AS546" s="408"/>
      <c r="AT546" s="408"/>
      <c r="AU546" s="408"/>
      <c r="AV546" s="408"/>
      <c r="AW546" s="408"/>
      <c r="AX546" s="408"/>
      <c r="AY546" s="408"/>
      <c r="AZ546" s="408">
        <v>0</v>
      </c>
      <c r="BA546" s="408"/>
      <c r="BB546" s="408"/>
      <c r="BC546" s="408"/>
      <c r="BD546" s="408"/>
      <c r="BE546" s="408"/>
      <c r="BF546" s="408"/>
      <c r="BG546" s="408"/>
      <c r="BH546" s="408"/>
      <c r="BI546" s="408">
        <v>0</v>
      </c>
      <c r="BJ546" s="408">
        <v>0</v>
      </c>
      <c r="BK546" s="408">
        <v>619.24</v>
      </c>
      <c r="BL546" s="408">
        <v>72</v>
      </c>
      <c r="BM546" s="408"/>
      <c r="BN546" s="408"/>
      <c r="BO546" s="408"/>
      <c r="BP546" s="408"/>
      <c r="BQ546" s="408"/>
      <c r="BR546" s="408"/>
      <c r="BS546" s="408"/>
      <c r="BT546" s="408"/>
      <c r="BU546" s="408"/>
      <c r="BV546" s="408"/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/>
      <c r="CJ546" s="408">
        <v>-0.03</v>
      </c>
      <c r="CK546" s="408"/>
      <c r="CL546" s="408"/>
      <c r="CM546" s="408"/>
      <c r="CN546" s="408"/>
      <c r="CO546" s="408">
        <v>0</v>
      </c>
      <c r="CP546" s="408">
        <v>0</v>
      </c>
      <c r="CQ546" s="408">
        <v>31</v>
      </c>
      <c r="CR546" s="408"/>
      <c r="CS546" s="408"/>
      <c r="CT546" s="408"/>
      <c r="CU546" s="408"/>
      <c r="CV546" s="408"/>
      <c r="CW546" s="408"/>
      <c r="CX546" s="408"/>
      <c r="CY546" s="408"/>
      <c r="CZ546" s="408"/>
      <c r="DA546" s="408"/>
      <c r="DB546" s="408"/>
      <c r="DC546" s="408"/>
      <c r="DD546" s="408"/>
      <c r="DE546" s="408"/>
      <c r="DF546" s="408"/>
      <c r="DG546" s="408"/>
      <c r="DH546" s="408"/>
      <c r="DI546" s="408"/>
      <c r="DJ546" s="408"/>
      <c r="DK546" s="408">
        <v>0</v>
      </c>
      <c r="DL546" s="408"/>
      <c r="DM546" s="408"/>
      <c r="DN546" s="408"/>
      <c r="DO546" s="408"/>
      <c r="DP546" s="408"/>
      <c r="DQ546" s="408"/>
      <c r="DR546" s="408"/>
      <c r="DS546" s="408"/>
      <c r="DT546" s="408"/>
      <c r="DU546" s="408"/>
      <c r="DV546" s="408"/>
      <c r="DW546" s="408"/>
      <c r="DX546" s="408"/>
      <c r="DY546" s="408"/>
      <c r="DZ546" s="408"/>
      <c r="EA546" s="408"/>
      <c r="EB546" s="408"/>
      <c r="EC546" s="408"/>
      <c r="ED546" s="408"/>
      <c r="EE546" s="408"/>
      <c r="EF546" s="408"/>
      <c r="EG546" s="408"/>
      <c r="EH546" s="408"/>
      <c r="EI546" s="408"/>
      <c r="EJ546" s="408"/>
      <c r="EK546" s="408"/>
      <c r="EL546" s="408"/>
      <c r="EM546" s="408"/>
      <c r="EN546" s="408"/>
      <c r="EO546" s="408"/>
      <c r="EP546" s="408"/>
      <c r="EQ546" s="408"/>
      <c r="ER546" s="408"/>
      <c r="ES546" s="408"/>
      <c r="ET546" s="408"/>
      <c r="EU546" s="408"/>
      <c r="EV546" s="408">
        <v>239</v>
      </c>
      <c r="EW546" s="408"/>
      <c r="EX546" s="408"/>
      <c r="EY546" s="408"/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551</v>
      </c>
      <c r="B547" s="408" t="s">
        <v>2235</v>
      </c>
      <c r="C547" s="408" t="s">
        <v>2233</v>
      </c>
      <c r="D547" s="408" t="s">
        <v>2243</v>
      </c>
      <c r="E547" s="408" t="s">
        <v>972</v>
      </c>
      <c r="F547" s="408" t="s">
        <v>2251</v>
      </c>
      <c r="G547" s="408" t="s">
        <v>2252</v>
      </c>
      <c r="H547" s="408" t="s">
        <v>1320</v>
      </c>
      <c r="I547" s="408" t="s">
        <v>1320</v>
      </c>
      <c r="J547" s="408" t="s">
        <v>2234</v>
      </c>
      <c r="K547" s="827">
        <v>44621</v>
      </c>
      <c r="L547" s="408">
        <v>0</v>
      </c>
      <c r="M547" s="408">
        <v>0</v>
      </c>
      <c r="N547" s="408">
        <v>0</v>
      </c>
      <c r="O547" s="408">
        <v>0</v>
      </c>
      <c r="P547" s="408">
        <v>0</v>
      </c>
      <c r="Q547" s="408">
        <v>0</v>
      </c>
      <c r="R547" s="408"/>
      <c r="S547" s="408"/>
      <c r="T547" s="408"/>
      <c r="U547" s="408"/>
      <c r="V547" s="408"/>
      <c r="W547" s="408"/>
      <c r="X547" s="408"/>
      <c r="Y547" s="408"/>
      <c r="Z547" s="408"/>
      <c r="AA547" s="408">
        <v>0</v>
      </c>
      <c r="AB547" s="408"/>
      <c r="AC547" s="408"/>
      <c r="AD547" s="408"/>
      <c r="AE547" s="408"/>
      <c r="AF547" s="408"/>
      <c r="AG547" s="408"/>
      <c r="AH547" s="408"/>
      <c r="AI547" s="408"/>
      <c r="AJ547" s="408"/>
      <c r="AK547" s="408"/>
      <c r="AL547" s="408"/>
      <c r="AM547" s="408"/>
      <c r="AN547" s="408"/>
      <c r="AO547" s="408"/>
      <c r="AP547" s="408"/>
      <c r="AQ547" s="408"/>
      <c r="AR547" s="408"/>
      <c r="AS547" s="408"/>
      <c r="AT547" s="408"/>
      <c r="AU547" s="408"/>
      <c r="AV547" s="408"/>
      <c r="AW547" s="408"/>
      <c r="AX547" s="408"/>
      <c r="AY547" s="408"/>
      <c r="AZ547" s="408">
        <v>0</v>
      </c>
      <c r="BA547" s="408"/>
      <c r="BB547" s="408"/>
      <c r="BC547" s="408"/>
      <c r="BD547" s="408"/>
      <c r="BE547" s="408"/>
      <c r="BF547" s="408"/>
      <c r="BG547" s="408"/>
      <c r="BH547" s="408"/>
      <c r="BI547" s="408">
        <v>-76.17</v>
      </c>
      <c r="BJ547" s="408">
        <v>-346.98</v>
      </c>
      <c r="BK547" s="408">
        <v>0</v>
      </c>
      <c r="BL547" s="408">
        <v>0</v>
      </c>
      <c r="BM547" s="408"/>
      <c r="BN547" s="408"/>
      <c r="BO547" s="408"/>
      <c r="BP547" s="408"/>
      <c r="BQ547" s="408"/>
      <c r="BR547" s="408"/>
      <c r="BS547" s="408"/>
      <c r="BT547" s="408"/>
      <c r="BU547" s="408"/>
      <c r="BV547" s="408"/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/>
      <c r="CJ547" s="408">
        <v>-0.03</v>
      </c>
      <c r="CK547" s="408"/>
      <c r="CL547" s="408"/>
      <c r="CM547" s="408"/>
      <c r="CN547" s="408"/>
      <c r="CO547" s="408">
        <v>0</v>
      </c>
      <c r="CP547" s="408">
        <v>0</v>
      </c>
      <c r="CQ547" s="408">
        <v>31</v>
      </c>
      <c r="CR547" s="408"/>
      <c r="CS547" s="408"/>
      <c r="CT547" s="408"/>
      <c r="CU547" s="408"/>
      <c r="CV547" s="408"/>
      <c r="CW547" s="408"/>
      <c r="CX547" s="408"/>
      <c r="CY547" s="408"/>
      <c r="CZ547" s="408"/>
      <c r="DA547" s="408"/>
      <c r="DB547" s="408"/>
      <c r="DC547" s="408"/>
      <c r="DD547" s="408"/>
      <c r="DE547" s="408"/>
      <c r="DF547" s="408"/>
      <c r="DG547" s="408"/>
      <c r="DH547" s="408"/>
      <c r="DI547" s="408"/>
      <c r="DJ547" s="408"/>
      <c r="DK547" s="408">
        <v>0</v>
      </c>
      <c r="DL547" s="408"/>
      <c r="DM547" s="408"/>
      <c r="DN547" s="408"/>
      <c r="DO547" s="408"/>
      <c r="DP547" s="408"/>
      <c r="DQ547" s="408"/>
      <c r="DR547" s="408"/>
      <c r="DS547" s="408"/>
      <c r="DT547" s="408"/>
      <c r="DU547" s="408"/>
      <c r="DV547" s="408"/>
      <c r="DW547" s="408"/>
      <c r="DX547" s="408"/>
      <c r="DY547" s="408"/>
      <c r="DZ547" s="408"/>
      <c r="EA547" s="408"/>
      <c r="EB547" s="408"/>
      <c r="EC547" s="408"/>
      <c r="ED547" s="408"/>
      <c r="EE547" s="408"/>
      <c r="EF547" s="408"/>
      <c r="EG547" s="408"/>
      <c r="EH547" s="408"/>
      <c r="EI547" s="408"/>
      <c r="EJ547" s="408"/>
      <c r="EK547" s="408"/>
      <c r="EL547" s="408"/>
      <c r="EM547" s="408"/>
      <c r="EN547" s="408"/>
      <c r="EO547" s="408"/>
      <c r="EP547" s="408"/>
      <c r="EQ547" s="408"/>
      <c r="ER547" s="408"/>
      <c r="ES547" s="408"/>
      <c r="ET547" s="408"/>
      <c r="EU547" s="408"/>
      <c r="EV547" s="408">
        <v>239</v>
      </c>
      <c r="EW547" s="408"/>
      <c r="EX547" s="408"/>
      <c r="EY547" s="408"/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552</v>
      </c>
      <c r="B548" s="408" t="s">
        <v>2236</v>
      </c>
      <c r="C548" s="408" t="s">
        <v>2233</v>
      </c>
      <c r="D548" s="408" t="s">
        <v>2243</v>
      </c>
      <c r="E548" s="408" t="s">
        <v>972</v>
      </c>
      <c r="F548" s="408" t="s">
        <v>2251</v>
      </c>
      <c r="G548" s="408" t="s">
        <v>2252</v>
      </c>
      <c r="H548" s="408" t="s">
        <v>1320</v>
      </c>
      <c r="I548" s="408" t="s">
        <v>1320</v>
      </c>
      <c r="J548" s="408" t="s">
        <v>2234</v>
      </c>
      <c r="K548" s="827">
        <v>44621</v>
      </c>
      <c r="L548" s="408">
        <v>0</v>
      </c>
      <c r="M548" s="408">
        <v>0</v>
      </c>
      <c r="N548" s="408">
        <v>0</v>
      </c>
      <c r="O548" s="408">
        <v>0</v>
      </c>
      <c r="P548" s="408">
        <v>0</v>
      </c>
      <c r="Q548" s="408">
        <v>0</v>
      </c>
      <c r="R548" s="408"/>
      <c r="S548" s="408"/>
      <c r="T548" s="408"/>
      <c r="U548" s="408"/>
      <c r="V548" s="408"/>
      <c r="W548" s="408"/>
      <c r="X548" s="408"/>
      <c r="Y548" s="408"/>
      <c r="Z548" s="408"/>
      <c r="AA548" s="408">
        <v>0</v>
      </c>
      <c r="AB548" s="408"/>
      <c r="AC548" s="408"/>
      <c r="AD548" s="408"/>
      <c r="AE548" s="408"/>
      <c r="AF548" s="408"/>
      <c r="AG548" s="408"/>
      <c r="AH548" s="408"/>
      <c r="AI548" s="408"/>
      <c r="AJ548" s="408"/>
      <c r="AK548" s="408"/>
      <c r="AL548" s="408"/>
      <c r="AM548" s="408"/>
      <c r="AN548" s="408"/>
      <c r="AO548" s="408"/>
      <c r="AP548" s="408"/>
      <c r="AQ548" s="408"/>
      <c r="AR548" s="408"/>
      <c r="AS548" s="408"/>
      <c r="AT548" s="408"/>
      <c r="AU548" s="408"/>
      <c r="AV548" s="408"/>
      <c r="AW548" s="408"/>
      <c r="AX548" s="408"/>
      <c r="AY548" s="408"/>
      <c r="AZ548" s="408">
        <v>0</v>
      </c>
      <c r="BA548" s="408"/>
      <c r="BB548" s="408"/>
      <c r="BC548" s="408"/>
      <c r="BD548" s="408"/>
      <c r="BE548" s="408"/>
      <c r="BF548" s="408"/>
      <c r="BG548" s="408"/>
      <c r="BH548" s="408"/>
      <c r="BI548" s="408">
        <v>0</v>
      </c>
      <c r="BJ548" s="408">
        <v>0</v>
      </c>
      <c r="BK548" s="408">
        <v>55.77</v>
      </c>
      <c r="BL548" s="408">
        <v>5</v>
      </c>
      <c r="BM548" s="408"/>
      <c r="BN548" s="408"/>
      <c r="BO548" s="408"/>
      <c r="BP548" s="408"/>
      <c r="BQ548" s="408"/>
      <c r="BR548" s="408"/>
      <c r="BS548" s="408"/>
      <c r="BT548" s="408"/>
      <c r="BU548" s="408"/>
      <c r="BV548" s="408"/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/>
      <c r="CJ548" s="408">
        <v>-0.03</v>
      </c>
      <c r="CK548" s="408"/>
      <c r="CL548" s="408"/>
      <c r="CM548" s="408"/>
      <c r="CN548" s="408"/>
      <c r="CO548" s="408">
        <v>0</v>
      </c>
      <c r="CP548" s="408">
        <v>0</v>
      </c>
      <c r="CQ548" s="408">
        <v>31</v>
      </c>
      <c r="CR548" s="408"/>
      <c r="CS548" s="408"/>
      <c r="CT548" s="408"/>
      <c r="CU548" s="408"/>
      <c r="CV548" s="408"/>
      <c r="CW548" s="408"/>
      <c r="CX548" s="408"/>
      <c r="CY548" s="408"/>
      <c r="CZ548" s="408"/>
      <c r="DA548" s="408"/>
      <c r="DB548" s="408"/>
      <c r="DC548" s="408"/>
      <c r="DD548" s="408"/>
      <c r="DE548" s="408"/>
      <c r="DF548" s="408"/>
      <c r="DG548" s="408"/>
      <c r="DH548" s="408"/>
      <c r="DI548" s="408"/>
      <c r="DJ548" s="408"/>
      <c r="DK548" s="408">
        <v>0</v>
      </c>
      <c r="DL548" s="408"/>
      <c r="DM548" s="408"/>
      <c r="DN548" s="408"/>
      <c r="DO548" s="408"/>
      <c r="DP548" s="408"/>
      <c r="DQ548" s="408"/>
      <c r="DR548" s="408"/>
      <c r="DS548" s="408"/>
      <c r="DT548" s="408"/>
      <c r="DU548" s="408"/>
      <c r="DV548" s="408"/>
      <c r="DW548" s="408"/>
      <c r="DX548" s="408"/>
      <c r="DY548" s="408"/>
      <c r="DZ548" s="408"/>
      <c r="EA548" s="408"/>
      <c r="EB548" s="408"/>
      <c r="EC548" s="408"/>
      <c r="ED548" s="408"/>
      <c r="EE548" s="408"/>
      <c r="EF548" s="408"/>
      <c r="EG548" s="408"/>
      <c r="EH548" s="408"/>
      <c r="EI548" s="408"/>
      <c r="EJ548" s="408"/>
      <c r="EK548" s="408"/>
      <c r="EL548" s="408"/>
      <c r="EM548" s="408"/>
      <c r="EN548" s="408"/>
      <c r="EO548" s="408"/>
      <c r="EP548" s="408"/>
      <c r="EQ548" s="408"/>
      <c r="ER548" s="408"/>
      <c r="ES548" s="408"/>
      <c r="ET548" s="408"/>
      <c r="EU548" s="408"/>
      <c r="EV548" s="408">
        <v>239</v>
      </c>
      <c r="EW548" s="408"/>
      <c r="EX548" s="408"/>
      <c r="EY548" s="408"/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553</v>
      </c>
      <c r="B549" s="408" t="s">
        <v>1034</v>
      </c>
      <c r="C549" s="408" t="s">
        <v>2233</v>
      </c>
      <c r="D549" s="408" t="s">
        <v>2243</v>
      </c>
      <c r="E549" s="408" t="s">
        <v>972</v>
      </c>
      <c r="F549" s="408" t="s">
        <v>2251</v>
      </c>
      <c r="G549" s="408" t="s">
        <v>2252</v>
      </c>
      <c r="H549" s="408" t="s">
        <v>1320</v>
      </c>
      <c r="I549" s="408" t="s">
        <v>1320</v>
      </c>
      <c r="J549" s="408" t="s">
        <v>2234</v>
      </c>
      <c r="K549" s="827">
        <v>44621</v>
      </c>
      <c r="L549" s="408">
        <v>0</v>
      </c>
      <c r="M549" s="408">
        <v>0</v>
      </c>
      <c r="N549" s="408">
        <v>122.389</v>
      </c>
      <c r="O549" s="408">
        <v>122.389</v>
      </c>
      <c r="P549" s="408">
        <v>122.389</v>
      </c>
      <c r="Q549" s="408">
        <v>122.389</v>
      </c>
      <c r="R549" s="408"/>
      <c r="S549" s="408">
        <v>516.83000000000004</v>
      </c>
      <c r="T549" s="408">
        <v>173.82</v>
      </c>
      <c r="U549" s="408"/>
      <c r="V549" s="408">
        <v>84527.962849999996</v>
      </c>
      <c r="W549" s="408">
        <v>84527.962849999996</v>
      </c>
      <c r="X549" s="408">
        <v>63819.744049999994</v>
      </c>
      <c r="Y549" s="408">
        <v>0</v>
      </c>
      <c r="Z549" s="408">
        <v>7484.0207407687622</v>
      </c>
      <c r="AA549" s="408">
        <v>0</v>
      </c>
      <c r="AB549" s="408">
        <v>0</v>
      </c>
      <c r="AC549" s="408">
        <v>332.70765169823517</v>
      </c>
      <c r="AD549" s="408">
        <v>4213.4385575741353</v>
      </c>
      <c r="AE549" s="408">
        <v>44502.573554657123</v>
      </c>
      <c r="AF549" s="408">
        <v>19695.099246781177</v>
      </c>
      <c r="AG549" s="408">
        <v>990.8448694696549</v>
      </c>
      <c r="AH549" s="408">
        <v>0</v>
      </c>
      <c r="AI549" s="408">
        <v>0</v>
      </c>
      <c r="AJ549" s="408">
        <v>0</v>
      </c>
      <c r="AK549" s="408">
        <v>0</v>
      </c>
      <c r="AL549" s="408">
        <v>1156.759224429361</v>
      </c>
      <c r="AM549" s="408"/>
      <c r="AN549" s="408">
        <v>189.89167075987871</v>
      </c>
      <c r="AO549" s="408">
        <v>709.67307902460732</v>
      </c>
      <c r="AP549" s="408">
        <v>2324.0833777625617</v>
      </c>
      <c r="AQ549" s="408">
        <v>0</v>
      </c>
      <c r="AR549" s="408">
        <v>0</v>
      </c>
      <c r="AS549" s="408">
        <v>0</v>
      </c>
      <c r="AT549" s="408">
        <v>0</v>
      </c>
      <c r="AU549" s="408">
        <v>0</v>
      </c>
      <c r="AV549" s="408">
        <v>0</v>
      </c>
      <c r="AW549" s="408">
        <v>0</v>
      </c>
      <c r="AX549" s="408">
        <v>0</v>
      </c>
      <c r="AY549" s="408">
        <v>0</v>
      </c>
      <c r="AZ549" s="408">
        <v>0</v>
      </c>
      <c r="BA549" s="408"/>
      <c r="BB549" s="408">
        <v>0</v>
      </c>
      <c r="BC549" s="408">
        <v>0</v>
      </c>
      <c r="BD549" s="408">
        <v>0</v>
      </c>
      <c r="BE549" s="408">
        <v>67.90296138839021</v>
      </c>
      <c r="BF549" s="408">
        <v>588.16338993354236</v>
      </c>
      <c r="BG549" s="408">
        <v>2273.782398876966</v>
      </c>
      <c r="BH549" s="408">
        <v>0</v>
      </c>
      <c r="BI549" s="408">
        <v>0</v>
      </c>
      <c r="BJ549" s="408">
        <v>0</v>
      </c>
      <c r="BK549" s="408">
        <v>0</v>
      </c>
      <c r="BL549" s="408">
        <v>0</v>
      </c>
      <c r="BM549" s="408"/>
      <c r="BN549" s="408"/>
      <c r="BO549" s="408"/>
      <c r="BP549" s="408"/>
      <c r="BQ549" s="408"/>
      <c r="BR549" s="408">
        <v>7657.8797299999987</v>
      </c>
      <c r="BS549" s="408"/>
      <c r="BT549" s="408"/>
      <c r="BU549" s="408"/>
      <c r="BV549" s="408">
        <v>22624.947996980078</v>
      </c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>
        <v>56162.323199999999</v>
      </c>
      <c r="CJ549" s="408">
        <v>-18222.069329999998</v>
      </c>
      <c r="CK549" s="408"/>
      <c r="CL549" s="408"/>
      <c r="CM549" s="408"/>
      <c r="CN549" s="408"/>
      <c r="CO549" s="408">
        <v>-23301.641710000004</v>
      </c>
      <c r="CP549" s="408">
        <v>2593.4229099999998</v>
      </c>
      <c r="CQ549" s="408">
        <v>31</v>
      </c>
      <c r="CR549" s="408">
        <v>2852.383226645441</v>
      </c>
      <c r="CS549" s="408">
        <v>68.904772458973412</v>
      </c>
      <c r="CT549" s="408">
        <v>225.65381307756843</v>
      </c>
      <c r="CU549" s="408">
        <v>0</v>
      </c>
      <c r="CV549" s="408">
        <v>0</v>
      </c>
      <c r="CW549" s="408">
        <v>0</v>
      </c>
      <c r="CX549" s="408">
        <v>0</v>
      </c>
      <c r="CY549" s="408">
        <v>0</v>
      </c>
      <c r="CZ549" s="408">
        <v>-80.789347109606751</v>
      </c>
      <c r="DA549" s="408">
        <v>0</v>
      </c>
      <c r="DB549" s="408">
        <v>0</v>
      </c>
      <c r="DC549" s="408">
        <v>2528.0836595917899</v>
      </c>
      <c r="DD549" s="408">
        <v>75.497271510528776</v>
      </c>
      <c r="DE549" s="408">
        <v>8.7160955612817901</v>
      </c>
      <c r="DF549" s="408">
        <v>0</v>
      </c>
      <c r="DG549" s="408">
        <v>291.86510085789632</v>
      </c>
      <c r="DH549" s="408">
        <v>0</v>
      </c>
      <c r="DI549" s="408">
        <v>-218.72428947658864</v>
      </c>
      <c r="DJ549" s="408"/>
      <c r="DK549" s="408">
        <v>0</v>
      </c>
      <c r="DL549" s="408">
        <v>0</v>
      </c>
      <c r="DM549" s="408">
        <v>-11.012877066338888</v>
      </c>
      <c r="DN549" s="408">
        <v>0</v>
      </c>
      <c r="DO549" s="408">
        <v>-29.959664362035483</v>
      </c>
      <c r="DP549" s="408">
        <v>-5.8513083980326428</v>
      </c>
      <c r="DQ549" s="408">
        <v>0</v>
      </c>
      <c r="DR549" s="408">
        <v>0</v>
      </c>
      <c r="DS549" s="408"/>
      <c r="DT549" s="408"/>
      <c r="DU549" s="408"/>
      <c r="DV549" s="408">
        <v>44502.573554657123</v>
      </c>
      <c r="DW549" s="408">
        <v>0</v>
      </c>
      <c r="DX549" s="408">
        <v>0</v>
      </c>
      <c r="DY549" s="408">
        <v>-23301.641710000004</v>
      </c>
      <c r="DZ549" s="408">
        <v>2593.4229099999975</v>
      </c>
      <c r="EA549" s="408">
        <v>0</v>
      </c>
      <c r="EB549" s="408">
        <v>0</v>
      </c>
      <c r="EC549" s="408">
        <v>-23561.753372165054</v>
      </c>
      <c r="ED549" s="408">
        <v>0</v>
      </c>
      <c r="EE549" s="408">
        <v>0</v>
      </c>
      <c r="EF549" s="408">
        <v>0</v>
      </c>
      <c r="EG549" s="408">
        <v>0</v>
      </c>
      <c r="EH549" s="408">
        <v>0</v>
      </c>
      <c r="EI549" s="408">
        <v>0</v>
      </c>
      <c r="EJ549" s="408">
        <v>0</v>
      </c>
      <c r="EK549" s="408">
        <v>0</v>
      </c>
      <c r="EL549" s="408">
        <v>0</v>
      </c>
      <c r="EM549" s="408">
        <v>0</v>
      </c>
      <c r="EN549" s="408">
        <v>0</v>
      </c>
      <c r="EO549" s="408">
        <v>0</v>
      </c>
      <c r="EP549" s="408">
        <v>0</v>
      </c>
      <c r="EQ549" s="408">
        <v>0</v>
      </c>
      <c r="ER549" s="408">
        <v>0</v>
      </c>
      <c r="ES549" s="408">
        <v>0</v>
      </c>
      <c r="ET549" s="408">
        <v>0</v>
      </c>
      <c r="EU549" s="408">
        <v>0</v>
      </c>
      <c r="EV549" s="408">
        <v>239</v>
      </c>
      <c r="EW549" s="408">
        <v>0</v>
      </c>
      <c r="EX549" s="408">
        <v>0</v>
      </c>
      <c r="EY549" s="408">
        <v>0</v>
      </c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554</v>
      </c>
      <c r="B550" s="408" t="s">
        <v>2235</v>
      </c>
      <c r="C550" s="408" t="s">
        <v>2233</v>
      </c>
      <c r="D550" s="408" t="s">
        <v>2243</v>
      </c>
      <c r="E550" s="408" t="s">
        <v>972</v>
      </c>
      <c r="F550" s="408" t="s">
        <v>2251</v>
      </c>
      <c r="G550" s="408" t="s">
        <v>2252</v>
      </c>
      <c r="H550" s="408" t="s">
        <v>1320</v>
      </c>
      <c r="I550" s="408" t="s">
        <v>1320</v>
      </c>
      <c r="J550" s="408" t="s">
        <v>2234</v>
      </c>
      <c r="K550" s="827">
        <v>44621</v>
      </c>
      <c r="L550" s="408">
        <v>0</v>
      </c>
      <c r="M550" s="408">
        <v>0</v>
      </c>
      <c r="N550" s="408">
        <v>-32.845999999999997</v>
      </c>
      <c r="O550" s="408">
        <v>-32.845999999999997</v>
      </c>
      <c r="P550" s="408">
        <v>-32.845999999999997</v>
      </c>
      <c r="Q550" s="408">
        <v>-32.845999999999997</v>
      </c>
      <c r="R550" s="408"/>
      <c r="S550" s="408">
        <v>516.83000000000004</v>
      </c>
      <c r="T550" s="408">
        <v>173.82</v>
      </c>
      <c r="U550" s="408"/>
      <c r="V550" s="408">
        <v>-22685.089899999999</v>
      </c>
      <c r="W550" s="408">
        <v>-22685.089899999999</v>
      </c>
      <c r="X550" s="408">
        <v>-17127.546699999999</v>
      </c>
      <c r="Y550" s="408">
        <v>0</v>
      </c>
      <c r="Z550" s="408">
        <v>-2008.5150238280462</v>
      </c>
      <c r="AA550" s="408">
        <v>0</v>
      </c>
      <c r="AB550" s="408">
        <v>0</v>
      </c>
      <c r="AC550" s="408">
        <v>-89.29001403459651</v>
      </c>
      <c r="AD550" s="408">
        <v>-1130.7764820537795</v>
      </c>
      <c r="AE550" s="408">
        <v>-11943.324408045393</v>
      </c>
      <c r="AF550" s="408">
        <v>-5285.6484639941045</v>
      </c>
      <c r="AG550" s="408">
        <v>-265.91679466782375</v>
      </c>
      <c r="AH550" s="408">
        <v>0</v>
      </c>
      <c r="AI550" s="408">
        <v>0</v>
      </c>
      <c r="AJ550" s="408">
        <v>0</v>
      </c>
      <c r="AK550" s="408">
        <v>0</v>
      </c>
      <c r="AL550" s="408">
        <v>-310.44385921616151</v>
      </c>
      <c r="AM550" s="408"/>
      <c r="AN550" s="408">
        <v>-50.961947705912912</v>
      </c>
      <c r="AO550" s="408">
        <v>-190.45765512948265</v>
      </c>
      <c r="AP550" s="408">
        <v>-623.7230684619459</v>
      </c>
      <c r="AQ550" s="408">
        <v>0</v>
      </c>
      <c r="AR550" s="408">
        <v>0</v>
      </c>
      <c r="AS550" s="408">
        <v>0</v>
      </c>
      <c r="AT550" s="408">
        <v>0</v>
      </c>
      <c r="AU550" s="408">
        <v>0</v>
      </c>
      <c r="AV550" s="408">
        <v>0</v>
      </c>
      <c r="AW550" s="408">
        <v>0</v>
      </c>
      <c r="AX550" s="408">
        <v>0</v>
      </c>
      <c r="AY550" s="408">
        <v>0</v>
      </c>
      <c r="AZ550" s="408">
        <v>0</v>
      </c>
      <c r="BA550" s="408"/>
      <c r="BB550" s="408">
        <v>0</v>
      </c>
      <c r="BC550" s="408">
        <v>0</v>
      </c>
      <c r="BD550" s="408">
        <v>0</v>
      </c>
      <c r="BE550" s="408">
        <v>-18.223375219693473</v>
      </c>
      <c r="BF550" s="408">
        <v>-157.84763913225154</v>
      </c>
      <c r="BG550" s="408">
        <v>-610.22360402906168</v>
      </c>
      <c r="BH550" s="408">
        <v>0</v>
      </c>
      <c r="BI550" s="408">
        <v>0</v>
      </c>
      <c r="BJ550" s="408">
        <v>0</v>
      </c>
      <c r="BK550" s="408">
        <v>0</v>
      </c>
      <c r="BL550" s="408">
        <v>0</v>
      </c>
      <c r="BM550" s="408"/>
      <c r="BN550" s="408"/>
      <c r="BO550" s="408"/>
      <c r="BP550" s="408"/>
      <c r="BQ550" s="408"/>
      <c r="BR550" s="408">
        <v>-2055.1742199999999</v>
      </c>
      <c r="BS550" s="408"/>
      <c r="BT550" s="408"/>
      <c r="BU550" s="408"/>
      <c r="BV550" s="408">
        <v>-6071.9430823751118</v>
      </c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>
        <v>-15074.208000000001</v>
      </c>
      <c r="CJ550" s="408">
        <v>4888.5754199999992</v>
      </c>
      <c r="CK550" s="408"/>
      <c r="CL550" s="408"/>
      <c r="CM550" s="408"/>
      <c r="CN550" s="408"/>
      <c r="CO550" s="408">
        <v>6253.5499400000008</v>
      </c>
      <c r="CP550" s="408">
        <v>-696.00673999999981</v>
      </c>
      <c r="CQ550" s="408">
        <v>31</v>
      </c>
      <c r="CR550" s="408">
        <v>-765.50490209410782</v>
      </c>
      <c r="CS550" s="408">
        <v>-18.492235055335357</v>
      </c>
      <c r="CT550" s="408">
        <v>-60.559569441255462</v>
      </c>
      <c r="CU550" s="408">
        <v>0</v>
      </c>
      <c r="CV550" s="408">
        <v>0</v>
      </c>
      <c r="CW550" s="408">
        <v>0</v>
      </c>
      <c r="CX550" s="408">
        <v>0</v>
      </c>
      <c r="CY550" s="408">
        <v>0</v>
      </c>
      <c r="CZ550" s="408">
        <v>21.68174341780832</v>
      </c>
      <c r="DA550" s="408">
        <v>0</v>
      </c>
      <c r="DB550" s="408">
        <v>0</v>
      </c>
      <c r="DC550" s="408">
        <v>-678.47139761704057</v>
      </c>
      <c r="DD550" s="408">
        <v>-20.261489022990844</v>
      </c>
      <c r="DE550" s="408">
        <v>-2.3391716151440249</v>
      </c>
      <c r="DF550" s="408">
        <v>0</v>
      </c>
      <c r="DG550" s="408">
        <v>-78.32894380032883</v>
      </c>
      <c r="DH550" s="408">
        <v>0</v>
      </c>
      <c r="DI550" s="408">
        <v>58.699866917354029</v>
      </c>
      <c r="DJ550" s="408"/>
      <c r="DK550" s="408">
        <v>0</v>
      </c>
      <c r="DL550" s="408">
        <v>0</v>
      </c>
      <c r="DM550" s="408">
        <v>2.9555675765057572</v>
      </c>
      <c r="DN550" s="408">
        <v>0</v>
      </c>
      <c r="DO550" s="408">
        <v>8.0403887247662738</v>
      </c>
      <c r="DP550" s="408">
        <v>1.5703378215507939</v>
      </c>
      <c r="DQ550" s="408">
        <v>0</v>
      </c>
      <c r="DR550" s="408">
        <v>0</v>
      </c>
      <c r="DS550" s="408"/>
      <c r="DT550" s="408"/>
      <c r="DU550" s="408"/>
      <c r="DV550" s="408">
        <v>-11943.324408045393</v>
      </c>
      <c r="DW550" s="408">
        <v>0</v>
      </c>
      <c r="DX550" s="408">
        <v>0</v>
      </c>
      <c r="DY550" s="408">
        <v>6253.549939999999</v>
      </c>
      <c r="DZ550" s="408">
        <v>-696.00673999999981</v>
      </c>
      <c r="EA550" s="408">
        <v>0</v>
      </c>
      <c r="EB550" s="408">
        <v>0</v>
      </c>
      <c r="EC550" s="408">
        <v>6323.3570930568367</v>
      </c>
      <c r="ED550" s="408">
        <v>0</v>
      </c>
      <c r="EE550" s="408">
        <v>0</v>
      </c>
      <c r="EF550" s="408">
        <v>0</v>
      </c>
      <c r="EG550" s="408">
        <v>0</v>
      </c>
      <c r="EH550" s="408">
        <v>0</v>
      </c>
      <c r="EI550" s="408">
        <v>0</v>
      </c>
      <c r="EJ550" s="408">
        <v>0</v>
      </c>
      <c r="EK550" s="408">
        <v>0</v>
      </c>
      <c r="EL550" s="408">
        <v>0</v>
      </c>
      <c r="EM550" s="408">
        <v>0</v>
      </c>
      <c r="EN550" s="408">
        <v>0</v>
      </c>
      <c r="EO550" s="408">
        <v>0</v>
      </c>
      <c r="EP550" s="408">
        <v>0</v>
      </c>
      <c r="EQ550" s="408">
        <v>0</v>
      </c>
      <c r="ER550" s="408">
        <v>0</v>
      </c>
      <c r="ES550" s="408">
        <v>0</v>
      </c>
      <c r="ET550" s="408">
        <v>0</v>
      </c>
      <c r="EU550" s="408">
        <v>0</v>
      </c>
      <c r="EV550" s="408">
        <v>239</v>
      </c>
      <c r="EW550" s="408">
        <v>0</v>
      </c>
      <c r="EX550" s="408">
        <v>0</v>
      </c>
      <c r="EY550" s="408">
        <v>0</v>
      </c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555</v>
      </c>
      <c r="B551" s="408" t="s">
        <v>2236</v>
      </c>
      <c r="C551" s="408" t="s">
        <v>2233</v>
      </c>
      <c r="D551" s="408" t="s">
        <v>2243</v>
      </c>
      <c r="E551" s="408" t="s">
        <v>972</v>
      </c>
      <c r="F551" s="408" t="s">
        <v>2251</v>
      </c>
      <c r="G551" s="408" t="s">
        <v>2252</v>
      </c>
      <c r="H551" s="408" t="s">
        <v>1320</v>
      </c>
      <c r="I551" s="408" t="s">
        <v>1320</v>
      </c>
      <c r="J551" s="408" t="s">
        <v>2234</v>
      </c>
      <c r="K551" s="827">
        <v>44621</v>
      </c>
      <c r="L551" s="408">
        <v>0</v>
      </c>
      <c r="M551" s="408">
        <v>0</v>
      </c>
      <c r="N551" s="408">
        <v>0.5</v>
      </c>
      <c r="O551" s="408">
        <v>0.5</v>
      </c>
      <c r="P551" s="408">
        <v>0.5</v>
      </c>
      <c r="Q551" s="408">
        <v>0.5</v>
      </c>
      <c r="R551" s="408"/>
      <c r="S551" s="408">
        <v>516.83000000000004</v>
      </c>
      <c r="T551" s="408">
        <v>173.82</v>
      </c>
      <c r="U551" s="408"/>
      <c r="V551" s="408">
        <v>345.32500000000005</v>
      </c>
      <c r="W551" s="408">
        <v>345.32500000000005</v>
      </c>
      <c r="X551" s="408">
        <v>260.72500000000002</v>
      </c>
      <c r="Y551" s="408">
        <v>0</v>
      </c>
      <c r="Z551" s="408">
        <v>30.574727879011849</v>
      </c>
      <c r="AA551" s="408">
        <v>0</v>
      </c>
      <c r="AB551" s="408">
        <v>0</v>
      </c>
      <c r="AC551" s="408">
        <v>1.3592220366954351</v>
      </c>
      <c r="AD551" s="408">
        <v>17.213305761032998</v>
      </c>
      <c r="AE551" s="408">
        <v>181.8078975833495</v>
      </c>
      <c r="AF551" s="408">
        <v>80.461067770719495</v>
      </c>
      <c r="AG551" s="408">
        <v>4.0479326960333646</v>
      </c>
      <c r="AH551" s="408">
        <v>0</v>
      </c>
      <c r="AI551" s="408">
        <v>0</v>
      </c>
      <c r="AJ551" s="408">
        <v>0</v>
      </c>
      <c r="AK551" s="408">
        <v>0</v>
      </c>
      <c r="AL551" s="408">
        <v>4.7257483288096198</v>
      </c>
      <c r="AM551" s="408"/>
      <c r="AN551" s="408">
        <v>0.77577098742484496</v>
      </c>
      <c r="AO551" s="408">
        <v>2.89925188956772</v>
      </c>
      <c r="AP551" s="408">
        <v>9.4946579258044501</v>
      </c>
      <c r="AQ551" s="408">
        <v>0</v>
      </c>
      <c r="AR551" s="408">
        <v>0</v>
      </c>
      <c r="AS551" s="408">
        <v>0</v>
      </c>
      <c r="AT551" s="408">
        <v>0</v>
      </c>
      <c r="AU551" s="408">
        <v>0</v>
      </c>
      <c r="AV551" s="408">
        <v>0</v>
      </c>
      <c r="AW551" s="408">
        <v>0</v>
      </c>
      <c r="AX551" s="408">
        <v>0</v>
      </c>
      <c r="AY551" s="408">
        <v>0</v>
      </c>
      <c r="AZ551" s="408">
        <v>0</v>
      </c>
      <c r="BA551" s="408"/>
      <c r="BB551" s="408">
        <v>0</v>
      </c>
      <c r="BC551" s="408">
        <v>0</v>
      </c>
      <c r="BD551" s="408">
        <v>0</v>
      </c>
      <c r="BE551" s="408">
        <v>0.27740630852605302</v>
      </c>
      <c r="BF551" s="408">
        <v>2.4028441687306148</v>
      </c>
      <c r="BG551" s="408">
        <v>9.2891616030728503</v>
      </c>
      <c r="BH551" s="408">
        <v>0</v>
      </c>
      <c r="BI551" s="408">
        <v>0</v>
      </c>
      <c r="BJ551" s="408">
        <v>0</v>
      </c>
      <c r="BK551" s="408">
        <v>0</v>
      </c>
      <c r="BL551" s="408">
        <v>0</v>
      </c>
      <c r="BM551" s="408"/>
      <c r="BN551" s="408"/>
      <c r="BO551" s="408"/>
      <c r="BP551" s="408"/>
      <c r="BQ551" s="408"/>
      <c r="BR551" s="408">
        <v>31.284999999999997</v>
      </c>
      <c r="BS551" s="408"/>
      <c r="BT551" s="408"/>
      <c r="BU551" s="408"/>
      <c r="BV551" s="408">
        <v>92.430479851049014</v>
      </c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>
        <v>229.44</v>
      </c>
      <c r="CJ551" s="408">
        <v>-74.474999999999966</v>
      </c>
      <c r="CK551" s="408"/>
      <c r="CL551" s="408"/>
      <c r="CM551" s="408"/>
      <c r="CN551" s="408"/>
      <c r="CO551" s="408">
        <v>-95.195000000000022</v>
      </c>
      <c r="CP551" s="408">
        <v>10.594999999999999</v>
      </c>
      <c r="CQ551" s="408">
        <v>31</v>
      </c>
      <c r="CR551" s="408">
        <v>11.652939507004049</v>
      </c>
      <c r="CS551" s="408">
        <v>0.28149904182146024</v>
      </c>
      <c r="CT551" s="408">
        <v>0.92187130002520057</v>
      </c>
      <c r="CU551" s="408">
        <v>0</v>
      </c>
      <c r="CV551" s="408">
        <v>0</v>
      </c>
      <c r="CW551" s="408">
        <v>0</v>
      </c>
      <c r="CX551" s="408">
        <v>0</v>
      </c>
      <c r="CY551" s="408">
        <v>0</v>
      </c>
      <c r="CZ551" s="408">
        <v>-0.33005150425939789</v>
      </c>
      <c r="DA551" s="408">
        <v>0</v>
      </c>
      <c r="DB551" s="408">
        <v>0</v>
      </c>
      <c r="DC551" s="408">
        <v>10.328067308303005</v>
      </c>
      <c r="DD551" s="408">
        <v>0.30843160541604542</v>
      </c>
      <c r="DE551" s="408">
        <v>3.5608165608354503E-2</v>
      </c>
      <c r="DF551" s="408">
        <v>0</v>
      </c>
      <c r="DG551" s="408">
        <v>1.1923665560544503</v>
      </c>
      <c r="DH551" s="408">
        <v>0</v>
      </c>
      <c r="DI551" s="408">
        <v>-0.89356187842285095</v>
      </c>
      <c r="DJ551" s="408"/>
      <c r="DK551" s="408">
        <v>0</v>
      </c>
      <c r="DL551" s="408">
        <v>0</v>
      </c>
      <c r="DM551" s="408">
        <v>-4.4991286252599849E-2</v>
      </c>
      <c r="DN551" s="408">
        <v>0</v>
      </c>
      <c r="DO551" s="408">
        <v>-0.12239524941798496</v>
      </c>
      <c r="DP551" s="408">
        <v>-2.3904551871624991E-2</v>
      </c>
      <c r="DQ551" s="408">
        <v>0</v>
      </c>
      <c r="DR551" s="408">
        <v>0</v>
      </c>
      <c r="DS551" s="408"/>
      <c r="DT551" s="408"/>
      <c r="DU551" s="408"/>
      <c r="DV551" s="408">
        <v>181.8078975833495</v>
      </c>
      <c r="DW551" s="408">
        <v>0</v>
      </c>
      <c r="DX551" s="408">
        <v>0</v>
      </c>
      <c r="DY551" s="408">
        <v>-95.195000000000022</v>
      </c>
      <c r="DZ551" s="408">
        <v>10.594999999999999</v>
      </c>
      <c r="EA551" s="408">
        <v>0</v>
      </c>
      <c r="EB551" s="408">
        <v>0</v>
      </c>
      <c r="EC551" s="408">
        <v>-96.257643138538</v>
      </c>
      <c r="ED551" s="408">
        <v>0</v>
      </c>
      <c r="EE551" s="408">
        <v>0</v>
      </c>
      <c r="EF551" s="408">
        <v>0</v>
      </c>
      <c r="EG551" s="408">
        <v>0</v>
      </c>
      <c r="EH551" s="408">
        <v>0</v>
      </c>
      <c r="EI551" s="408">
        <v>0</v>
      </c>
      <c r="EJ551" s="408">
        <v>0</v>
      </c>
      <c r="EK551" s="408">
        <v>0</v>
      </c>
      <c r="EL551" s="408">
        <v>0</v>
      </c>
      <c r="EM551" s="408">
        <v>0</v>
      </c>
      <c r="EN551" s="408">
        <v>0</v>
      </c>
      <c r="EO551" s="408">
        <v>0</v>
      </c>
      <c r="EP551" s="408">
        <v>0</v>
      </c>
      <c r="EQ551" s="408">
        <v>0</v>
      </c>
      <c r="ER551" s="408">
        <v>0</v>
      </c>
      <c r="ES551" s="408">
        <v>0</v>
      </c>
      <c r="ET551" s="408">
        <v>0</v>
      </c>
      <c r="EU551" s="408">
        <v>0</v>
      </c>
      <c r="EV551" s="408">
        <v>239</v>
      </c>
      <c r="EW551" s="408">
        <v>0</v>
      </c>
      <c r="EX551" s="408">
        <v>0</v>
      </c>
      <c r="EY551" s="408">
        <v>0</v>
      </c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556</v>
      </c>
      <c r="B552" s="408" t="s">
        <v>1034</v>
      </c>
      <c r="C552" s="408" t="s">
        <v>2233</v>
      </c>
      <c r="D552" s="408" t="s">
        <v>2243</v>
      </c>
      <c r="E552" s="408" t="s">
        <v>972</v>
      </c>
      <c r="F552" s="408" t="s">
        <v>2251</v>
      </c>
      <c r="G552" s="408" t="s">
        <v>2253</v>
      </c>
      <c r="H552" s="408" t="s">
        <v>1320</v>
      </c>
      <c r="I552" s="408" t="s">
        <v>1320</v>
      </c>
      <c r="J552" s="408" t="s">
        <v>2234</v>
      </c>
      <c r="K552" s="827">
        <v>44621</v>
      </c>
      <c r="L552" s="408">
        <v>0</v>
      </c>
      <c r="M552" s="408">
        <v>0</v>
      </c>
      <c r="N552" s="408">
        <v>61.761000000000003</v>
      </c>
      <c r="O552" s="408">
        <v>24.7044</v>
      </c>
      <c r="P552" s="408">
        <v>61.761000000000003</v>
      </c>
      <c r="Q552" s="408">
        <v>24.7044</v>
      </c>
      <c r="R552" s="408"/>
      <c r="S552" s="408">
        <v>516.83000000000004</v>
      </c>
      <c r="T552" s="408">
        <v>173.82</v>
      </c>
      <c r="U552" s="408"/>
      <c r="V552" s="408">
        <v>42655.234650000006</v>
      </c>
      <c r="W552" s="408">
        <v>42655.234650000006</v>
      </c>
      <c r="X552" s="408">
        <v>32205.273450000001</v>
      </c>
      <c r="Y552" s="408">
        <v>0</v>
      </c>
      <c r="Z552" s="408">
        <v>3776.6515370713018</v>
      </c>
      <c r="AA552" s="408">
        <v>0</v>
      </c>
      <c r="AB552" s="408">
        <v>0</v>
      </c>
      <c r="AC552" s="408">
        <v>167.89382441669355</v>
      </c>
      <c r="AD552" s="408">
        <v>2126.221954214318</v>
      </c>
      <c r="AE552" s="408">
        <v>22457.275125290496</v>
      </c>
      <c r="AF552" s="408">
        <v>9938.7120131748143</v>
      </c>
      <c r="AG552" s="408">
        <v>500.00874247943329</v>
      </c>
      <c r="AH552" s="408">
        <v>0</v>
      </c>
      <c r="AI552" s="408">
        <v>0</v>
      </c>
      <c r="AJ552" s="408">
        <v>0</v>
      </c>
      <c r="AK552" s="408">
        <v>0</v>
      </c>
      <c r="AL552" s="408">
        <v>583.73388507122183</v>
      </c>
      <c r="AM552" s="408"/>
      <c r="AN552" s="408">
        <v>95.8247839086917</v>
      </c>
      <c r="AO552" s="408">
        <v>358.12139190318391</v>
      </c>
      <c r="AP552" s="408">
        <v>1172.7991363112174</v>
      </c>
      <c r="AQ552" s="408">
        <v>0</v>
      </c>
      <c r="AR552" s="408">
        <v>0</v>
      </c>
      <c r="AS552" s="408">
        <v>0</v>
      </c>
      <c r="AT552" s="408">
        <v>0</v>
      </c>
      <c r="AU552" s="408">
        <v>0</v>
      </c>
      <c r="AV552" s="408">
        <v>0</v>
      </c>
      <c r="AW552" s="408">
        <v>0</v>
      </c>
      <c r="AX552" s="408">
        <v>0</v>
      </c>
      <c r="AY552" s="408">
        <v>0</v>
      </c>
      <c r="AZ552" s="408">
        <v>0</v>
      </c>
      <c r="BA552" s="408"/>
      <c r="BB552" s="408">
        <v>0</v>
      </c>
      <c r="BC552" s="408">
        <v>0</v>
      </c>
      <c r="BD552" s="408">
        <v>0</v>
      </c>
      <c r="BE552" s="408">
        <v>34.265782041755124</v>
      </c>
      <c r="BF552" s="408">
        <v>296.80411740994299</v>
      </c>
      <c r="BG552" s="408">
        <v>1147.4158195347648</v>
      </c>
      <c r="BH552" s="408">
        <v>0</v>
      </c>
      <c r="BI552" s="408">
        <v>0</v>
      </c>
      <c r="BJ552" s="408">
        <v>0</v>
      </c>
      <c r="BK552" s="408">
        <v>0</v>
      </c>
      <c r="BL552" s="408">
        <v>0</v>
      </c>
      <c r="BM552" s="408"/>
      <c r="BN552" s="408"/>
      <c r="BO552" s="408"/>
      <c r="BP552" s="408"/>
      <c r="BQ552" s="408"/>
      <c r="BR552" s="408"/>
      <c r="BS552" s="408">
        <v>20868.918378000002</v>
      </c>
      <c r="BT552" s="408"/>
      <c r="BU552" s="408"/>
      <c r="BV552" s="408">
        <v>11417.197732161278</v>
      </c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>
        <v>11334.335999999999</v>
      </c>
      <c r="CJ552" s="408">
        <v>-3680.2871880000021</v>
      </c>
      <c r="CK552" s="408"/>
      <c r="CL552" s="408"/>
      <c r="CM552" s="408"/>
      <c r="CN552" s="408"/>
      <c r="CO552" s="408">
        <v>-11758.676790000003</v>
      </c>
      <c r="CP552" s="408">
        <v>1308.71559</v>
      </c>
      <c r="CQ552" s="408">
        <v>31</v>
      </c>
      <c r="CR552" s="408">
        <v>1439.3943937841577</v>
      </c>
      <c r="CS552" s="408">
        <v>34.7713246438704</v>
      </c>
      <c r="CT552" s="408">
        <v>113.87138672171272</v>
      </c>
      <c r="CU552" s="408">
        <v>0</v>
      </c>
      <c r="CV552" s="408">
        <v>0</v>
      </c>
      <c r="CW552" s="408">
        <v>0</v>
      </c>
      <c r="CX552" s="408">
        <v>0</v>
      </c>
      <c r="CY552" s="408">
        <v>0</v>
      </c>
      <c r="CZ552" s="408">
        <v>-40.768621909129251</v>
      </c>
      <c r="DA552" s="408">
        <v>0</v>
      </c>
      <c r="DB552" s="408">
        <v>0</v>
      </c>
      <c r="DC552" s="408">
        <v>1275.7435300562029</v>
      </c>
      <c r="DD552" s="408">
        <v>38.098088764200781</v>
      </c>
      <c r="DE552" s="408">
        <v>4.3983918322751663</v>
      </c>
      <c r="DF552" s="408">
        <v>0</v>
      </c>
      <c r="DG552" s="408">
        <v>147.28350173695776</v>
      </c>
      <c r="DH552" s="408">
        <v>0</v>
      </c>
      <c r="DI552" s="408">
        <v>-110.37455034654749</v>
      </c>
      <c r="DJ552" s="408"/>
      <c r="DK552" s="408">
        <v>0</v>
      </c>
      <c r="DL552" s="408">
        <v>0</v>
      </c>
      <c r="DM552" s="408">
        <v>-5.5574136604936371</v>
      </c>
      <c r="DN552" s="408">
        <v>0</v>
      </c>
      <c r="DO552" s="408">
        <v>-15.118505998608271</v>
      </c>
      <c r="DP552" s="408">
        <v>-2.9527380562868615</v>
      </c>
      <c r="DQ552" s="408">
        <v>0</v>
      </c>
      <c r="DR552" s="408">
        <v>0</v>
      </c>
      <c r="DS552" s="408"/>
      <c r="DT552" s="408"/>
      <c r="DU552" s="408"/>
      <c r="DV552" s="408">
        <v>22457.275125290496</v>
      </c>
      <c r="DW552" s="408">
        <v>0</v>
      </c>
      <c r="DX552" s="408">
        <v>0</v>
      </c>
      <c r="DY552" s="408">
        <v>-11758.676790000005</v>
      </c>
      <c r="DZ552" s="408">
        <v>1308.7155899999998</v>
      </c>
      <c r="EA552" s="408">
        <v>0</v>
      </c>
      <c r="EB552" s="408">
        <v>0</v>
      </c>
      <c r="EC552" s="408">
        <v>-11889.936595758491</v>
      </c>
      <c r="ED552" s="408">
        <v>0</v>
      </c>
      <c r="EE552" s="408">
        <v>0</v>
      </c>
      <c r="EF552" s="408">
        <v>0</v>
      </c>
      <c r="EG552" s="408">
        <v>0</v>
      </c>
      <c r="EH552" s="408">
        <v>0</v>
      </c>
      <c r="EI552" s="408">
        <v>0</v>
      </c>
      <c r="EJ552" s="408">
        <v>0</v>
      </c>
      <c r="EK552" s="408">
        <v>0</v>
      </c>
      <c r="EL552" s="408">
        <v>0</v>
      </c>
      <c r="EM552" s="408">
        <v>0</v>
      </c>
      <c r="EN552" s="408">
        <v>0</v>
      </c>
      <c r="EO552" s="408">
        <v>0</v>
      </c>
      <c r="EP552" s="408">
        <v>0</v>
      </c>
      <c r="EQ552" s="408">
        <v>0</v>
      </c>
      <c r="ER552" s="408">
        <v>0</v>
      </c>
      <c r="ES552" s="408">
        <v>0</v>
      </c>
      <c r="ET552" s="408">
        <v>0</v>
      </c>
      <c r="EU552" s="408">
        <v>0</v>
      </c>
      <c r="EV552" s="408">
        <v>239</v>
      </c>
      <c r="EW552" s="408">
        <v>0</v>
      </c>
      <c r="EX552" s="408">
        <v>0</v>
      </c>
      <c r="EY552" s="408">
        <v>0</v>
      </c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557</v>
      </c>
      <c r="B553" s="408" t="s">
        <v>1034</v>
      </c>
      <c r="C553" s="408" t="s">
        <v>2241</v>
      </c>
      <c r="D553" s="408" t="s">
        <v>596</v>
      </c>
      <c r="E553" s="408" t="s">
        <v>972</v>
      </c>
      <c r="F553" s="408" t="s">
        <v>2251</v>
      </c>
      <c r="G553" s="408" t="s">
        <v>1320</v>
      </c>
      <c r="H553" s="408" t="s">
        <v>1320</v>
      </c>
      <c r="I553" s="408" t="s">
        <v>971</v>
      </c>
      <c r="J553" s="408" t="s">
        <v>2234</v>
      </c>
      <c r="K553" s="827">
        <v>44621</v>
      </c>
      <c r="L553" s="408">
        <v>0</v>
      </c>
      <c r="M553" s="408">
        <v>0</v>
      </c>
      <c r="N553" s="408">
        <v>0.19</v>
      </c>
      <c r="O553" s="408">
        <v>0.18240000000000001</v>
      </c>
      <c r="P553" s="408">
        <v>0.19</v>
      </c>
      <c r="Q553" s="408">
        <v>0.18240000000000001</v>
      </c>
      <c r="R553" s="408"/>
      <c r="S553" s="408">
        <v>1684.16</v>
      </c>
      <c r="T553" s="408">
        <v>173.82</v>
      </c>
      <c r="U553" s="408"/>
      <c r="V553" s="408">
        <v>353.01620000000003</v>
      </c>
      <c r="W553" s="408">
        <v>353.01620000000003</v>
      </c>
      <c r="X553" s="408">
        <v>242.3374</v>
      </c>
      <c r="Y553" s="408">
        <v>0</v>
      </c>
      <c r="Z553" s="408">
        <v>10.108005036801334</v>
      </c>
      <c r="AA553" s="408">
        <v>0</v>
      </c>
      <c r="AB553" s="408">
        <v>0</v>
      </c>
      <c r="AC553" s="408">
        <v>3.4198859733497264</v>
      </c>
      <c r="AD553" s="408">
        <v>52.171326544205883</v>
      </c>
      <c r="AE553" s="408">
        <v>220.07556654417351</v>
      </c>
      <c r="AF553" s="408">
        <v>30.575205752873408</v>
      </c>
      <c r="AG553" s="408">
        <v>1.5382144244926785</v>
      </c>
      <c r="AH553" s="408">
        <v>0</v>
      </c>
      <c r="AI553" s="408">
        <v>0</v>
      </c>
      <c r="AJ553" s="408">
        <v>0</v>
      </c>
      <c r="AK553" s="408">
        <v>0</v>
      </c>
      <c r="AL553" s="408">
        <v>1.7957843649476555</v>
      </c>
      <c r="AM553" s="408"/>
      <c r="AN553" s="408">
        <v>0.2361188264789644</v>
      </c>
      <c r="AO553" s="408">
        <v>7.3446672895241356</v>
      </c>
      <c r="AP553" s="408">
        <v>23.616747491666683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0</v>
      </c>
      <c r="BE553" s="408">
        <v>3.5452788692305739E-2</v>
      </c>
      <c r="BF553" s="408">
        <v>0.9130807841176336</v>
      </c>
      <c r="BG553" s="408">
        <v>1.1871636416353972</v>
      </c>
      <c r="BH553" s="408">
        <v>0</v>
      </c>
      <c r="BI553" s="408">
        <v>0</v>
      </c>
      <c r="BJ553" s="408">
        <v>0</v>
      </c>
      <c r="BK553" s="408">
        <v>0</v>
      </c>
      <c r="BL553" s="408">
        <v>0</v>
      </c>
      <c r="BM553" s="408"/>
      <c r="BN553" s="408"/>
      <c r="BO553" s="408"/>
      <c r="BP553" s="408"/>
      <c r="BQ553" s="408"/>
      <c r="BR553" s="408">
        <v>9.6934959999999943</v>
      </c>
      <c r="BS553" s="408"/>
      <c r="BT553" s="408"/>
      <c r="BU553" s="408"/>
      <c r="BV553" s="408">
        <v>32.710902967318745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229.58279999999999</v>
      </c>
      <c r="CJ553" s="408">
        <v>-109.34275199999999</v>
      </c>
      <c r="CK553" s="408"/>
      <c r="CL553" s="408"/>
      <c r="CM553" s="408"/>
      <c r="CN553" s="408"/>
      <c r="CO553" s="408">
        <v>-114.70490000000001</v>
      </c>
      <c r="CP553" s="408">
        <v>4.0260999999999996</v>
      </c>
      <c r="CQ553" s="408">
        <v>31</v>
      </c>
      <c r="CR553" s="408">
        <v>5.838325634537</v>
      </c>
      <c r="CS553" s="408">
        <v>0.71312079227675618</v>
      </c>
      <c r="CT553" s="408">
        <v>2.2930369774922781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-1.0003438644601346</v>
      </c>
      <c r="DA553" s="408">
        <v>0</v>
      </c>
      <c r="DB553" s="408">
        <v>0</v>
      </c>
      <c r="DC553" s="408">
        <v>3.9246655771551389</v>
      </c>
      <c r="DD553" s="408">
        <v>0.11720401005809733</v>
      </c>
      <c r="DE553" s="408">
        <v>4.550757254733015E-3</v>
      </c>
      <c r="DF553" s="408">
        <v>0</v>
      </c>
      <c r="DG553" s="408">
        <v>0.15238557399858355</v>
      </c>
      <c r="DH553" s="408">
        <v>0</v>
      </c>
      <c r="DI553" s="408">
        <v>-0.29541155700660227</v>
      </c>
      <c r="DJ553" s="408"/>
      <c r="DK553" s="408">
        <v>0</v>
      </c>
      <c r="DL553" s="408">
        <v>0</v>
      </c>
      <c r="DM553" s="408">
        <v>-1.7096688775988023E-2</v>
      </c>
      <c r="DN553" s="408">
        <v>0</v>
      </c>
      <c r="DO553" s="408">
        <v>-4.6510194778834224E-2</v>
      </c>
      <c r="DP553" s="408">
        <v>-7.2757486770297086E-3</v>
      </c>
      <c r="DQ553" s="408">
        <v>0</v>
      </c>
      <c r="DR553" s="408">
        <v>0</v>
      </c>
      <c r="DS553" s="408"/>
      <c r="DT553" s="408"/>
      <c r="DU553" s="408"/>
      <c r="DV553" s="408">
        <v>220.07556654417351</v>
      </c>
      <c r="DW553" s="408">
        <v>0</v>
      </c>
      <c r="DX553" s="408">
        <v>0</v>
      </c>
      <c r="DY553" s="408">
        <v>-114.70490000000001</v>
      </c>
      <c r="DZ553" s="408">
        <v>4.0260999999999996</v>
      </c>
      <c r="EA553" s="408">
        <v>0</v>
      </c>
      <c r="EB553" s="408">
        <v>0</v>
      </c>
      <c r="EC553" s="408">
        <v>-116.51834507468995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239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558</v>
      </c>
      <c r="B554" s="408" t="s">
        <v>1034</v>
      </c>
      <c r="C554" s="408" t="s">
        <v>2241</v>
      </c>
      <c r="D554" s="408" t="s">
        <v>596</v>
      </c>
      <c r="E554" s="408" t="s">
        <v>972</v>
      </c>
      <c r="F554" s="408" t="s">
        <v>2251</v>
      </c>
      <c r="G554" s="408" t="s">
        <v>1320</v>
      </c>
      <c r="H554" s="408" t="s">
        <v>1320</v>
      </c>
      <c r="I554" s="408" t="s">
        <v>2242</v>
      </c>
      <c r="J554" s="408" t="s">
        <v>2234</v>
      </c>
      <c r="K554" s="827">
        <v>44621</v>
      </c>
      <c r="L554" s="408">
        <v>0</v>
      </c>
      <c r="M554" s="408">
        <v>0</v>
      </c>
      <c r="N554" s="408">
        <v>17.239000000000001</v>
      </c>
      <c r="O554" s="408">
        <v>16.549440000000001</v>
      </c>
      <c r="P554" s="408">
        <v>17.239000000000001</v>
      </c>
      <c r="Q554" s="408">
        <v>16.549440000000001</v>
      </c>
      <c r="R554" s="408"/>
      <c r="S554" s="408">
        <v>70.33</v>
      </c>
      <c r="T554" s="408">
        <v>173.82</v>
      </c>
      <c r="U554" s="408"/>
      <c r="V554" s="408">
        <v>4208.9018500000002</v>
      </c>
      <c r="W554" s="408">
        <v>4208.9018500000002</v>
      </c>
      <c r="X554" s="408">
        <v>4556.7848700000004</v>
      </c>
      <c r="Y554" s="408">
        <v>0</v>
      </c>
      <c r="Z554" s="408">
        <v>917.11525699693789</v>
      </c>
      <c r="AA554" s="408">
        <v>0</v>
      </c>
      <c r="AB554" s="408">
        <v>0</v>
      </c>
      <c r="AC554" s="408">
        <v>0</v>
      </c>
      <c r="AD554" s="408">
        <v>0</v>
      </c>
      <c r="AE554" s="408">
        <v>0</v>
      </c>
      <c r="AF554" s="408">
        <v>2774.1366945988671</v>
      </c>
      <c r="AG554" s="408">
        <v>139.56462349383835</v>
      </c>
      <c r="AH554" s="408">
        <v>0</v>
      </c>
      <c r="AI554" s="408">
        <v>0</v>
      </c>
      <c r="AJ554" s="408">
        <v>0</v>
      </c>
      <c r="AK554" s="408">
        <v>0</v>
      </c>
      <c r="AL554" s="408">
        <v>162.93435088069808</v>
      </c>
      <c r="AM554" s="408"/>
      <c r="AN554" s="408">
        <v>21.423433945636145</v>
      </c>
      <c r="AO554" s="408">
        <v>0</v>
      </c>
      <c r="AP554" s="408">
        <v>0</v>
      </c>
      <c r="AQ554" s="408">
        <v>0</v>
      </c>
      <c r="AR554" s="408">
        <v>0</v>
      </c>
      <c r="AS554" s="408">
        <v>0</v>
      </c>
      <c r="AT554" s="408">
        <v>0</v>
      </c>
      <c r="AU554" s="408">
        <v>0</v>
      </c>
      <c r="AV554" s="408">
        <v>0</v>
      </c>
      <c r="AW554" s="408">
        <v>0</v>
      </c>
      <c r="AX554" s="408">
        <v>0</v>
      </c>
      <c r="AY554" s="408">
        <v>0</v>
      </c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3.2166874961403087</v>
      </c>
      <c r="BF554" s="408">
        <v>82.845261249494143</v>
      </c>
      <c r="BG554" s="408">
        <v>107.71323167448743</v>
      </c>
      <c r="BH554" s="408">
        <v>0</v>
      </c>
      <c r="BI554" s="408">
        <v>0</v>
      </c>
      <c r="BJ554" s="408">
        <v>0</v>
      </c>
      <c r="BK554" s="408">
        <v>0</v>
      </c>
      <c r="BL554" s="408">
        <v>0</v>
      </c>
      <c r="BM554" s="408"/>
      <c r="BN554" s="408"/>
      <c r="BO554" s="408"/>
      <c r="BP554" s="408"/>
      <c r="BQ554" s="408"/>
      <c r="BR554" s="408">
        <v>182.27139480000005</v>
      </c>
      <c r="BS554" s="408"/>
      <c r="BT554" s="408"/>
      <c r="BU554" s="408"/>
      <c r="BV554" s="408">
        <v>2967.9118750189891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4374.6615000000002</v>
      </c>
      <c r="CJ554" s="408">
        <v>334.08572400000003</v>
      </c>
      <c r="CK554" s="408"/>
      <c r="CL554" s="408"/>
      <c r="CM554" s="408"/>
      <c r="CN554" s="408"/>
      <c r="CO554" s="408">
        <v>-17.41139000000009</v>
      </c>
      <c r="CP554" s="408">
        <v>365.29440999999997</v>
      </c>
      <c r="CQ554" s="408">
        <v>31</v>
      </c>
      <c r="CR554" s="408">
        <v>347.72984052717402</v>
      </c>
      <c r="CS554" s="408">
        <v>0</v>
      </c>
      <c r="CT554" s="408">
        <v>0</v>
      </c>
      <c r="CU554" s="408">
        <v>0</v>
      </c>
      <c r="CV554" s="408">
        <v>0</v>
      </c>
      <c r="CW554" s="408">
        <v>0</v>
      </c>
      <c r="CX554" s="408">
        <v>0</v>
      </c>
      <c r="CY554" s="408">
        <v>0</v>
      </c>
      <c r="CZ554" s="408">
        <v>0</v>
      </c>
      <c r="DA554" s="408">
        <v>0</v>
      </c>
      <c r="DB554" s="408">
        <v>0</v>
      </c>
      <c r="DC554" s="408">
        <v>356.09110465567073</v>
      </c>
      <c r="DD554" s="408">
        <v>10.634104891534406</v>
      </c>
      <c r="DE554" s="408">
        <v>0.41289739112811796</v>
      </c>
      <c r="DF554" s="408">
        <v>0</v>
      </c>
      <c r="DG554" s="408">
        <v>13.826183737692531</v>
      </c>
      <c r="DH554" s="408">
        <v>0</v>
      </c>
      <c r="DI554" s="408">
        <v>-26.803157006509537</v>
      </c>
      <c r="DJ554" s="408"/>
      <c r="DK554" s="408">
        <v>0</v>
      </c>
      <c r="DL554" s="408">
        <v>0</v>
      </c>
      <c r="DM554" s="408">
        <v>-1.5512095674171462</v>
      </c>
      <c r="DN554" s="408">
        <v>0</v>
      </c>
      <c r="DO554" s="408">
        <v>-4.2199434094332844</v>
      </c>
      <c r="DP554" s="408">
        <v>-0.66014016549113208</v>
      </c>
      <c r="DQ554" s="408">
        <v>0</v>
      </c>
      <c r="DR554" s="408">
        <v>0</v>
      </c>
      <c r="DS554" s="408"/>
      <c r="DT554" s="408"/>
      <c r="DU554" s="408"/>
      <c r="DV554" s="408">
        <v>0</v>
      </c>
      <c r="DW554" s="408">
        <v>0</v>
      </c>
      <c r="DX554" s="408">
        <v>0</v>
      </c>
      <c r="DY554" s="408">
        <v>-17.411389999999983</v>
      </c>
      <c r="DZ554" s="408">
        <v>365.29440999999997</v>
      </c>
      <c r="EA554" s="408">
        <v>0</v>
      </c>
      <c r="EB554" s="408">
        <v>0</v>
      </c>
      <c r="EC554" s="408">
        <v>0</v>
      </c>
      <c r="ED554" s="408">
        <v>0</v>
      </c>
      <c r="EE554" s="408">
        <v>0</v>
      </c>
      <c r="EF554" s="408">
        <v>0</v>
      </c>
      <c r="EG554" s="408">
        <v>0</v>
      </c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>
        <v>0</v>
      </c>
      <c r="EN554" s="408">
        <v>0</v>
      </c>
      <c r="EO554" s="408">
        <v>0</v>
      </c>
      <c r="EP554" s="408">
        <v>0</v>
      </c>
      <c r="EQ554" s="408">
        <v>0</v>
      </c>
      <c r="ER554" s="408">
        <v>0</v>
      </c>
      <c r="ES554" s="408">
        <v>0</v>
      </c>
      <c r="ET554" s="408">
        <v>0</v>
      </c>
      <c r="EU554" s="408">
        <v>0</v>
      </c>
      <c r="EV554" s="408">
        <v>239</v>
      </c>
      <c r="EW554" s="408">
        <v>0</v>
      </c>
      <c r="EX554" s="408">
        <v>0</v>
      </c>
      <c r="EY554" s="408">
        <v>0</v>
      </c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559</v>
      </c>
      <c r="B555" s="408" t="s">
        <v>1034</v>
      </c>
      <c r="C555" s="408" t="s">
        <v>2241</v>
      </c>
      <c r="D555" s="408" t="s">
        <v>596</v>
      </c>
      <c r="E555" s="408" t="s">
        <v>972</v>
      </c>
      <c r="F555" s="408" t="s">
        <v>2251</v>
      </c>
      <c r="G555" s="408" t="s">
        <v>1320</v>
      </c>
      <c r="H555" s="408" t="s">
        <v>1320</v>
      </c>
      <c r="I555" s="408" t="s">
        <v>1320</v>
      </c>
      <c r="J555" s="408" t="s">
        <v>2234</v>
      </c>
      <c r="K555" s="827">
        <v>44621</v>
      </c>
      <c r="L555" s="408">
        <v>1053</v>
      </c>
      <c r="M555" s="408">
        <v>1010.88</v>
      </c>
      <c r="N555" s="408">
        <v>0</v>
      </c>
      <c r="O555" s="408">
        <v>0</v>
      </c>
      <c r="P555" s="408">
        <v>0</v>
      </c>
      <c r="Q555" s="408">
        <v>0</v>
      </c>
      <c r="R555" s="408">
        <v>59.12</v>
      </c>
      <c r="S555" s="408"/>
      <c r="T555" s="408"/>
      <c r="U555" s="408">
        <v>62253.36</v>
      </c>
      <c r="V555" s="408"/>
      <c r="W555" s="408">
        <v>62253.36</v>
      </c>
      <c r="X555" s="408">
        <v>35833.590000000004</v>
      </c>
      <c r="Y555" s="408">
        <v>0</v>
      </c>
      <c r="Z555" s="408">
        <v>0</v>
      </c>
      <c r="AA555" s="408">
        <v>0</v>
      </c>
      <c r="AB555" s="408">
        <v>0</v>
      </c>
      <c r="AC555" s="408">
        <v>602.37956259036719</v>
      </c>
      <c r="AD555" s="408">
        <v>5388.2248512033484</v>
      </c>
      <c r="AE555" s="408">
        <v>50714.373033330587</v>
      </c>
      <c r="AF555" s="408"/>
      <c r="AG555" s="408"/>
      <c r="AH555" s="408"/>
      <c r="AI555" s="408">
        <v>0</v>
      </c>
      <c r="AJ555" s="408">
        <v>0</v>
      </c>
      <c r="AK555" s="408">
        <v>0</v>
      </c>
      <c r="AL555" s="408">
        <v>0</v>
      </c>
      <c r="AM555" s="408"/>
      <c r="AN555" s="408">
        <v>0</v>
      </c>
      <c r="AO555" s="408">
        <v>1272.0999378216331</v>
      </c>
      <c r="AP555" s="408">
        <v>4276.2202208129966</v>
      </c>
      <c r="AQ555" s="408">
        <v>0</v>
      </c>
      <c r="AR555" s="408">
        <v>0</v>
      </c>
      <c r="AS555" s="408"/>
      <c r="AT555" s="408"/>
      <c r="AU555" s="408">
        <v>0</v>
      </c>
      <c r="AV555" s="408">
        <v>0</v>
      </c>
      <c r="AW555" s="408">
        <v>0</v>
      </c>
      <c r="AX555" s="408"/>
      <c r="AY555" s="408"/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/>
      <c r="BG555" s="408">
        <v>0</v>
      </c>
      <c r="BH555" s="408">
        <v>0</v>
      </c>
      <c r="BI555" s="408">
        <v>0</v>
      </c>
      <c r="BJ555" s="408">
        <v>0</v>
      </c>
      <c r="BK555" s="408">
        <v>35.950000000000003</v>
      </c>
      <c r="BL555" s="408">
        <v>10</v>
      </c>
      <c r="BM555" s="408"/>
      <c r="BN555" s="408"/>
      <c r="BO555" s="408"/>
      <c r="BP555" s="408"/>
      <c r="BQ555" s="408"/>
      <c r="BR555" s="408">
        <v>1433.3436000000002</v>
      </c>
      <c r="BS555" s="408"/>
      <c r="BT555" s="408"/>
      <c r="BU555" s="408"/>
      <c r="BV555" s="408">
        <v>0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34400.246400000004</v>
      </c>
      <c r="CJ555" s="408">
        <v>-25363.0092</v>
      </c>
      <c r="CK555" s="408"/>
      <c r="CL555" s="408"/>
      <c r="CM555" s="408"/>
      <c r="CN555" s="408"/>
      <c r="CO555" s="408">
        <v>-26419.769999999997</v>
      </c>
      <c r="CP555" s="408">
        <v>0</v>
      </c>
      <c r="CQ555" s="408">
        <v>31</v>
      </c>
      <c r="CR555" s="408">
        <v>435.39189087518207</v>
      </c>
      <c r="CS555" s="408">
        <v>123.5128671939276</v>
      </c>
      <c r="CT555" s="408">
        <v>415.19396748789222</v>
      </c>
      <c r="CU555" s="408">
        <v>0</v>
      </c>
      <c r="CV555" s="408">
        <v>0</v>
      </c>
      <c r="CW555" s="408"/>
      <c r="CX555" s="408"/>
      <c r="CY555" s="408"/>
      <c r="CZ555" s="408">
        <v>-103.31494380663844</v>
      </c>
      <c r="DA555" s="408">
        <v>0</v>
      </c>
      <c r="DB555" s="408">
        <v>0</v>
      </c>
      <c r="DC555" s="408"/>
      <c r="DD555" s="408"/>
      <c r="DE555" s="408">
        <v>0</v>
      </c>
      <c r="DF555" s="408">
        <v>0</v>
      </c>
      <c r="DG555" s="408">
        <v>0</v>
      </c>
      <c r="DH555" s="408">
        <v>0</v>
      </c>
      <c r="DI555" s="408">
        <v>0</v>
      </c>
      <c r="DJ555" s="408"/>
      <c r="DK555" s="408">
        <v>0</v>
      </c>
      <c r="DL555" s="408">
        <v>0</v>
      </c>
      <c r="DM555" s="408"/>
      <c r="DN555" s="408">
        <v>0</v>
      </c>
      <c r="DO555" s="408">
        <v>0</v>
      </c>
      <c r="DP555" s="408">
        <v>0</v>
      </c>
      <c r="DQ555" s="408">
        <v>0</v>
      </c>
      <c r="DR555" s="408">
        <v>0</v>
      </c>
      <c r="DS555" s="408"/>
      <c r="DT555" s="408"/>
      <c r="DU555" s="408">
        <v>50714.373033330587</v>
      </c>
      <c r="DV555" s="408"/>
      <c r="DW555" s="408">
        <v>0</v>
      </c>
      <c r="DX555" s="408">
        <v>0</v>
      </c>
      <c r="DY555" s="408">
        <v>-26419.769999999997</v>
      </c>
      <c r="DZ555" s="408"/>
      <c r="EA555" s="408">
        <v>0</v>
      </c>
      <c r="EB555" s="408"/>
      <c r="EC555" s="408">
        <v>-26850.57187462967</v>
      </c>
      <c r="ED555" s="408"/>
      <c r="EE555" s="408">
        <v>0</v>
      </c>
      <c r="EF555" s="408">
        <v>0</v>
      </c>
      <c r="EG555" s="408"/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/>
      <c r="EN555" s="408"/>
      <c r="EO555" s="408">
        <v>0</v>
      </c>
      <c r="EP555" s="408">
        <v>0</v>
      </c>
      <c r="EQ555" s="408"/>
      <c r="ER555" s="408">
        <v>0</v>
      </c>
      <c r="ES555" s="408"/>
      <c r="ET555" s="408">
        <v>0</v>
      </c>
      <c r="EU555" s="408"/>
      <c r="EV555" s="408">
        <v>239</v>
      </c>
      <c r="EW555" s="408"/>
      <c r="EX555" s="408"/>
      <c r="EY555" s="408"/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560</v>
      </c>
      <c r="B556" s="408" t="s">
        <v>1034</v>
      </c>
      <c r="C556" s="408" t="s">
        <v>2241</v>
      </c>
      <c r="D556" s="408" t="s">
        <v>596</v>
      </c>
      <c r="E556" s="408" t="s">
        <v>972</v>
      </c>
      <c r="F556" s="408" t="s">
        <v>2251</v>
      </c>
      <c r="G556" s="408" t="s">
        <v>2253</v>
      </c>
      <c r="H556" s="408" t="s">
        <v>1320</v>
      </c>
      <c r="I556" s="408" t="s">
        <v>2242</v>
      </c>
      <c r="J556" s="408" t="s">
        <v>2234</v>
      </c>
      <c r="K556" s="827">
        <v>44621</v>
      </c>
      <c r="L556" s="408">
        <v>0</v>
      </c>
      <c r="M556" s="408">
        <v>0</v>
      </c>
      <c r="N556" s="408">
        <v>10.193</v>
      </c>
      <c r="O556" s="408">
        <v>3.0579000000000001</v>
      </c>
      <c r="P556" s="408">
        <v>10.193</v>
      </c>
      <c r="Q556" s="408">
        <v>3.0579000000000001</v>
      </c>
      <c r="R556" s="408"/>
      <c r="S556" s="408">
        <v>70.33</v>
      </c>
      <c r="T556" s="408">
        <v>173.82</v>
      </c>
      <c r="U556" s="408"/>
      <c r="V556" s="408">
        <v>2488.62095</v>
      </c>
      <c r="W556" s="408">
        <v>2488.62095</v>
      </c>
      <c r="X556" s="408">
        <v>2694.3156899999994</v>
      </c>
      <c r="Y556" s="408">
        <v>0</v>
      </c>
      <c r="Z556" s="408">
        <v>542.26787021113671</v>
      </c>
      <c r="AA556" s="408">
        <v>0</v>
      </c>
      <c r="AB556" s="408">
        <v>0</v>
      </c>
      <c r="AC556" s="408">
        <v>0</v>
      </c>
      <c r="AD556" s="408">
        <v>0</v>
      </c>
      <c r="AE556" s="408">
        <v>0</v>
      </c>
      <c r="AF556" s="408">
        <v>1640.2793275738875</v>
      </c>
      <c r="AG556" s="408">
        <v>82.521155941336161</v>
      </c>
      <c r="AH556" s="408">
        <v>0</v>
      </c>
      <c r="AI556" s="408">
        <v>0</v>
      </c>
      <c r="AJ556" s="408">
        <v>0</v>
      </c>
      <c r="AK556" s="408">
        <v>0</v>
      </c>
      <c r="AL556" s="408">
        <v>96.339105431112912</v>
      </c>
      <c r="AM556" s="408"/>
      <c r="AN556" s="408">
        <v>12.6671536752636</v>
      </c>
      <c r="AO556" s="408">
        <v>0</v>
      </c>
      <c r="AP556" s="408">
        <v>0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</v>
      </c>
      <c r="BE556" s="408">
        <v>1.9019488165298546</v>
      </c>
      <c r="BF556" s="408">
        <v>48.984381223742311</v>
      </c>
      <c r="BG556" s="408">
        <v>63.688205258892644</v>
      </c>
      <c r="BH556" s="408">
        <v>0</v>
      </c>
      <c r="BI556" s="408">
        <v>0</v>
      </c>
      <c r="BJ556" s="408">
        <v>0</v>
      </c>
      <c r="BK556" s="408">
        <v>0</v>
      </c>
      <c r="BL556" s="408">
        <v>0</v>
      </c>
      <c r="BM556" s="408"/>
      <c r="BN556" s="408"/>
      <c r="BO556" s="408"/>
      <c r="BP556" s="408"/>
      <c r="BQ556" s="408"/>
      <c r="BR556" s="408"/>
      <c r="BS556" s="408">
        <v>1886.0209829999997</v>
      </c>
      <c r="BT556" s="408"/>
      <c r="BU556" s="408"/>
      <c r="BV556" s="408">
        <v>1754.8538628730523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808.84979999999996</v>
      </c>
      <c r="CJ556" s="408">
        <v>62.233515000000011</v>
      </c>
      <c r="CK556" s="408"/>
      <c r="CL556" s="408"/>
      <c r="CM556" s="408"/>
      <c r="CN556" s="408"/>
      <c r="CO556" s="408">
        <v>-10.294930000000052</v>
      </c>
      <c r="CP556" s="408">
        <v>215.98966999999996</v>
      </c>
      <c r="CQ556" s="408">
        <v>31</v>
      </c>
      <c r="CR556" s="408">
        <v>205.60416871590542</v>
      </c>
      <c r="CS556" s="408">
        <v>0</v>
      </c>
      <c r="CT556" s="408">
        <v>0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0</v>
      </c>
      <c r="DA556" s="408">
        <v>0</v>
      </c>
      <c r="DB556" s="408">
        <v>0</v>
      </c>
      <c r="DC556" s="408">
        <v>210.54798014706512</v>
      </c>
      <c r="DD556" s="408">
        <v>6.2876867080114991</v>
      </c>
      <c r="DE556" s="408">
        <v>0.24413615103943997</v>
      </c>
      <c r="DF556" s="408">
        <v>0</v>
      </c>
      <c r="DG556" s="408">
        <v>8.1750850303555964</v>
      </c>
      <c r="DH556" s="408">
        <v>0</v>
      </c>
      <c r="DI556" s="408">
        <v>-15.848052634569854</v>
      </c>
      <c r="DJ556" s="408"/>
      <c r="DK556" s="408">
        <v>0</v>
      </c>
      <c r="DL556" s="408">
        <v>0</v>
      </c>
      <c r="DM556" s="408">
        <v>-0.91719236154548867</v>
      </c>
      <c r="DN556" s="408">
        <v>0</v>
      </c>
      <c r="DO556" s="408">
        <v>-2.4951495546350486</v>
      </c>
      <c r="DP556" s="408">
        <v>-0.39032476981559938</v>
      </c>
      <c r="DQ556" s="408">
        <v>0</v>
      </c>
      <c r="DR556" s="408">
        <v>0</v>
      </c>
      <c r="DS556" s="408"/>
      <c r="DT556" s="408"/>
      <c r="DU556" s="408"/>
      <c r="DV556" s="408">
        <v>0</v>
      </c>
      <c r="DW556" s="408">
        <v>0</v>
      </c>
      <c r="DX556" s="408">
        <v>0</v>
      </c>
      <c r="DY556" s="408">
        <v>-10.294930000000136</v>
      </c>
      <c r="DZ556" s="408">
        <v>215.98966999999993</v>
      </c>
      <c r="EA556" s="408">
        <v>0</v>
      </c>
      <c r="EB556" s="408">
        <v>0</v>
      </c>
      <c r="EC556" s="408">
        <v>0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239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561</v>
      </c>
      <c r="B557" s="408" t="s">
        <v>1034</v>
      </c>
      <c r="C557" s="408" t="s">
        <v>2233</v>
      </c>
      <c r="D557" s="408" t="s">
        <v>2243</v>
      </c>
      <c r="E557" s="408" t="s">
        <v>972</v>
      </c>
      <c r="F557" s="408" t="s">
        <v>2254</v>
      </c>
      <c r="G557" s="408" t="s">
        <v>2252</v>
      </c>
      <c r="H557" s="408" t="s">
        <v>1320</v>
      </c>
      <c r="I557" s="408" t="s">
        <v>1320</v>
      </c>
      <c r="J557" s="408" t="s">
        <v>2234</v>
      </c>
      <c r="K557" s="827">
        <v>44621</v>
      </c>
      <c r="L557" s="408">
        <v>0</v>
      </c>
      <c r="M557" s="408">
        <v>0</v>
      </c>
      <c r="N557" s="408">
        <v>0</v>
      </c>
      <c r="O557" s="408">
        <v>0</v>
      </c>
      <c r="P557" s="408">
        <v>0</v>
      </c>
      <c r="Q557" s="408">
        <v>0</v>
      </c>
      <c r="R557" s="408"/>
      <c r="S557" s="408"/>
      <c r="T557" s="408"/>
      <c r="U557" s="408"/>
      <c r="V557" s="408"/>
      <c r="W557" s="408"/>
      <c r="X557" s="408"/>
      <c r="Y557" s="408"/>
      <c r="Z557" s="408"/>
      <c r="AA557" s="408">
        <v>0</v>
      </c>
      <c r="AB557" s="408"/>
      <c r="AC557" s="408"/>
      <c r="AD557" s="408"/>
      <c r="AE557" s="408"/>
      <c r="AF557" s="408"/>
      <c r="AG557" s="408"/>
      <c r="AH557" s="408"/>
      <c r="AI557" s="408"/>
      <c r="AJ557" s="408"/>
      <c r="AK557" s="408"/>
      <c r="AL557" s="408"/>
      <c r="AM557" s="408"/>
      <c r="AN557" s="408"/>
      <c r="AO557" s="408"/>
      <c r="AP557" s="408"/>
      <c r="AQ557" s="408"/>
      <c r="AR557" s="408"/>
      <c r="AS557" s="408"/>
      <c r="AT557" s="408"/>
      <c r="AU557" s="408"/>
      <c r="AV557" s="408"/>
      <c r="AW557" s="408"/>
      <c r="AX557" s="408"/>
      <c r="AY557" s="408"/>
      <c r="AZ557" s="408">
        <v>0</v>
      </c>
      <c r="BA557" s="408"/>
      <c r="BB557" s="408"/>
      <c r="BC557" s="408"/>
      <c r="BD557" s="408"/>
      <c r="BE557" s="408"/>
      <c r="BF557" s="408"/>
      <c r="BG557" s="408"/>
      <c r="BH557" s="408"/>
      <c r="BI557" s="408">
        <v>0</v>
      </c>
      <c r="BJ557" s="408">
        <v>0</v>
      </c>
      <c r="BK557" s="408">
        <v>4.5199999999999996</v>
      </c>
      <c r="BL557" s="408">
        <v>1</v>
      </c>
      <c r="BM557" s="408"/>
      <c r="BN557" s="408"/>
      <c r="BO557" s="408"/>
      <c r="BP557" s="408"/>
      <c r="BQ557" s="408"/>
      <c r="BR557" s="408"/>
      <c r="BS557" s="408"/>
      <c r="BT557" s="408"/>
      <c r="BU557" s="408"/>
      <c r="BV557" s="408"/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/>
      <c r="CJ557" s="408">
        <v>-0.03</v>
      </c>
      <c r="CK557" s="408"/>
      <c r="CL557" s="408"/>
      <c r="CM557" s="408"/>
      <c r="CN557" s="408"/>
      <c r="CO557" s="408">
        <v>0</v>
      </c>
      <c r="CP557" s="408">
        <v>0</v>
      </c>
      <c r="CQ557" s="408">
        <v>31</v>
      </c>
      <c r="CR557" s="408"/>
      <c r="CS557" s="408"/>
      <c r="CT557" s="408"/>
      <c r="CU557" s="408"/>
      <c r="CV557" s="408"/>
      <c r="CW557" s="408"/>
      <c r="CX557" s="408"/>
      <c r="CY557" s="408"/>
      <c r="CZ557" s="408"/>
      <c r="DA557" s="408"/>
      <c r="DB557" s="408"/>
      <c r="DC557" s="408"/>
      <c r="DD557" s="408"/>
      <c r="DE557" s="408"/>
      <c r="DF557" s="408"/>
      <c r="DG557" s="408"/>
      <c r="DH557" s="408"/>
      <c r="DI557" s="408"/>
      <c r="DJ557" s="408"/>
      <c r="DK557" s="408">
        <v>0</v>
      </c>
      <c r="DL557" s="408"/>
      <c r="DM557" s="408"/>
      <c r="DN557" s="408"/>
      <c r="DO557" s="408"/>
      <c r="DP557" s="408"/>
      <c r="DQ557" s="408"/>
      <c r="DR557" s="408"/>
      <c r="DS557" s="408"/>
      <c r="DT557" s="408"/>
      <c r="DU557" s="408"/>
      <c r="DV557" s="408"/>
      <c r="DW557" s="408"/>
      <c r="DX557" s="408"/>
      <c r="DY557" s="408"/>
      <c r="DZ557" s="408"/>
      <c r="EA557" s="408"/>
      <c r="EB557" s="408"/>
      <c r="EC557" s="408"/>
      <c r="ED557" s="408"/>
      <c r="EE557" s="408"/>
      <c r="EF557" s="408"/>
      <c r="EG557" s="408"/>
      <c r="EH557" s="408"/>
      <c r="EI557" s="408"/>
      <c r="EJ557" s="408"/>
      <c r="EK557" s="408"/>
      <c r="EL557" s="408"/>
      <c r="EM557" s="408"/>
      <c r="EN557" s="408"/>
      <c r="EO557" s="408"/>
      <c r="EP557" s="408"/>
      <c r="EQ557" s="408"/>
      <c r="ER557" s="408"/>
      <c r="ES557" s="408"/>
      <c r="ET557" s="408"/>
      <c r="EU557" s="408"/>
      <c r="EV557" s="408">
        <v>239</v>
      </c>
      <c r="EW557" s="408"/>
      <c r="EX557" s="408"/>
      <c r="EY557" s="408"/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562</v>
      </c>
      <c r="B558" s="408" t="s">
        <v>1034</v>
      </c>
      <c r="C558" s="408" t="s">
        <v>2233</v>
      </c>
      <c r="D558" s="408" t="s">
        <v>2243</v>
      </c>
      <c r="E558" s="408" t="s">
        <v>972</v>
      </c>
      <c r="F558" s="408" t="s">
        <v>2254</v>
      </c>
      <c r="G558" s="408" t="s">
        <v>2252</v>
      </c>
      <c r="H558" s="408" t="s">
        <v>1320</v>
      </c>
      <c r="I558" s="408" t="s">
        <v>1320</v>
      </c>
      <c r="J558" s="408" t="s">
        <v>2234</v>
      </c>
      <c r="K558" s="827">
        <v>44621</v>
      </c>
      <c r="L558" s="408">
        <v>0</v>
      </c>
      <c r="M558" s="408">
        <v>0</v>
      </c>
      <c r="N558" s="408">
        <v>4.9000000000000002E-2</v>
      </c>
      <c r="O558" s="408">
        <v>4.9000000000000002E-2</v>
      </c>
      <c r="P558" s="408">
        <v>4.9000000000000002E-2</v>
      </c>
      <c r="Q558" s="408">
        <v>4.9000000000000002E-2</v>
      </c>
      <c r="R558" s="408"/>
      <c r="S558" s="408">
        <v>516.83000000000004</v>
      </c>
      <c r="T558" s="408">
        <v>173.82</v>
      </c>
      <c r="U558" s="408"/>
      <c r="V558" s="408">
        <v>33.841850000000008</v>
      </c>
      <c r="W558" s="408">
        <v>33.841850000000008</v>
      </c>
      <c r="X558" s="408">
        <v>25.551050000000004</v>
      </c>
      <c r="Y558" s="408">
        <v>0</v>
      </c>
      <c r="Z558" s="408">
        <v>2.9963233321431613</v>
      </c>
      <c r="AA558" s="408">
        <v>0</v>
      </c>
      <c r="AB558" s="408">
        <v>0</v>
      </c>
      <c r="AC558" s="408">
        <v>0.13320375959615263</v>
      </c>
      <c r="AD558" s="408">
        <v>1.6869039645812338</v>
      </c>
      <c r="AE558" s="408">
        <v>17.817173963168251</v>
      </c>
      <c r="AF558" s="408">
        <v>7.8851846415305111</v>
      </c>
      <c r="AG558" s="408">
        <v>0.39669740421126976</v>
      </c>
      <c r="AH558" s="408">
        <v>0</v>
      </c>
      <c r="AI558" s="408">
        <v>0</v>
      </c>
      <c r="AJ558" s="408">
        <v>0</v>
      </c>
      <c r="AK558" s="408">
        <v>0</v>
      </c>
      <c r="AL558" s="408">
        <v>0.46312333622334279</v>
      </c>
      <c r="AM558" s="408"/>
      <c r="AN558" s="408">
        <v>7.6025556767634811E-2</v>
      </c>
      <c r="AO558" s="408">
        <v>0.28412668517763656</v>
      </c>
      <c r="AP558" s="408">
        <v>0.93047647672883615</v>
      </c>
      <c r="AQ558" s="408">
        <v>0</v>
      </c>
      <c r="AR558" s="408">
        <v>0</v>
      </c>
      <c r="AS558" s="408">
        <v>0</v>
      </c>
      <c r="AT558" s="408">
        <v>0</v>
      </c>
      <c r="AU558" s="408">
        <v>0</v>
      </c>
      <c r="AV558" s="408">
        <v>0</v>
      </c>
      <c r="AW558" s="408">
        <v>0</v>
      </c>
      <c r="AX558" s="408">
        <v>0</v>
      </c>
      <c r="AY558" s="408">
        <v>0</v>
      </c>
      <c r="AZ558" s="408">
        <v>0</v>
      </c>
      <c r="BA558" s="408"/>
      <c r="BB558" s="408">
        <v>0</v>
      </c>
      <c r="BC558" s="408">
        <v>0</v>
      </c>
      <c r="BD558" s="408">
        <v>0</v>
      </c>
      <c r="BE558" s="408">
        <v>2.7185818235553199E-2</v>
      </c>
      <c r="BF558" s="408">
        <v>0.23547872853560026</v>
      </c>
      <c r="BG558" s="408">
        <v>0.91033783710113936</v>
      </c>
      <c r="BH558" s="408">
        <v>0</v>
      </c>
      <c r="BI558" s="408">
        <v>0</v>
      </c>
      <c r="BJ558" s="408">
        <v>0</v>
      </c>
      <c r="BK558" s="408">
        <v>0</v>
      </c>
      <c r="BL558" s="408">
        <v>0</v>
      </c>
      <c r="BM558" s="408"/>
      <c r="BN558" s="408"/>
      <c r="BO558" s="408"/>
      <c r="BP558" s="408"/>
      <c r="BQ558" s="408"/>
      <c r="BR558" s="408">
        <v>3.0659299999999998</v>
      </c>
      <c r="BS558" s="408"/>
      <c r="BT558" s="408"/>
      <c r="BU558" s="408"/>
      <c r="BV558" s="408">
        <v>9.0581870254028036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22.944000000000003</v>
      </c>
      <c r="CJ558" s="408">
        <v>-6.866730000000004</v>
      </c>
      <c r="CK558" s="408"/>
      <c r="CL558" s="408"/>
      <c r="CM558" s="408"/>
      <c r="CN558" s="408"/>
      <c r="CO558" s="408">
        <v>-9.3291100000000018</v>
      </c>
      <c r="CP558" s="408">
        <v>1.0383099999999998</v>
      </c>
      <c r="CQ558" s="408">
        <v>31</v>
      </c>
      <c r="CR558" s="408">
        <v>1.1419880716864022</v>
      </c>
      <c r="CS558" s="408">
        <v>2.7586906098503117E-2</v>
      </c>
      <c r="CT558" s="408">
        <v>9.034338740246961E-2</v>
      </c>
      <c r="CU558" s="408">
        <v>0</v>
      </c>
      <c r="CV558" s="408">
        <v>0</v>
      </c>
      <c r="CW558" s="408">
        <v>0</v>
      </c>
      <c r="CX558" s="408">
        <v>0</v>
      </c>
      <c r="CY558" s="408">
        <v>0</v>
      </c>
      <c r="CZ558" s="408">
        <v>-3.2345047417420947E-2</v>
      </c>
      <c r="DA558" s="408">
        <v>0</v>
      </c>
      <c r="DB558" s="408">
        <v>0</v>
      </c>
      <c r="DC558" s="408">
        <v>1.0121505962136936</v>
      </c>
      <c r="DD558" s="408">
        <v>3.0226297330772478E-2</v>
      </c>
      <c r="DE558" s="408">
        <v>3.4896002296187396E-3</v>
      </c>
      <c r="DF558" s="408">
        <v>0</v>
      </c>
      <c r="DG558" s="408">
        <v>0.11685192249333609</v>
      </c>
      <c r="DH558" s="408">
        <v>0</v>
      </c>
      <c r="DI558" s="408">
        <v>-8.7569064085439408E-2</v>
      </c>
      <c r="DJ558" s="408"/>
      <c r="DK558" s="408">
        <v>0</v>
      </c>
      <c r="DL558" s="408">
        <v>0</v>
      </c>
      <c r="DM558" s="408">
        <v>-4.4091460527547754E-3</v>
      </c>
      <c r="DN558" s="408">
        <v>0</v>
      </c>
      <c r="DO558" s="408">
        <v>-1.1994734442962562E-2</v>
      </c>
      <c r="DP558" s="408">
        <v>-2.3426460834192475E-3</v>
      </c>
      <c r="DQ558" s="408">
        <v>0</v>
      </c>
      <c r="DR558" s="408">
        <v>0</v>
      </c>
      <c r="DS558" s="408"/>
      <c r="DT558" s="408"/>
      <c r="DU558" s="408"/>
      <c r="DV558" s="408">
        <v>17.817173963168251</v>
      </c>
      <c r="DW558" s="408">
        <v>0</v>
      </c>
      <c r="DX558" s="408">
        <v>0</v>
      </c>
      <c r="DY558" s="408">
        <v>-9.3291100000000036</v>
      </c>
      <c r="DZ558" s="408">
        <v>1.038310000000001</v>
      </c>
      <c r="EA558" s="408">
        <v>0</v>
      </c>
      <c r="EB558" s="408">
        <v>0</v>
      </c>
      <c r="EC558" s="408">
        <v>-9.4332490275767231</v>
      </c>
      <c r="ED558" s="408">
        <v>0</v>
      </c>
      <c r="EE558" s="408">
        <v>0</v>
      </c>
      <c r="EF558" s="408">
        <v>0</v>
      </c>
      <c r="EG558" s="408">
        <v>0</v>
      </c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>
        <v>0</v>
      </c>
      <c r="EN558" s="408">
        <v>0</v>
      </c>
      <c r="EO558" s="408">
        <v>0</v>
      </c>
      <c r="EP558" s="408">
        <v>0</v>
      </c>
      <c r="EQ558" s="408">
        <v>0</v>
      </c>
      <c r="ER558" s="408">
        <v>0</v>
      </c>
      <c r="ES558" s="408">
        <v>0</v>
      </c>
      <c r="ET558" s="408">
        <v>0</v>
      </c>
      <c r="EU558" s="408">
        <v>0</v>
      </c>
      <c r="EV558" s="408">
        <v>239</v>
      </c>
      <c r="EW558" s="408">
        <v>0</v>
      </c>
      <c r="EX558" s="408">
        <v>0</v>
      </c>
      <c r="EY558" s="408">
        <v>0</v>
      </c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563</v>
      </c>
      <c r="B559" s="408" t="s">
        <v>1034</v>
      </c>
      <c r="C559" s="408" t="s">
        <v>2233</v>
      </c>
      <c r="D559" s="408" t="s">
        <v>2243</v>
      </c>
      <c r="E559" s="408" t="s">
        <v>972</v>
      </c>
      <c r="F559" s="408" t="s">
        <v>2254</v>
      </c>
      <c r="G559" s="408" t="s">
        <v>2253</v>
      </c>
      <c r="H559" s="408" t="s">
        <v>1320</v>
      </c>
      <c r="I559" s="408" t="s">
        <v>1320</v>
      </c>
      <c r="J559" s="408" t="s">
        <v>2234</v>
      </c>
      <c r="K559" s="827">
        <v>44621</v>
      </c>
      <c r="L559" s="408">
        <v>0</v>
      </c>
      <c r="M559" s="408">
        <v>0</v>
      </c>
      <c r="N559" s="408">
        <v>1E-3</v>
      </c>
      <c r="O559" s="408">
        <v>4.0000000000000002E-4</v>
      </c>
      <c r="P559" s="408">
        <v>1E-3</v>
      </c>
      <c r="Q559" s="408">
        <v>4.0000000000000002E-4</v>
      </c>
      <c r="R559" s="408"/>
      <c r="S559" s="408">
        <v>516.83000000000004</v>
      </c>
      <c r="T559" s="408">
        <v>173.82</v>
      </c>
      <c r="U559" s="408"/>
      <c r="V559" s="408">
        <v>0.69064999999999999</v>
      </c>
      <c r="W559" s="408">
        <v>0.69064999999999999</v>
      </c>
      <c r="X559" s="408">
        <v>0.52144999999999997</v>
      </c>
      <c r="Y559" s="408">
        <v>0</v>
      </c>
      <c r="Z559" s="408">
        <v>6.1149455758023698E-2</v>
      </c>
      <c r="AA559" s="408">
        <v>0</v>
      </c>
      <c r="AB559" s="408">
        <v>0</v>
      </c>
      <c r="AC559" s="408">
        <v>2.7184440733908702E-3</v>
      </c>
      <c r="AD559" s="408">
        <v>3.4426611522065997E-2</v>
      </c>
      <c r="AE559" s="408">
        <v>0.36361579516669901</v>
      </c>
      <c r="AF559" s="408">
        <v>0.160922135541439</v>
      </c>
      <c r="AG559" s="408">
        <v>8.0958653920667287E-3</v>
      </c>
      <c r="AH559" s="408">
        <v>0</v>
      </c>
      <c r="AI559" s="408">
        <v>0</v>
      </c>
      <c r="AJ559" s="408">
        <v>0</v>
      </c>
      <c r="AK559" s="408">
        <v>0</v>
      </c>
      <c r="AL559" s="408">
        <v>9.4514966576192405E-3</v>
      </c>
      <c r="AM559" s="408"/>
      <c r="AN559" s="408">
        <v>1.5515419748496899E-3</v>
      </c>
      <c r="AO559" s="408">
        <v>5.7985037791354402E-3</v>
      </c>
      <c r="AP559" s="408">
        <v>1.8989315851608901E-2</v>
      </c>
      <c r="AQ559" s="408">
        <v>0</v>
      </c>
      <c r="AR559" s="408">
        <v>0</v>
      </c>
      <c r="AS559" s="408">
        <v>0</v>
      </c>
      <c r="AT559" s="408">
        <v>0</v>
      </c>
      <c r="AU559" s="408">
        <v>0</v>
      </c>
      <c r="AV559" s="408">
        <v>0</v>
      </c>
      <c r="AW559" s="408">
        <v>0</v>
      </c>
      <c r="AX559" s="408">
        <v>0</v>
      </c>
      <c r="AY559" s="408">
        <v>0</v>
      </c>
      <c r="AZ559" s="408">
        <v>0</v>
      </c>
      <c r="BA559" s="408"/>
      <c r="BB559" s="408">
        <v>0</v>
      </c>
      <c r="BC559" s="408">
        <v>0</v>
      </c>
      <c r="BD559" s="408">
        <v>0</v>
      </c>
      <c r="BE559" s="408">
        <v>5.5481261705210604E-4</v>
      </c>
      <c r="BF559" s="408">
        <v>4.8056883374612298E-3</v>
      </c>
      <c r="BG559" s="408">
        <v>1.8578323206145702E-2</v>
      </c>
      <c r="BH559" s="408">
        <v>0</v>
      </c>
      <c r="BI559" s="408">
        <v>0</v>
      </c>
      <c r="BJ559" s="408">
        <v>0</v>
      </c>
      <c r="BK559" s="408">
        <v>0</v>
      </c>
      <c r="BL559" s="408">
        <v>0</v>
      </c>
      <c r="BM559" s="408"/>
      <c r="BN559" s="408"/>
      <c r="BO559" s="408"/>
      <c r="BP559" s="408"/>
      <c r="BQ559" s="408"/>
      <c r="BR559" s="408"/>
      <c r="BS559" s="408">
        <v>0.33789800000000003</v>
      </c>
      <c r="BT559" s="408"/>
      <c r="BU559" s="408"/>
      <c r="BV559" s="408">
        <v>0.18486095970209804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0</v>
      </c>
      <c r="CJ559" s="408">
        <v>-0.27310800000000002</v>
      </c>
      <c r="CK559" s="408"/>
      <c r="CL559" s="408"/>
      <c r="CM559" s="408"/>
      <c r="CN559" s="408"/>
      <c r="CO559" s="408">
        <v>-0.19039000000000006</v>
      </c>
      <c r="CP559" s="408">
        <v>2.1189999999999997E-2</v>
      </c>
      <c r="CQ559" s="408">
        <v>31</v>
      </c>
      <c r="CR559" s="408">
        <v>2.3305879014008046E-2</v>
      </c>
      <c r="CS559" s="408">
        <v>5.6299808364292016E-4</v>
      </c>
      <c r="CT559" s="408">
        <v>1.8437426000504006E-3</v>
      </c>
      <c r="CU559" s="408">
        <v>0</v>
      </c>
      <c r="CV559" s="408">
        <v>0</v>
      </c>
      <c r="CW559" s="408">
        <v>0</v>
      </c>
      <c r="CX559" s="408">
        <v>0</v>
      </c>
      <c r="CY559" s="408">
        <v>0</v>
      </c>
      <c r="CZ559" s="408">
        <v>-6.6010300851879894E-4</v>
      </c>
      <c r="DA559" s="408">
        <v>0</v>
      </c>
      <c r="DB559" s="408">
        <v>0</v>
      </c>
      <c r="DC559" s="408">
        <v>2.0656134616606009E-2</v>
      </c>
      <c r="DD559" s="408">
        <v>6.1686321083209098E-4</v>
      </c>
      <c r="DE559" s="408">
        <v>7.1216331216709039E-5</v>
      </c>
      <c r="DF559" s="408">
        <v>0</v>
      </c>
      <c r="DG559" s="408">
        <v>2.3847331121088985E-3</v>
      </c>
      <c r="DH559" s="408">
        <v>0</v>
      </c>
      <c r="DI559" s="408">
        <v>-1.7871237568456988E-3</v>
      </c>
      <c r="DJ559" s="408"/>
      <c r="DK559" s="408">
        <v>0</v>
      </c>
      <c r="DL559" s="408">
        <v>0</v>
      </c>
      <c r="DM559" s="408">
        <v>-8.9982572505198366E-5</v>
      </c>
      <c r="DN559" s="408">
        <v>0</v>
      </c>
      <c r="DO559" s="408">
        <v>-2.4479049883597073E-4</v>
      </c>
      <c r="DP559" s="408">
        <v>-4.7809103743249887E-5</v>
      </c>
      <c r="DQ559" s="408">
        <v>0</v>
      </c>
      <c r="DR559" s="408">
        <v>0</v>
      </c>
      <c r="DS559" s="408"/>
      <c r="DT559" s="408"/>
      <c r="DU559" s="408"/>
      <c r="DV559" s="408">
        <v>0.36361579516669901</v>
      </c>
      <c r="DW559" s="408">
        <v>0</v>
      </c>
      <c r="DX559" s="408">
        <v>0</v>
      </c>
      <c r="DY559" s="408">
        <v>-0.19039</v>
      </c>
      <c r="DZ559" s="408">
        <v>2.1189999999999987E-2</v>
      </c>
      <c r="EA559" s="408">
        <v>0</v>
      </c>
      <c r="EB559" s="408">
        <v>0</v>
      </c>
      <c r="EC559" s="408">
        <v>-0.19251528627707601</v>
      </c>
      <c r="ED559" s="408">
        <v>0</v>
      </c>
      <c r="EE559" s="408">
        <v>0</v>
      </c>
      <c r="EF559" s="408">
        <v>0</v>
      </c>
      <c r="EG559" s="408">
        <v>0</v>
      </c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>
        <v>0</v>
      </c>
      <c r="EN559" s="408">
        <v>0</v>
      </c>
      <c r="EO559" s="408">
        <v>0</v>
      </c>
      <c r="EP559" s="408">
        <v>0</v>
      </c>
      <c r="EQ559" s="408">
        <v>0</v>
      </c>
      <c r="ER559" s="408">
        <v>0</v>
      </c>
      <c r="ES559" s="408">
        <v>0</v>
      </c>
      <c r="ET559" s="408">
        <v>0</v>
      </c>
      <c r="EU559" s="408">
        <v>0</v>
      </c>
      <c r="EV559" s="408">
        <v>239</v>
      </c>
      <c r="EW559" s="408">
        <v>0</v>
      </c>
      <c r="EX559" s="408">
        <v>0</v>
      </c>
      <c r="EY559" s="408">
        <v>0</v>
      </c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564</v>
      </c>
      <c r="B560" s="408" t="s">
        <v>1034</v>
      </c>
      <c r="C560" s="408" t="s">
        <v>2233</v>
      </c>
      <c r="D560" s="408" t="s">
        <v>1953</v>
      </c>
      <c r="E560" s="408" t="s">
        <v>967</v>
      </c>
      <c r="F560" s="408" t="s">
        <v>967</v>
      </c>
      <c r="G560" s="408" t="s">
        <v>1320</v>
      </c>
      <c r="H560" s="408" t="s">
        <v>1320</v>
      </c>
      <c r="I560" s="408" t="s">
        <v>1320</v>
      </c>
      <c r="J560" s="408" t="s">
        <v>2234</v>
      </c>
      <c r="K560" s="827">
        <v>44652</v>
      </c>
      <c r="L560" s="408">
        <v>0</v>
      </c>
      <c r="M560" s="408">
        <v>0</v>
      </c>
      <c r="N560" s="408">
        <v>1837.671</v>
      </c>
      <c r="O560" s="408">
        <v>1837.671</v>
      </c>
      <c r="P560" s="408">
        <v>1837.671</v>
      </c>
      <c r="Q560" s="408">
        <v>1837.671</v>
      </c>
      <c r="R560" s="408"/>
      <c r="S560" s="408">
        <v>516.83000000000004</v>
      </c>
      <c r="T560" s="408">
        <v>173.82</v>
      </c>
      <c r="U560" s="408"/>
      <c r="V560" s="408">
        <v>1269187.47615</v>
      </c>
      <c r="W560" s="408">
        <v>1269187.47615</v>
      </c>
      <c r="X560" s="408">
        <v>958253.54294999992</v>
      </c>
      <c r="Y560" s="408">
        <v>0</v>
      </c>
      <c r="Z560" s="408">
        <v>112372.58151230316</v>
      </c>
      <c r="AA560" s="408">
        <v>0</v>
      </c>
      <c r="AB560" s="408">
        <v>0</v>
      </c>
      <c r="AC560" s="408">
        <v>4995.605838792274</v>
      </c>
      <c r="AD560" s="408">
        <v>63264.785622366544</v>
      </c>
      <c r="AE560" s="408">
        <v>668206.20191978291</v>
      </c>
      <c r="AF560" s="408">
        <v>295721.94174257171</v>
      </c>
      <c r="AG560" s="408">
        <v>14877.537050904659</v>
      </c>
      <c r="AH560" s="408">
        <v>0</v>
      </c>
      <c r="AI560" s="408">
        <v>0</v>
      </c>
      <c r="AJ560" s="408">
        <v>0</v>
      </c>
      <c r="AK560" s="408">
        <v>0</v>
      </c>
      <c r="AL560" s="408">
        <v>17368.741314303807</v>
      </c>
      <c r="AM560" s="408"/>
      <c r="AN560" s="408">
        <v>2851.2236924640047</v>
      </c>
      <c r="AO560" s="408">
        <v>10655.742238307603</v>
      </c>
      <c r="AP560" s="408">
        <v>34896.115050341978</v>
      </c>
      <c r="AQ560" s="408">
        <v>0</v>
      </c>
      <c r="AR560" s="408">
        <v>0</v>
      </c>
      <c r="AS560" s="408">
        <v>0</v>
      </c>
      <c r="AT560" s="408">
        <v>0</v>
      </c>
      <c r="AU560" s="408">
        <v>0</v>
      </c>
      <c r="AV560" s="408">
        <v>0</v>
      </c>
      <c r="AW560" s="408">
        <v>0</v>
      </c>
      <c r="AX560" s="408">
        <v>0</v>
      </c>
      <c r="AY560" s="408">
        <v>0</v>
      </c>
      <c r="AZ560" s="408">
        <v>0</v>
      </c>
      <c r="BA560" s="408"/>
      <c r="BB560" s="408">
        <v>0</v>
      </c>
      <c r="BC560" s="408">
        <v>0</v>
      </c>
      <c r="BD560" s="408">
        <v>0</v>
      </c>
      <c r="BE560" s="408">
        <v>1019.5630567907608</v>
      </c>
      <c r="BF560" s="408">
        <v>8831.2740927907162</v>
      </c>
      <c r="BG560" s="408">
        <v>34140.845784560974</v>
      </c>
      <c r="BH560" s="408">
        <v>0</v>
      </c>
      <c r="BI560" s="408">
        <v>2161.92</v>
      </c>
      <c r="BJ560" s="408">
        <v>10250.39</v>
      </c>
      <c r="BK560" s="408">
        <v>385943.26</v>
      </c>
      <c r="BL560" s="408">
        <v>12481</v>
      </c>
      <c r="BM560" s="408"/>
      <c r="BN560" s="408"/>
      <c r="BO560" s="408"/>
      <c r="BP560" s="408"/>
      <c r="BQ560" s="408"/>
      <c r="BR560" s="408"/>
      <c r="BS560" s="408"/>
      <c r="BT560" s="408"/>
      <c r="BU560" s="408"/>
      <c r="BV560" s="408">
        <v>339713.62467671413</v>
      </c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>
        <v>958253.02150000003</v>
      </c>
      <c r="CJ560" s="408">
        <v>-310934.48465</v>
      </c>
      <c r="CK560" s="408"/>
      <c r="CL560" s="408"/>
      <c r="CM560" s="408"/>
      <c r="CN560" s="408"/>
      <c r="CO560" s="408">
        <v>-349874.18169000011</v>
      </c>
      <c r="CP560" s="408">
        <v>38940.248489999998</v>
      </c>
      <c r="CQ560" s="408">
        <v>30</v>
      </c>
      <c r="CR560" s="408">
        <v>42828.537993551348</v>
      </c>
      <c r="CS560" s="408">
        <v>1034.6052513661707</v>
      </c>
      <c r="CT560" s="408">
        <v>3388.1923075772211</v>
      </c>
      <c r="CU560" s="408">
        <v>0</v>
      </c>
      <c r="CV560" s="408">
        <v>0</v>
      </c>
      <c r="CW560" s="408">
        <v>0</v>
      </c>
      <c r="CX560" s="408">
        <v>0</v>
      </c>
      <c r="CY560" s="408">
        <v>0</v>
      </c>
      <c r="CZ560" s="408">
        <v>-1213.0521557677421</v>
      </c>
      <c r="DA560" s="408">
        <v>0</v>
      </c>
      <c r="DB560" s="408">
        <v>0</v>
      </c>
      <c r="DC560" s="408">
        <v>37959.179557033</v>
      </c>
      <c r="DD560" s="408">
        <v>1133.5916335130187</v>
      </c>
      <c r="DE560" s="408">
        <v>130.87218660334088</v>
      </c>
      <c r="DF560" s="408">
        <v>0</v>
      </c>
      <c r="DG560" s="408">
        <v>4382.3548828622806</v>
      </c>
      <c r="DH560" s="408">
        <v>0</v>
      </c>
      <c r="DI560" s="408">
        <v>-3284.1455013663945</v>
      </c>
      <c r="DJ560" s="408"/>
      <c r="DK560" s="408">
        <v>0</v>
      </c>
      <c r="DL560" s="408">
        <v>0</v>
      </c>
      <c r="DM560" s="408">
        <v>-165.35836399820255</v>
      </c>
      <c r="DN560" s="408">
        <v>0</v>
      </c>
      <c r="DO560" s="408">
        <v>-449.84440078639454</v>
      </c>
      <c r="DP560" s="408">
        <v>-87.857403484962106</v>
      </c>
      <c r="DQ560" s="408">
        <v>0</v>
      </c>
      <c r="DR560" s="408">
        <v>0</v>
      </c>
      <c r="DS560" s="408"/>
      <c r="DT560" s="408"/>
      <c r="DU560" s="408"/>
      <c r="DV560" s="408">
        <v>668206.20191978291</v>
      </c>
      <c r="DW560" s="408">
        <v>0</v>
      </c>
      <c r="DX560" s="408">
        <v>0</v>
      </c>
      <c r="DY560" s="408">
        <v>-349874.18169000011</v>
      </c>
      <c r="DZ560" s="408">
        <v>38940.248490000027</v>
      </c>
      <c r="EA560" s="408">
        <v>0</v>
      </c>
      <c r="EB560" s="408">
        <v>0</v>
      </c>
      <c r="EC560" s="408">
        <v>-353779.75864808052</v>
      </c>
      <c r="ED560" s="408">
        <v>0</v>
      </c>
      <c r="EE560" s="408">
        <v>0</v>
      </c>
      <c r="EF560" s="408">
        <v>0</v>
      </c>
      <c r="EG560" s="408">
        <v>0</v>
      </c>
      <c r="EH560" s="408">
        <v>0</v>
      </c>
      <c r="EI560" s="408">
        <v>0</v>
      </c>
      <c r="EJ560" s="408">
        <v>0</v>
      </c>
      <c r="EK560" s="408">
        <v>0</v>
      </c>
      <c r="EL560" s="408">
        <v>0</v>
      </c>
      <c r="EM560" s="408">
        <v>0</v>
      </c>
      <c r="EN560" s="408">
        <v>0</v>
      </c>
      <c r="EO560" s="408">
        <v>0</v>
      </c>
      <c r="EP560" s="408">
        <v>0</v>
      </c>
      <c r="EQ560" s="408">
        <v>0</v>
      </c>
      <c r="ER560" s="408">
        <v>0</v>
      </c>
      <c r="ES560" s="408">
        <v>0</v>
      </c>
      <c r="ET560" s="408">
        <v>0</v>
      </c>
      <c r="EU560" s="408">
        <v>0</v>
      </c>
      <c r="EV560" s="408">
        <v>239</v>
      </c>
      <c r="EW560" s="408">
        <v>0</v>
      </c>
      <c r="EX560" s="408">
        <v>0</v>
      </c>
      <c r="EY560" s="408">
        <v>0</v>
      </c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565</v>
      </c>
      <c r="B561" s="408" t="s">
        <v>2235</v>
      </c>
      <c r="C561" s="408" t="s">
        <v>2233</v>
      </c>
      <c r="D561" s="408" t="s">
        <v>1953</v>
      </c>
      <c r="E561" s="408" t="s">
        <v>967</v>
      </c>
      <c r="F561" s="408" t="s">
        <v>967</v>
      </c>
      <c r="G561" s="408" t="s">
        <v>1320</v>
      </c>
      <c r="H561" s="408" t="s">
        <v>1320</v>
      </c>
      <c r="I561" s="408" t="s">
        <v>1320</v>
      </c>
      <c r="J561" s="408" t="s">
        <v>2234</v>
      </c>
      <c r="K561" s="827">
        <v>44652</v>
      </c>
      <c r="L561" s="408">
        <v>0</v>
      </c>
      <c r="M561" s="408">
        <v>0</v>
      </c>
      <c r="N561" s="408">
        <v>-7.9930000000000003</v>
      </c>
      <c r="O561" s="408">
        <v>-7.9930000000000003</v>
      </c>
      <c r="P561" s="408">
        <v>-7.9930000000000003</v>
      </c>
      <c r="Q561" s="408">
        <v>-7.9930000000000003</v>
      </c>
      <c r="R561" s="408"/>
      <c r="S561" s="408">
        <v>516.83000000000004</v>
      </c>
      <c r="T561" s="408">
        <v>173.82</v>
      </c>
      <c r="U561" s="408"/>
      <c r="V561" s="408">
        <v>-5520.3654500000011</v>
      </c>
      <c r="W561" s="408">
        <v>-5520.3654500000011</v>
      </c>
      <c r="X561" s="408">
        <v>-4167.94985</v>
      </c>
      <c r="Y561" s="408">
        <v>0</v>
      </c>
      <c r="Z561" s="408">
        <v>-488.76759987388346</v>
      </c>
      <c r="AA561" s="408">
        <v>0</v>
      </c>
      <c r="AB561" s="408">
        <v>0</v>
      </c>
      <c r="AC561" s="408">
        <v>-21.728523478613226</v>
      </c>
      <c r="AD561" s="408">
        <v>-275.17190589587352</v>
      </c>
      <c r="AE561" s="408">
        <v>-2906.3810507674252</v>
      </c>
      <c r="AF561" s="408">
        <v>-1286.2506293827219</v>
      </c>
      <c r="AG561" s="408">
        <v>-64.710252078789367</v>
      </c>
      <c r="AH561" s="408">
        <v>0</v>
      </c>
      <c r="AI561" s="408">
        <v>0</v>
      </c>
      <c r="AJ561" s="408">
        <v>0</v>
      </c>
      <c r="AK561" s="408">
        <v>0</v>
      </c>
      <c r="AL561" s="408">
        <v>-75.545812784350588</v>
      </c>
      <c r="AM561" s="408"/>
      <c r="AN561" s="408">
        <v>-12.401475004973571</v>
      </c>
      <c r="AO561" s="408">
        <v>-46.34744070662957</v>
      </c>
      <c r="AP561" s="408">
        <v>-151.78160160190995</v>
      </c>
      <c r="AQ561" s="408">
        <v>0</v>
      </c>
      <c r="AR561" s="408">
        <v>0</v>
      </c>
      <c r="AS561" s="408">
        <v>0</v>
      </c>
      <c r="AT561" s="408">
        <v>0</v>
      </c>
      <c r="AU561" s="408">
        <v>0</v>
      </c>
      <c r="AV561" s="408">
        <v>0</v>
      </c>
      <c r="AW561" s="408">
        <v>0</v>
      </c>
      <c r="AX561" s="408">
        <v>0</v>
      </c>
      <c r="AY561" s="408">
        <v>0</v>
      </c>
      <c r="AZ561" s="408">
        <v>0</v>
      </c>
      <c r="BA561" s="408"/>
      <c r="BB561" s="408">
        <v>0</v>
      </c>
      <c r="BC561" s="408">
        <v>0</v>
      </c>
      <c r="BD561" s="408">
        <v>0</v>
      </c>
      <c r="BE561" s="408">
        <v>-4.4346172480974841</v>
      </c>
      <c r="BF561" s="408">
        <v>-38.411866881327612</v>
      </c>
      <c r="BG561" s="408">
        <v>-148.49653738672259</v>
      </c>
      <c r="BH561" s="408">
        <v>0</v>
      </c>
      <c r="BI561" s="408">
        <v>-0.84</v>
      </c>
      <c r="BJ561" s="408">
        <v>-3.86</v>
      </c>
      <c r="BK561" s="408">
        <v>-1777.56</v>
      </c>
      <c r="BL561" s="408">
        <v>0</v>
      </c>
      <c r="BM561" s="408"/>
      <c r="BN561" s="408"/>
      <c r="BO561" s="408"/>
      <c r="BP561" s="408"/>
      <c r="BQ561" s="408"/>
      <c r="BR561" s="408"/>
      <c r="BS561" s="408"/>
      <c r="BT561" s="408"/>
      <c r="BU561" s="408"/>
      <c r="BV561" s="408">
        <v>-1477.5936508988696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-4166.3855000000003</v>
      </c>
      <c r="CJ561" s="408">
        <v>1353.9499500000002</v>
      </c>
      <c r="CK561" s="408"/>
      <c r="CL561" s="408"/>
      <c r="CM561" s="408"/>
      <c r="CN561" s="408"/>
      <c r="CO561" s="408">
        <v>1521.7872700000005</v>
      </c>
      <c r="CP561" s="408">
        <v>-169.37166999999999</v>
      </c>
      <c r="CQ561" s="408">
        <v>30</v>
      </c>
      <c r="CR561" s="408">
        <v>-186.28389095896591</v>
      </c>
      <c r="CS561" s="408">
        <v>-4.500043682557866</v>
      </c>
      <c r="CT561" s="408">
        <v>-14.73703460220284</v>
      </c>
      <c r="CU561" s="408">
        <v>0</v>
      </c>
      <c r="CV561" s="408">
        <v>0</v>
      </c>
      <c r="CW561" s="408">
        <v>0</v>
      </c>
      <c r="CX561" s="408">
        <v>0</v>
      </c>
      <c r="CY561" s="408">
        <v>0</v>
      </c>
      <c r="CZ561" s="408">
        <v>5.2762033470907568</v>
      </c>
      <c r="DA561" s="408">
        <v>0</v>
      </c>
      <c r="DB561" s="408">
        <v>0</v>
      </c>
      <c r="DC561" s="408">
        <v>-165.10448399053189</v>
      </c>
      <c r="DD561" s="408">
        <v>-4.9305876441809033</v>
      </c>
      <c r="DE561" s="408">
        <v>-0.56923213541515505</v>
      </c>
      <c r="DF561" s="408">
        <v>0</v>
      </c>
      <c r="DG561" s="408">
        <v>-19.061171765086442</v>
      </c>
      <c r="DH561" s="408">
        <v>0</v>
      </c>
      <c r="DI561" s="408">
        <v>14.284480188467683</v>
      </c>
      <c r="DJ561" s="408"/>
      <c r="DK561" s="408">
        <v>0</v>
      </c>
      <c r="DL561" s="408">
        <v>0</v>
      </c>
      <c r="DM561" s="408">
        <v>0.7192307020340607</v>
      </c>
      <c r="DN561" s="408">
        <v>0</v>
      </c>
      <c r="DO561" s="408">
        <v>1.9566104571959073</v>
      </c>
      <c r="DP561" s="408">
        <v>0.38213816621979646</v>
      </c>
      <c r="DQ561" s="408">
        <v>0</v>
      </c>
      <c r="DR561" s="408">
        <v>0</v>
      </c>
      <c r="DS561" s="408"/>
      <c r="DT561" s="408"/>
      <c r="DU561" s="408"/>
      <c r="DV561" s="408">
        <v>-2906.3810507674252</v>
      </c>
      <c r="DW561" s="408">
        <v>0</v>
      </c>
      <c r="DX561" s="408">
        <v>0</v>
      </c>
      <c r="DY561" s="408">
        <v>1521.7872700000007</v>
      </c>
      <c r="DZ561" s="408">
        <v>-169.37166999999999</v>
      </c>
      <c r="EA561" s="408">
        <v>0</v>
      </c>
      <c r="EB561" s="408">
        <v>0</v>
      </c>
      <c r="EC561" s="408">
        <v>1538.7746832126686</v>
      </c>
      <c r="ED561" s="408">
        <v>0</v>
      </c>
      <c r="EE561" s="408">
        <v>0</v>
      </c>
      <c r="EF561" s="408">
        <v>0</v>
      </c>
      <c r="EG561" s="408">
        <v>0</v>
      </c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>
        <v>0</v>
      </c>
      <c r="EN561" s="408">
        <v>0</v>
      </c>
      <c r="EO561" s="408">
        <v>0</v>
      </c>
      <c r="EP561" s="408">
        <v>0</v>
      </c>
      <c r="EQ561" s="408">
        <v>0</v>
      </c>
      <c r="ER561" s="408">
        <v>0</v>
      </c>
      <c r="ES561" s="408">
        <v>0</v>
      </c>
      <c r="ET561" s="408">
        <v>0</v>
      </c>
      <c r="EU561" s="408">
        <v>0</v>
      </c>
      <c r="EV561" s="408">
        <v>239</v>
      </c>
      <c r="EW561" s="408">
        <v>0</v>
      </c>
      <c r="EX561" s="408">
        <v>0</v>
      </c>
      <c r="EY561" s="408">
        <v>0</v>
      </c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566</v>
      </c>
      <c r="B562" s="408" t="s">
        <v>2236</v>
      </c>
      <c r="C562" s="408" t="s">
        <v>2233</v>
      </c>
      <c r="D562" s="408" t="s">
        <v>1953</v>
      </c>
      <c r="E562" s="408" t="s">
        <v>967</v>
      </c>
      <c r="F562" s="408" t="s">
        <v>967</v>
      </c>
      <c r="G562" s="408" t="s">
        <v>1320</v>
      </c>
      <c r="H562" s="408" t="s">
        <v>1320</v>
      </c>
      <c r="I562" s="408" t="s">
        <v>1320</v>
      </c>
      <c r="J562" s="408" t="s">
        <v>2234</v>
      </c>
      <c r="K562" s="827">
        <v>44652</v>
      </c>
      <c r="L562" s="408">
        <v>0</v>
      </c>
      <c r="M562" s="408">
        <v>0</v>
      </c>
      <c r="N562" s="408">
        <v>26.408999999999999</v>
      </c>
      <c r="O562" s="408">
        <v>26.408999999999999</v>
      </c>
      <c r="P562" s="408">
        <v>26.408999999999999</v>
      </c>
      <c r="Q562" s="408">
        <v>26.408999999999999</v>
      </c>
      <c r="R562" s="408"/>
      <c r="S562" s="408">
        <v>516.83000000000004</v>
      </c>
      <c r="T562" s="408">
        <v>173.82</v>
      </c>
      <c r="U562" s="408"/>
      <c r="V562" s="408">
        <v>18239.37585</v>
      </c>
      <c r="W562" s="408">
        <v>18239.37585</v>
      </c>
      <c r="X562" s="408">
        <v>13770.973049999999</v>
      </c>
      <c r="Y562" s="408">
        <v>0</v>
      </c>
      <c r="Z562" s="408">
        <v>1614.8959771136479</v>
      </c>
      <c r="AA562" s="408">
        <v>0</v>
      </c>
      <c r="AB562" s="408">
        <v>0</v>
      </c>
      <c r="AC562" s="408">
        <v>71.791389534179487</v>
      </c>
      <c r="AD562" s="408">
        <v>909.17238368624089</v>
      </c>
      <c r="AE562" s="408">
        <v>9602.729534557353</v>
      </c>
      <c r="AF562" s="408">
        <v>4249.7926775138621</v>
      </c>
      <c r="AG562" s="408">
        <v>213.80370913909024</v>
      </c>
      <c r="AH562" s="408">
        <v>0</v>
      </c>
      <c r="AI562" s="408">
        <v>0</v>
      </c>
      <c r="AJ562" s="408">
        <v>0</v>
      </c>
      <c r="AK562" s="408">
        <v>0</v>
      </c>
      <c r="AL562" s="408">
        <v>249.60457523106649</v>
      </c>
      <c r="AM562" s="408"/>
      <c r="AN562" s="408">
        <v>40.97467201380546</v>
      </c>
      <c r="AO562" s="408">
        <v>153.13268630318782</v>
      </c>
      <c r="AP562" s="408">
        <v>501.48884232513944</v>
      </c>
      <c r="AQ562" s="408">
        <v>0</v>
      </c>
      <c r="AR562" s="408">
        <v>0</v>
      </c>
      <c r="AS562" s="408">
        <v>0</v>
      </c>
      <c r="AT562" s="408">
        <v>0</v>
      </c>
      <c r="AU562" s="408">
        <v>0</v>
      </c>
      <c r="AV562" s="408">
        <v>0</v>
      </c>
      <c r="AW562" s="408">
        <v>0</v>
      </c>
      <c r="AX562" s="408">
        <v>0</v>
      </c>
      <c r="AY562" s="408">
        <v>0</v>
      </c>
      <c r="AZ562" s="408">
        <v>0</v>
      </c>
      <c r="BA562" s="408"/>
      <c r="BB562" s="408">
        <v>0</v>
      </c>
      <c r="BC562" s="408">
        <v>0</v>
      </c>
      <c r="BD562" s="408">
        <v>0</v>
      </c>
      <c r="BE562" s="408">
        <v>14.652046403729068</v>
      </c>
      <c r="BF562" s="408">
        <v>126.91342330401361</v>
      </c>
      <c r="BG562" s="408">
        <v>490.63493755110181</v>
      </c>
      <c r="BH562" s="408">
        <v>0</v>
      </c>
      <c r="BI562" s="408">
        <v>30.06</v>
      </c>
      <c r="BJ562" s="408">
        <v>147.21</v>
      </c>
      <c r="BK562" s="408">
        <v>15006.11</v>
      </c>
      <c r="BL562" s="408">
        <v>343</v>
      </c>
      <c r="BM562" s="408"/>
      <c r="BN562" s="408"/>
      <c r="BO562" s="408"/>
      <c r="BP562" s="408"/>
      <c r="BQ562" s="408"/>
      <c r="BR562" s="408"/>
      <c r="BS562" s="408"/>
      <c r="BT562" s="408"/>
      <c r="BU562" s="408"/>
      <c r="BV562" s="408">
        <v>4881.9930847727073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13771.494500000001</v>
      </c>
      <c r="CJ562" s="408">
        <v>-4467.9113499999985</v>
      </c>
      <c r="CK562" s="408"/>
      <c r="CL562" s="408"/>
      <c r="CM562" s="408"/>
      <c r="CN562" s="408"/>
      <c r="CO562" s="408">
        <v>-5028.0095100000008</v>
      </c>
      <c r="CP562" s="408">
        <v>559.60670999999991</v>
      </c>
      <c r="CQ562" s="408">
        <v>30</v>
      </c>
      <c r="CR562" s="408">
        <v>615.48495888093748</v>
      </c>
      <c r="CS562" s="408">
        <v>14.86821639092588</v>
      </c>
      <c r="CT562" s="408">
        <v>48.69139832473104</v>
      </c>
      <c r="CU562" s="408">
        <v>0</v>
      </c>
      <c r="CV562" s="408">
        <v>0</v>
      </c>
      <c r="CW562" s="408">
        <v>0</v>
      </c>
      <c r="CX562" s="408">
        <v>0</v>
      </c>
      <c r="CY562" s="408">
        <v>0</v>
      </c>
      <c r="CZ562" s="408">
        <v>-17.432660351972913</v>
      </c>
      <c r="DA562" s="408">
        <v>0</v>
      </c>
      <c r="DB562" s="408">
        <v>0</v>
      </c>
      <c r="DC562" s="408">
        <v>545.5078590899484</v>
      </c>
      <c r="DD562" s="408">
        <v>16.290740534864682</v>
      </c>
      <c r="DE562" s="408">
        <v>1.8807520911020692</v>
      </c>
      <c r="DF562" s="408">
        <v>0</v>
      </c>
      <c r="DG562" s="408">
        <v>62.978416757683874</v>
      </c>
      <c r="DH562" s="408">
        <v>0</v>
      </c>
      <c r="DI562" s="408">
        <v>-47.19615129453814</v>
      </c>
      <c r="DJ562" s="408"/>
      <c r="DK562" s="408">
        <v>0</v>
      </c>
      <c r="DL562" s="408">
        <v>0</v>
      </c>
      <c r="DM562" s="408">
        <v>-2.3763497572898302</v>
      </c>
      <c r="DN562" s="408">
        <v>0</v>
      </c>
      <c r="DO562" s="408">
        <v>-6.4646722837591426</v>
      </c>
      <c r="DP562" s="408">
        <v>-1.2625906207554891</v>
      </c>
      <c r="DQ562" s="408">
        <v>0</v>
      </c>
      <c r="DR562" s="408">
        <v>0</v>
      </c>
      <c r="DS562" s="408"/>
      <c r="DT562" s="408"/>
      <c r="DU562" s="408"/>
      <c r="DV562" s="408">
        <v>9602.729534557353</v>
      </c>
      <c r="DW562" s="408">
        <v>0</v>
      </c>
      <c r="DX562" s="408">
        <v>0</v>
      </c>
      <c r="DY562" s="408">
        <v>-5028.0095100000017</v>
      </c>
      <c r="DZ562" s="408">
        <v>559.60671000000002</v>
      </c>
      <c r="EA562" s="408">
        <v>0</v>
      </c>
      <c r="EB562" s="408">
        <v>0</v>
      </c>
      <c r="EC562" s="408">
        <v>-5084.1361952912994</v>
      </c>
      <c r="ED562" s="408">
        <v>0</v>
      </c>
      <c r="EE562" s="408">
        <v>0</v>
      </c>
      <c r="EF562" s="408">
        <v>0</v>
      </c>
      <c r="EG562" s="408">
        <v>0</v>
      </c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>
        <v>0</v>
      </c>
      <c r="EN562" s="408">
        <v>0</v>
      </c>
      <c r="EO562" s="408">
        <v>0</v>
      </c>
      <c r="EP562" s="408">
        <v>0</v>
      </c>
      <c r="EQ562" s="408">
        <v>0</v>
      </c>
      <c r="ER562" s="408">
        <v>0</v>
      </c>
      <c r="ES562" s="408">
        <v>0</v>
      </c>
      <c r="ET562" s="408">
        <v>0</v>
      </c>
      <c r="EU562" s="408">
        <v>0</v>
      </c>
      <c r="EV562" s="408">
        <v>239</v>
      </c>
      <c r="EW562" s="408">
        <v>0</v>
      </c>
      <c r="EX562" s="408">
        <v>0</v>
      </c>
      <c r="EY562" s="408">
        <v>0</v>
      </c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567</v>
      </c>
      <c r="B563" s="408" t="s">
        <v>2236</v>
      </c>
      <c r="C563" s="408" t="s">
        <v>2233</v>
      </c>
      <c r="D563" s="408" t="s">
        <v>1953</v>
      </c>
      <c r="E563" s="408" t="s">
        <v>967</v>
      </c>
      <c r="F563" s="408" t="s">
        <v>967</v>
      </c>
      <c r="G563" s="408" t="s">
        <v>1320</v>
      </c>
      <c r="H563" s="408" t="s">
        <v>1320</v>
      </c>
      <c r="I563" s="408" t="s">
        <v>1320</v>
      </c>
      <c r="J563" s="408" t="s">
        <v>2234</v>
      </c>
      <c r="K563" s="827">
        <v>44652</v>
      </c>
      <c r="L563" s="408">
        <v>0</v>
      </c>
      <c r="M563" s="408">
        <v>0</v>
      </c>
      <c r="N563" s="408">
        <v>-1.6379999999999999</v>
      </c>
      <c r="O563" s="408">
        <v>-1.6379999999999999</v>
      </c>
      <c r="P563" s="408">
        <v>-1.6379999999999999</v>
      </c>
      <c r="Q563" s="408">
        <v>-1.6379999999999999</v>
      </c>
      <c r="R563" s="408"/>
      <c r="S563" s="408">
        <v>516.83000000000004</v>
      </c>
      <c r="T563" s="408">
        <v>173.82</v>
      </c>
      <c r="U563" s="408"/>
      <c r="V563" s="408">
        <v>-1131.2846999999999</v>
      </c>
      <c r="W563" s="408">
        <v>-1131.2846999999999</v>
      </c>
      <c r="X563" s="408">
        <v>-854.13509999999997</v>
      </c>
      <c r="Y563" s="408">
        <v>0</v>
      </c>
      <c r="Z563" s="408">
        <v>-100.16280853164281</v>
      </c>
      <c r="AA563" s="408">
        <v>0</v>
      </c>
      <c r="AB563" s="408">
        <v>0</v>
      </c>
      <c r="AC563" s="408">
        <v>-4.4528113922142447</v>
      </c>
      <c r="AD563" s="408">
        <v>-56.390789673144099</v>
      </c>
      <c r="AE563" s="408">
        <v>-595.60267248305297</v>
      </c>
      <c r="AF563" s="408">
        <v>-263.59045801687705</v>
      </c>
      <c r="AG563" s="408">
        <v>-13.261027512205301</v>
      </c>
      <c r="AH563" s="408">
        <v>0</v>
      </c>
      <c r="AI563" s="408">
        <v>0</v>
      </c>
      <c r="AJ563" s="408">
        <v>0</v>
      </c>
      <c r="AK563" s="408">
        <v>0</v>
      </c>
      <c r="AL563" s="408">
        <v>-15.481551525180313</v>
      </c>
      <c r="AM563" s="408"/>
      <c r="AN563" s="408">
        <v>-2.5414257548037917</v>
      </c>
      <c r="AO563" s="408">
        <v>-9.4979491902238493</v>
      </c>
      <c r="AP563" s="408">
        <v>-31.104499364935375</v>
      </c>
      <c r="AQ563" s="408">
        <v>0</v>
      </c>
      <c r="AR563" s="408">
        <v>0</v>
      </c>
      <c r="AS563" s="408">
        <v>0</v>
      </c>
      <c r="AT563" s="408">
        <v>0</v>
      </c>
      <c r="AU563" s="408">
        <v>0</v>
      </c>
      <c r="AV563" s="408">
        <v>0</v>
      </c>
      <c r="AW563" s="408">
        <v>0</v>
      </c>
      <c r="AX563" s="408">
        <v>0</v>
      </c>
      <c r="AY563" s="408">
        <v>0</v>
      </c>
      <c r="AZ563" s="408">
        <v>0</v>
      </c>
      <c r="BA563" s="408"/>
      <c r="BB563" s="408">
        <v>0</v>
      </c>
      <c r="BC563" s="408">
        <v>0</v>
      </c>
      <c r="BD563" s="408">
        <v>0</v>
      </c>
      <c r="BE563" s="408">
        <v>-0.90878306673134968</v>
      </c>
      <c r="BF563" s="408">
        <v>-7.8717174967614936</v>
      </c>
      <c r="BG563" s="408">
        <v>-30.431293411666655</v>
      </c>
      <c r="BH563" s="408">
        <v>0</v>
      </c>
      <c r="BI563" s="408">
        <v>-6.84</v>
      </c>
      <c r="BJ563" s="408">
        <v>-31.17</v>
      </c>
      <c r="BK563" s="408">
        <v>-522.30999999999995</v>
      </c>
      <c r="BL563" s="408">
        <v>2</v>
      </c>
      <c r="BM563" s="408"/>
      <c r="BN563" s="408"/>
      <c r="BO563" s="408"/>
      <c r="BP563" s="408"/>
      <c r="BQ563" s="408"/>
      <c r="BR563" s="408"/>
      <c r="BS563" s="408"/>
      <c r="BT563" s="408"/>
      <c r="BU563" s="408"/>
      <c r="BV563" s="408">
        <v>-302.80225199203659</v>
      </c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>
        <v>-855.17799999999988</v>
      </c>
      <c r="CJ563" s="408">
        <v>276.07670000000007</v>
      </c>
      <c r="CK563" s="408"/>
      <c r="CL563" s="408"/>
      <c r="CM563" s="408"/>
      <c r="CN563" s="408"/>
      <c r="CO563" s="408">
        <v>311.85882000000004</v>
      </c>
      <c r="CP563" s="408">
        <v>-34.709219999999995</v>
      </c>
      <c r="CQ563" s="408">
        <v>30</v>
      </c>
      <c r="CR563" s="408">
        <v>-38.175029824945341</v>
      </c>
      <c r="CS563" s="408">
        <v>-0.92219086100710435</v>
      </c>
      <c r="CT563" s="408">
        <v>-3.0200503788825621</v>
      </c>
      <c r="CU563" s="408">
        <v>0</v>
      </c>
      <c r="CV563" s="408">
        <v>0</v>
      </c>
      <c r="CW563" s="408">
        <v>0</v>
      </c>
      <c r="CX563" s="408">
        <v>0</v>
      </c>
      <c r="CY563" s="408">
        <v>0</v>
      </c>
      <c r="CZ563" s="408">
        <v>1.0812487279537848</v>
      </c>
      <c r="DA563" s="408">
        <v>0</v>
      </c>
      <c r="DB563" s="408">
        <v>0</v>
      </c>
      <c r="DC563" s="408">
        <v>-33.83474850200065</v>
      </c>
      <c r="DD563" s="408">
        <v>-1.0104219393429643</v>
      </c>
      <c r="DE563" s="408">
        <v>-0.1166523505329693</v>
      </c>
      <c r="DF563" s="408">
        <v>0</v>
      </c>
      <c r="DG563" s="408">
        <v>-3.9061928376343822</v>
      </c>
      <c r="DH563" s="408">
        <v>0</v>
      </c>
      <c r="DI563" s="408">
        <v>2.9273087137132592</v>
      </c>
      <c r="DJ563" s="408"/>
      <c r="DK563" s="408">
        <v>0</v>
      </c>
      <c r="DL563" s="408">
        <v>0</v>
      </c>
      <c r="DM563" s="408">
        <v>0.14739145376351637</v>
      </c>
      <c r="DN563" s="408">
        <v>0</v>
      </c>
      <c r="DO563" s="408">
        <v>0.40096683709331771</v>
      </c>
      <c r="DP563" s="408">
        <v>7.8311311931443139E-2</v>
      </c>
      <c r="DQ563" s="408">
        <v>0</v>
      </c>
      <c r="DR563" s="408">
        <v>0</v>
      </c>
      <c r="DS563" s="408"/>
      <c r="DT563" s="408"/>
      <c r="DU563" s="408"/>
      <c r="DV563" s="408">
        <v>-595.60267248305297</v>
      </c>
      <c r="DW563" s="408">
        <v>0</v>
      </c>
      <c r="DX563" s="408">
        <v>0</v>
      </c>
      <c r="DY563" s="408">
        <v>311.85882000000004</v>
      </c>
      <c r="DZ563" s="408">
        <v>-34.709219999999959</v>
      </c>
      <c r="EA563" s="408">
        <v>0</v>
      </c>
      <c r="EB563" s="408">
        <v>0</v>
      </c>
      <c r="EC563" s="408">
        <v>315.34003892185052</v>
      </c>
      <c r="ED563" s="408">
        <v>0</v>
      </c>
      <c r="EE563" s="408">
        <v>0</v>
      </c>
      <c r="EF563" s="408">
        <v>0</v>
      </c>
      <c r="EG563" s="408">
        <v>0</v>
      </c>
      <c r="EH563" s="408">
        <v>0</v>
      </c>
      <c r="EI563" s="408">
        <v>0</v>
      </c>
      <c r="EJ563" s="408">
        <v>0</v>
      </c>
      <c r="EK563" s="408">
        <v>0</v>
      </c>
      <c r="EL563" s="408">
        <v>0</v>
      </c>
      <c r="EM563" s="408">
        <v>0</v>
      </c>
      <c r="EN563" s="408">
        <v>0</v>
      </c>
      <c r="EO563" s="408">
        <v>0</v>
      </c>
      <c r="EP563" s="408">
        <v>0</v>
      </c>
      <c r="EQ563" s="408">
        <v>0</v>
      </c>
      <c r="ER563" s="408">
        <v>0</v>
      </c>
      <c r="ES563" s="408">
        <v>0</v>
      </c>
      <c r="ET563" s="408">
        <v>0</v>
      </c>
      <c r="EU563" s="408">
        <v>0</v>
      </c>
      <c r="EV563" s="408">
        <v>239</v>
      </c>
      <c r="EW563" s="408">
        <v>0</v>
      </c>
      <c r="EX563" s="408">
        <v>0</v>
      </c>
      <c r="EY563" s="408">
        <v>0</v>
      </c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568</v>
      </c>
      <c r="B564" s="408" t="s">
        <v>1034</v>
      </c>
      <c r="C564" s="408" t="s">
        <v>2233</v>
      </c>
      <c r="D564" s="408" t="s">
        <v>1953</v>
      </c>
      <c r="E564" s="408" t="s">
        <v>967</v>
      </c>
      <c r="F564" s="408" t="s">
        <v>2237</v>
      </c>
      <c r="G564" s="408" t="s">
        <v>1320</v>
      </c>
      <c r="H564" s="408" t="s">
        <v>1320</v>
      </c>
      <c r="I564" s="408" t="s">
        <v>1320</v>
      </c>
      <c r="J564" s="408" t="s">
        <v>2234</v>
      </c>
      <c r="K564" s="827">
        <v>44652</v>
      </c>
      <c r="L564" s="408">
        <v>0</v>
      </c>
      <c r="M564" s="408">
        <v>0</v>
      </c>
      <c r="N564" s="408">
        <v>40.200000000000003</v>
      </c>
      <c r="O564" s="408">
        <v>40.200000000000003</v>
      </c>
      <c r="P564" s="408">
        <v>40.200000000000003</v>
      </c>
      <c r="Q564" s="408">
        <v>40.200000000000003</v>
      </c>
      <c r="R564" s="408"/>
      <c r="S564" s="408">
        <v>446.23</v>
      </c>
      <c r="T564" s="408">
        <v>173.82</v>
      </c>
      <c r="U564" s="408"/>
      <c r="V564" s="408">
        <v>24926.010000000002</v>
      </c>
      <c r="W564" s="408">
        <v>24926.010000000002</v>
      </c>
      <c r="X564" s="408">
        <v>18205.776000000002</v>
      </c>
      <c r="Y564" s="408">
        <v>0</v>
      </c>
      <c r="Z564" s="408">
        <v>0</v>
      </c>
      <c r="AA564" s="408">
        <v>0</v>
      </c>
      <c r="AB564" s="408">
        <v>0</v>
      </c>
      <c r="AC564" s="408">
        <v>109.28145175031298</v>
      </c>
      <c r="AD564" s="408">
        <v>1383.9497831870531</v>
      </c>
      <c r="AE564" s="408">
        <v>14617.354965701301</v>
      </c>
      <c r="AF564" s="408">
        <v>6469.0698487658483</v>
      </c>
      <c r="AG564" s="408">
        <v>325.45378876108254</v>
      </c>
      <c r="AH564" s="408">
        <v>0</v>
      </c>
      <c r="AI564" s="408">
        <v>0</v>
      </c>
      <c r="AJ564" s="408">
        <v>0</v>
      </c>
      <c r="AK564" s="408">
        <v>0</v>
      </c>
      <c r="AL564" s="408">
        <v>0</v>
      </c>
      <c r="AM564" s="408"/>
      <c r="AN564" s="408">
        <v>62.371987388957542</v>
      </c>
      <c r="AO564" s="408">
        <v>233.09985192124469</v>
      </c>
      <c r="AP564" s="408">
        <v>763.37049723467783</v>
      </c>
      <c r="AQ564" s="408">
        <v>0</v>
      </c>
      <c r="AR564" s="408">
        <v>0</v>
      </c>
      <c r="AS564" s="408">
        <v>0</v>
      </c>
      <c r="AT564" s="408">
        <v>0</v>
      </c>
      <c r="AU564" s="408">
        <v>0</v>
      </c>
      <c r="AV564" s="408">
        <v>0</v>
      </c>
      <c r="AW564" s="408">
        <v>0</v>
      </c>
      <c r="AX564" s="408">
        <v>0</v>
      </c>
      <c r="AY564" s="408">
        <v>0</v>
      </c>
      <c r="AZ564" s="408">
        <v>0</v>
      </c>
      <c r="BA564" s="408"/>
      <c r="BB564" s="408">
        <v>0</v>
      </c>
      <c r="BC564" s="408">
        <v>0</v>
      </c>
      <c r="BD564" s="408">
        <v>0</v>
      </c>
      <c r="BE564" s="408">
        <v>22.303467205494666</v>
      </c>
      <c r="BF564" s="408">
        <v>193.18867116594143</v>
      </c>
      <c r="BG564" s="408">
        <v>746.84859288705718</v>
      </c>
      <c r="BH564" s="408">
        <v>0</v>
      </c>
      <c r="BI564" s="408">
        <v>39.090000000000003</v>
      </c>
      <c r="BJ564" s="408">
        <v>175.74</v>
      </c>
      <c r="BK564" s="408">
        <v>2051.41</v>
      </c>
      <c r="BL564" s="408">
        <v>94</v>
      </c>
      <c r="BM564" s="408"/>
      <c r="BN564" s="408"/>
      <c r="BO564" s="408"/>
      <c r="BP564" s="408"/>
      <c r="BQ564" s="408"/>
      <c r="BR564" s="408"/>
      <c r="BS564" s="408"/>
      <c r="BT564" s="408">
        <v>11833.674000000003</v>
      </c>
      <c r="BU564" s="408"/>
      <c r="BV564" s="408">
        <v>7431.4105800243415</v>
      </c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>
        <v>6372.1020000000008</v>
      </c>
      <c r="CJ564" s="408">
        <v>-2352.1320000000014</v>
      </c>
      <c r="CK564" s="408"/>
      <c r="CL564" s="408"/>
      <c r="CM564" s="408"/>
      <c r="CN564" s="408"/>
      <c r="CO564" s="408">
        <v>-7572.072000000001</v>
      </c>
      <c r="CP564" s="408">
        <v>851.83799999999997</v>
      </c>
      <c r="CQ564" s="408">
        <v>30</v>
      </c>
      <c r="CR564" s="408">
        <v>1018.5792894415263</v>
      </c>
      <c r="CS564" s="408">
        <v>22.632522962445421</v>
      </c>
      <c r="CT564" s="408">
        <v>74.118452522026132</v>
      </c>
      <c r="CU564" s="408">
        <v>0</v>
      </c>
      <c r="CV564" s="408">
        <v>0</v>
      </c>
      <c r="CW564" s="408">
        <v>0</v>
      </c>
      <c r="CX564" s="408">
        <v>0</v>
      </c>
      <c r="CY564" s="408">
        <v>0</v>
      </c>
      <c r="CZ564" s="408">
        <v>-26.536140942455404</v>
      </c>
      <c r="DA564" s="408">
        <v>0</v>
      </c>
      <c r="DB564" s="408">
        <v>0</v>
      </c>
      <c r="DC564" s="408">
        <v>830.37661158756146</v>
      </c>
      <c r="DD564" s="408">
        <v>24.797901075450056</v>
      </c>
      <c r="DE564" s="408">
        <v>2.8628965149117001</v>
      </c>
      <c r="DF564" s="408">
        <v>0</v>
      </c>
      <c r="DG564" s="408">
        <v>95.866271106777845</v>
      </c>
      <c r="DH564" s="408">
        <v>0</v>
      </c>
      <c r="DI564" s="408">
        <v>0</v>
      </c>
      <c r="DJ564" s="408"/>
      <c r="DK564" s="408">
        <v>0</v>
      </c>
      <c r="DL564" s="408">
        <v>0</v>
      </c>
      <c r="DM564" s="408">
        <v>-3.6172994147090094</v>
      </c>
      <c r="DN564" s="408">
        <v>0</v>
      </c>
      <c r="DO564" s="408">
        <v>0</v>
      </c>
      <c r="DP564" s="408">
        <v>-1.9219259704786538</v>
      </c>
      <c r="DQ564" s="408">
        <v>0</v>
      </c>
      <c r="DR564" s="408">
        <v>0</v>
      </c>
      <c r="DS564" s="408"/>
      <c r="DT564" s="408"/>
      <c r="DU564" s="408"/>
      <c r="DV564" s="408">
        <v>14617.354965701301</v>
      </c>
      <c r="DW564" s="408">
        <v>0</v>
      </c>
      <c r="DX564" s="408">
        <v>0</v>
      </c>
      <c r="DY564" s="408">
        <v>-7572.0720000000019</v>
      </c>
      <c r="DZ564" s="408">
        <v>851.83799999999974</v>
      </c>
      <c r="EA564" s="408">
        <v>0</v>
      </c>
      <c r="EB564" s="408">
        <v>0</v>
      </c>
      <c r="EC564" s="408">
        <v>-7739.1145083384554</v>
      </c>
      <c r="ED564" s="408">
        <v>0</v>
      </c>
      <c r="EE564" s="408">
        <v>0</v>
      </c>
      <c r="EF564" s="408">
        <v>0</v>
      </c>
      <c r="EG564" s="408">
        <v>0</v>
      </c>
      <c r="EH564" s="408">
        <v>0</v>
      </c>
      <c r="EI564" s="408">
        <v>0</v>
      </c>
      <c r="EJ564" s="408">
        <v>0</v>
      </c>
      <c r="EK564" s="408">
        <v>0</v>
      </c>
      <c r="EL564" s="408">
        <v>0</v>
      </c>
      <c r="EM564" s="408">
        <v>0</v>
      </c>
      <c r="EN564" s="408">
        <v>0</v>
      </c>
      <c r="EO564" s="408">
        <v>0</v>
      </c>
      <c r="EP564" s="408">
        <v>0</v>
      </c>
      <c r="EQ564" s="408">
        <v>0</v>
      </c>
      <c r="ER564" s="408">
        <v>0</v>
      </c>
      <c r="ES564" s="408">
        <v>0</v>
      </c>
      <c r="ET564" s="408">
        <v>0</v>
      </c>
      <c r="EU564" s="408">
        <v>0</v>
      </c>
      <c r="EV564" s="408">
        <v>239</v>
      </c>
      <c r="EW564" s="408">
        <v>0</v>
      </c>
      <c r="EX564" s="408">
        <v>0</v>
      </c>
      <c r="EY564" s="408">
        <v>0</v>
      </c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569</v>
      </c>
      <c r="B565" s="408" t="s">
        <v>2236</v>
      </c>
      <c r="C565" s="408" t="s">
        <v>2233</v>
      </c>
      <c r="D565" s="408" t="s">
        <v>1953</v>
      </c>
      <c r="E565" s="408" t="s">
        <v>967</v>
      </c>
      <c r="F565" s="408" t="s">
        <v>2237</v>
      </c>
      <c r="G565" s="408" t="s">
        <v>1320</v>
      </c>
      <c r="H565" s="408" t="s">
        <v>1320</v>
      </c>
      <c r="I565" s="408" t="s">
        <v>1320</v>
      </c>
      <c r="J565" s="408" t="s">
        <v>2234</v>
      </c>
      <c r="K565" s="827">
        <v>44652</v>
      </c>
      <c r="L565" s="408">
        <v>0</v>
      </c>
      <c r="M565" s="408">
        <v>0</v>
      </c>
      <c r="N565" s="408">
        <v>0.06</v>
      </c>
      <c r="O565" s="408">
        <v>-0.21299999999999999</v>
      </c>
      <c r="P565" s="408">
        <v>0.06</v>
      </c>
      <c r="Q565" s="408">
        <v>-0.21299999999999999</v>
      </c>
      <c r="R565" s="408"/>
      <c r="S565" s="408">
        <v>446.23</v>
      </c>
      <c r="T565" s="408">
        <v>173.82</v>
      </c>
      <c r="U565" s="408"/>
      <c r="V565" s="408">
        <v>37.203000000000003</v>
      </c>
      <c r="W565" s="408">
        <v>37.203000000000003</v>
      </c>
      <c r="X565" s="408">
        <v>27.172799999999999</v>
      </c>
      <c r="Y565" s="408">
        <v>0</v>
      </c>
      <c r="Z565" s="408">
        <v>0</v>
      </c>
      <c r="AA565" s="408">
        <v>0</v>
      </c>
      <c r="AB565" s="408">
        <v>0</v>
      </c>
      <c r="AC565" s="408">
        <v>0.16310664440345221</v>
      </c>
      <c r="AD565" s="408">
        <v>2.0655966913239596</v>
      </c>
      <c r="AE565" s="408">
        <v>21.816947710001941</v>
      </c>
      <c r="AF565" s="408">
        <v>9.6553281324863391</v>
      </c>
      <c r="AG565" s="408">
        <v>0.48575192352400376</v>
      </c>
      <c r="AH565" s="408">
        <v>0</v>
      </c>
      <c r="AI565" s="408">
        <v>0</v>
      </c>
      <c r="AJ565" s="408">
        <v>0</v>
      </c>
      <c r="AK565" s="408">
        <v>0</v>
      </c>
      <c r="AL565" s="408">
        <v>0</v>
      </c>
      <c r="AM565" s="408"/>
      <c r="AN565" s="408">
        <v>9.3092518490981394E-2</v>
      </c>
      <c r="AO565" s="408">
        <v>0.34791022674812638</v>
      </c>
      <c r="AP565" s="408">
        <v>1.1393589510965341</v>
      </c>
      <c r="AQ565" s="408">
        <v>0</v>
      </c>
      <c r="AR565" s="408">
        <v>0</v>
      </c>
      <c r="AS565" s="408">
        <v>0</v>
      </c>
      <c r="AT565" s="408">
        <v>0</v>
      </c>
      <c r="AU565" s="408">
        <v>0</v>
      </c>
      <c r="AV565" s="408">
        <v>0</v>
      </c>
      <c r="AW565" s="408">
        <v>0</v>
      </c>
      <c r="AX565" s="408">
        <v>0</v>
      </c>
      <c r="AY565" s="408">
        <v>0</v>
      </c>
      <c r="AZ565" s="408">
        <v>0</v>
      </c>
      <c r="BA565" s="408"/>
      <c r="BB565" s="408">
        <v>0</v>
      </c>
      <c r="BC565" s="408">
        <v>0</v>
      </c>
      <c r="BD565" s="408">
        <v>0</v>
      </c>
      <c r="BE565" s="408">
        <v>3.3288757023126364E-2</v>
      </c>
      <c r="BF565" s="408">
        <v>0.28834130024767374</v>
      </c>
      <c r="BG565" s="408">
        <v>1.114699392368742</v>
      </c>
      <c r="BH565" s="408">
        <v>0</v>
      </c>
      <c r="BI565" s="408">
        <v>0.04</v>
      </c>
      <c r="BJ565" s="408">
        <v>0.28000000000000003</v>
      </c>
      <c r="BK565" s="408">
        <v>7.76</v>
      </c>
      <c r="BL565" s="408">
        <v>0</v>
      </c>
      <c r="BM565" s="408"/>
      <c r="BN565" s="408"/>
      <c r="BO565" s="408"/>
      <c r="BP565" s="408"/>
      <c r="BQ565" s="408"/>
      <c r="BR565" s="408"/>
      <c r="BS565" s="408"/>
      <c r="BT565" s="408">
        <v>60.935430000000011</v>
      </c>
      <c r="BU565" s="408"/>
      <c r="BV565" s="408">
        <v>11.09165758212588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-33.287099999999995</v>
      </c>
      <c r="CJ565" s="408">
        <v>12.908160000000009</v>
      </c>
      <c r="CK565" s="408"/>
      <c r="CL565" s="408"/>
      <c r="CM565" s="408"/>
      <c r="CN565" s="408"/>
      <c r="CO565" s="408">
        <v>-11.301600000000001</v>
      </c>
      <c r="CP565" s="408">
        <v>1.2713999999999999</v>
      </c>
      <c r="CQ565" s="408">
        <v>30</v>
      </c>
      <c r="CR565" s="408">
        <v>1.5202675961813874</v>
      </c>
      <c r="CS565" s="408">
        <v>3.3779885018575206E-2</v>
      </c>
      <c r="CT565" s="408">
        <v>0.1106245560030239</v>
      </c>
      <c r="CU565" s="408">
        <v>0</v>
      </c>
      <c r="CV565" s="408">
        <v>0</v>
      </c>
      <c r="CW565" s="408">
        <v>0</v>
      </c>
      <c r="CX565" s="408">
        <v>0</v>
      </c>
      <c r="CY565" s="408">
        <v>0</v>
      </c>
      <c r="CZ565" s="408">
        <v>-3.9606180511127409E-2</v>
      </c>
      <c r="DA565" s="408">
        <v>0</v>
      </c>
      <c r="DB565" s="408">
        <v>0</v>
      </c>
      <c r="DC565" s="408">
        <v>1.2393680769963602</v>
      </c>
      <c r="DD565" s="408">
        <v>3.701179264992549E-2</v>
      </c>
      <c r="DE565" s="408">
        <v>4.2729798730025345E-3</v>
      </c>
      <c r="DF565" s="408">
        <v>0</v>
      </c>
      <c r="DG565" s="408">
        <v>0.14308398672653388</v>
      </c>
      <c r="DH565" s="408">
        <v>0</v>
      </c>
      <c r="DI565" s="408">
        <v>0</v>
      </c>
      <c r="DJ565" s="408"/>
      <c r="DK565" s="408">
        <v>0</v>
      </c>
      <c r="DL565" s="408">
        <v>0</v>
      </c>
      <c r="DM565" s="408">
        <v>-5.398954350312013E-3</v>
      </c>
      <c r="DN565" s="408">
        <v>0</v>
      </c>
      <c r="DO565" s="408">
        <v>0</v>
      </c>
      <c r="DP565" s="408">
        <v>-2.868546224594995E-3</v>
      </c>
      <c r="DQ565" s="408">
        <v>0</v>
      </c>
      <c r="DR565" s="408">
        <v>0</v>
      </c>
      <c r="DS565" s="408"/>
      <c r="DT565" s="408"/>
      <c r="DU565" s="408"/>
      <c r="DV565" s="408">
        <v>21.816947710001941</v>
      </c>
      <c r="DW565" s="408">
        <v>0</v>
      </c>
      <c r="DX565" s="408">
        <v>0</v>
      </c>
      <c r="DY565" s="408">
        <v>-11.301600000000002</v>
      </c>
      <c r="DZ565" s="408">
        <v>1.2713999999999999</v>
      </c>
      <c r="EA565" s="408">
        <v>0</v>
      </c>
      <c r="EB565" s="408">
        <v>0</v>
      </c>
      <c r="EC565" s="408">
        <v>-11.55091717662456</v>
      </c>
      <c r="ED565" s="408">
        <v>0</v>
      </c>
      <c r="EE565" s="408">
        <v>0</v>
      </c>
      <c r="EF565" s="408">
        <v>0</v>
      </c>
      <c r="EG565" s="408">
        <v>0</v>
      </c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>
        <v>0</v>
      </c>
      <c r="EN565" s="408">
        <v>0</v>
      </c>
      <c r="EO565" s="408">
        <v>0</v>
      </c>
      <c r="EP565" s="408">
        <v>0</v>
      </c>
      <c r="EQ565" s="408">
        <v>0</v>
      </c>
      <c r="ER565" s="408">
        <v>0</v>
      </c>
      <c r="ES565" s="408">
        <v>0</v>
      </c>
      <c r="ET565" s="408">
        <v>0</v>
      </c>
      <c r="EU565" s="408">
        <v>0</v>
      </c>
      <c r="EV565" s="408">
        <v>239</v>
      </c>
      <c r="EW565" s="408">
        <v>0</v>
      </c>
      <c r="EX565" s="408">
        <v>0</v>
      </c>
      <c r="EY565" s="408">
        <v>0</v>
      </c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570</v>
      </c>
      <c r="B566" s="408" t="s">
        <v>1034</v>
      </c>
      <c r="C566" s="408" t="s">
        <v>2233</v>
      </c>
      <c r="D566" s="408" t="s">
        <v>1953</v>
      </c>
      <c r="E566" s="408" t="s">
        <v>967</v>
      </c>
      <c r="F566" s="408" t="s">
        <v>2238</v>
      </c>
      <c r="G566" s="408" t="s">
        <v>1320</v>
      </c>
      <c r="H566" s="408" t="s">
        <v>1320</v>
      </c>
      <c r="I566" s="408" t="s">
        <v>1320</v>
      </c>
      <c r="J566" s="408" t="s">
        <v>2234</v>
      </c>
      <c r="K566" s="827">
        <v>44652</v>
      </c>
      <c r="L566" s="408">
        <v>0</v>
      </c>
      <c r="M566" s="408">
        <v>0</v>
      </c>
      <c r="N566" s="408">
        <v>79.793999999999997</v>
      </c>
      <c r="O566" s="408">
        <v>79.793999999999997</v>
      </c>
      <c r="P566" s="408">
        <v>79.793999999999997</v>
      </c>
      <c r="Q566" s="408">
        <v>79.793999999999997</v>
      </c>
      <c r="R566" s="408"/>
      <c r="S566" s="408">
        <v>446.23</v>
      </c>
      <c r="T566" s="408">
        <v>173.82</v>
      </c>
      <c r="U566" s="408"/>
      <c r="V566" s="408">
        <v>49476.269700000004</v>
      </c>
      <c r="W566" s="408">
        <v>49476.269700000004</v>
      </c>
      <c r="X566" s="408">
        <v>36137.106719999996</v>
      </c>
      <c r="Y566" s="408">
        <v>0</v>
      </c>
      <c r="Z566" s="408">
        <v>0</v>
      </c>
      <c r="AA566" s="408">
        <v>0</v>
      </c>
      <c r="AB566" s="408">
        <v>0</v>
      </c>
      <c r="AC566" s="408">
        <v>216.91552639215109</v>
      </c>
      <c r="AD566" s="408">
        <v>2747.0370397917341</v>
      </c>
      <c r="AE566" s="408">
        <v>29014.35875953158</v>
      </c>
      <c r="AF566" s="408">
        <v>12840.620883393582</v>
      </c>
      <c r="AG566" s="408">
        <v>646.00148309457256</v>
      </c>
      <c r="AH566" s="408">
        <v>0</v>
      </c>
      <c r="AI566" s="408">
        <v>0</v>
      </c>
      <c r="AJ566" s="408">
        <v>0</v>
      </c>
      <c r="AK566" s="408">
        <v>0</v>
      </c>
      <c r="AL566" s="408">
        <v>0</v>
      </c>
      <c r="AM566" s="408"/>
      <c r="AN566" s="408">
        <v>123.80374034115616</v>
      </c>
      <c r="AO566" s="408">
        <v>462.68581055233329</v>
      </c>
      <c r="AP566" s="408">
        <v>1515.2334690632806</v>
      </c>
      <c r="AQ566" s="408">
        <v>0</v>
      </c>
      <c r="AR566" s="408">
        <v>0</v>
      </c>
      <c r="AS566" s="408">
        <v>0</v>
      </c>
      <c r="AT566" s="408">
        <v>0</v>
      </c>
      <c r="AU566" s="408">
        <v>0</v>
      </c>
      <c r="AV566" s="408">
        <v>0</v>
      </c>
      <c r="AW566" s="408">
        <v>0</v>
      </c>
      <c r="AX566" s="408">
        <v>0</v>
      </c>
      <c r="AY566" s="408">
        <v>0</v>
      </c>
      <c r="AZ566" s="408">
        <v>0</v>
      </c>
      <c r="BA566" s="408"/>
      <c r="BB566" s="408">
        <v>0</v>
      </c>
      <c r="BC566" s="408">
        <v>0</v>
      </c>
      <c r="BD566" s="408">
        <v>0</v>
      </c>
      <c r="BE566" s="408">
        <v>44.270717965055745</v>
      </c>
      <c r="BF566" s="408">
        <v>383.46509519938132</v>
      </c>
      <c r="BG566" s="408">
        <v>1482.43872191119</v>
      </c>
      <c r="BH566" s="408">
        <v>0</v>
      </c>
      <c r="BI566" s="408">
        <v>76.709999999999994</v>
      </c>
      <c r="BJ566" s="408">
        <v>357.84</v>
      </c>
      <c r="BK566" s="408">
        <v>7344.73</v>
      </c>
      <c r="BL566" s="408">
        <v>277</v>
      </c>
      <c r="BM566" s="408"/>
      <c r="BN566" s="408"/>
      <c r="BO566" s="408"/>
      <c r="BP566" s="408"/>
      <c r="BQ566" s="408"/>
      <c r="BR566" s="408"/>
      <c r="BS566" s="408"/>
      <c r="BT566" s="408">
        <v>14455.481039999999</v>
      </c>
      <c r="BU566" s="408"/>
      <c r="BV566" s="408">
        <v>14750.795418469208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21680.538800000002</v>
      </c>
      <c r="CJ566" s="408">
        <v>-8005.2530199999928</v>
      </c>
      <c r="CK566" s="408"/>
      <c r="CL566" s="408"/>
      <c r="CM566" s="408"/>
      <c r="CN566" s="408"/>
      <c r="CO566" s="408">
        <v>-15029.99784</v>
      </c>
      <c r="CP566" s="408">
        <v>1690.8348599999997</v>
      </c>
      <c r="CQ566" s="408">
        <v>30</v>
      </c>
      <c r="CR566" s="408">
        <v>2021.8038761616299</v>
      </c>
      <c r="CS566" s="408">
        <v>44.923869086203183</v>
      </c>
      <c r="CT566" s="408">
        <v>147.11959702842159</v>
      </c>
      <c r="CU566" s="408">
        <v>0</v>
      </c>
      <c r="CV566" s="408">
        <v>0</v>
      </c>
      <c r="CW566" s="408">
        <v>0</v>
      </c>
      <c r="CX566" s="408">
        <v>0</v>
      </c>
      <c r="CY566" s="408">
        <v>0</v>
      </c>
      <c r="CZ566" s="408">
        <v>-52.672259461748581</v>
      </c>
      <c r="DA566" s="408">
        <v>0</v>
      </c>
      <c r="DB566" s="408">
        <v>0</v>
      </c>
      <c r="DC566" s="408">
        <v>1648.2356055974615</v>
      </c>
      <c r="DD566" s="408">
        <v>49.221983045135858</v>
      </c>
      <c r="DE566" s="408">
        <v>5.6826359331060843</v>
      </c>
      <c r="DF566" s="408">
        <v>0</v>
      </c>
      <c r="DG566" s="408">
        <v>190.2873939476176</v>
      </c>
      <c r="DH566" s="408">
        <v>0</v>
      </c>
      <c r="DI566" s="408">
        <v>0</v>
      </c>
      <c r="DJ566" s="408"/>
      <c r="DK566" s="408">
        <v>0</v>
      </c>
      <c r="DL566" s="408">
        <v>0</v>
      </c>
      <c r="DM566" s="408">
        <v>-7.1800693904799573</v>
      </c>
      <c r="DN566" s="408">
        <v>0</v>
      </c>
      <c r="DO566" s="408">
        <v>0</v>
      </c>
      <c r="DP566" s="408">
        <v>-3.8148796240888885</v>
      </c>
      <c r="DQ566" s="408">
        <v>0</v>
      </c>
      <c r="DR566" s="408">
        <v>0</v>
      </c>
      <c r="DS566" s="408"/>
      <c r="DT566" s="408"/>
      <c r="DU566" s="408"/>
      <c r="DV566" s="408">
        <v>29014.35875953158</v>
      </c>
      <c r="DW566" s="408">
        <v>0</v>
      </c>
      <c r="DX566" s="408">
        <v>0</v>
      </c>
      <c r="DY566" s="408">
        <v>-15029.99784</v>
      </c>
      <c r="DZ566" s="408">
        <v>1690.834859999999</v>
      </c>
      <c r="EA566" s="408">
        <v>0</v>
      </c>
      <c r="EB566" s="408">
        <v>0</v>
      </c>
      <c r="EC566" s="408">
        <v>-15361.564753193003</v>
      </c>
      <c r="ED566" s="408">
        <v>0</v>
      </c>
      <c r="EE566" s="408">
        <v>0</v>
      </c>
      <c r="EF566" s="408">
        <v>0</v>
      </c>
      <c r="EG566" s="408">
        <v>0</v>
      </c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>
        <v>0</v>
      </c>
      <c r="EN566" s="408">
        <v>0</v>
      </c>
      <c r="EO566" s="408">
        <v>0</v>
      </c>
      <c r="EP566" s="408">
        <v>0</v>
      </c>
      <c r="EQ566" s="408">
        <v>0</v>
      </c>
      <c r="ER566" s="408">
        <v>0</v>
      </c>
      <c r="ES566" s="408">
        <v>0</v>
      </c>
      <c r="ET566" s="408">
        <v>0</v>
      </c>
      <c r="EU566" s="408">
        <v>0</v>
      </c>
      <c r="EV566" s="408">
        <v>239</v>
      </c>
      <c r="EW566" s="408">
        <v>0</v>
      </c>
      <c r="EX566" s="408">
        <v>0</v>
      </c>
      <c r="EY566" s="408">
        <v>0</v>
      </c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571</v>
      </c>
      <c r="B567" s="408" t="s">
        <v>2236</v>
      </c>
      <c r="C567" s="408" t="s">
        <v>2233</v>
      </c>
      <c r="D567" s="408" t="s">
        <v>1953</v>
      </c>
      <c r="E567" s="408" t="s">
        <v>967</v>
      </c>
      <c r="F567" s="408" t="s">
        <v>2238</v>
      </c>
      <c r="G567" s="408" t="s">
        <v>1320</v>
      </c>
      <c r="H567" s="408" t="s">
        <v>1320</v>
      </c>
      <c r="I567" s="408" t="s">
        <v>1320</v>
      </c>
      <c r="J567" s="408" t="s">
        <v>2234</v>
      </c>
      <c r="K567" s="827">
        <v>44652</v>
      </c>
      <c r="L567" s="408">
        <v>0</v>
      </c>
      <c r="M567" s="408">
        <v>0</v>
      </c>
      <c r="N567" s="408">
        <v>0</v>
      </c>
      <c r="O567" s="408">
        <v>0</v>
      </c>
      <c r="P567" s="408">
        <v>0</v>
      </c>
      <c r="Q567" s="408">
        <v>0</v>
      </c>
      <c r="R567" s="408"/>
      <c r="S567" s="408"/>
      <c r="T567" s="408"/>
      <c r="U567" s="408"/>
      <c r="V567" s="408"/>
      <c r="W567" s="408"/>
      <c r="X567" s="408"/>
      <c r="Y567" s="408"/>
      <c r="Z567" s="408"/>
      <c r="AA567" s="408">
        <v>0</v>
      </c>
      <c r="AB567" s="408"/>
      <c r="AC567" s="408"/>
      <c r="AD567" s="408"/>
      <c r="AE567" s="408"/>
      <c r="AF567" s="408"/>
      <c r="AG567" s="408"/>
      <c r="AH567" s="408"/>
      <c r="AI567" s="408"/>
      <c r="AJ567" s="408"/>
      <c r="AK567" s="408"/>
      <c r="AL567" s="408"/>
      <c r="AM567" s="408"/>
      <c r="AN567" s="408"/>
      <c r="AO567" s="408"/>
      <c r="AP567" s="408"/>
      <c r="AQ567" s="408"/>
      <c r="AR567" s="408"/>
      <c r="AS567" s="408"/>
      <c r="AT567" s="408"/>
      <c r="AU567" s="408"/>
      <c r="AV567" s="408"/>
      <c r="AW567" s="408"/>
      <c r="AX567" s="408"/>
      <c r="AY567" s="408"/>
      <c r="AZ567" s="408">
        <v>0</v>
      </c>
      <c r="BA567" s="408"/>
      <c r="BB567" s="408"/>
      <c r="BC567" s="408"/>
      <c r="BD567" s="408"/>
      <c r="BE567" s="408"/>
      <c r="BF567" s="408"/>
      <c r="BG567" s="408"/>
      <c r="BH567" s="408"/>
      <c r="BI567" s="408">
        <v>0</v>
      </c>
      <c r="BJ567" s="408">
        <v>0</v>
      </c>
      <c r="BK567" s="408">
        <v>23.97</v>
      </c>
      <c r="BL567" s="408">
        <v>0</v>
      </c>
      <c r="BM567" s="408"/>
      <c r="BN567" s="408"/>
      <c r="BO567" s="408"/>
      <c r="BP567" s="408"/>
      <c r="BQ567" s="408"/>
      <c r="BR567" s="408"/>
      <c r="BS567" s="408"/>
      <c r="BT567" s="408"/>
      <c r="BU567" s="408"/>
      <c r="BV567" s="408"/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/>
      <c r="CJ567" s="408">
        <v>-0.03</v>
      </c>
      <c r="CK567" s="408"/>
      <c r="CL567" s="408"/>
      <c r="CM567" s="408"/>
      <c r="CN567" s="408"/>
      <c r="CO567" s="408">
        <v>0</v>
      </c>
      <c r="CP567" s="408">
        <v>0</v>
      </c>
      <c r="CQ567" s="408">
        <v>30</v>
      </c>
      <c r="CR567" s="408"/>
      <c r="CS567" s="408"/>
      <c r="CT567" s="408"/>
      <c r="CU567" s="408"/>
      <c r="CV567" s="408"/>
      <c r="CW567" s="408"/>
      <c r="CX567" s="408"/>
      <c r="CY567" s="408"/>
      <c r="CZ567" s="408"/>
      <c r="DA567" s="408"/>
      <c r="DB567" s="408"/>
      <c r="DC567" s="408"/>
      <c r="DD567" s="408"/>
      <c r="DE567" s="408"/>
      <c r="DF567" s="408"/>
      <c r="DG567" s="408"/>
      <c r="DH567" s="408"/>
      <c r="DI567" s="408"/>
      <c r="DJ567" s="408"/>
      <c r="DK567" s="408">
        <v>0</v>
      </c>
      <c r="DL567" s="408"/>
      <c r="DM567" s="408"/>
      <c r="DN567" s="408"/>
      <c r="DO567" s="408"/>
      <c r="DP567" s="408"/>
      <c r="DQ567" s="408"/>
      <c r="DR567" s="408"/>
      <c r="DS567" s="408"/>
      <c r="DT567" s="408"/>
      <c r="DU567" s="408"/>
      <c r="DV567" s="408"/>
      <c r="DW567" s="408"/>
      <c r="DX567" s="408"/>
      <c r="DY567" s="408"/>
      <c r="DZ567" s="408"/>
      <c r="EA567" s="408"/>
      <c r="EB567" s="408"/>
      <c r="EC567" s="408"/>
      <c r="ED567" s="408"/>
      <c r="EE567" s="408"/>
      <c r="EF567" s="408"/>
      <c r="EG567" s="408"/>
      <c r="EH567" s="408"/>
      <c r="EI567" s="408"/>
      <c r="EJ567" s="408"/>
      <c r="EK567" s="408"/>
      <c r="EL567" s="408"/>
      <c r="EM567" s="408"/>
      <c r="EN567" s="408"/>
      <c r="EO567" s="408"/>
      <c r="EP567" s="408"/>
      <c r="EQ567" s="408"/>
      <c r="ER567" s="408"/>
      <c r="ES567" s="408"/>
      <c r="ET567" s="408"/>
      <c r="EU567" s="408"/>
      <c r="EV567" s="408">
        <v>239</v>
      </c>
      <c r="EW567" s="408"/>
      <c r="EX567" s="408"/>
      <c r="EY567" s="408"/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572</v>
      </c>
      <c r="B568" s="408" t="s">
        <v>1034</v>
      </c>
      <c r="C568" s="408" t="s">
        <v>2233</v>
      </c>
      <c r="D568" s="408" t="s">
        <v>1953</v>
      </c>
      <c r="E568" s="408" t="s">
        <v>967</v>
      </c>
      <c r="F568" s="408" t="s">
        <v>2239</v>
      </c>
      <c r="G568" s="408" t="s">
        <v>1320</v>
      </c>
      <c r="H568" s="408" t="s">
        <v>1320</v>
      </c>
      <c r="I568" s="408" t="s">
        <v>1320</v>
      </c>
      <c r="J568" s="408" t="s">
        <v>2234</v>
      </c>
      <c r="K568" s="827">
        <v>44652</v>
      </c>
      <c r="L568" s="408">
        <v>0</v>
      </c>
      <c r="M568" s="408">
        <v>0</v>
      </c>
      <c r="N568" s="408">
        <v>72.399000000000001</v>
      </c>
      <c r="O568" s="408">
        <v>72.399000000000001</v>
      </c>
      <c r="P568" s="408">
        <v>72.399000000000001</v>
      </c>
      <c r="Q568" s="408">
        <v>72.399000000000001</v>
      </c>
      <c r="R568" s="408"/>
      <c r="S568" s="408">
        <v>446.23</v>
      </c>
      <c r="T568" s="408">
        <v>173.82</v>
      </c>
      <c r="U568" s="408"/>
      <c r="V568" s="408">
        <v>44890.999949999998</v>
      </c>
      <c r="W568" s="408">
        <v>44890.999949999998</v>
      </c>
      <c r="X568" s="408">
        <v>32788.059119999998</v>
      </c>
      <c r="Y568" s="408">
        <v>0</v>
      </c>
      <c r="Z568" s="408">
        <v>0</v>
      </c>
      <c r="AA568" s="408">
        <v>0</v>
      </c>
      <c r="AB568" s="408">
        <v>0</v>
      </c>
      <c r="AC568" s="408">
        <v>196.81263246942561</v>
      </c>
      <c r="AD568" s="408">
        <v>2492.4522475860563</v>
      </c>
      <c r="AE568" s="408">
        <v>26325.419954273842</v>
      </c>
      <c r="AF568" s="408">
        <v>11650.601691064641</v>
      </c>
      <c r="AG568" s="408">
        <v>586.13255852023917</v>
      </c>
      <c r="AH568" s="408">
        <v>0</v>
      </c>
      <c r="AI568" s="408">
        <v>0</v>
      </c>
      <c r="AJ568" s="408">
        <v>0</v>
      </c>
      <c r="AK568" s="408">
        <v>0</v>
      </c>
      <c r="AL568" s="408">
        <v>0</v>
      </c>
      <c r="AM568" s="408"/>
      <c r="AN568" s="408">
        <v>112.33008743714271</v>
      </c>
      <c r="AO568" s="408">
        <v>419.80587510562674</v>
      </c>
      <c r="AP568" s="408">
        <v>1374.8074783406328</v>
      </c>
      <c r="AQ568" s="408">
        <v>0</v>
      </c>
      <c r="AR568" s="408">
        <v>0</v>
      </c>
      <c r="AS568" s="408">
        <v>0</v>
      </c>
      <c r="AT568" s="408">
        <v>0</v>
      </c>
      <c r="AU568" s="408">
        <v>0</v>
      </c>
      <c r="AV568" s="408">
        <v>0</v>
      </c>
      <c r="AW568" s="408">
        <v>0</v>
      </c>
      <c r="AX568" s="408">
        <v>0</v>
      </c>
      <c r="AY568" s="408">
        <v>0</v>
      </c>
      <c r="AZ568" s="408">
        <v>0</v>
      </c>
      <c r="BA568" s="408"/>
      <c r="BB568" s="408">
        <v>0</v>
      </c>
      <c r="BC568" s="408">
        <v>0</v>
      </c>
      <c r="BD568" s="408">
        <v>0</v>
      </c>
      <c r="BE568" s="408">
        <v>40.167878661955427</v>
      </c>
      <c r="BF568" s="408">
        <v>347.92702994385559</v>
      </c>
      <c r="BG568" s="408">
        <v>1345.0520218017425</v>
      </c>
      <c r="BH568" s="408">
        <v>0</v>
      </c>
      <c r="BI568" s="408">
        <v>67.709999999999994</v>
      </c>
      <c r="BJ568" s="408">
        <v>332.28</v>
      </c>
      <c r="BK568" s="408">
        <v>9965.1</v>
      </c>
      <c r="BL568" s="408">
        <v>682</v>
      </c>
      <c r="BM568" s="408"/>
      <c r="BN568" s="408"/>
      <c r="BO568" s="408"/>
      <c r="BP568" s="408"/>
      <c r="BQ568" s="408"/>
      <c r="BR568" s="408"/>
      <c r="BS568" s="408"/>
      <c r="BT568" s="408">
        <v>3278.2267200000001</v>
      </c>
      <c r="BU568" s="408"/>
      <c r="BV568" s="408">
        <v>13383.748621472196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29510.240000000005</v>
      </c>
      <c r="CJ568" s="408">
        <v>-10892.051949999994</v>
      </c>
      <c r="CK568" s="408"/>
      <c r="CL568" s="408"/>
      <c r="CM568" s="408"/>
      <c r="CN568" s="408"/>
      <c r="CO568" s="408">
        <v>-13637.075640000001</v>
      </c>
      <c r="CP568" s="408">
        <v>1534.1348099999998</v>
      </c>
      <c r="CQ568" s="408">
        <v>30</v>
      </c>
      <c r="CR568" s="408">
        <v>1834.4308949322731</v>
      </c>
      <c r="CS568" s="408">
        <v>40.760498257663755</v>
      </c>
      <c r="CT568" s="408">
        <v>133.4851205010491</v>
      </c>
      <c r="CU568" s="408">
        <v>0</v>
      </c>
      <c r="CV568" s="408">
        <v>0</v>
      </c>
      <c r="CW568" s="408">
        <v>0</v>
      </c>
      <c r="CX568" s="408">
        <v>0</v>
      </c>
      <c r="CY568" s="408">
        <v>0</v>
      </c>
      <c r="CZ568" s="408">
        <v>-47.790797713752454</v>
      </c>
      <c r="DA568" s="408">
        <v>0</v>
      </c>
      <c r="DB568" s="408">
        <v>0</v>
      </c>
      <c r="DC568" s="408">
        <v>1495.4834901076592</v>
      </c>
      <c r="DD568" s="408">
        <v>44.660279601032528</v>
      </c>
      <c r="DE568" s="408">
        <v>5.1559911637585145</v>
      </c>
      <c r="DF568" s="408">
        <v>0</v>
      </c>
      <c r="DG568" s="408">
        <v>172.65229258357249</v>
      </c>
      <c r="DH568" s="408">
        <v>0</v>
      </c>
      <c r="DI568" s="408">
        <v>0</v>
      </c>
      <c r="DJ568" s="408"/>
      <c r="DK568" s="408">
        <v>0</v>
      </c>
      <c r="DL568" s="408">
        <v>0</v>
      </c>
      <c r="DM568" s="408">
        <v>-6.514648266803988</v>
      </c>
      <c r="DN568" s="408">
        <v>0</v>
      </c>
      <c r="DO568" s="408">
        <v>0</v>
      </c>
      <c r="DP568" s="408">
        <v>-3.4613313019075633</v>
      </c>
      <c r="DQ568" s="408">
        <v>0</v>
      </c>
      <c r="DR568" s="408">
        <v>0</v>
      </c>
      <c r="DS568" s="408"/>
      <c r="DT568" s="408"/>
      <c r="DU568" s="408"/>
      <c r="DV568" s="408">
        <v>26325.419954273842</v>
      </c>
      <c r="DW568" s="408">
        <v>0</v>
      </c>
      <c r="DX568" s="408">
        <v>0</v>
      </c>
      <c r="DY568" s="408">
        <v>-13637.075640000003</v>
      </c>
      <c r="DZ568" s="408">
        <v>1534.1348099999996</v>
      </c>
      <c r="EA568" s="408">
        <v>0</v>
      </c>
      <c r="EB568" s="408">
        <v>0</v>
      </c>
      <c r="EC568" s="408">
        <v>-13937.914211174028</v>
      </c>
      <c r="ED568" s="408">
        <v>0</v>
      </c>
      <c r="EE568" s="408">
        <v>0</v>
      </c>
      <c r="EF568" s="408">
        <v>0</v>
      </c>
      <c r="EG568" s="408">
        <v>0</v>
      </c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>
        <v>0</v>
      </c>
      <c r="EN568" s="408">
        <v>0</v>
      </c>
      <c r="EO568" s="408">
        <v>0</v>
      </c>
      <c r="EP568" s="408">
        <v>0</v>
      </c>
      <c r="EQ568" s="408">
        <v>0</v>
      </c>
      <c r="ER568" s="408">
        <v>0</v>
      </c>
      <c r="ES568" s="408">
        <v>0</v>
      </c>
      <c r="ET568" s="408">
        <v>0</v>
      </c>
      <c r="EU568" s="408">
        <v>0</v>
      </c>
      <c r="EV568" s="408">
        <v>239</v>
      </c>
      <c r="EW568" s="408">
        <v>0</v>
      </c>
      <c r="EX568" s="408">
        <v>0</v>
      </c>
      <c r="EY568" s="408">
        <v>0</v>
      </c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573</v>
      </c>
      <c r="B569" s="408" t="s">
        <v>2236</v>
      </c>
      <c r="C569" s="408" t="s">
        <v>2233</v>
      </c>
      <c r="D569" s="408" t="s">
        <v>1953</v>
      </c>
      <c r="E569" s="408" t="s">
        <v>967</v>
      </c>
      <c r="F569" s="408" t="s">
        <v>2239</v>
      </c>
      <c r="G569" s="408" t="s">
        <v>1320</v>
      </c>
      <c r="H569" s="408" t="s">
        <v>1320</v>
      </c>
      <c r="I569" s="408" t="s">
        <v>1320</v>
      </c>
      <c r="J569" s="408" t="s">
        <v>2234</v>
      </c>
      <c r="K569" s="827">
        <v>44652</v>
      </c>
      <c r="L569" s="408">
        <v>0</v>
      </c>
      <c r="M569" s="408">
        <v>0</v>
      </c>
      <c r="N569" s="408">
        <v>0</v>
      </c>
      <c r="O569" s="408">
        <v>0</v>
      </c>
      <c r="P569" s="408">
        <v>0</v>
      </c>
      <c r="Q569" s="408">
        <v>0</v>
      </c>
      <c r="R569" s="408"/>
      <c r="S569" s="408"/>
      <c r="T569" s="408"/>
      <c r="U569" s="408"/>
      <c r="V569" s="408"/>
      <c r="W569" s="408"/>
      <c r="X569" s="408"/>
      <c r="Y569" s="408"/>
      <c r="Z569" s="408"/>
      <c r="AA569" s="408">
        <v>0</v>
      </c>
      <c r="AB569" s="408"/>
      <c r="AC569" s="408"/>
      <c r="AD569" s="408"/>
      <c r="AE569" s="408"/>
      <c r="AF569" s="408"/>
      <c r="AG569" s="408"/>
      <c r="AH569" s="408"/>
      <c r="AI569" s="408"/>
      <c r="AJ569" s="408"/>
      <c r="AK569" s="408"/>
      <c r="AL569" s="408"/>
      <c r="AM569" s="408"/>
      <c r="AN569" s="408"/>
      <c r="AO569" s="408"/>
      <c r="AP569" s="408"/>
      <c r="AQ569" s="408"/>
      <c r="AR569" s="408"/>
      <c r="AS569" s="408"/>
      <c r="AT569" s="408"/>
      <c r="AU569" s="408"/>
      <c r="AV569" s="408"/>
      <c r="AW569" s="408"/>
      <c r="AX569" s="408"/>
      <c r="AY569" s="408"/>
      <c r="AZ569" s="408">
        <v>0</v>
      </c>
      <c r="BA569" s="408"/>
      <c r="BB569" s="408"/>
      <c r="BC569" s="408"/>
      <c r="BD569" s="408"/>
      <c r="BE569" s="408"/>
      <c r="BF569" s="408"/>
      <c r="BG569" s="408"/>
      <c r="BH569" s="408"/>
      <c r="BI569" s="408">
        <v>0</v>
      </c>
      <c r="BJ569" s="408">
        <v>0</v>
      </c>
      <c r="BK569" s="408">
        <v>48.55</v>
      </c>
      <c r="BL569" s="408">
        <v>4</v>
      </c>
      <c r="BM569" s="408"/>
      <c r="BN569" s="408"/>
      <c r="BO569" s="408"/>
      <c r="BP569" s="408"/>
      <c r="BQ569" s="408"/>
      <c r="BR569" s="408"/>
      <c r="BS569" s="408"/>
      <c r="BT569" s="408"/>
      <c r="BU569" s="408"/>
      <c r="BV569" s="408"/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/>
      <c r="CJ569" s="408">
        <v>-0.03</v>
      </c>
      <c r="CK569" s="408"/>
      <c r="CL569" s="408"/>
      <c r="CM569" s="408"/>
      <c r="CN569" s="408"/>
      <c r="CO569" s="408">
        <v>0</v>
      </c>
      <c r="CP569" s="408">
        <v>0</v>
      </c>
      <c r="CQ569" s="408">
        <v>30</v>
      </c>
      <c r="CR569" s="408"/>
      <c r="CS569" s="408"/>
      <c r="CT569" s="408"/>
      <c r="CU569" s="408"/>
      <c r="CV569" s="408"/>
      <c r="CW569" s="408"/>
      <c r="CX569" s="408"/>
      <c r="CY569" s="408"/>
      <c r="CZ569" s="408"/>
      <c r="DA569" s="408"/>
      <c r="DB569" s="408"/>
      <c r="DC569" s="408"/>
      <c r="DD569" s="408"/>
      <c r="DE569" s="408"/>
      <c r="DF569" s="408"/>
      <c r="DG569" s="408"/>
      <c r="DH569" s="408"/>
      <c r="DI569" s="408"/>
      <c r="DJ569" s="408"/>
      <c r="DK569" s="408">
        <v>0</v>
      </c>
      <c r="DL569" s="408"/>
      <c r="DM569" s="408"/>
      <c r="DN569" s="408"/>
      <c r="DO569" s="408"/>
      <c r="DP569" s="408"/>
      <c r="DQ569" s="408"/>
      <c r="DR569" s="408"/>
      <c r="DS569" s="408"/>
      <c r="DT569" s="408"/>
      <c r="DU569" s="408"/>
      <c r="DV569" s="408"/>
      <c r="DW569" s="408"/>
      <c r="DX569" s="408"/>
      <c r="DY569" s="408"/>
      <c r="DZ569" s="408"/>
      <c r="EA569" s="408"/>
      <c r="EB569" s="408"/>
      <c r="EC569" s="408"/>
      <c r="ED569" s="408"/>
      <c r="EE569" s="408"/>
      <c r="EF569" s="408"/>
      <c r="EG569" s="408"/>
      <c r="EH569" s="408"/>
      <c r="EI569" s="408"/>
      <c r="EJ569" s="408"/>
      <c r="EK569" s="408"/>
      <c r="EL569" s="408"/>
      <c r="EM569" s="408"/>
      <c r="EN569" s="408"/>
      <c r="EO569" s="408"/>
      <c r="EP569" s="408"/>
      <c r="EQ569" s="408"/>
      <c r="ER569" s="408"/>
      <c r="ES569" s="408"/>
      <c r="ET569" s="408"/>
      <c r="EU569" s="408"/>
      <c r="EV569" s="408">
        <v>239</v>
      </c>
      <c r="EW569" s="408"/>
      <c r="EX569" s="408"/>
      <c r="EY569" s="408"/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574</v>
      </c>
      <c r="B570" s="408" t="s">
        <v>1034</v>
      </c>
      <c r="C570" s="408" t="s">
        <v>2233</v>
      </c>
      <c r="D570" s="408" t="s">
        <v>1953</v>
      </c>
      <c r="E570" s="408" t="s">
        <v>967</v>
      </c>
      <c r="F570" s="408" t="s">
        <v>2240</v>
      </c>
      <c r="G570" s="408" t="s">
        <v>1320</v>
      </c>
      <c r="H570" s="408" t="s">
        <v>1320</v>
      </c>
      <c r="I570" s="408" t="s">
        <v>1320</v>
      </c>
      <c r="J570" s="408" t="s">
        <v>2234</v>
      </c>
      <c r="K570" s="827">
        <v>44652</v>
      </c>
      <c r="L570" s="408">
        <v>0</v>
      </c>
      <c r="M570" s="408">
        <v>0</v>
      </c>
      <c r="N570" s="408">
        <v>22.033000000000001</v>
      </c>
      <c r="O570" s="408">
        <v>22.033000000000001</v>
      </c>
      <c r="P570" s="408">
        <v>22.033000000000001</v>
      </c>
      <c r="Q570" s="408">
        <v>22.033000000000001</v>
      </c>
      <c r="R570" s="408"/>
      <c r="S570" s="408">
        <v>446.23</v>
      </c>
      <c r="T570" s="408">
        <v>173.82</v>
      </c>
      <c r="U570" s="408"/>
      <c r="V570" s="408">
        <v>13661.561650000001</v>
      </c>
      <c r="W570" s="408">
        <v>13661.561650000001</v>
      </c>
      <c r="X570" s="408">
        <v>9978.3050399999993</v>
      </c>
      <c r="Y570" s="408">
        <v>0</v>
      </c>
      <c r="Z570" s="408">
        <v>0</v>
      </c>
      <c r="AA570" s="408">
        <v>0</v>
      </c>
      <c r="AB570" s="408">
        <v>0</v>
      </c>
      <c r="AC570" s="408">
        <v>59.895478269021048</v>
      </c>
      <c r="AD570" s="408">
        <v>758.52153166568019</v>
      </c>
      <c r="AE570" s="408">
        <v>8011.5468149078797</v>
      </c>
      <c r="AF570" s="408">
        <v>3545.5974123845253</v>
      </c>
      <c r="AG570" s="408">
        <v>178.37620218340626</v>
      </c>
      <c r="AH570" s="408">
        <v>0</v>
      </c>
      <c r="AI570" s="408">
        <v>0</v>
      </c>
      <c r="AJ570" s="408">
        <v>0</v>
      </c>
      <c r="AK570" s="408">
        <v>0</v>
      </c>
      <c r="AL570" s="408">
        <v>0</v>
      </c>
      <c r="AM570" s="408"/>
      <c r="AN570" s="408">
        <v>34.185124331863221</v>
      </c>
      <c r="AO570" s="408">
        <v>127.75843376569115</v>
      </c>
      <c r="AP570" s="408">
        <v>418.39159615849894</v>
      </c>
      <c r="AQ570" s="408">
        <v>0</v>
      </c>
      <c r="AR570" s="408">
        <v>0</v>
      </c>
      <c r="AS570" s="408">
        <v>0</v>
      </c>
      <c r="AT570" s="408">
        <v>0</v>
      </c>
      <c r="AU570" s="408">
        <v>0</v>
      </c>
      <c r="AV570" s="408">
        <v>0</v>
      </c>
      <c r="AW570" s="408">
        <v>0</v>
      </c>
      <c r="AX570" s="408">
        <v>0</v>
      </c>
      <c r="AY570" s="408">
        <v>0</v>
      </c>
      <c r="AZ570" s="408">
        <v>0</v>
      </c>
      <c r="BA570" s="408"/>
      <c r="BB570" s="408">
        <v>0</v>
      </c>
      <c r="BC570" s="408">
        <v>0</v>
      </c>
      <c r="BD570" s="408">
        <v>0</v>
      </c>
      <c r="BE570" s="408">
        <v>12.224186391509054</v>
      </c>
      <c r="BF570" s="408">
        <v>105.88373113928328</v>
      </c>
      <c r="BG570" s="408">
        <v>409.33619520100825</v>
      </c>
      <c r="BH570" s="408">
        <v>0</v>
      </c>
      <c r="BI570" s="408">
        <v>19.59</v>
      </c>
      <c r="BJ570" s="408">
        <v>101.76</v>
      </c>
      <c r="BK570" s="408">
        <v>3366</v>
      </c>
      <c r="BL570" s="408">
        <v>284</v>
      </c>
      <c r="BM570" s="408"/>
      <c r="BN570" s="408"/>
      <c r="BO570" s="408"/>
      <c r="BP570" s="408"/>
      <c r="BQ570" s="408"/>
      <c r="BR570" s="408"/>
      <c r="BS570" s="408"/>
      <c r="BT570" s="408"/>
      <c r="BU570" s="408"/>
      <c r="BV570" s="408">
        <v>4073.0415251163258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9976.9464000000007</v>
      </c>
      <c r="CJ570" s="408">
        <v>-3684.6452500000014</v>
      </c>
      <c r="CK570" s="408"/>
      <c r="CL570" s="408"/>
      <c r="CM570" s="408"/>
      <c r="CN570" s="408"/>
      <c r="CO570" s="408">
        <v>-4150.1358800000007</v>
      </c>
      <c r="CP570" s="408">
        <v>466.87926999999996</v>
      </c>
      <c r="CQ570" s="408">
        <v>30</v>
      </c>
      <c r="CR570" s="408">
        <v>558.26759911107547</v>
      </c>
      <c r="CS570" s="408">
        <v>12.404536776904465</v>
      </c>
      <c r="CT570" s="408">
        <v>40.623180706910489</v>
      </c>
      <c r="CU570" s="408">
        <v>0</v>
      </c>
      <c r="CV570" s="408">
        <v>0</v>
      </c>
      <c r="CW570" s="408">
        <v>0</v>
      </c>
      <c r="CX570" s="408">
        <v>0</v>
      </c>
      <c r="CY570" s="408">
        <v>0</v>
      </c>
      <c r="CZ570" s="408">
        <v>-14.544049586694655</v>
      </c>
      <c r="DA570" s="408">
        <v>0</v>
      </c>
      <c r="DB570" s="408">
        <v>0</v>
      </c>
      <c r="DC570" s="408">
        <v>455.11661400768025</v>
      </c>
      <c r="DD570" s="408">
        <v>13.59134712426345</v>
      </c>
      <c r="DE570" s="408">
        <v>1.5691094256977483</v>
      </c>
      <c r="DF570" s="408">
        <v>0</v>
      </c>
      <c r="DG570" s="408">
        <v>52.542824659095402</v>
      </c>
      <c r="DH570" s="408">
        <v>0</v>
      </c>
      <c r="DI570" s="408">
        <v>0</v>
      </c>
      <c r="DJ570" s="408"/>
      <c r="DK570" s="408">
        <v>0</v>
      </c>
      <c r="DL570" s="408">
        <v>0</v>
      </c>
      <c r="DM570" s="408">
        <v>-1.9825860200070622</v>
      </c>
      <c r="DN570" s="408">
        <v>0</v>
      </c>
      <c r="DO570" s="408">
        <v>0</v>
      </c>
      <c r="DP570" s="408">
        <v>-1.0533779827750251</v>
      </c>
      <c r="DQ570" s="408">
        <v>0</v>
      </c>
      <c r="DR570" s="408">
        <v>0</v>
      </c>
      <c r="DS570" s="408"/>
      <c r="DT570" s="408"/>
      <c r="DU570" s="408"/>
      <c r="DV570" s="408">
        <v>8011.5468149078797</v>
      </c>
      <c r="DW570" s="408">
        <v>0</v>
      </c>
      <c r="DX570" s="408">
        <v>0</v>
      </c>
      <c r="DY570" s="408">
        <v>-4150.1358800000007</v>
      </c>
      <c r="DZ570" s="408">
        <v>466.87926999999945</v>
      </c>
      <c r="EA570" s="408">
        <v>0</v>
      </c>
      <c r="EB570" s="408">
        <v>0</v>
      </c>
      <c r="EC570" s="408">
        <v>-4241.6893025428162</v>
      </c>
      <c r="ED570" s="408">
        <v>0</v>
      </c>
      <c r="EE570" s="408">
        <v>0</v>
      </c>
      <c r="EF570" s="408">
        <v>0</v>
      </c>
      <c r="EG570" s="408">
        <v>0</v>
      </c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>
        <v>0</v>
      </c>
      <c r="EN570" s="408">
        <v>0</v>
      </c>
      <c r="EO570" s="408">
        <v>0</v>
      </c>
      <c r="EP570" s="408">
        <v>0</v>
      </c>
      <c r="EQ570" s="408">
        <v>0</v>
      </c>
      <c r="ER570" s="408">
        <v>0</v>
      </c>
      <c r="ES570" s="408">
        <v>0</v>
      </c>
      <c r="ET570" s="408">
        <v>0</v>
      </c>
      <c r="EU570" s="408">
        <v>0</v>
      </c>
      <c r="EV570" s="408">
        <v>239</v>
      </c>
      <c r="EW570" s="408">
        <v>0</v>
      </c>
      <c r="EX570" s="408">
        <v>0</v>
      </c>
      <c r="EY570" s="408">
        <v>0</v>
      </c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575</v>
      </c>
      <c r="B571" s="408" t="s">
        <v>2236</v>
      </c>
      <c r="C571" s="408" t="s">
        <v>2233</v>
      </c>
      <c r="D571" s="408" t="s">
        <v>1953</v>
      </c>
      <c r="E571" s="408" t="s">
        <v>967</v>
      </c>
      <c r="F571" s="408" t="s">
        <v>2240</v>
      </c>
      <c r="G571" s="408" t="s">
        <v>1320</v>
      </c>
      <c r="H571" s="408" t="s">
        <v>1320</v>
      </c>
      <c r="I571" s="408" t="s">
        <v>1320</v>
      </c>
      <c r="J571" s="408" t="s">
        <v>2234</v>
      </c>
      <c r="K571" s="827">
        <v>44652</v>
      </c>
      <c r="L571" s="408">
        <v>0</v>
      </c>
      <c r="M571" s="408">
        <v>0</v>
      </c>
      <c r="N571" s="408">
        <v>0</v>
      </c>
      <c r="O571" s="408">
        <v>0</v>
      </c>
      <c r="P571" s="408">
        <v>0</v>
      </c>
      <c r="Q571" s="408">
        <v>0</v>
      </c>
      <c r="R571" s="408"/>
      <c r="S571" s="408"/>
      <c r="T571" s="408"/>
      <c r="U571" s="408"/>
      <c r="V571" s="408"/>
      <c r="W571" s="408"/>
      <c r="X571" s="408"/>
      <c r="Y571" s="408"/>
      <c r="Z571" s="408"/>
      <c r="AA571" s="408">
        <v>0</v>
      </c>
      <c r="AB571" s="408"/>
      <c r="AC571" s="408"/>
      <c r="AD571" s="408"/>
      <c r="AE571" s="408"/>
      <c r="AF571" s="408"/>
      <c r="AG571" s="408"/>
      <c r="AH571" s="408"/>
      <c r="AI571" s="408"/>
      <c r="AJ571" s="408"/>
      <c r="AK571" s="408"/>
      <c r="AL571" s="408"/>
      <c r="AM571" s="408"/>
      <c r="AN571" s="408"/>
      <c r="AO571" s="408"/>
      <c r="AP571" s="408"/>
      <c r="AQ571" s="408"/>
      <c r="AR571" s="408"/>
      <c r="AS571" s="408"/>
      <c r="AT571" s="408"/>
      <c r="AU571" s="408"/>
      <c r="AV571" s="408"/>
      <c r="AW571" s="408"/>
      <c r="AX571" s="408"/>
      <c r="AY571" s="408"/>
      <c r="AZ571" s="408">
        <v>0</v>
      </c>
      <c r="BA571" s="408"/>
      <c r="BB571" s="408"/>
      <c r="BC571" s="408"/>
      <c r="BD571" s="408"/>
      <c r="BE571" s="408"/>
      <c r="BF571" s="408"/>
      <c r="BG571" s="408"/>
      <c r="BH571" s="408"/>
      <c r="BI571" s="408">
        <v>0</v>
      </c>
      <c r="BJ571" s="408">
        <v>0</v>
      </c>
      <c r="BK571" s="408">
        <v>23.89</v>
      </c>
      <c r="BL571" s="408">
        <v>3</v>
      </c>
      <c r="BM571" s="408"/>
      <c r="BN571" s="408"/>
      <c r="BO571" s="408"/>
      <c r="BP571" s="408"/>
      <c r="BQ571" s="408"/>
      <c r="BR571" s="408"/>
      <c r="BS571" s="408"/>
      <c r="BT571" s="408"/>
      <c r="BU571" s="408"/>
      <c r="BV571" s="408"/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/>
      <c r="CJ571" s="408">
        <v>-0.03</v>
      </c>
      <c r="CK571" s="408"/>
      <c r="CL571" s="408"/>
      <c r="CM571" s="408"/>
      <c r="CN571" s="408"/>
      <c r="CO571" s="408">
        <v>0</v>
      </c>
      <c r="CP571" s="408">
        <v>0</v>
      </c>
      <c r="CQ571" s="408">
        <v>30</v>
      </c>
      <c r="CR571" s="408"/>
      <c r="CS571" s="408"/>
      <c r="CT571" s="408"/>
      <c r="CU571" s="408"/>
      <c r="CV571" s="408"/>
      <c r="CW571" s="408"/>
      <c r="CX571" s="408"/>
      <c r="CY571" s="408"/>
      <c r="CZ571" s="408"/>
      <c r="DA571" s="408"/>
      <c r="DB571" s="408"/>
      <c r="DC571" s="408"/>
      <c r="DD571" s="408"/>
      <c r="DE571" s="408"/>
      <c r="DF571" s="408"/>
      <c r="DG571" s="408"/>
      <c r="DH571" s="408"/>
      <c r="DI571" s="408"/>
      <c r="DJ571" s="408"/>
      <c r="DK571" s="408">
        <v>0</v>
      </c>
      <c r="DL571" s="408"/>
      <c r="DM571" s="408"/>
      <c r="DN571" s="408"/>
      <c r="DO571" s="408"/>
      <c r="DP571" s="408"/>
      <c r="DQ571" s="408"/>
      <c r="DR571" s="408"/>
      <c r="DS571" s="408"/>
      <c r="DT571" s="408"/>
      <c r="DU571" s="408"/>
      <c r="DV571" s="408"/>
      <c r="DW571" s="408"/>
      <c r="DX571" s="408"/>
      <c r="DY571" s="408"/>
      <c r="DZ571" s="408"/>
      <c r="EA571" s="408"/>
      <c r="EB571" s="408"/>
      <c r="EC571" s="408"/>
      <c r="ED571" s="408"/>
      <c r="EE571" s="408"/>
      <c r="EF571" s="408"/>
      <c r="EG571" s="408"/>
      <c r="EH571" s="408"/>
      <c r="EI571" s="408"/>
      <c r="EJ571" s="408"/>
      <c r="EK571" s="408"/>
      <c r="EL571" s="408"/>
      <c r="EM571" s="408"/>
      <c r="EN571" s="408"/>
      <c r="EO571" s="408"/>
      <c r="EP571" s="408"/>
      <c r="EQ571" s="408"/>
      <c r="ER571" s="408"/>
      <c r="ES571" s="408"/>
      <c r="ET571" s="408"/>
      <c r="EU571" s="408"/>
      <c r="EV571" s="408">
        <v>239</v>
      </c>
      <c r="EW571" s="408"/>
      <c r="EX571" s="408"/>
      <c r="EY571" s="408"/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576</v>
      </c>
      <c r="B572" s="408" t="s">
        <v>1034</v>
      </c>
      <c r="C572" s="408" t="s">
        <v>2233</v>
      </c>
      <c r="D572" s="408" t="s">
        <v>1956</v>
      </c>
      <c r="E572" s="408" t="s">
        <v>968</v>
      </c>
      <c r="F572" s="408" t="s">
        <v>1320</v>
      </c>
      <c r="G572" s="408" t="s">
        <v>1320</v>
      </c>
      <c r="H572" s="408" t="s">
        <v>1320</v>
      </c>
      <c r="I572" s="408" t="s">
        <v>1320</v>
      </c>
      <c r="J572" s="408" t="s">
        <v>2234</v>
      </c>
      <c r="K572" s="827">
        <v>44652</v>
      </c>
      <c r="L572" s="408">
        <v>0</v>
      </c>
      <c r="M572" s="408">
        <v>0</v>
      </c>
      <c r="N572" s="408">
        <v>55.664000000000001</v>
      </c>
      <c r="O572" s="408">
        <v>55.664000000000001</v>
      </c>
      <c r="P572" s="408">
        <v>55.664000000000001</v>
      </c>
      <c r="Q572" s="408">
        <v>55.664000000000001</v>
      </c>
      <c r="R572" s="408"/>
      <c r="S572" s="408">
        <v>516.83000000000004</v>
      </c>
      <c r="T572" s="408">
        <v>173.82</v>
      </c>
      <c r="U572" s="408"/>
      <c r="V572" s="408">
        <v>38444.3416</v>
      </c>
      <c r="W572" s="408">
        <v>38444.3416</v>
      </c>
      <c r="X572" s="408">
        <v>29025.9928</v>
      </c>
      <c r="Y572" s="408">
        <v>0</v>
      </c>
      <c r="Z572" s="408">
        <v>3403.8233053146314</v>
      </c>
      <c r="AA572" s="408">
        <v>0</v>
      </c>
      <c r="AB572" s="408">
        <v>0</v>
      </c>
      <c r="AC572" s="408">
        <v>151.31947090122941</v>
      </c>
      <c r="AD572" s="408">
        <v>1916.3229037642818</v>
      </c>
      <c r="AE572" s="408">
        <v>20240.309622159133</v>
      </c>
      <c r="AF572" s="408">
        <v>8957.5697527786597</v>
      </c>
      <c r="AG572" s="408">
        <v>450.64825118400245</v>
      </c>
      <c r="AH572" s="408">
        <v>0</v>
      </c>
      <c r="AI572" s="408">
        <v>0</v>
      </c>
      <c r="AJ572" s="408">
        <v>0</v>
      </c>
      <c r="AK572" s="408">
        <v>0</v>
      </c>
      <c r="AL572" s="408">
        <v>526.10810994971735</v>
      </c>
      <c r="AM572" s="408"/>
      <c r="AN572" s="408">
        <v>86.365032488033137</v>
      </c>
      <c r="AO572" s="408">
        <v>322.76791436179514</v>
      </c>
      <c r="AP572" s="408">
        <v>1057.0212775639579</v>
      </c>
      <c r="AQ572" s="408">
        <v>0</v>
      </c>
      <c r="AR572" s="408">
        <v>0</v>
      </c>
      <c r="AS572" s="408">
        <v>0</v>
      </c>
      <c r="AT572" s="408">
        <v>0</v>
      </c>
      <c r="AU572" s="408">
        <v>0</v>
      </c>
      <c r="AV572" s="408">
        <v>0</v>
      </c>
      <c r="AW572" s="408">
        <v>0</v>
      </c>
      <c r="AX572" s="408">
        <v>0</v>
      </c>
      <c r="AY572" s="408">
        <v>0</v>
      </c>
      <c r="AZ572" s="408">
        <v>0</v>
      </c>
      <c r="BA572" s="408"/>
      <c r="BB572" s="408">
        <v>0</v>
      </c>
      <c r="BC572" s="408">
        <v>0</v>
      </c>
      <c r="BD572" s="408">
        <v>0</v>
      </c>
      <c r="BE572" s="408">
        <v>30.883089515588431</v>
      </c>
      <c r="BF572" s="408">
        <v>267.5038356164419</v>
      </c>
      <c r="BG572" s="408">
        <v>1034.1437829468944</v>
      </c>
      <c r="BH572" s="408">
        <v>0</v>
      </c>
      <c r="BI572" s="408">
        <v>65.28</v>
      </c>
      <c r="BJ572" s="408">
        <v>301</v>
      </c>
      <c r="BK572" s="408">
        <v>7209.19</v>
      </c>
      <c r="BL572" s="408">
        <v>35</v>
      </c>
      <c r="BM572" s="408"/>
      <c r="BN572" s="408"/>
      <c r="BO572" s="408"/>
      <c r="BP572" s="408"/>
      <c r="BQ572" s="408"/>
      <c r="BR572" s="408"/>
      <c r="BS572" s="408"/>
      <c r="BT572" s="408"/>
      <c r="BU572" s="408"/>
      <c r="BV572" s="408">
        <v>10290.100460857584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29023.906999999999</v>
      </c>
      <c r="CJ572" s="408">
        <v>-9420.4645999999993</v>
      </c>
      <c r="CK572" s="408"/>
      <c r="CL572" s="408"/>
      <c r="CM572" s="408"/>
      <c r="CN572" s="408"/>
      <c r="CO572" s="408">
        <v>-10597.868960000003</v>
      </c>
      <c r="CP572" s="408">
        <v>1179.5201599999998</v>
      </c>
      <c r="CQ572" s="408">
        <v>30</v>
      </c>
      <c r="CR572" s="408">
        <v>1297.2984494357479</v>
      </c>
      <c r="CS572" s="408">
        <v>31.33872532789951</v>
      </c>
      <c r="CT572" s="408">
        <v>102.6300880892054</v>
      </c>
      <c r="CU572" s="408">
        <v>0</v>
      </c>
      <c r="CV572" s="408">
        <v>0</v>
      </c>
      <c r="CW572" s="408">
        <v>0</v>
      </c>
      <c r="CX572" s="408">
        <v>0</v>
      </c>
      <c r="CY572" s="408">
        <v>0</v>
      </c>
      <c r="CZ572" s="408">
        <v>-36.743973866190345</v>
      </c>
      <c r="DA572" s="408">
        <v>0</v>
      </c>
      <c r="DB572" s="408">
        <v>0</v>
      </c>
      <c r="DC572" s="408">
        <v>1149.8030772987568</v>
      </c>
      <c r="DD572" s="408">
        <v>34.337073767757488</v>
      </c>
      <c r="DE572" s="408">
        <v>3.9641858608468894</v>
      </c>
      <c r="DF572" s="408">
        <v>0</v>
      </c>
      <c r="DG572" s="408">
        <v>132.74378395242979</v>
      </c>
      <c r="DH572" s="408">
        <v>0</v>
      </c>
      <c r="DI572" s="408">
        <v>-99.47845680105911</v>
      </c>
      <c r="DJ572" s="408"/>
      <c r="DK572" s="408">
        <v>0</v>
      </c>
      <c r="DL572" s="408">
        <v>0</v>
      </c>
      <c r="DM572" s="408">
        <v>-5.0087899159294693</v>
      </c>
      <c r="DN572" s="408">
        <v>0</v>
      </c>
      <c r="DO572" s="408">
        <v>-13.626018327205429</v>
      </c>
      <c r="DP572" s="408">
        <v>-2.6612459507642683</v>
      </c>
      <c r="DQ572" s="408">
        <v>0</v>
      </c>
      <c r="DR572" s="408">
        <v>0</v>
      </c>
      <c r="DS572" s="408"/>
      <c r="DT572" s="408"/>
      <c r="DU572" s="408"/>
      <c r="DV572" s="408">
        <v>20240.309622159133</v>
      </c>
      <c r="DW572" s="408">
        <v>0</v>
      </c>
      <c r="DX572" s="408">
        <v>0</v>
      </c>
      <c r="DY572" s="408">
        <v>-10597.86896</v>
      </c>
      <c r="DZ572" s="408">
        <v>1179.52016</v>
      </c>
      <c r="EA572" s="408">
        <v>0</v>
      </c>
      <c r="EB572" s="408">
        <v>0</v>
      </c>
      <c r="EC572" s="408">
        <v>-10716.170895327159</v>
      </c>
      <c r="ED572" s="408">
        <v>0</v>
      </c>
      <c r="EE572" s="408">
        <v>0</v>
      </c>
      <c r="EF572" s="408">
        <v>0</v>
      </c>
      <c r="EG572" s="408">
        <v>0</v>
      </c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>
        <v>0</v>
      </c>
      <c r="EN572" s="408">
        <v>0</v>
      </c>
      <c r="EO572" s="408">
        <v>0</v>
      </c>
      <c r="EP572" s="408">
        <v>0</v>
      </c>
      <c r="EQ572" s="408">
        <v>0</v>
      </c>
      <c r="ER572" s="408">
        <v>0</v>
      </c>
      <c r="ES572" s="408">
        <v>0</v>
      </c>
      <c r="ET572" s="408">
        <v>0</v>
      </c>
      <c r="EU572" s="408">
        <v>0</v>
      </c>
      <c r="EV572" s="408">
        <v>239</v>
      </c>
      <c r="EW572" s="408">
        <v>0</v>
      </c>
      <c r="EX572" s="408">
        <v>0</v>
      </c>
      <c r="EY572" s="408">
        <v>0</v>
      </c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577</v>
      </c>
      <c r="B573" s="408" t="s">
        <v>2236</v>
      </c>
      <c r="C573" s="408" t="s">
        <v>2233</v>
      </c>
      <c r="D573" s="408" t="s">
        <v>1956</v>
      </c>
      <c r="E573" s="408" t="s">
        <v>968</v>
      </c>
      <c r="F573" s="408" t="s">
        <v>1320</v>
      </c>
      <c r="G573" s="408" t="s">
        <v>1320</v>
      </c>
      <c r="H573" s="408" t="s">
        <v>1320</v>
      </c>
      <c r="I573" s="408" t="s">
        <v>1320</v>
      </c>
      <c r="J573" s="408" t="s">
        <v>2234</v>
      </c>
      <c r="K573" s="827">
        <v>44652</v>
      </c>
      <c r="L573" s="408">
        <v>0</v>
      </c>
      <c r="M573" s="408">
        <v>0</v>
      </c>
      <c r="N573" s="408">
        <v>1.262</v>
      </c>
      <c r="O573" s="408">
        <v>1.262</v>
      </c>
      <c r="P573" s="408">
        <v>1.262</v>
      </c>
      <c r="Q573" s="408">
        <v>1.262</v>
      </c>
      <c r="R573" s="408"/>
      <c r="S573" s="408">
        <v>516.83000000000004</v>
      </c>
      <c r="T573" s="408">
        <v>173.82</v>
      </c>
      <c r="U573" s="408"/>
      <c r="V573" s="408">
        <v>871.60030000000006</v>
      </c>
      <c r="W573" s="408">
        <v>871.60030000000006</v>
      </c>
      <c r="X573" s="408">
        <v>658.06989999999996</v>
      </c>
      <c r="Y573" s="408">
        <v>0</v>
      </c>
      <c r="Z573" s="408">
        <v>77.170613166625913</v>
      </c>
      <c r="AA573" s="408">
        <v>0</v>
      </c>
      <c r="AB573" s="408">
        <v>0</v>
      </c>
      <c r="AC573" s="408">
        <v>3.4306764206192781</v>
      </c>
      <c r="AD573" s="408">
        <v>43.446383740847288</v>
      </c>
      <c r="AE573" s="408">
        <v>458.88313350037413</v>
      </c>
      <c r="AF573" s="408">
        <v>203.08373505329601</v>
      </c>
      <c r="AG573" s="408">
        <v>10.216982124788212</v>
      </c>
      <c r="AH573" s="408">
        <v>0</v>
      </c>
      <c r="AI573" s="408">
        <v>0</v>
      </c>
      <c r="AJ573" s="408">
        <v>0</v>
      </c>
      <c r="AK573" s="408">
        <v>0</v>
      </c>
      <c r="AL573" s="408">
        <v>11.927788781915481</v>
      </c>
      <c r="AM573" s="408"/>
      <c r="AN573" s="408">
        <v>1.9580459722603087</v>
      </c>
      <c r="AO573" s="408">
        <v>7.3177117692689251</v>
      </c>
      <c r="AP573" s="408">
        <v>23.964516604730431</v>
      </c>
      <c r="AQ573" s="408">
        <v>0</v>
      </c>
      <c r="AR573" s="408">
        <v>0</v>
      </c>
      <c r="AS573" s="408">
        <v>0</v>
      </c>
      <c r="AT573" s="408">
        <v>0</v>
      </c>
      <c r="AU573" s="408">
        <v>0</v>
      </c>
      <c r="AV573" s="408">
        <v>0</v>
      </c>
      <c r="AW573" s="408">
        <v>0</v>
      </c>
      <c r="AX573" s="408">
        <v>0</v>
      </c>
      <c r="AY573" s="408">
        <v>0</v>
      </c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0.70017352271975786</v>
      </c>
      <c r="BF573" s="408">
        <v>6.0647786818760716</v>
      </c>
      <c r="BG573" s="408">
        <v>23.445843886155874</v>
      </c>
      <c r="BH573" s="408">
        <v>0</v>
      </c>
      <c r="BI573" s="408">
        <v>1.49</v>
      </c>
      <c r="BJ573" s="408">
        <v>7.02</v>
      </c>
      <c r="BK573" s="408">
        <v>513.41</v>
      </c>
      <c r="BL573" s="408">
        <v>8</v>
      </c>
      <c r="BM573" s="408"/>
      <c r="BN573" s="408"/>
      <c r="BO573" s="408"/>
      <c r="BP573" s="408"/>
      <c r="BQ573" s="408"/>
      <c r="BR573" s="408"/>
      <c r="BS573" s="408"/>
      <c r="BT573" s="408"/>
      <c r="BU573" s="408"/>
      <c r="BV573" s="408">
        <v>233.29453114404771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657.02699999999993</v>
      </c>
      <c r="CJ573" s="408">
        <v>-214.6033000000001</v>
      </c>
      <c r="CK573" s="408"/>
      <c r="CL573" s="408"/>
      <c r="CM573" s="408"/>
      <c r="CN573" s="408"/>
      <c r="CO573" s="408">
        <v>-240.27218000000005</v>
      </c>
      <c r="CP573" s="408">
        <v>26.741779999999999</v>
      </c>
      <c r="CQ573" s="408">
        <v>30</v>
      </c>
      <c r="CR573" s="408">
        <v>29.412019315678151</v>
      </c>
      <c r="CS573" s="408">
        <v>0.71050358155736504</v>
      </c>
      <c r="CT573" s="408">
        <v>2.3268031612636086</v>
      </c>
      <c r="CU573" s="408">
        <v>0</v>
      </c>
      <c r="CV573" s="408">
        <v>0</v>
      </c>
      <c r="CW573" s="408">
        <v>0</v>
      </c>
      <c r="CX573" s="408">
        <v>0</v>
      </c>
      <c r="CY573" s="408">
        <v>0</v>
      </c>
      <c r="CZ573" s="408">
        <v>-0.83304999675072366</v>
      </c>
      <c r="DA573" s="408">
        <v>0</v>
      </c>
      <c r="DB573" s="408">
        <v>0</v>
      </c>
      <c r="DC573" s="408">
        <v>26.068041886156777</v>
      </c>
      <c r="DD573" s="408">
        <v>0.77848137207009849</v>
      </c>
      <c r="DE573" s="408">
        <v>8.9875009995486699E-2</v>
      </c>
      <c r="DF573" s="408">
        <v>0</v>
      </c>
      <c r="DG573" s="408">
        <v>3.0095331874814342</v>
      </c>
      <c r="DH573" s="408">
        <v>0</v>
      </c>
      <c r="DI573" s="408">
        <v>-2.2553501811392778</v>
      </c>
      <c r="DJ573" s="408"/>
      <c r="DK573" s="408">
        <v>0</v>
      </c>
      <c r="DL573" s="408">
        <v>0</v>
      </c>
      <c r="DM573" s="408">
        <v>-0.11355800650156134</v>
      </c>
      <c r="DN573" s="408">
        <v>0</v>
      </c>
      <c r="DO573" s="408">
        <v>-0.3089256095309949</v>
      </c>
      <c r="DP573" s="408">
        <v>-6.0335088923981539E-2</v>
      </c>
      <c r="DQ573" s="408">
        <v>0</v>
      </c>
      <c r="DR573" s="408">
        <v>0</v>
      </c>
      <c r="DS573" s="408"/>
      <c r="DT573" s="408"/>
      <c r="DU573" s="408"/>
      <c r="DV573" s="408">
        <v>458.88313350037413</v>
      </c>
      <c r="DW573" s="408">
        <v>0</v>
      </c>
      <c r="DX573" s="408">
        <v>0</v>
      </c>
      <c r="DY573" s="408">
        <v>-240.27217999999999</v>
      </c>
      <c r="DZ573" s="408">
        <v>26.741780000000006</v>
      </c>
      <c r="EA573" s="408">
        <v>0</v>
      </c>
      <c r="EB573" s="408">
        <v>0</v>
      </c>
      <c r="EC573" s="408">
        <v>-242.9542912816699</v>
      </c>
      <c r="ED573" s="408">
        <v>0</v>
      </c>
      <c r="EE573" s="408">
        <v>0</v>
      </c>
      <c r="EF573" s="408">
        <v>0</v>
      </c>
      <c r="EG573" s="408">
        <v>0</v>
      </c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>
        <v>0</v>
      </c>
      <c r="EN573" s="408">
        <v>0</v>
      </c>
      <c r="EO573" s="408">
        <v>0</v>
      </c>
      <c r="EP573" s="408">
        <v>0</v>
      </c>
      <c r="EQ573" s="408">
        <v>0</v>
      </c>
      <c r="ER573" s="408">
        <v>0</v>
      </c>
      <c r="ES573" s="408">
        <v>0</v>
      </c>
      <c r="ET573" s="408">
        <v>0</v>
      </c>
      <c r="EU573" s="408">
        <v>0</v>
      </c>
      <c r="EV573" s="408">
        <v>239</v>
      </c>
      <c r="EW573" s="408">
        <v>0</v>
      </c>
      <c r="EX573" s="408">
        <v>0</v>
      </c>
      <c r="EY573" s="408">
        <v>0</v>
      </c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578</v>
      </c>
      <c r="B574" s="408" t="s">
        <v>1034</v>
      </c>
      <c r="C574" s="408" t="s">
        <v>2245</v>
      </c>
      <c r="D574" s="408" t="s">
        <v>596</v>
      </c>
      <c r="E574" s="408" t="s">
        <v>968</v>
      </c>
      <c r="F574" s="408" t="s">
        <v>1320</v>
      </c>
      <c r="G574" s="408" t="s">
        <v>1320</v>
      </c>
      <c r="H574" s="408" t="s">
        <v>1320</v>
      </c>
      <c r="I574" s="408" t="s">
        <v>971</v>
      </c>
      <c r="J574" s="408" t="s">
        <v>2234</v>
      </c>
      <c r="K574" s="827">
        <v>44652</v>
      </c>
      <c r="L574" s="408">
        <v>1200</v>
      </c>
      <c r="M574" s="408">
        <v>1200</v>
      </c>
      <c r="N574" s="408">
        <v>37.624000000000002</v>
      </c>
      <c r="O574" s="408">
        <v>37.624000000000002</v>
      </c>
      <c r="P574" s="408">
        <v>37.624000000000002</v>
      </c>
      <c r="Q574" s="408">
        <v>37.624000000000002</v>
      </c>
      <c r="R574" s="408">
        <v>67.099999999999994</v>
      </c>
      <c r="S574" s="408">
        <v>70.33</v>
      </c>
      <c r="T574" s="408">
        <v>173.82</v>
      </c>
      <c r="U574" s="408">
        <v>80520</v>
      </c>
      <c r="V574" s="408">
        <v>9185.8996000000006</v>
      </c>
      <c r="W574" s="408">
        <v>89705.899600000004</v>
      </c>
      <c r="X574" s="408">
        <v>60393.151919999997</v>
      </c>
      <c r="Y574" s="408">
        <v>0</v>
      </c>
      <c r="Z574" s="408">
        <v>2001.597797392702</v>
      </c>
      <c r="AA574" s="408">
        <v>0</v>
      </c>
      <c r="AB574" s="408">
        <v>0</v>
      </c>
      <c r="AC574" s="408">
        <v>898.10170336085525</v>
      </c>
      <c r="AD574" s="408">
        <v>13700.67976876248</v>
      </c>
      <c r="AE574" s="408">
        <v>57794.157302940846</v>
      </c>
      <c r="AF574" s="408">
        <v>6054.5344276111009</v>
      </c>
      <c r="AG574" s="408">
        <v>304.59883951111863</v>
      </c>
      <c r="AH574" s="408">
        <v>0</v>
      </c>
      <c r="AI574" s="408">
        <v>0</v>
      </c>
      <c r="AJ574" s="408">
        <v>0</v>
      </c>
      <c r="AK574" s="408">
        <v>0</v>
      </c>
      <c r="AL574" s="408">
        <v>355.60311024626628</v>
      </c>
      <c r="AM574" s="408"/>
      <c r="AN574" s="408">
        <v>46.756498565497672</v>
      </c>
      <c r="AO574" s="408">
        <v>1928.760364929756</v>
      </c>
      <c r="AP574" s="408">
        <v>6201.9566025339363</v>
      </c>
      <c r="AQ574" s="408">
        <v>0</v>
      </c>
      <c r="AR574" s="408">
        <v>0</v>
      </c>
      <c r="AS574" s="408">
        <v>0</v>
      </c>
      <c r="AT574" s="408">
        <v>0</v>
      </c>
      <c r="AU574" s="408">
        <v>0</v>
      </c>
      <c r="AV574" s="408">
        <v>0</v>
      </c>
      <c r="AW574" s="408">
        <v>0</v>
      </c>
      <c r="AX574" s="408">
        <v>0</v>
      </c>
      <c r="AY574" s="408">
        <v>0</v>
      </c>
      <c r="AZ574" s="408">
        <v>0</v>
      </c>
      <c r="BA574" s="408"/>
      <c r="BB574" s="408">
        <v>0</v>
      </c>
      <c r="BC574" s="408">
        <v>0</v>
      </c>
      <c r="BD574" s="408">
        <v>0</v>
      </c>
      <c r="BE574" s="408">
        <v>7.020398535575322</v>
      </c>
      <c r="BF574" s="408">
        <v>180.80921800864132</v>
      </c>
      <c r="BG574" s="408">
        <v>235.08339396257992</v>
      </c>
      <c r="BH574" s="408">
        <v>0</v>
      </c>
      <c r="BI574" s="408">
        <v>0</v>
      </c>
      <c r="BJ574" s="408">
        <v>0</v>
      </c>
      <c r="BK574" s="408">
        <v>0</v>
      </c>
      <c r="BL574" s="408">
        <v>0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6477.4474381178979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60392.094599999997</v>
      </c>
      <c r="CJ574" s="408">
        <v>-29313.834999999992</v>
      </c>
      <c r="CK574" s="408"/>
      <c r="CL574" s="408"/>
      <c r="CM574" s="408"/>
      <c r="CN574" s="408"/>
      <c r="CO574" s="408">
        <v>-30110.000239999994</v>
      </c>
      <c r="CP574" s="408">
        <v>797.25256000000002</v>
      </c>
      <c r="CQ574" s="408">
        <v>30</v>
      </c>
      <c r="CR574" s="408">
        <v>1285.6595737946627</v>
      </c>
      <c r="CS574" s="408">
        <v>187.27044607078801</v>
      </c>
      <c r="CT574" s="408">
        <v>602.17080389378407</v>
      </c>
      <c r="CU574" s="408">
        <v>0</v>
      </c>
      <c r="CV574" s="408">
        <v>0</v>
      </c>
      <c r="CW574" s="408">
        <v>0</v>
      </c>
      <c r="CX574" s="408">
        <v>0</v>
      </c>
      <c r="CY574" s="408">
        <v>0</v>
      </c>
      <c r="CZ574" s="408">
        <v>-262.69968301452172</v>
      </c>
      <c r="DA574" s="408">
        <v>0</v>
      </c>
      <c r="DB574" s="408">
        <v>0</v>
      </c>
      <c r="DC574" s="408">
        <v>777.1664088151847</v>
      </c>
      <c r="DD574" s="408">
        <v>23.208861444346581</v>
      </c>
      <c r="DE574" s="408">
        <v>0.90114574185302576</v>
      </c>
      <c r="DF574" s="408">
        <v>0</v>
      </c>
      <c r="DG574" s="408">
        <v>30.175551769066885</v>
      </c>
      <c r="DH574" s="408">
        <v>0</v>
      </c>
      <c r="DI574" s="408">
        <v>-58.497707477980839</v>
      </c>
      <c r="DJ574" s="408"/>
      <c r="DK574" s="408">
        <v>0</v>
      </c>
      <c r="DL574" s="408">
        <v>0</v>
      </c>
      <c r="DM574" s="408">
        <v>-3.3855043079356051</v>
      </c>
      <c r="DN574" s="408">
        <v>0</v>
      </c>
      <c r="DO574" s="408">
        <v>-9.2099977282045415</v>
      </c>
      <c r="DP574" s="408">
        <v>-1.4407514117082414</v>
      </c>
      <c r="DQ574" s="408">
        <v>0</v>
      </c>
      <c r="DR574" s="408">
        <v>0</v>
      </c>
      <c r="DS574" s="408"/>
      <c r="DT574" s="408"/>
      <c r="DU574" s="408">
        <v>57794.157302940846</v>
      </c>
      <c r="DV574" s="408">
        <v>0</v>
      </c>
      <c r="DW574" s="408">
        <v>0</v>
      </c>
      <c r="DX574" s="408">
        <v>0</v>
      </c>
      <c r="DY574" s="408">
        <v>-30110.000240000008</v>
      </c>
      <c r="DZ574" s="408">
        <v>797.2525599999999</v>
      </c>
      <c r="EA574" s="408">
        <v>0</v>
      </c>
      <c r="EB574" s="408">
        <v>0</v>
      </c>
      <c r="EC574" s="408">
        <v>-30598.942307270285</v>
      </c>
      <c r="ED574" s="408">
        <v>0</v>
      </c>
      <c r="EE574" s="408">
        <v>0</v>
      </c>
      <c r="EF574" s="408">
        <v>0</v>
      </c>
      <c r="EG574" s="408">
        <v>0</v>
      </c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>
        <v>0</v>
      </c>
      <c r="EN574" s="408">
        <v>0</v>
      </c>
      <c r="EO574" s="408">
        <v>0</v>
      </c>
      <c r="EP574" s="408">
        <v>0</v>
      </c>
      <c r="EQ574" s="408">
        <v>0</v>
      </c>
      <c r="ER574" s="408">
        <v>0</v>
      </c>
      <c r="ES574" s="408">
        <v>0</v>
      </c>
      <c r="ET574" s="408">
        <v>0</v>
      </c>
      <c r="EU574" s="408">
        <v>0</v>
      </c>
      <c r="EV574" s="408">
        <v>239</v>
      </c>
      <c r="EW574" s="408">
        <v>0</v>
      </c>
      <c r="EX574" s="408">
        <v>0</v>
      </c>
      <c r="EY574" s="408">
        <v>0</v>
      </c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579</v>
      </c>
      <c r="B575" s="408" t="s">
        <v>2235</v>
      </c>
      <c r="C575" s="408" t="s">
        <v>2245</v>
      </c>
      <c r="D575" s="408" t="s">
        <v>596</v>
      </c>
      <c r="E575" s="408" t="s">
        <v>968</v>
      </c>
      <c r="F575" s="408" t="s">
        <v>1320</v>
      </c>
      <c r="G575" s="408" t="s">
        <v>1320</v>
      </c>
      <c r="H575" s="408" t="s">
        <v>1320</v>
      </c>
      <c r="I575" s="408" t="s">
        <v>971</v>
      </c>
      <c r="J575" s="408" t="s">
        <v>2234</v>
      </c>
      <c r="K575" s="827">
        <v>44652</v>
      </c>
      <c r="L575" s="408">
        <v>-404</v>
      </c>
      <c r="M575" s="408">
        <v>-404</v>
      </c>
      <c r="N575" s="408">
        <v>0</v>
      </c>
      <c r="O575" s="408">
        <v>0</v>
      </c>
      <c r="P575" s="408">
        <v>0</v>
      </c>
      <c r="Q575" s="408">
        <v>0</v>
      </c>
      <c r="R575" s="408">
        <v>67.099999999999994</v>
      </c>
      <c r="S575" s="408"/>
      <c r="T575" s="408"/>
      <c r="U575" s="408">
        <v>-27108.399999999998</v>
      </c>
      <c r="V575" s="408"/>
      <c r="W575" s="408">
        <v>-27108.399999999998</v>
      </c>
      <c r="X575" s="408">
        <v>-16984.16</v>
      </c>
      <c r="Y575" s="408">
        <v>0</v>
      </c>
      <c r="Z575" s="408">
        <v>0</v>
      </c>
      <c r="AA575" s="408">
        <v>0</v>
      </c>
      <c r="AB575" s="408">
        <v>0</v>
      </c>
      <c r="AC575" s="408">
        <v>-302.36090679815459</v>
      </c>
      <c r="AD575" s="408">
        <v>-4612.5621888167016</v>
      </c>
      <c r="AE575" s="408">
        <v>-19457.366291990085</v>
      </c>
      <c r="AF575" s="408"/>
      <c r="AG575" s="408"/>
      <c r="AH575" s="408"/>
      <c r="AI575" s="408">
        <v>0</v>
      </c>
      <c r="AJ575" s="408">
        <v>0</v>
      </c>
      <c r="AK575" s="408">
        <v>0</v>
      </c>
      <c r="AL575" s="408">
        <v>0</v>
      </c>
      <c r="AM575" s="408"/>
      <c r="AN575" s="408">
        <v>0</v>
      </c>
      <c r="AO575" s="408">
        <v>-649.34932285968455</v>
      </c>
      <c r="AP575" s="408">
        <v>-2087.9920561864251</v>
      </c>
      <c r="AQ575" s="408">
        <v>0</v>
      </c>
      <c r="AR575" s="408">
        <v>0</v>
      </c>
      <c r="AS575" s="408"/>
      <c r="AT575" s="408"/>
      <c r="AU575" s="408">
        <v>0</v>
      </c>
      <c r="AV575" s="408">
        <v>0</v>
      </c>
      <c r="AW575" s="408">
        <v>0</v>
      </c>
      <c r="AX575" s="408"/>
      <c r="AY575" s="408"/>
      <c r="AZ575" s="408">
        <v>0</v>
      </c>
      <c r="BA575" s="408"/>
      <c r="BB575" s="408">
        <v>0</v>
      </c>
      <c r="BC575" s="408">
        <v>0</v>
      </c>
      <c r="BD575" s="408">
        <v>0</v>
      </c>
      <c r="BE575" s="408">
        <v>0</v>
      </c>
      <c r="BF575" s="408"/>
      <c r="BG575" s="408">
        <v>0</v>
      </c>
      <c r="BH575" s="408">
        <v>0</v>
      </c>
      <c r="BI575" s="408">
        <v>0</v>
      </c>
      <c r="BJ575" s="408">
        <v>0</v>
      </c>
      <c r="BK575" s="408">
        <v>0</v>
      </c>
      <c r="BL575" s="408">
        <v>0</v>
      </c>
      <c r="BM575" s="408"/>
      <c r="BN575" s="408"/>
      <c r="BO575" s="408"/>
      <c r="BP575" s="408"/>
      <c r="BQ575" s="408"/>
      <c r="BR575" s="408"/>
      <c r="BS575" s="408"/>
      <c r="BT575" s="408"/>
      <c r="BU575" s="408"/>
      <c r="BV575" s="408">
        <v>0</v>
      </c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>
        <v>-16984.16</v>
      </c>
      <c r="CJ575" s="408">
        <v>10124.210000000003</v>
      </c>
      <c r="CK575" s="408"/>
      <c r="CL575" s="408"/>
      <c r="CM575" s="408"/>
      <c r="CN575" s="408"/>
      <c r="CO575" s="408">
        <v>10124.239999999998</v>
      </c>
      <c r="CP575" s="408">
        <v>0</v>
      </c>
      <c r="CQ575" s="408">
        <v>30</v>
      </c>
      <c r="CR575" s="408">
        <v>-177.33632753985057</v>
      </c>
      <c r="CS575" s="408">
        <v>-63.04771684383195</v>
      </c>
      <c r="CT575" s="408">
        <v>-202.73083731090765</v>
      </c>
      <c r="CU575" s="408">
        <v>0</v>
      </c>
      <c r="CV575" s="408">
        <v>0</v>
      </c>
      <c r="CW575" s="408"/>
      <c r="CX575" s="408"/>
      <c r="CY575" s="408"/>
      <c r="CZ575" s="408">
        <v>88.442226614888568</v>
      </c>
      <c r="DA575" s="408">
        <v>0</v>
      </c>
      <c r="DB575" s="408">
        <v>0</v>
      </c>
      <c r="DC575" s="408"/>
      <c r="DD575" s="408"/>
      <c r="DE575" s="408">
        <v>0</v>
      </c>
      <c r="DF575" s="408">
        <v>0</v>
      </c>
      <c r="DG575" s="408">
        <v>0</v>
      </c>
      <c r="DH575" s="408">
        <v>0</v>
      </c>
      <c r="DI575" s="408">
        <v>0</v>
      </c>
      <c r="DJ575" s="408"/>
      <c r="DK575" s="408">
        <v>0</v>
      </c>
      <c r="DL575" s="408">
        <v>0</v>
      </c>
      <c r="DM575" s="408"/>
      <c r="DN575" s="408">
        <v>0</v>
      </c>
      <c r="DO575" s="408">
        <v>0</v>
      </c>
      <c r="DP575" s="408">
        <v>0</v>
      </c>
      <c r="DQ575" s="408">
        <v>0</v>
      </c>
      <c r="DR575" s="408">
        <v>0</v>
      </c>
      <c r="DS575" s="408"/>
      <c r="DT575" s="408"/>
      <c r="DU575" s="408">
        <v>-19457.366291990085</v>
      </c>
      <c r="DV575" s="408"/>
      <c r="DW575" s="408">
        <v>0</v>
      </c>
      <c r="DX575" s="408">
        <v>0</v>
      </c>
      <c r="DY575" s="408">
        <v>10124.239999999998</v>
      </c>
      <c r="DZ575" s="408"/>
      <c r="EA575" s="408">
        <v>0</v>
      </c>
      <c r="EB575" s="408"/>
      <c r="EC575" s="408">
        <v>10301.64391011433</v>
      </c>
      <c r="ED575" s="408"/>
      <c r="EE575" s="408">
        <v>0</v>
      </c>
      <c r="EF575" s="408">
        <v>0</v>
      </c>
      <c r="EG575" s="408"/>
      <c r="EH575" s="408">
        <v>0</v>
      </c>
      <c r="EI575" s="408">
        <v>0</v>
      </c>
      <c r="EJ575" s="408">
        <v>0</v>
      </c>
      <c r="EK575" s="408">
        <v>0</v>
      </c>
      <c r="EL575" s="408">
        <v>0</v>
      </c>
      <c r="EM575" s="408"/>
      <c r="EN575" s="408"/>
      <c r="EO575" s="408">
        <v>0</v>
      </c>
      <c r="EP575" s="408">
        <v>0</v>
      </c>
      <c r="EQ575" s="408"/>
      <c r="ER575" s="408">
        <v>0</v>
      </c>
      <c r="ES575" s="408"/>
      <c r="ET575" s="408">
        <v>0</v>
      </c>
      <c r="EU575" s="408"/>
      <c r="EV575" s="408">
        <v>239</v>
      </c>
      <c r="EW575" s="408"/>
      <c r="EX575" s="408"/>
      <c r="EY575" s="408"/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580</v>
      </c>
      <c r="B576" s="408" t="s">
        <v>1034</v>
      </c>
      <c r="C576" s="408" t="s">
        <v>2245</v>
      </c>
      <c r="D576" s="408" t="s">
        <v>596</v>
      </c>
      <c r="E576" s="408" t="s">
        <v>968</v>
      </c>
      <c r="F576" s="408" t="s">
        <v>1320</v>
      </c>
      <c r="G576" s="408" t="s">
        <v>1320</v>
      </c>
      <c r="H576" s="408" t="s">
        <v>1320</v>
      </c>
      <c r="I576" s="408" t="s">
        <v>2242</v>
      </c>
      <c r="J576" s="408" t="s">
        <v>2234</v>
      </c>
      <c r="K576" s="827">
        <v>44652</v>
      </c>
      <c r="L576" s="408">
        <v>1200</v>
      </c>
      <c r="M576" s="408">
        <v>1200</v>
      </c>
      <c r="N576" s="408">
        <v>374.53100000000001</v>
      </c>
      <c r="O576" s="408">
        <v>374.53100000000001</v>
      </c>
      <c r="P576" s="408">
        <v>374.53100000000001</v>
      </c>
      <c r="Q576" s="408">
        <v>374.53100000000001</v>
      </c>
      <c r="R576" s="408">
        <v>59.12</v>
      </c>
      <c r="S576" s="408">
        <v>70.33</v>
      </c>
      <c r="T576" s="408">
        <v>173.82</v>
      </c>
      <c r="U576" s="408">
        <v>70944</v>
      </c>
      <c r="V576" s="408">
        <v>91441.743650000004</v>
      </c>
      <c r="W576" s="408">
        <v>162385.74365000002</v>
      </c>
      <c r="X576" s="408">
        <v>139835.77922999999</v>
      </c>
      <c r="Y576" s="408">
        <v>0</v>
      </c>
      <c r="Z576" s="408">
        <v>19925.059128622317</v>
      </c>
      <c r="AA576" s="408">
        <v>0</v>
      </c>
      <c r="AB576" s="408">
        <v>0</v>
      </c>
      <c r="AC576" s="408">
        <v>686.4724360004185</v>
      </c>
      <c r="AD576" s="408">
        <v>6140.4271808585163</v>
      </c>
      <c r="AE576" s="408">
        <v>57794.157302940846</v>
      </c>
      <c r="AF576" s="408">
        <v>60270.328346470691</v>
      </c>
      <c r="AG576" s="408">
        <v>3032.1525611561442</v>
      </c>
      <c r="AH576" s="408">
        <v>0</v>
      </c>
      <c r="AI576" s="408">
        <v>0</v>
      </c>
      <c r="AJ576" s="408">
        <v>0</v>
      </c>
      <c r="AK576" s="408">
        <v>0</v>
      </c>
      <c r="AL576" s="408">
        <v>3539.8784946747915</v>
      </c>
      <c r="AM576" s="408"/>
      <c r="AN576" s="408">
        <v>465.44115894733164</v>
      </c>
      <c r="AO576" s="408">
        <v>1449.6865388280721</v>
      </c>
      <c r="AP576" s="408">
        <v>4873.1854368239283</v>
      </c>
      <c r="AQ576" s="408">
        <v>0</v>
      </c>
      <c r="AR576" s="408">
        <v>0</v>
      </c>
      <c r="AS576" s="408">
        <v>0</v>
      </c>
      <c r="AT576" s="408">
        <v>0</v>
      </c>
      <c r="AU576" s="408">
        <v>0</v>
      </c>
      <c r="AV576" s="408">
        <v>0</v>
      </c>
      <c r="AW576" s="408">
        <v>0</v>
      </c>
      <c r="AX576" s="408">
        <v>0</v>
      </c>
      <c r="AY576" s="408">
        <v>0</v>
      </c>
      <c r="AZ576" s="408">
        <v>0</v>
      </c>
      <c r="BA576" s="408"/>
      <c r="BB576" s="408">
        <v>0</v>
      </c>
      <c r="BC576" s="408">
        <v>0</v>
      </c>
      <c r="BD576" s="408">
        <v>0</v>
      </c>
      <c r="BE576" s="408">
        <v>69.885096851147168</v>
      </c>
      <c r="BF576" s="408">
        <v>1799.8792587176918</v>
      </c>
      <c r="BG576" s="408">
        <v>2340.1557150807735</v>
      </c>
      <c r="BH576" s="408">
        <v>0</v>
      </c>
      <c r="BI576" s="408">
        <v>0</v>
      </c>
      <c r="BJ576" s="408">
        <v>0</v>
      </c>
      <c r="BK576" s="408">
        <v>0</v>
      </c>
      <c r="BL576" s="408">
        <v>0</v>
      </c>
      <c r="BM576" s="408"/>
      <c r="BN576" s="408"/>
      <c r="BO576" s="408"/>
      <c r="BP576" s="408"/>
      <c r="BQ576" s="408"/>
      <c r="BR576" s="408"/>
      <c r="BS576" s="408"/>
      <c r="BT576" s="408"/>
      <c r="BU576" s="408"/>
      <c r="BV576" s="408">
        <v>64480.248417120303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139835.51489999998</v>
      </c>
      <c r="CJ576" s="408">
        <v>-22550.258750000008</v>
      </c>
      <c r="CK576" s="408"/>
      <c r="CL576" s="408"/>
      <c r="CM576" s="408"/>
      <c r="CN576" s="408"/>
      <c r="CO576" s="408">
        <v>-30486.276309999997</v>
      </c>
      <c r="CP576" s="408">
        <v>7936.311889999999</v>
      </c>
      <c r="CQ576" s="408">
        <v>30</v>
      </c>
      <c r="CR576" s="408">
        <v>8050.8807290119585</v>
      </c>
      <c r="CS576" s="408">
        <v>140.75540420960397</v>
      </c>
      <c r="CT576" s="408">
        <v>473.15551850471911</v>
      </c>
      <c r="CU576" s="408">
        <v>0</v>
      </c>
      <c r="CV576" s="408">
        <v>0</v>
      </c>
      <c r="CW576" s="408">
        <v>0</v>
      </c>
      <c r="CX576" s="408">
        <v>0</v>
      </c>
      <c r="CY576" s="408">
        <v>0</v>
      </c>
      <c r="CZ576" s="408">
        <v>-117.73782769987247</v>
      </c>
      <c r="DA576" s="408">
        <v>0</v>
      </c>
      <c r="DB576" s="408">
        <v>0</v>
      </c>
      <c r="DC576" s="408">
        <v>7736.362754092057</v>
      </c>
      <c r="DD576" s="408">
        <v>231.03439521615383</v>
      </c>
      <c r="DE576" s="408">
        <v>8.9705245545916341</v>
      </c>
      <c r="DF576" s="408">
        <v>0</v>
      </c>
      <c r="DG576" s="408">
        <v>300.38484955401827</v>
      </c>
      <c r="DH576" s="408">
        <v>0</v>
      </c>
      <c r="DI576" s="408">
        <v>-582.31992556441764</v>
      </c>
      <c r="DJ576" s="408"/>
      <c r="DK576" s="408">
        <v>0</v>
      </c>
      <c r="DL576" s="408">
        <v>0</v>
      </c>
      <c r="DM576" s="408">
        <v>-33.701262862944986</v>
      </c>
      <c r="DN576" s="408">
        <v>0</v>
      </c>
      <c r="DO576" s="408">
        <v>-91.681630319534634</v>
      </c>
      <c r="DP576" s="408">
        <v>-14.342070672403224</v>
      </c>
      <c r="DQ576" s="408">
        <v>0</v>
      </c>
      <c r="DR576" s="408">
        <v>0</v>
      </c>
      <c r="DS576" s="408"/>
      <c r="DT576" s="408"/>
      <c r="DU576" s="408">
        <v>57794.157302940846</v>
      </c>
      <c r="DV576" s="408">
        <v>0</v>
      </c>
      <c r="DW576" s="408">
        <v>0</v>
      </c>
      <c r="DX576" s="408">
        <v>0</v>
      </c>
      <c r="DY576" s="408">
        <v>-30486.276310000001</v>
      </c>
      <c r="DZ576" s="408">
        <v>7936.3118899999972</v>
      </c>
      <c r="EA576" s="408">
        <v>0</v>
      </c>
      <c r="EB576" s="408">
        <v>0</v>
      </c>
      <c r="EC576" s="408">
        <v>-30598.942307270285</v>
      </c>
      <c r="ED576" s="408">
        <v>0</v>
      </c>
      <c r="EE576" s="408">
        <v>0</v>
      </c>
      <c r="EF576" s="408">
        <v>0</v>
      </c>
      <c r="EG576" s="408">
        <v>0</v>
      </c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>
        <v>0</v>
      </c>
      <c r="EN576" s="408">
        <v>0</v>
      </c>
      <c r="EO576" s="408">
        <v>0</v>
      </c>
      <c r="EP576" s="408">
        <v>0</v>
      </c>
      <c r="EQ576" s="408">
        <v>0</v>
      </c>
      <c r="ER576" s="408">
        <v>0</v>
      </c>
      <c r="ES576" s="408">
        <v>0</v>
      </c>
      <c r="ET576" s="408">
        <v>0</v>
      </c>
      <c r="EU576" s="408">
        <v>0</v>
      </c>
      <c r="EV576" s="408">
        <v>239</v>
      </c>
      <c r="EW576" s="408">
        <v>0</v>
      </c>
      <c r="EX576" s="408">
        <v>0</v>
      </c>
      <c r="EY576" s="408">
        <v>0</v>
      </c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581</v>
      </c>
      <c r="B577" s="408" t="s">
        <v>2235</v>
      </c>
      <c r="C577" s="408" t="s">
        <v>2245</v>
      </c>
      <c r="D577" s="408" t="s">
        <v>596</v>
      </c>
      <c r="E577" s="408" t="s">
        <v>968</v>
      </c>
      <c r="F577" s="408" t="s">
        <v>1320</v>
      </c>
      <c r="G577" s="408" t="s">
        <v>1320</v>
      </c>
      <c r="H577" s="408" t="s">
        <v>1320</v>
      </c>
      <c r="I577" s="408" t="s">
        <v>2242</v>
      </c>
      <c r="J577" s="408" t="s">
        <v>2234</v>
      </c>
      <c r="K577" s="827">
        <v>44652</v>
      </c>
      <c r="L577" s="408">
        <v>-530</v>
      </c>
      <c r="M577" s="408">
        <v>-530</v>
      </c>
      <c r="N577" s="408">
        <v>0</v>
      </c>
      <c r="O577" s="408">
        <v>0</v>
      </c>
      <c r="P577" s="408">
        <v>0</v>
      </c>
      <c r="Q577" s="408">
        <v>0</v>
      </c>
      <c r="R577" s="408">
        <v>59.12</v>
      </c>
      <c r="S577" s="408"/>
      <c r="T577" s="408"/>
      <c r="U577" s="408">
        <v>-31333.599999999999</v>
      </c>
      <c r="V577" s="408"/>
      <c r="W577" s="408">
        <v>-31333.599999999999</v>
      </c>
      <c r="X577" s="408">
        <v>-18035.900000000001</v>
      </c>
      <c r="Y577" s="408">
        <v>0</v>
      </c>
      <c r="Z577" s="408">
        <v>0</v>
      </c>
      <c r="AA577" s="408">
        <v>0</v>
      </c>
      <c r="AB577" s="408">
        <v>0</v>
      </c>
      <c r="AC577" s="408">
        <v>-303.19199256685147</v>
      </c>
      <c r="AD577" s="408">
        <v>-2712.022004879178</v>
      </c>
      <c r="AE577" s="408">
        <v>-25525.752808798872</v>
      </c>
      <c r="AF577" s="408"/>
      <c r="AG577" s="408"/>
      <c r="AH577" s="408"/>
      <c r="AI577" s="408">
        <v>0</v>
      </c>
      <c r="AJ577" s="408">
        <v>0</v>
      </c>
      <c r="AK577" s="408">
        <v>0</v>
      </c>
      <c r="AL577" s="408">
        <v>0</v>
      </c>
      <c r="AM577" s="408"/>
      <c r="AN577" s="408">
        <v>0</v>
      </c>
      <c r="AO577" s="408">
        <v>-640.2782213157318</v>
      </c>
      <c r="AP577" s="408">
        <v>-2152.3235679305681</v>
      </c>
      <c r="AQ577" s="408">
        <v>0</v>
      </c>
      <c r="AR577" s="408">
        <v>0</v>
      </c>
      <c r="AS577" s="408"/>
      <c r="AT577" s="408"/>
      <c r="AU577" s="408">
        <v>0</v>
      </c>
      <c r="AV577" s="408">
        <v>0</v>
      </c>
      <c r="AW577" s="408">
        <v>0</v>
      </c>
      <c r="AX577" s="408"/>
      <c r="AY577" s="408"/>
      <c r="AZ577" s="408">
        <v>0</v>
      </c>
      <c r="BA577" s="408"/>
      <c r="BB577" s="408">
        <v>0</v>
      </c>
      <c r="BC577" s="408">
        <v>0</v>
      </c>
      <c r="BD577" s="408">
        <v>0</v>
      </c>
      <c r="BE577" s="408">
        <v>0</v>
      </c>
      <c r="BF577" s="408"/>
      <c r="BG577" s="408">
        <v>0</v>
      </c>
      <c r="BH577" s="408">
        <v>0</v>
      </c>
      <c r="BI577" s="408">
        <v>0</v>
      </c>
      <c r="BJ577" s="408">
        <v>0</v>
      </c>
      <c r="BK577" s="408">
        <v>0</v>
      </c>
      <c r="BL577" s="408">
        <v>0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>
        <v>0</v>
      </c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>
        <v>-18035.900000000001</v>
      </c>
      <c r="CJ577" s="408">
        <v>13297.670000000002</v>
      </c>
      <c r="CK577" s="408"/>
      <c r="CL577" s="408"/>
      <c r="CM577" s="408"/>
      <c r="CN577" s="408"/>
      <c r="CO577" s="408">
        <v>13297.699999999999</v>
      </c>
      <c r="CP577" s="408">
        <v>0</v>
      </c>
      <c r="CQ577" s="408">
        <v>30</v>
      </c>
      <c r="CR577" s="408">
        <v>-219.14311696471577</v>
      </c>
      <c r="CS577" s="408">
        <v>-62.16697019257515</v>
      </c>
      <c r="CT577" s="408">
        <v>-208.97702067291812</v>
      </c>
      <c r="CU577" s="408">
        <v>0</v>
      </c>
      <c r="CV577" s="408">
        <v>0</v>
      </c>
      <c r="CW577" s="408"/>
      <c r="CX577" s="408"/>
      <c r="CY577" s="408"/>
      <c r="CZ577" s="408">
        <v>52.000873900777151</v>
      </c>
      <c r="DA577" s="408">
        <v>0</v>
      </c>
      <c r="DB577" s="408">
        <v>0</v>
      </c>
      <c r="DC577" s="408"/>
      <c r="DD577" s="408"/>
      <c r="DE577" s="408">
        <v>0</v>
      </c>
      <c r="DF577" s="408">
        <v>0</v>
      </c>
      <c r="DG577" s="408">
        <v>0</v>
      </c>
      <c r="DH577" s="408">
        <v>0</v>
      </c>
      <c r="DI577" s="408">
        <v>0</v>
      </c>
      <c r="DJ577" s="408"/>
      <c r="DK577" s="408">
        <v>0</v>
      </c>
      <c r="DL577" s="408">
        <v>0</v>
      </c>
      <c r="DM577" s="408"/>
      <c r="DN577" s="408">
        <v>0</v>
      </c>
      <c r="DO577" s="408">
        <v>0</v>
      </c>
      <c r="DP577" s="408">
        <v>0</v>
      </c>
      <c r="DQ577" s="408">
        <v>0</v>
      </c>
      <c r="DR577" s="408">
        <v>0</v>
      </c>
      <c r="DS577" s="408"/>
      <c r="DT577" s="408"/>
      <c r="DU577" s="408">
        <v>-25525.752808798872</v>
      </c>
      <c r="DV577" s="408"/>
      <c r="DW577" s="408">
        <v>0</v>
      </c>
      <c r="DX577" s="408">
        <v>0</v>
      </c>
      <c r="DY577" s="408">
        <v>13297.699999999997</v>
      </c>
      <c r="DZ577" s="408"/>
      <c r="EA577" s="408">
        <v>0</v>
      </c>
      <c r="EB577" s="408"/>
      <c r="EC577" s="408">
        <v>13514.532852377708</v>
      </c>
      <c r="ED577" s="408"/>
      <c r="EE577" s="408">
        <v>0</v>
      </c>
      <c r="EF577" s="408">
        <v>0</v>
      </c>
      <c r="EG577" s="408"/>
      <c r="EH577" s="408">
        <v>0</v>
      </c>
      <c r="EI577" s="408">
        <v>0</v>
      </c>
      <c r="EJ577" s="408">
        <v>0</v>
      </c>
      <c r="EK577" s="408">
        <v>0</v>
      </c>
      <c r="EL577" s="408">
        <v>0</v>
      </c>
      <c r="EM577" s="408"/>
      <c r="EN577" s="408"/>
      <c r="EO577" s="408">
        <v>0</v>
      </c>
      <c r="EP577" s="408">
        <v>0</v>
      </c>
      <c r="EQ577" s="408"/>
      <c r="ER577" s="408">
        <v>0</v>
      </c>
      <c r="ES577" s="408"/>
      <c r="ET577" s="408">
        <v>0</v>
      </c>
      <c r="EU577" s="408"/>
      <c r="EV577" s="408">
        <v>239</v>
      </c>
      <c r="EW577" s="408"/>
      <c r="EX577" s="408"/>
      <c r="EY577" s="408"/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582</v>
      </c>
      <c r="B578" s="408" t="s">
        <v>1034</v>
      </c>
      <c r="C578" s="408" t="s">
        <v>2245</v>
      </c>
      <c r="D578" s="408" t="s">
        <v>596</v>
      </c>
      <c r="E578" s="408" t="s">
        <v>968</v>
      </c>
      <c r="F578" s="408" t="s">
        <v>1320</v>
      </c>
      <c r="G578" s="408" t="s">
        <v>1320</v>
      </c>
      <c r="H578" s="408" t="s">
        <v>1320</v>
      </c>
      <c r="I578" s="408" t="s">
        <v>1320</v>
      </c>
      <c r="J578" s="408" t="s">
        <v>2234</v>
      </c>
      <c r="K578" s="827">
        <v>44652</v>
      </c>
      <c r="L578" s="408">
        <v>0</v>
      </c>
      <c r="M578" s="408">
        <v>0</v>
      </c>
      <c r="N578" s="408">
        <v>0</v>
      </c>
      <c r="O578" s="408">
        <v>0</v>
      </c>
      <c r="P578" s="408">
        <v>0</v>
      </c>
      <c r="Q578" s="408">
        <v>0</v>
      </c>
      <c r="R578" s="408"/>
      <c r="S578" s="408"/>
      <c r="T578" s="408"/>
      <c r="U578" s="408"/>
      <c r="V578" s="408"/>
      <c r="W578" s="408"/>
      <c r="X578" s="408"/>
      <c r="Y578" s="408"/>
      <c r="Z578" s="408"/>
      <c r="AA578" s="408">
        <v>0</v>
      </c>
      <c r="AB578" s="408"/>
      <c r="AC578" s="408"/>
      <c r="AD578" s="408"/>
      <c r="AE578" s="408"/>
      <c r="AF578" s="408"/>
      <c r="AG578" s="408"/>
      <c r="AH578" s="408"/>
      <c r="AI578" s="408"/>
      <c r="AJ578" s="408"/>
      <c r="AK578" s="408"/>
      <c r="AL578" s="408"/>
      <c r="AM578" s="408"/>
      <c r="AN578" s="408"/>
      <c r="AO578" s="408"/>
      <c r="AP578" s="408"/>
      <c r="AQ578" s="408"/>
      <c r="AR578" s="408"/>
      <c r="AS578" s="408"/>
      <c r="AT578" s="408"/>
      <c r="AU578" s="408"/>
      <c r="AV578" s="408"/>
      <c r="AW578" s="408"/>
      <c r="AX578" s="408"/>
      <c r="AY578" s="408"/>
      <c r="AZ578" s="408">
        <v>0</v>
      </c>
      <c r="BA578" s="408"/>
      <c r="BB578" s="408"/>
      <c r="BC578" s="408"/>
      <c r="BD578" s="408"/>
      <c r="BE578" s="408"/>
      <c r="BF578" s="408"/>
      <c r="BG578" s="408"/>
      <c r="BH578" s="408"/>
      <c r="BI578" s="408">
        <v>431.11</v>
      </c>
      <c r="BJ578" s="408">
        <v>1983.26</v>
      </c>
      <c r="BK578" s="408">
        <v>41885.050000000003</v>
      </c>
      <c r="BL578" s="408">
        <v>1</v>
      </c>
      <c r="BM578" s="408"/>
      <c r="BN578" s="408"/>
      <c r="BO578" s="408"/>
      <c r="BP578" s="408"/>
      <c r="BQ578" s="408"/>
      <c r="BR578" s="408"/>
      <c r="BS578" s="408"/>
      <c r="BT578" s="408"/>
      <c r="BU578" s="408"/>
      <c r="BV578" s="408"/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/>
      <c r="CJ578" s="408">
        <v>-0.03</v>
      </c>
      <c r="CK578" s="408"/>
      <c r="CL578" s="408"/>
      <c r="CM578" s="408"/>
      <c r="CN578" s="408"/>
      <c r="CO578" s="408">
        <v>0</v>
      </c>
      <c r="CP578" s="408">
        <v>0</v>
      </c>
      <c r="CQ578" s="408">
        <v>30</v>
      </c>
      <c r="CR578" s="408"/>
      <c r="CS578" s="408"/>
      <c r="CT578" s="408"/>
      <c r="CU578" s="408"/>
      <c r="CV578" s="408"/>
      <c r="CW578" s="408"/>
      <c r="CX578" s="408"/>
      <c r="CY578" s="408"/>
      <c r="CZ578" s="408"/>
      <c r="DA578" s="408"/>
      <c r="DB578" s="408"/>
      <c r="DC578" s="408"/>
      <c r="DD578" s="408"/>
      <c r="DE578" s="408"/>
      <c r="DF578" s="408"/>
      <c r="DG578" s="408"/>
      <c r="DH578" s="408"/>
      <c r="DI578" s="408"/>
      <c r="DJ578" s="408"/>
      <c r="DK578" s="408">
        <v>0</v>
      </c>
      <c r="DL578" s="408"/>
      <c r="DM578" s="408"/>
      <c r="DN578" s="408"/>
      <c r="DO578" s="408"/>
      <c r="DP578" s="408"/>
      <c r="DQ578" s="408"/>
      <c r="DR578" s="408"/>
      <c r="DS578" s="408"/>
      <c r="DT578" s="408"/>
      <c r="DU578" s="408"/>
      <c r="DV578" s="408"/>
      <c r="DW578" s="408"/>
      <c r="DX578" s="408"/>
      <c r="DY578" s="408"/>
      <c r="DZ578" s="408"/>
      <c r="EA578" s="408"/>
      <c r="EB578" s="408"/>
      <c r="EC578" s="408"/>
      <c r="ED578" s="408"/>
      <c r="EE578" s="408"/>
      <c r="EF578" s="408"/>
      <c r="EG578" s="408"/>
      <c r="EH578" s="408"/>
      <c r="EI578" s="408"/>
      <c r="EJ578" s="408"/>
      <c r="EK578" s="408"/>
      <c r="EL578" s="408"/>
      <c r="EM578" s="408"/>
      <c r="EN578" s="408"/>
      <c r="EO578" s="408"/>
      <c r="EP578" s="408"/>
      <c r="EQ578" s="408"/>
      <c r="ER578" s="408"/>
      <c r="ES578" s="408"/>
      <c r="ET578" s="408"/>
      <c r="EU578" s="408"/>
      <c r="EV578" s="408">
        <v>239</v>
      </c>
      <c r="EW578" s="408"/>
      <c r="EX578" s="408"/>
      <c r="EY578" s="408"/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583</v>
      </c>
      <c r="B579" s="408" t="s">
        <v>2235</v>
      </c>
      <c r="C579" s="408" t="s">
        <v>2245</v>
      </c>
      <c r="D579" s="408" t="s">
        <v>596</v>
      </c>
      <c r="E579" s="408" t="s">
        <v>968</v>
      </c>
      <c r="F579" s="408" t="s">
        <v>1320</v>
      </c>
      <c r="G579" s="408" t="s">
        <v>1320</v>
      </c>
      <c r="H579" s="408" t="s">
        <v>1320</v>
      </c>
      <c r="I579" s="408" t="s">
        <v>1320</v>
      </c>
      <c r="J579" s="408" t="s">
        <v>2234</v>
      </c>
      <c r="K579" s="827">
        <v>44652</v>
      </c>
      <c r="L579" s="408">
        <v>0</v>
      </c>
      <c r="M579" s="408">
        <v>0</v>
      </c>
      <c r="N579" s="408">
        <v>0</v>
      </c>
      <c r="O579" s="408">
        <v>0</v>
      </c>
      <c r="P579" s="408">
        <v>0</v>
      </c>
      <c r="Q579" s="408">
        <v>0</v>
      </c>
      <c r="R579" s="408"/>
      <c r="S579" s="408"/>
      <c r="T579" s="408"/>
      <c r="U579" s="408"/>
      <c r="V579" s="408"/>
      <c r="W579" s="408"/>
      <c r="X579" s="408"/>
      <c r="Y579" s="408"/>
      <c r="Z579" s="408"/>
      <c r="AA579" s="408">
        <v>0</v>
      </c>
      <c r="AB579" s="408"/>
      <c r="AC579" s="408"/>
      <c r="AD579" s="408"/>
      <c r="AE579" s="408"/>
      <c r="AF579" s="408"/>
      <c r="AG579" s="408"/>
      <c r="AH579" s="408"/>
      <c r="AI579" s="408"/>
      <c r="AJ579" s="408"/>
      <c r="AK579" s="408"/>
      <c r="AL579" s="408"/>
      <c r="AM579" s="408"/>
      <c r="AN579" s="408"/>
      <c r="AO579" s="408"/>
      <c r="AP579" s="408"/>
      <c r="AQ579" s="408"/>
      <c r="AR579" s="408"/>
      <c r="AS579" s="408"/>
      <c r="AT579" s="408"/>
      <c r="AU579" s="408"/>
      <c r="AV579" s="408"/>
      <c r="AW579" s="408"/>
      <c r="AX579" s="408"/>
      <c r="AY579" s="408"/>
      <c r="AZ579" s="408">
        <v>0</v>
      </c>
      <c r="BA579" s="408"/>
      <c r="BB579" s="408"/>
      <c r="BC579" s="408"/>
      <c r="BD579" s="408"/>
      <c r="BE579" s="408"/>
      <c r="BF579" s="408"/>
      <c r="BG579" s="408"/>
      <c r="BH579" s="408"/>
      <c r="BI579" s="408">
        <v>0</v>
      </c>
      <c r="BJ579" s="408">
        <v>0</v>
      </c>
      <c r="BK579" s="408">
        <v>-27917.49</v>
      </c>
      <c r="BL579" s="408">
        <v>0</v>
      </c>
      <c r="BM579" s="408"/>
      <c r="BN579" s="408"/>
      <c r="BO579" s="408"/>
      <c r="BP579" s="408"/>
      <c r="BQ579" s="408"/>
      <c r="BR579" s="408"/>
      <c r="BS579" s="408"/>
      <c r="BT579" s="408"/>
      <c r="BU579" s="408"/>
      <c r="BV579" s="408"/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/>
      <c r="CJ579" s="408">
        <v>-0.03</v>
      </c>
      <c r="CK579" s="408"/>
      <c r="CL579" s="408"/>
      <c r="CM579" s="408"/>
      <c r="CN579" s="408"/>
      <c r="CO579" s="408">
        <v>0</v>
      </c>
      <c r="CP579" s="408">
        <v>0</v>
      </c>
      <c r="CQ579" s="408">
        <v>30</v>
      </c>
      <c r="CR579" s="408"/>
      <c r="CS579" s="408"/>
      <c r="CT579" s="408"/>
      <c r="CU579" s="408"/>
      <c r="CV579" s="408"/>
      <c r="CW579" s="408"/>
      <c r="CX579" s="408"/>
      <c r="CY579" s="408"/>
      <c r="CZ579" s="408"/>
      <c r="DA579" s="408"/>
      <c r="DB579" s="408"/>
      <c r="DC579" s="408"/>
      <c r="DD579" s="408"/>
      <c r="DE579" s="408"/>
      <c r="DF579" s="408"/>
      <c r="DG579" s="408"/>
      <c r="DH579" s="408"/>
      <c r="DI579" s="408"/>
      <c r="DJ579" s="408"/>
      <c r="DK579" s="408">
        <v>0</v>
      </c>
      <c r="DL579" s="408"/>
      <c r="DM579" s="408"/>
      <c r="DN579" s="408"/>
      <c r="DO579" s="408"/>
      <c r="DP579" s="408"/>
      <c r="DQ579" s="408"/>
      <c r="DR579" s="408"/>
      <c r="DS579" s="408"/>
      <c r="DT579" s="408"/>
      <c r="DU579" s="408"/>
      <c r="DV579" s="408"/>
      <c r="DW579" s="408"/>
      <c r="DX579" s="408"/>
      <c r="DY579" s="408"/>
      <c r="DZ579" s="408"/>
      <c r="EA579" s="408"/>
      <c r="EB579" s="408"/>
      <c r="EC579" s="408"/>
      <c r="ED579" s="408"/>
      <c r="EE579" s="408"/>
      <c r="EF579" s="408"/>
      <c r="EG579" s="408"/>
      <c r="EH579" s="408"/>
      <c r="EI579" s="408"/>
      <c r="EJ579" s="408"/>
      <c r="EK579" s="408"/>
      <c r="EL579" s="408"/>
      <c r="EM579" s="408"/>
      <c r="EN579" s="408"/>
      <c r="EO579" s="408"/>
      <c r="EP579" s="408"/>
      <c r="EQ579" s="408"/>
      <c r="ER579" s="408"/>
      <c r="ES579" s="408"/>
      <c r="ET579" s="408"/>
      <c r="EU579" s="408"/>
      <c r="EV579" s="408">
        <v>239</v>
      </c>
      <c r="EW579" s="408"/>
      <c r="EX579" s="408"/>
      <c r="EY579" s="408"/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584</v>
      </c>
      <c r="B580" s="408" t="s">
        <v>1034</v>
      </c>
      <c r="C580" s="408" t="s">
        <v>2241</v>
      </c>
      <c r="D580" s="408" t="s">
        <v>596</v>
      </c>
      <c r="E580" s="408" t="s">
        <v>968</v>
      </c>
      <c r="F580" s="408" t="s">
        <v>1320</v>
      </c>
      <c r="G580" s="408" t="s">
        <v>1320</v>
      </c>
      <c r="H580" s="408" t="s">
        <v>1320</v>
      </c>
      <c r="I580" s="408" t="s">
        <v>971</v>
      </c>
      <c r="J580" s="408" t="s">
        <v>2234</v>
      </c>
      <c r="K580" s="827">
        <v>44652</v>
      </c>
      <c r="L580" s="408">
        <v>0</v>
      </c>
      <c r="M580" s="408">
        <v>0</v>
      </c>
      <c r="N580" s="408">
        <v>38.107999999999997</v>
      </c>
      <c r="O580" s="408">
        <v>38.107999999999997</v>
      </c>
      <c r="P580" s="408">
        <v>38.107999999999997</v>
      </c>
      <c r="Q580" s="408">
        <v>38.107999999999997</v>
      </c>
      <c r="R580" s="408"/>
      <c r="S580" s="408">
        <v>1684.16</v>
      </c>
      <c r="T580" s="408">
        <v>173.82</v>
      </c>
      <c r="U580" s="408"/>
      <c r="V580" s="408">
        <v>70803.901839999991</v>
      </c>
      <c r="W580" s="408">
        <v>70803.901839999991</v>
      </c>
      <c r="X580" s="408">
        <v>48605.229679999997</v>
      </c>
      <c r="Y580" s="408">
        <v>0</v>
      </c>
      <c r="Z580" s="408">
        <v>2027.3466102232903</v>
      </c>
      <c r="AA580" s="408">
        <v>0</v>
      </c>
      <c r="AB580" s="408">
        <v>0</v>
      </c>
      <c r="AC580" s="408">
        <v>685.92112985479662</v>
      </c>
      <c r="AD580" s="408">
        <v>10463.920589192619</v>
      </c>
      <c r="AE580" s="408">
        <v>44140.208894028226</v>
      </c>
      <c r="AF580" s="408">
        <v>6132.4207412131564</v>
      </c>
      <c r="AG580" s="408">
        <v>308.51723836087888</v>
      </c>
      <c r="AH580" s="408">
        <v>0</v>
      </c>
      <c r="AI580" s="408">
        <v>0</v>
      </c>
      <c r="AJ580" s="408">
        <v>0</v>
      </c>
      <c r="AK580" s="408">
        <v>0</v>
      </c>
      <c r="AL580" s="408">
        <v>360.17763462855396</v>
      </c>
      <c r="AM580" s="408"/>
      <c r="AN580" s="408">
        <v>47.357980207686182</v>
      </c>
      <c r="AO580" s="408">
        <v>1473.108321416767</v>
      </c>
      <c r="AP580" s="408">
        <v>4736.7737548022833</v>
      </c>
      <c r="AQ580" s="408">
        <v>0</v>
      </c>
      <c r="AR580" s="408">
        <v>0</v>
      </c>
      <c r="AS580" s="408">
        <v>0</v>
      </c>
      <c r="AT580" s="408">
        <v>0</v>
      </c>
      <c r="AU580" s="408">
        <v>0</v>
      </c>
      <c r="AV580" s="408">
        <v>0</v>
      </c>
      <c r="AW580" s="408">
        <v>0</v>
      </c>
      <c r="AX580" s="408">
        <v>0</v>
      </c>
      <c r="AY580" s="408">
        <v>0</v>
      </c>
      <c r="AZ580" s="408">
        <v>0</v>
      </c>
      <c r="BA580" s="408"/>
      <c r="BB580" s="408">
        <v>0</v>
      </c>
      <c r="BC580" s="408">
        <v>0</v>
      </c>
      <c r="BD580" s="408">
        <v>0</v>
      </c>
      <c r="BE580" s="408">
        <v>7.1107098499283525</v>
      </c>
      <c r="BF580" s="408">
        <v>183.13517116397253</v>
      </c>
      <c r="BG580" s="408">
        <v>238.10753713390375</v>
      </c>
      <c r="BH580" s="408">
        <v>0</v>
      </c>
      <c r="BI580" s="408">
        <v>0</v>
      </c>
      <c r="BJ580" s="408">
        <v>0</v>
      </c>
      <c r="BK580" s="408">
        <v>0</v>
      </c>
      <c r="BL580" s="408">
        <v>0</v>
      </c>
      <c r="BM580" s="408"/>
      <c r="BN580" s="408"/>
      <c r="BO580" s="408"/>
      <c r="BP580" s="408"/>
      <c r="BQ580" s="408"/>
      <c r="BR580" s="408"/>
      <c r="BS580" s="408"/>
      <c r="BT580" s="408"/>
      <c r="BU580" s="408"/>
      <c r="BV580" s="408">
        <v>6560.7741593609617</v>
      </c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>
        <v>48607.780599999998</v>
      </c>
      <c r="CJ580" s="408">
        <v>-22196.151239999992</v>
      </c>
      <c r="CK580" s="408"/>
      <c r="CL580" s="408"/>
      <c r="CM580" s="408"/>
      <c r="CN580" s="408"/>
      <c r="CO580" s="408">
        <v>-23006.180680000001</v>
      </c>
      <c r="CP580" s="408">
        <v>807.50851999999986</v>
      </c>
      <c r="CQ580" s="408">
        <v>30</v>
      </c>
      <c r="CR580" s="408">
        <v>1170.9837541101842</v>
      </c>
      <c r="CS580" s="408">
        <v>143.02951132675071</v>
      </c>
      <c r="CT580" s="408">
        <v>459.91080599092493</v>
      </c>
      <c r="CU580" s="408">
        <v>0</v>
      </c>
      <c r="CV580" s="408">
        <v>0</v>
      </c>
      <c r="CW580" s="408">
        <v>0</v>
      </c>
      <c r="CX580" s="408">
        <v>0</v>
      </c>
      <c r="CY580" s="408">
        <v>0</v>
      </c>
      <c r="CZ580" s="408">
        <v>-200.63738940445728</v>
      </c>
      <c r="DA580" s="408">
        <v>0</v>
      </c>
      <c r="DB580" s="408">
        <v>0</v>
      </c>
      <c r="DC580" s="408">
        <v>787.16397796962156</v>
      </c>
      <c r="DD580" s="408">
        <v>23.507423238389322</v>
      </c>
      <c r="DE580" s="408">
        <v>0.91273819717560922</v>
      </c>
      <c r="DF580" s="408">
        <v>0</v>
      </c>
      <c r="DG580" s="408">
        <v>30.563733968094823</v>
      </c>
      <c r="DH580" s="408">
        <v>0</v>
      </c>
      <c r="DI580" s="408">
        <v>-59.250229549513506</v>
      </c>
      <c r="DJ580" s="408"/>
      <c r="DK580" s="408">
        <v>0</v>
      </c>
      <c r="DL580" s="408">
        <v>0</v>
      </c>
      <c r="DM580" s="408">
        <v>-3.4290558730281191</v>
      </c>
      <c r="DN580" s="408">
        <v>0</v>
      </c>
      <c r="DO580" s="408">
        <v>-9.3284763296411484</v>
      </c>
      <c r="DP580" s="408">
        <v>-1.4592854241276214</v>
      </c>
      <c r="DQ580" s="408">
        <v>0</v>
      </c>
      <c r="DR580" s="408">
        <v>0</v>
      </c>
      <c r="DS580" s="408"/>
      <c r="DT580" s="408"/>
      <c r="DU580" s="408"/>
      <c r="DV580" s="408">
        <v>44140.208894028226</v>
      </c>
      <c r="DW580" s="408">
        <v>0</v>
      </c>
      <c r="DX580" s="408">
        <v>0</v>
      </c>
      <c r="DY580" s="408">
        <v>-23006.180679999998</v>
      </c>
      <c r="DZ580" s="408">
        <v>807.50851999999941</v>
      </c>
      <c r="EA580" s="408">
        <v>0</v>
      </c>
      <c r="EB580" s="408">
        <v>0</v>
      </c>
      <c r="EC580" s="408">
        <v>-23369.900495296231</v>
      </c>
      <c r="ED580" s="408">
        <v>0</v>
      </c>
      <c r="EE580" s="408">
        <v>0</v>
      </c>
      <c r="EF580" s="408">
        <v>0</v>
      </c>
      <c r="EG580" s="408">
        <v>0</v>
      </c>
      <c r="EH580" s="408">
        <v>0</v>
      </c>
      <c r="EI580" s="408">
        <v>0</v>
      </c>
      <c r="EJ580" s="408">
        <v>0</v>
      </c>
      <c r="EK580" s="408">
        <v>0</v>
      </c>
      <c r="EL580" s="408">
        <v>0</v>
      </c>
      <c r="EM580" s="408">
        <v>0</v>
      </c>
      <c r="EN580" s="408">
        <v>0</v>
      </c>
      <c r="EO580" s="408">
        <v>0</v>
      </c>
      <c r="EP580" s="408">
        <v>0</v>
      </c>
      <c r="EQ580" s="408">
        <v>0</v>
      </c>
      <c r="ER580" s="408">
        <v>0</v>
      </c>
      <c r="ES580" s="408">
        <v>0</v>
      </c>
      <c r="ET580" s="408">
        <v>0</v>
      </c>
      <c r="EU580" s="408">
        <v>0</v>
      </c>
      <c r="EV580" s="408">
        <v>239</v>
      </c>
      <c r="EW580" s="408">
        <v>0</v>
      </c>
      <c r="EX580" s="408">
        <v>0</v>
      </c>
      <c r="EY580" s="408">
        <v>0</v>
      </c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585</v>
      </c>
      <c r="B581" s="408" t="s">
        <v>2236</v>
      </c>
      <c r="C581" s="408" t="s">
        <v>2241</v>
      </c>
      <c r="D581" s="408" t="s">
        <v>596</v>
      </c>
      <c r="E581" s="408" t="s">
        <v>968</v>
      </c>
      <c r="F581" s="408" t="s">
        <v>1320</v>
      </c>
      <c r="G581" s="408" t="s">
        <v>1320</v>
      </c>
      <c r="H581" s="408" t="s">
        <v>1320</v>
      </c>
      <c r="I581" s="408" t="s">
        <v>971</v>
      </c>
      <c r="J581" s="408" t="s">
        <v>2234</v>
      </c>
      <c r="K581" s="827">
        <v>44652</v>
      </c>
      <c r="L581" s="408">
        <v>0</v>
      </c>
      <c r="M581" s="408">
        <v>0</v>
      </c>
      <c r="N581" s="408">
        <v>2.3E-2</v>
      </c>
      <c r="O581" s="408">
        <v>2.3E-2</v>
      </c>
      <c r="P581" s="408">
        <v>2.3E-2</v>
      </c>
      <c r="Q581" s="408">
        <v>2.3E-2</v>
      </c>
      <c r="R581" s="408"/>
      <c r="S581" s="408">
        <v>1684.16</v>
      </c>
      <c r="T581" s="408">
        <v>173.82</v>
      </c>
      <c r="U581" s="408"/>
      <c r="V581" s="408">
        <v>42.733540000000005</v>
      </c>
      <c r="W581" s="408">
        <v>42.733540000000005</v>
      </c>
      <c r="X581" s="408">
        <v>29.33558</v>
      </c>
      <c r="Y581" s="408">
        <v>0</v>
      </c>
      <c r="Z581" s="408">
        <v>1.2236006097180561</v>
      </c>
      <c r="AA581" s="408">
        <v>0</v>
      </c>
      <c r="AB581" s="408">
        <v>0</v>
      </c>
      <c r="AC581" s="408">
        <v>0.41398619677391424</v>
      </c>
      <c r="AD581" s="408">
        <v>6.3154763711407123</v>
      </c>
      <c r="AE581" s="408">
        <v>26.640726476399951</v>
      </c>
      <c r="AF581" s="408">
        <v>3.7012091174530966</v>
      </c>
      <c r="AG581" s="408">
        <v>0.18620490401753476</v>
      </c>
      <c r="AH581" s="408">
        <v>0</v>
      </c>
      <c r="AI581" s="408">
        <v>0</v>
      </c>
      <c r="AJ581" s="408">
        <v>0</v>
      </c>
      <c r="AK581" s="408">
        <v>0</v>
      </c>
      <c r="AL581" s="408">
        <v>0.2173844231252425</v>
      </c>
      <c r="AM581" s="408"/>
      <c r="AN581" s="408">
        <v>2.858280531061148E-2</v>
      </c>
      <c r="AO581" s="408">
        <v>0.88909130346871124</v>
      </c>
      <c r="AP581" s="408">
        <v>2.8588694332017561</v>
      </c>
      <c r="AQ581" s="408">
        <v>0</v>
      </c>
      <c r="AR581" s="408">
        <v>0</v>
      </c>
      <c r="AS581" s="408">
        <v>0</v>
      </c>
      <c r="AT581" s="408">
        <v>0</v>
      </c>
      <c r="AU581" s="408">
        <v>0</v>
      </c>
      <c r="AV581" s="408">
        <v>0</v>
      </c>
      <c r="AW581" s="408">
        <v>0</v>
      </c>
      <c r="AX581" s="408">
        <v>0</v>
      </c>
      <c r="AY581" s="408">
        <v>0</v>
      </c>
      <c r="AZ581" s="408">
        <v>0</v>
      </c>
      <c r="BA581" s="408"/>
      <c r="BB581" s="408">
        <v>0</v>
      </c>
      <c r="BC581" s="408">
        <v>0</v>
      </c>
      <c r="BD581" s="408">
        <v>0</v>
      </c>
      <c r="BE581" s="408">
        <v>4.2916533680159574E-3</v>
      </c>
      <c r="BF581" s="408">
        <v>0.11053083176160827</v>
      </c>
      <c r="BG581" s="408">
        <v>0.14370928293481122</v>
      </c>
      <c r="BH581" s="408">
        <v>0</v>
      </c>
      <c r="BI581" s="408">
        <v>0</v>
      </c>
      <c r="BJ581" s="408">
        <v>0</v>
      </c>
      <c r="BK581" s="408">
        <v>0</v>
      </c>
      <c r="BL581" s="408">
        <v>0</v>
      </c>
      <c r="BM581" s="408"/>
      <c r="BN581" s="408"/>
      <c r="BO581" s="408"/>
      <c r="BP581" s="408"/>
      <c r="BQ581" s="408"/>
      <c r="BR581" s="408"/>
      <c r="BS581" s="408"/>
      <c r="BT581" s="408"/>
      <c r="BU581" s="408"/>
      <c r="BV581" s="408">
        <v>3.9597408855175322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25.5092</v>
      </c>
      <c r="CJ581" s="408">
        <v>-17.254339999999999</v>
      </c>
      <c r="CK581" s="408"/>
      <c r="CL581" s="408"/>
      <c r="CM581" s="408"/>
      <c r="CN581" s="408"/>
      <c r="CO581" s="408">
        <v>-13.88533</v>
      </c>
      <c r="CP581" s="408">
        <v>0.48736999999999991</v>
      </c>
      <c r="CQ581" s="408">
        <v>30</v>
      </c>
      <c r="CR581" s="408">
        <v>0.70674468207553076</v>
      </c>
      <c r="CS581" s="408">
        <v>8.6325148538765162E-2</v>
      </c>
      <c r="CT581" s="408">
        <v>0.27757816043327566</v>
      </c>
      <c r="CU581" s="408">
        <v>0</v>
      </c>
      <c r="CV581" s="408">
        <v>0</v>
      </c>
      <c r="CW581" s="408">
        <v>0</v>
      </c>
      <c r="CX581" s="408">
        <v>0</v>
      </c>
      <c r="CY581" s="408">
        <v>0</v>
      </c>
      <c r="CZ581" s="408">
        <v>-0.12109425727675394</v>
      </c>
      <c r="DA581" s="408">
        <v>0</v>
      </c>
      <c r="DB581" s="408">
        <v>0</v>
      </c>
      <c r="DC581" s="408">
        <v>0.47509109618193879</v>
      </c>
      <c r="DD581" s="408">
        <v>1.4187853849138093E-2</v>
      </c>
      <c r="DE581" s="408">
        <v>5.5088114136241789E-4</v>
      </c>
      <c r="DF581" s="408">
        <v>0</v>
      </c>
      <c r="DG581" s="408">
        <v>1.8446674747196967E-2</v>
      </c>
      <c r="DH581" s="408">
        <v>0</v>
      </c>
      <c r="DI581" s="408">
        <v>-3.5760346374483332E-2</v>
      </c>
      <c r="DJ581" s="408"/>
      <c r="DK581" s="408">
        <v>0</v>
      </c>
      <c r="DL581" s="408">
        <v>0</v>
      </c>
      <c r="DM581" s="408">
        <v>-2.0695991676195902E-3</v>
      </c>
      <c r="DN581" s="408">
        <v>0</v>
      </c>
      <c r="DO581" s="408">
        <v>-5.6301814732273026E-3</v>
      </c>
      <c r="DP581" s="408">
        <v>-8.8074852406149276E-4</v>
      </c>
      <c r="DQ581" s="408">
        <v>0</v>
      </c>
      <c r="DR581" s="408">
        <v>0</v>
      </c>
      <c r="DS581" s="408"/>
      <c r="DT581" s="408"/>
      <c r="DU581" s="408"/>
      <c r="DV581" s="408">
        <v>26.640726476399951</v>
      </c>
      <c r="DW581" s="408">
        <v>0</v>
      </c>
      <c r="DX581" s="408">
        <v>0</v>
      </c>
      <c r="DY581" s="408">
        <v>-13.88533</v>
      </c>
      <c r="DZ581" s="408">
        <v>0.48736999999999986</v>
      </c>
      <c r="EA581" s="408">
        <v>0</v>
      </c>
      <c r="EB581" s="408">
        <v>0</v>
      </c>
      <c r="EC581" s="408">
        <v>-14.1048522985151</v>
      </c>
      <c r="ED581" s="408">
        <v>0</v>
      </c>
      <c r="EE581" s="408">
        <v>0</v>
      </c>
      <c r="EF581" s="408">
        <v>0</v>
      </c>
      <c r="EG581" s="408">
        <v>0</v>
      </c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>
        <v>0</v>
      </c>
      <c r="EN581" s="408">
        <v>0</v>
      </c>
      <c r="EO581" s="408">
        <v>0</v>
      </c>
      <c r="EP581" s="408">
        <v>0</v>
      </c>
      <c r="EQ581" s="408">
        <v>0</v>
      </c>
      <c r="ER581" s="408">
        <v>0</v>
      </c>
      <c r="ES581" s="408">
        <v>0</v>
      </c>
      <c r="ET581" s="408">
        <v>0</v>
      </c>
      <c r="EU581" s="408">
        <v>0</v>
      </c>
      <c r="EV581" s="408">
        <v>239</v>
      </c>
      <c r="EW581" s="408">
        <v>0</v>
      </c>
      <c r="EX581" s="408">
        <v>0</v>
      </c>
      <c r="EY581" s="408">
        <v>0</v>
      </c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586</v>
      </c>
      <c r="B582" s="408" t="s">
        <v>1034</v>
      </c>
      <c r="C582" s="408" t="s">
        <v>2241</v>
      </c>
      <c r="D582" s="408" t="s">
        <v>596</v>
      </c>
      <c r="E582" s="408" t="s">
        <v>968</v>
      </c>
      <c r="F582" s="408" t="s">
        <v>1320</v>
      </c>
      <c r="G582" s="408" t="s">
        <v>1320</v>
      </c>
      <c r="H582" s="408" t="s">
        <v>1320</v>
      </c>
      <c r="I582" s="408" t="s">
        <v>2242</v>
      </c>
      <c r="J582" s="408" t="s">
        <v>2234</v>
      </c>
      <c r="K582" s="827">
        <v>44652</v>
      </c>
      <c r="L582" s="408">
        <v>0</v>
      </c>
      <c r="M582" s="408">
        <v>0</v>
      </c>
      <c r="N582" s="408">
        <v>1100.4770000000001</v>
      </c>
      <c r="O582" s="408">
        <v>1100.4770000000001</v>
      </c>
      <c r="P582" s="408">
        <v>1100.4770000000001</v>
      </c>
      <c r="Q582" s="408">
        <v>1100.4770000000001</v>
      </c>
      <c r="R582" s="408"/>
      <c r="S582" s="408">
        <v>70.33</v>
      </c>
      <c r="T582" s="408">
        <v>173.82</v>
      </c>
      <c r="U582" s="408"/>
      <c r="V582" s="408">
        <v>268681.45955000003</v>
      </c>
      <c r="W582" s="408">
        <v>268681.45955000003</v>
      </c>
      <c r="X582" s="408">
        <v>290889.08541</v>
      </c>
      <c r="Y582" s="408">
        <v>0</v>
      </c>
      <c r="Z582" s="408">
        <v>58545.405573073796</v>
      </c>
      <c r="AA582" s="408">
        <v>0</v>
      </c>
      <c r="AB582" s="408">
        <v>0</v>
      </c>
      <c r="AC582" s="408">
        <v>0</v>
      </c>
      <c r="AD582" s="408">
        <v>0</v>
      </c>
      <c r="AE582" s="408">
        <v>0</v>
      </c>
      <c r="AF582" s="408">
        <v>177091.10895423617</v>
      </c>
      <c r="AG582" s="408">
        <v>8909.3136590654194</v>
      </c>
      <c r="AH582" s="408">
        <v>0</v>
      </c>
      <c r="AI582" s="408">
        <v>0</v>
      </c>
      <c r="AJ582" s="408">
        <v>0</v>
      </c>
      <c r="AK582" s="408">
        <v>0</v>
      </c>
      <c r="AL582" s="408">
        <v>10401.154687286849</v>
      </c>
      <c r="AM582" s="408"/>
      <c r="AN582" s="408">
        <v>1367.5965147741649</v>
      </c>
      <c r="AO582" s="408">
        <v>0</v>
      </c>
      <c r="AP582" s="408">
        <v>0</v>
      </c>
      <c r="AQ582" s="408">
        <v>0</v>
      </c>
      <c r="AR582" s="408">
        <v>0</v>
      </c>
      <c r="AS582" s="408">
        <v>0</v>
      </c>
      <c r="AT582" s="408">
        <v>0</v>
      </c>
      <c r="AU582" s="408">
        <v>0</v>
      </c>
      <c r="AV582" s="408">
        <v>0</v>
      </c>
      <c r="AW582" s="408">
        <v>0</v>
      </c>
      <c r="AX582" s="408">
        <v>0</v>
      </c>
      <c r="AY582" s="408">
        <v>0</v>
      </c>
      <c r="AZ582" s="408">
        <v>0</v>
      </c>
      <c r="BA582" s="408"/>
      <c r="BB582" s="408">
        <v>0</v>
      </c>
      <c r="BC582" s="408">
        <v>0</v>
      </c>
      <c r="BD582" s="408">
        <v>0</v>
      </c>
      <c r="BE582" s="408">
        <v>205.34199232496076</v>
      </c>
      <c r="BF582" s="408">
        <v>5288.5494845443218</v>
      </c>
      <c r="BG582" s="408">
        <v>6876.033067663142</v>
      </c>
      <c r="BH582" s="408">
        <v>0</v>
      </c>
      <c r="BI582" s="408">
        <v>0</v>
      </c>
      <c r="BJ582" s="408">
        <v>0</v>
      </c>
      <c r="BK582" s="408">
        <v>0</v>
      </c>
      <c r="BL582" s="408">
        <v>0</v>
      </c>
      <c r="BM582" s="408"/>
      <c r="BN582" s="408"/>
      <c r="BO582" s="408"/>
      <c r="BP582" s="408"/>
      <c r="BQ582" s="408"/>
      <c r="BR582" s="408"/>
      <c r="BS582" s="408"/>
      <c r="BT582" s="408"/>
      <c r="BU582" s="408"/>
      <c r="BV582" s="408">
        <v>189461.03349876861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290889.87839999999</v>
      </c>
      <c r="CJ582" s="408">
        <v>22208.388849999988</v>
      </c>
      <c r="CK582" s="408"/>
      <c r="CL582" s="408"/>
      <c r="CM582" s="408"/>
      <c r="CN582" s="408"/>
      <c r="CO582" s="408">
        <v>-1111.4817700000058</v>
      </c>
      <c r="CP582" s="408">
        <v>23319.107629999999</v>
      </c>
      <c r="CQ582" s="408">
        <v>30</v>
      </c>
      <c r="CR582" s="408">
        <v>22197.847422346065</v>
      </c>
      <c r="CS582" s="408">
        <v>0</v>
      </c>
      <c r="CT582" s="408">
        <v>0</v>
      </c>
      <c r="CU582" s="408">
        <v>0</v>
      </c>
      <c r="CV582" s="408">
        <v>0</v>
      </c>
      <c r="CW582" s="408">
        <v>0</v>
      </c>
      <c r="CX582" s="408">
        <v>0</v>
      </c>
      <c r="CY582" s="408">
        <v>0</v>
      </c>
      <c r="CZ582" s="408">
        <v>0</v>
      </c>
      <c r="DA582" s="408">
        <v>0</v>
      </c>
      <c r="DB582" s="408">
        <v>0</v>
      </c>
      <c r="DC582" s="408">
        <v>22731.601054478728</v>
      </c>
      <c r="DD582" s="408">
        <v>678.84377566686726</v>
      </c>
      <c r="DE582" s="408">
        <v>26.357914165351701</v>
      </c>
      <c r="DF582" s="408">
        <v>0</v>
      </c>
      <c r="DG582" s="408">
        <v>882.61483851178582</v>
      </c>
      <c r="DH582" s="408">
        <v>0</v>
      </c>
      <c r="DI582" s="408">
        <v>-1711.0190737892335</v>
      </c>
      <c r="DJ582" s="408"/>
      <c r="DK582" s="408">
        <v>0</v>
      </c>
      <c r="DL582" s="408">
        <v>0</v>
      </c>
      <c r="DM582" s="408">
        <v>-99.023751442806315</v>
      </c>
      <c r="DN582" s="408">
        <v>0</v>
      </c>
      <c r="DO582" s="408">
        <v>-269.38631378751234</v>
      </c>
      <c r="DP582" s="408">
        <v>-42.141021457113766</v>
      </c>
      <c r="DQ582" s="408">
        <v>0</v>
      </c>
      <c r="DR582" s="408">
        <v>0</v>
      </c>
      <c r="DS582" s="408"/>
      <c r="DT582" s="408"/>
      <c r="DU582" s="408"/>
      <c r="DV582" s="408">
        <v>0</v>
      </c>
      <c r="DW582" s="408">
        <v>0</v>
      </c>
      <c r="DX582" s="408">
        <v>0</v>
      </c>
      <c r="DY582" s="408">
        <v>-1111.4817699999985</v>
      </c>
      <c r="DZ582" s="408">
        <v>23319.107630000013</v>
      </c>
      <c r="EA582" s="408">
        <v>0</v>
      </c>
      <c r="EB582" s="408">
        <v>0</v>
      </c>
      <c r="EC582" s="408">
        <v>0</v>
      </c>
      <c r="ED582" s="408">
        <v>0</v>
      </c>
      <c r="EE582" s="408">
        <v>0</v>
      </c>
      <c r="EF582" s="408">
        <v>0</v>
      </c>
      <c r="EG582" s="408">
        <v>0</v>
      </c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>
        <v>0</v>
      </c>
      <c r="EN582" s="408">
        <v>0</v>
      </c>
      <c r="EO582" s="408">
        <v>0</v>
      </c>
      <c r="EP582" s="408">
        <v>0</v>
      </c>
      <c r="EQ582" s="408">
        <v>0</v>
      </c>
      <c r="ER582" s="408">
        <v>0</v>
      </c>
      <c r="ES582" s="408">
        <v>0</v>
      </c>
      <c r="ET582" s="408">
        <v>0</v>
      </c>
      <c r="EU582" s="408">
        <v>0</v>
      </c>
      <c r="EV582" s="408">
        <v>239</v>
      </c>
      <c r="EW582" s="408">
        <v>0</v>
      </c>
      <c r="EX582" s="408">
        <v>0</v>
      </c>
      <c r="EY582" s="408">
        <v>0</v>
      </c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587</v>
      </c>
      <c r="B583" s="408" t="s">
        <v>2236</v>
      </c>
      <c r="C583" s="408" t="s">
        <v>2241</v>
      </c>
      <c r="D583" s="408" t="s">
        <v>596</v>
      </c>
      <c r="E583" s="408" t="s">
        <v>968</v>
      </c>
      <c r="F583" s="408" t="s">
        <v>1320</v>
      </c>
      <c r="G583" s="408" t="s">
        <v>1320</v>
      </c>
      <c r="H583" s="408" t="s">
        <v>1320</v>
      </c>
      <c r="I583" s="408" t="s">
        <v>2242</v>
      </c>
      <c r="J583" s="408" t="s">
        <v>2234</v>
      </c>
      <c r="K583" s="827">
        <v>44652</v>
      </c>
      <c r="L583" s="408">
        <v>0</v>
      </c>
      <c r="M583" s="408">
        <v>0</v>
      </c>
      <c r="N583" s="408">
        <v>0.76400000000000001</v>
      </c>
      <c r="O583" s="408">
        <v>0.76400000000000001</v>
      </c>
      <c r="P583" s="408">
        <v>0.76400000000000001</v>
      </c>
      <c r="Q583" s="408">
        <v>0.76400000000000001</v>
      </c>
      <c r="R583" s="408"/>
      <c r="S583" s="408">
        <v>70.33</v>
      </c>
      <c r="T583" s="408">
        <v>173.82</v>
      </c>
      <c r="U583" s="408"/>
      <c r="V583" s="408">
        <v>186.53059999999999</v>
      </c>
      <c r="W583" s="408">
        <v>186.53059999999999</v>
      </c>
      <c r="X583" s="408">
        <v>201.94811999999999</v>
      </c>
      <c r="Y583" s="408">
        <v>0</v>
      </c>
      <c r="Z583" s="408">
        <v>40.644820253243253</v>
      </c>
      <c r="AA583" s="408">
        <v>0</v>
      </c>
      <c r="AB583" s="408">
        <v>0</v>
      </c>
      <c r="AC583" s="408">
        <v>0</v>
      </c>
      <c r="AD583" s="408">
        <v>0</v>
      </c>
      <c r="AE583" s="408">
        <v>0</v>
      </c>
      <c r="AF583" s="408">
        <v>122.9445115536594</v>
      </c>
      <c r="AG583" s="408">
        <v>6.1852411595389816</v>
      </c>
      <c r="AH583" s="408">
        <v>0</v>
      </c>
      <c r="AI583" s="408">
        <v>0</v>
      </c>
      <c r="AJ583" s="408">
        <v>0</v>
      </c>
      <c r="AK583" s="408">
        <v>0</v>
      </c>
      <c r="AL583" s="408">
        <v>7.2209434464210993</v>
      </c>
      <c r="AM583" s="408"/>
      <c r="AN583" s="408">
        <v>0.94944622857857264</v>
      </c>
      <c r="AO583" s="408">
        <v>0</v>
      </c>
      <c r="AP583" s="408">
        <v>0</v>
      </c>
      <c r="AQ583" s="408">
        <v>0</v>
      </c>
      <c r="AR583" s="408">
        <v>0</v>
      </c>
      <c r="AS583" s="408">
        <v>0</v>
      </c>
      <c r="AT583" s="408">
        <v>0</v>
      </c>
      <c r="AU583" s="408">
        <v>0</v>
      </c>
      <c r="AV583" s="408">
        <v>0</v>
      </c>
      <c r="AW583" s="408">
        <v>0</v>
      </c>
      <c r="AX583" s="408">
        <v>0</v>
      </c>
      <c r="AY583" s="408">
        <v>0</v>
      </c>
      <c r="AZ583" s="408">
        <v>0</v>
      </c>
      <c r="BA583" s="408"/>
      <c r="BB583" s="408">
        <v>0</v>
      </c>
      <c r="BC583" s="408">
        <v>0</v>
      </c>
      <c r="BD583" s="408">
        <v>0</v>
      </c>
      <c r="BE583" s="408">
        <v>0.14255752926800835</v>
      </c>
      <c r="BF583" s="408">
        <v>3.6715458898203797</v>
      </c>
      <c r="BG583" s="408">
        <v>4.7736474853128605</v>
      </c>
      <c r="BH583" s="408">
        <v>0</v>
      </c>
      <c r="BI583" s="408">
        <v>0</v>
      </c>
      <c r="BJ583" s="408">
        <v>0</v>
      </c>
      <c r="BK583" s="408">
        <v>0</v>
      </c>
      <c r="BL583" s="408">
        <v>0</v>
      </c>
      <c r="BM583" s="408"/>
      <c r="BN583" s="408"/>
      <c r="BO583" s="408"/>
      <c r="BP583" s="408"/>
      <c r="BQ583" s="408"/>
      <c r="BR583" s="408"/>
      <c r="BS583" s="408"/>
      <c r="BT583" s="408"/>
      <c r="BU583" s="408"/>
      <c r="BV583" s="408">
        <v>131.53226245806064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200.89079999999998</v>
      </c>
      <c r="CJ583" s="408">
        <v>14.330200000000019</v>
      </c>
      <c r="CK583" s="408"/>
      <c r="CL583" s="408"/>
      <c r="CM583" s="408"/>
      <c r="CN583" s="408"/>
      <c r="CO583" s="408">
        <v>-0.77164000000000388</v>
      </c>
      <c r="CP583" s="408">
        <v>16.189159999999998</v>
      </c>
      <c r="CQ583" s="408">
        <v>30</v>
      </c>
      <c r="CR583" s="408">
        <v>15.410731374369846</v>
      </c>
      <c r="CS583" s="408">
        <v>0</v>
      </c>
      <c r="CT583" s="408">
        <v>0</v>
      </c>
      <c r="CU583" s="408">
        <v>0</v>
      </c>
      <c r="CV583" s="408">
        <v>0</v>
      </c>
      <c r="CW583" s="408">
        <v>0</v>
      </c>
      <c r="CX583" s="408">
        <v>0</v>
      </c>
      <c r="CY583" s="408">
        <v>0</v>
      </c>
      <c r="CZ583" s="408">
        <v>0</v>
      </c>
      <c r="DA583" s="408">
        <v>0</v>
      </c>
      <c r="DB583" s="408">
        <v>0</v>
      </c>
      <c r="DC583" s="408">
        <v>15.781286847086989</v>
      </c>
      <c r="DD583" s="408">
        <v>0.47128349307571726</v>
      </c>
      <c r="DE583" s="408">
        <v>1.8298834434821165E-2</v>
      </c>
      <c r="DF583" s="408">
        <v>0</v>
      </c>
      <c r="DG583" s="408">
        <v>0.61275041334167213</v>
      </c>
      <c r="DH583" s="408">
        <v>0</v>
      </c>
      <c r="DI583" s="408">
        <v>-1.1878654187002269</v>
      </c>
      <c r="DJ583" s="408"/>
      <c r="DK583" s="408">
        <v>0</v>
      </c>
      <c r="DL583" s="408">
        <v>0</v>
      </c>
      <c r="DM583" s="408">
        <v>-6.8746685393972662E-2</v>
      </c>
      <c r="DN583" s="408">
        <v>0</v>
      </c>
      <c r="DO583" s="408">
        <v>-0.18701994111068121</v>
      </c>
      <c r="DP583" s="408">
        <v>-2.9256168364477309E-2</v>
      </c>
      <c r="DQ583" s="408">
        <v>0</v>
      </c>
      <c r="DR583" s="408">
        <v>0</v>
      </c>
      <c r="DS583" s="408"/>
      <c r="DT583" s="408"/>
      <c r="DU583" s="408"/>
      <c r="DV583" s="408">
        <v>0</v>
      </c>
      <c r="DW583" s="408">
        <v>0</v>
      </c>
      <c r="DX583" s="408">
        <v>0</v>
      </c>
      <c r="DY583" s="408">
        <v>-0.77164000000000499</v>
      </c>
      <c r="DZ583" s="408">
        <v>16.189160000000015</v>
      </c>
      <c r="EA583" s="408">
        <v>0</v>
      </c>
      <c r="EB583" s="408">
        <v>0</v>
      </c>
      <c r="EC583" s="408">
        <v>0</v>
      </c>
      <c r="ED583" s="408">
        <v>0</v>
      </c>
      <c r="EE583" s="408">
        <v>0</v>
      </c>
      <c r="EF583" s="408">
        <v>0</v>
      </c>
      <c r="EG583" s="408">
        <v>0</v>
      </c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>
        <v>0</v>
      </c>
      <c r="EN583" s="408">
        <v>0</v>
      </c>
      <c r="EO583" s="408">
        <v>0</v>
      </c>
      <c r="EP583" s="408">
        <v>0</v>
      </c>
      <c r="EQ583" s="408">
        <v>0</v>
      </c>
      <c r="ER583" s="408">
        <v>0</v>
      </c>
      <c r="ES583" s="408">
        <v>0</v>
      </c>
      <c r="ET583" s="408">
        <v>0</v>
      </c>
      <c r="EU583" s="408">
        <v>0</v>
      </c>
      <c r="EV583" s="408">
        <v>239</v>
      </c>
      <c r="EW583" s="408">
        <v>0</v>
      </c>
      <c r="EX583" s="408">
        <v>0</v>
      </c>
      <c r="EY583" s="408">
        <v>0</v>
      </c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588</v>
      </c>
      <c r="B584" s="408" t="s">
        <v>1034</v>
      </c>
      <c r="C584" s="408" t="s">
        <v>2241</v>
      </c>
      <c r="D584" s="408" t="s">
        <v>596</v>
      </c>
      <c r="E584" s="408" t="s">
        <v>968</v>
      </c>
      <c r="F584" s="408" t="s">
        <v>1320</v>
      </c>
      <c r="G584" s="408" t="s">
        <v>1320</v>
      </c>
      <c r="H584" s="408" t="s">
        <v>1320</v>
      </c>
      <c r="I584" s="408" t="s">
        <v>1320</v>
      </c>
      <c r="J584" s="408" t="s">
        <v>2234</v>
      </c>
      <c r="K584" s="827">
        <v>44652</v>
      </c>
      <c r="L584" s="408">
        <v>5315</v>
      </c>
      <c r="M584" s="408">
        <v>5315</v>
      </c>
      <c r="N584" s="408">
        <v>0</v>
      </c>
      <c r="O584" s="408">
        <v>0</v>
      </c>
      <c r="P584" s="408">
        <v>0</v>
      </c>
      <c r="Q584" s="408">
        <v>0</v>
      </c>
      <c r="R584" s="408">
        <v>59.12</v>
      </c>
      <c r="S584" s="408"/>
      <c r="T584" s="408"/>
      <c r="U584" s="408">
        <v>314222.8</v>
      </c>
      <c r="V584" s="408"/>
      <c r="W584" s="408">
        <v>314222.8</v>
      </c>
      <c r="X584" s="408">
        <v>180869.45</v>
      </c>
      <c r="Y584" s="408">
        <v>0</v>
      </c>
      <c r="Z584" s="408">
        <v>0</v>
      </c>
      <c r="AA584" s="408">
        <v>0</v>
      </c>
      <c r="AB584" s="408">
        <v>0</v>
      </c>
      <c r="AC584" s="408">
        <v>3040.5008311185202</v>
      </c>
      <c r="AD584" s="408">
        <v>27196.975388552513</v>
      </c>
      <c r="AE584" s="408">
        <v>255979.95505427549</v>
      </c>
      <c r="AF584" s="408"/>
      <c r="AG584" s="408"/>
      <c r="AH584" s="408"/>
      <c r="AI584" s="408">
        <v>0</v>
      </c>
      <c r="AJ584" s="408">
        <v>0</v>
      </c>
      <c r="AK584" s="408">
        <v>0</v>
      </c>
      <c r="AL584" s="408">
        <v>0</v>
      </c>
      <c r="AM584" s="408"/>
      <c r="AN584" s="408">
        <v>0</v>
      </c>
      <c r="AO584" s="408">
        <v>6420.9032948926688</v>
      </c>
      <c r="AP584" s="408">
        <v>21584.150497265982</v>
      </c>
      <c r="AQ584" s="408">
        <v>0</v>
      </c>
      <c r="AR584" s="408">
        <v>0</v>
      </c>
      <c r="AS584" s="408"/>
      <c r="AT584" s="408"/>
      <c r="AU584" s="408">
        <v>0</v>
      </c>
      <c r="AV584" s="408">
        <v>0</v>
      </c>
      <c r="AW584" s="408">
        <v>0</v>
      </c>
      <c r="AX584" s="408"/>
      <c r="AY584" s="408"/>
      <c r="AZ584" s="408">
        <v>0</v>
      </c>
      <c r="BA584" s="408"/>
      <c r="BB584" s="408">
        <v>0</v>
      </c>
      <c r="BC584" s="408">
        <v>0</v>
      </c>
      <c r="BD584" s="408">
        <v>0</v>
      </c>
      <c r="BE584" s="408">
        <v>0</v>
      </c>
      <c r="BF584" s="408"/>
      <c r="BG584" s="408">
        <v>0</v>
      </c>
      <c r="BH584" s="408">
        <v>0</v>
      </c>
      <c r="BI584" s="408">
        <v>1165.22</v>
      </c>
      <c r="BJ584" s="408">
        <v>5360.95</v>
      </c>
      <c r="BK584" s="408">
        <v>125907.64</v>
      </c>
      <c r="BL584" s="408">
        <v>26</v>
      </c>
      <c r="BM584" s="408"/>
      <c r="BN584" s="408"/>
      <c r="BO584" s="408"/>
      <c r="BP584" s="408"/>
      <c r="BQ584" s="408"/>
      <c r="BR584" s="408"/>
      <c r="BS584" s="408"/>
      <c r="BT584" s="408"/>
      <c r="BU584" s="408"/>
      <c r="BV584" s="408">
        <v>0</v>
      </c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>
        <v>180869.45</v>
      </c>
      <c r="CJ584" s="408">
        <v>-133353.38</v>
      </c>
      <c r="CK584" s="408"/>
      <c r="CL584" s="408"/>
      <c r="CM584" s="408"/>
      <c r="CN584" s="408"/>
      <c r="CO584" s="408">
        <v>-133353.34999999998</v>
      </c>
      <c r="CP584" s="408">
        <v>0</v>
      </c>
      <c r="CQ584" s="408">
        <v>30</v>
      </c>
      <c r="CR584" s="408">
        <v>2197.6333333348375</v>
      </c>
      <c r="CS584" s="408">
        <v>623.4291444783712</v>
      </c>
      <c r="CT584" s="408">
        <v>2095.6846507104856</v>
      </c>
      <c r="CU584" s="408">
        <v>0</v>
      </c>
      <c r="CV584" s="408">
        <v>0</v>
      </c>
      <c r="CW584" s="408"/>
      <c r="CX584" s="408"/>
      <c r="CY584" s="408"/>
      <c r="CZ584" s="408">
        <v>-521.480461854022</v>
      </c>
      <c r="DA584" s="408">
        <v>0</v>
      </c>
      <c r="DB584" s="408">
        <v>0</v>
      </c>
      <c r="DC584" s="408"/>
      <c r="DD584" s="408"/>
      <c r="DE584" s="408">
        <v>0</v>
      </c>
      <c r="DF584" s="408">
        <v>0</v>
      </c>
      <c r="DG584" s="408">
        <v>0</v>
      </c>
      <c r="DH584" s="408">
        <v>0</v>
      </c>
      <c r="DI584" s="408">
        <v>0</v>
      </c>
      <c r="DJ584" s="408"/>
      <c r="DK584" s="408">
        <v>0</v>
      </c>
      <c r="DL584" s="408">
        <v>0</v>
      </c>
      <c r="DM584" s="408"/>
      <c r="DN584" s="408">
        <v>0</v>
      </c>
      <c r="DO584" s="408">
        <v>0</v>
      </c>
      <c r="DP584" s="408">
        <v>0</v>
      </c>
      <c r="DQ584" s="408">
        <v>0</v>
      </c>
      <c r="DR584" s="408">
        <v>0</v>
      </c>
      <c r="DS584" s="408"/>
      <c r="DT584" s="408"/>
      <c r="DU584" s="408">
        <v>255979.95505427549</v>
      </c>
      <c r="DV584" s="408"/>
      <c r="DW584" s="408">
        <v>0</v>
      </c>
      <c r="DX584" s="408">
        <v>0</v>
      </c>
      <c r="DY584" s="408">
        <v>-133353.34999999998</v>
      </c>
      <c r="DZ584" s="408"/>
      <c r="EA584" s="408">
        <v>0</v>
      </c>
      <c r="EB584" s="408"/>
      <c r="EC584" s="408">
        <v>-135527.81530261796</v>
      </c>
      <c r="ED584" s="408"/>
      <c r="EE584" s="408">
        <v>0</v>
      </c>
      <c r="EF584" s="408">
        <v>0</v>
      </c>
      <c r="EG584" s="408"/>
      <c r="EH584" s="408">
        <v>0</v>
      </c>
      <c r="EI584" s="408">
        <v>0</v>
      </c>
      <c r="EJ584" s="408">
        <v>0</v>
      </c>
      <c r="EK584" s="408">
        <v>0</v>
      </c>
      <c r="EL584" s="408">
        <v>0</v>
      </c>
      <c r="EM584" s="408"/>
      <c r="EN584" s="408"/>
      <c r="EO584" s="408">
        <v>0</v>
      </c>
      <c r="EP584" s="408">
        <v>0</v>
      </c>
      <c r="EQ584" s="408"/>
      <c r="ER584" s="408">
        <v>0</v>
      </c>
      <c r="ES584" s="408"/>
      <c r="ET584" s="408">
        <v>0</v>
      </c>
      <c r="EU584" s="408"/>
      <c r="EV584" s="408">
        <v>239</v>
      </c>
      <c r="EW584" s="408"/>
      <c r="EX584" s="408"/>
      <c r="EY584" s="408"/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589</v>
      </c>
      <c r="B585" s="408" t="s">
        <v>2236</v>
      </c>
      <c r="C585" s="408" t="s">
        <v>2241</v>
      </c>
      <c r="D585" s="408" t="s">
        <v>596</v>
      </c>
      <c r="E585" s="408" t="s">
        <v>968</v>
      </c>
      <c r="F585" s="408" t="s">
        <v>1320</v>
      </c>
      <c r="G585" s="408" t="s">
        <v>1320</v>
      </c>
      <c r="H585" s="408" t="s">
        <v>1320</v>
      </c>
      <c r="I585" s="408" t="s">
        <v>1320</v>
      </c>
      <c r="J585" s="408" t="s">
        <v>2234</v>
      </c>
      <c r="K585" s="827">
        <v>44652</v>
      </c>
      <c r="L585" s="408">
        <v>115</v>
      </c>
      <c r="M585" s="408">
        <v>115</v>
      </c>
      <c r="N585" s="408">
        <v>0</v>
      </c>
      <c r="O585" s="408">
        <v>0</v>
      </c>
      <c r="P585" s="408">
        <v>0</v>
      </c>
      <c r="Q585" s="408">
        <v>0</v>
      </c>
      <c r="R585" s="408">
        <v>59.12</v>
      </c>
      <c r="S585" s="408"/>
      <c r="T585" s="408"/>
      <c r="U585" s="408">
        <v>6798.7999999999993</v>
      </c>
      <c r="V585" s="408"/>
      <c r="W585" s="408">
        <v>6798.7999999999993</v>
      </c>
      <c r="X585" s="408">
        <v>3913.4500000000003</v>
      </c>
      <c r="Y585" s="408">
        <v>0</v>
      </c>
      <c r="Z585" s="408">
        <v>0</v>
      </c>
      <c r="AA585" s="408">
        <v>0</v>
      </c>
      <c r="AB585" s="408">
        <v>0</v>
      </c>
      <c r="AC585" s="408">
        <v>65.786941783373436</v>
      </c>
      <c r="AD585" s="408">
        <v>588.45760483227446</v>
      </c>
      <c r="AE585" s="408">
        <v>5538.6067415318312</v>
      </c>
      <c r="AF585" s="408"/>
      <c r="AG585" s="408"/>
      <c r="AH585" s="408"/>
      <c r="AI585" s="408">
        <v>0</v>
      </c>
      <c r="AJ585" s="408">
        <v>0</v>
      </c>
      <c r="AK585" s="408">
        <v>0</v>
      </c>
      <c r="AL585" s="408">
        <v>0</v>
      </c>
      <c r="AM585" s="408"/>
      <c r="AN585" s="408">
        <v>0</v>
      </c>
      <c r="AO585" s="408">
        <v>138.92829330435691</v>
      </c>
      <c r="AP585" s="408">
        <v>467.01360436229311</v>
      </c>
      <c r="AQ585" s="408">
        <v>0</v>
      </c>
      <c r="AR585" s="408">
        <v>0</v>
      </c>
      <c r="AS585" s="408"/>
      <c r="AT585" s="408"/>
      <c r="AU585" s="408">
        <v>0</v>
      </c>
      <c r="AV585" s="408">
        <v>0</v>
      </c>
      <c r="AW585" s="408">
        <v>0</v>
      </c>
      <c r="AX585" s="408"/>
      <c r="AY585" s="408"/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/>
      <c r="BG585" s="408">
        <v>0</v>
      </c>
      <c r="BH585" s="408">
        <v>0</v>
      </c>
      <c r="BI585" s="408">
        <v>8.89</v>
      </c>
      <c r="BJ585" s="408">
        <v>40.93</v>
      </c>
      <c r="BK585" s="408">
        <v>691.74</v>
      </c>
      <c r="BL585" s="408">
        <v>1</v>
      </c>
      <c r="BM585" s="408"/>
      <c r="BN585" s="408"/>
      <c r="BO585" s="408"/>
      <c r="BP585" s="408"/>
      <c r="BQ585" s="408"/>
      <c r="BR585" s="408"/>
      <c r="BS585" s="408"/>
      <c r="BT585" s="408"/>
      <c r="BU585" s="408"/>
      <c r="BV585" s="408">
        <v>0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3913.4500000000003</v>
      </c>
      <c r="CJ585" s="408">
        <v>-2885.3799999999997</v>
      </c>
      <c r="CK585" s="408"/>
      <c r="CL585" s="408"/>
      <c r="CM585" s="408"/>
      <c r="CN585" s="408"/>
      <c r="CO585" s="408">
        <v>-2885.3499999999995</v>
      </c>
      <c r="CP585" s="408">
        <v>0</v>
      </c>
      <c r="CQ585" s="408">
        <v>30</v>
      </c>
      <c r="CR585" s="408">
        <v>47.54992160555139</v>
      </c>
      <c r="CS585" s="408">
        <v>13.489059570087022</v>
      </c>
      <c r="CT585" s="408">
        <v>45.344070523368941</v>
      </c>
      <c r="CU585" s="408">
        <v>0</v>
      </c>
      <c r="CV585" s="408">
        <v>0</v>
      </c>
      <c r="CW585" s="408"/>
      <c r="CX585" s="408"/>
      <c r="CY585" s="408"/>
      <c r="CZ585" s="408">
        <v>-11.283208487904403</v>
      </c>
      <c r="DA585" s="408">
        <v>0</v>
      </c>
      <c r="DB585" s="408">
        <v>0</v>
      </c>
      <c r="DC585" s="408"/>
      <c r="DD585" s="408"/>
      <c r="DE585" s="408">
        <v>0</v>
      </c>
      <c r="DF585" s="408">
        <v>0</v>
      </c>
      <c r="DG585" s="408">
        <v>0</v>
      </c>
      <c r="DH585" s="408">
        <v>0</v>
      </c>
      <c r="DI585" s="408">
        <v>0</v>
      </c>
      <c r="DJ585" s="408"/>
      <c r="DK585" s="408">
        <v>0</v>
      </c>
      <c r="DL585" s="408">
        <v>0</v>
      </c>
      <c r="DM585" s="408"/>
      <c r="DN585" s="408">
        <v>0</v>
      </c>
      <c r="DO585" s="408">
        <v>0</v>
      </c>
      <c r="DP585" s="408">
        <v>0</v>
      </c>
      <c r="DQ585" s="408">
        <v>0</v>
      </c>
      <c r="DR585" s="408">
        <v>0</v>
      </c>
      <c r="DS585" s="408"/>
      <c r="DT585" s="408"/>
      <c r="DU585" s="408">
        <v>5538.6067415318312</v>
      </c>
      <c r="DV585" s="408"/>
      <c r="DW585" s="408">
        <v>0</v>
      </c>
      <c r="DX585" s="408">
        <v>0</v>
      </c>
      <c r="DY585" s="408">
        <v>-2885.349999999999</v>
      </c>
      <c r="DZ585" s="408"/>
      <c r="EA585" s="408">
        <v>0</v>
      </c>
      <c r="EB585" s="408"/>
      <c r="EC585" s="408">
        <v>-2932.3986377800693</v>
      </c>
      <c r="ED585" s="408"/>
      <c r="EE585" s="408">
        <v>0</v>
      </c>
      <c r="EF585" s="408">
        <v>0</v>
      </c>
      <c r="EG585" s="408"/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/>
      <c r="EN585" s="408"/>
      <c r="EO585" s="408">
        <v>0</v>
      </c>
      <c r="EP585" s="408">
        <v>0</v>
      </c>
      <c r="EQ585" s="408"/>
      <c r="ER585" s="408">
        <v>0</v>
      </c>
      <c r="ES585" s="408"/>
      <c r="ET585" s="408">
        <v>0</v>
      </c>
      <c r="EU585" s="408"/>
      <c r="EV585" s="408">
        <v>239</v>
      </c>
      <c r="EW585" s="408"/>
      <c r="EX585" s="408"/>
      <c r="EY585" s="408"/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590</v>
      </c>
      <c r="B586" s="408" t="s">
        <v>1034</v>
      </c>
      <c r="C586" s="408" t="s">
        <v>2233</v>
      </c>
      <c r="D586" s="408" t="s">
        <v>1956</v>
      </c>
      <c r="E586" s="408" t="s">
        <v>996</v>
      </c>
      <c r="F586" s="408" t="s">
        <v>1320</v>
      </c>
      <c r="G586" s="408" t="s">
        <v>1320</v>
      </c>
      <c r="H586" s="408" t="s">
        <v>1320</v>
      </c>
      <c r="I586" s="408" t="s">
        <v>1320</v>
      </c>
      <c r="J586" s="408" t="s">
        <v>2234</v>
      </c>
      <c r="K586" s="827">
        <v>44652</v>
      </c>
      <c r="L586" s="408">
        <v>0</v>
      </c>
      <c r="M586" s="408">
        <v>0</v>
      </c>
      <c r="N586" s="408">
        <v>365.59399999999999</v>
      </c>
      <c r="O586" s="408">
        <v>365.59399999999999</v>
      </c>
      <c r="P586" s="408">
        <v>365.59399999999999</v>
      </c>
      <c r="Q586" s="408">
        <v>365.59399999999999</v>
      </c>
      <c r="R586" s="408"/>
      <c r="S586" s="408">
        <v>516.83000000000004</v>
      </c>
      <c r="T586" s="408">
        <v>173.82</v>
      </c>
      <c r="U586" s="408"/>
      <c r="V586" s="408">
        <v>252497.49610000002</v>
      </c>
      <c r="W586" s="408">
        <v>252497.49610000002</v>
      </c>
      <c r="X586" s="408">
        <v>190638.99129999999</v>
      </c>
      <c r="Y586" s="408">
        <v>0</v>
      </c>
      <c r="Z586" s="408">
        <v>22355.874128398915</v>
      </c>
      <c r="AA586" s="408">
        <v>0</v>
      </c>
      <c r="AB586" s="408">
        <v>0</v>
      </c>
      <c r="AC586" s="408">
        <v>993.84684256726177</v>
      </c>
      <c r="AD586" s="408">
        <v>12586.162612798196</v>
      </c>
      <c r="AE586" s="408">
        <v>132935.75301817415</v>
      </c>
      <c r="AF586" s="408">
        <v>58832.167221136842</v>
      </c>
      <c r="AG586" s="408">
        <v>2959.7998121472438</v>
      </c>
      <c r="AH586" s="408">
        <v>0</v>
      </c>
      <c r="AI586" s="408">
        <v>0</v>
      </c>
      <c r="AJ586" s="408">
        <v>0</v>
      </c>
      <c r="AK586" s="408">
        <v>0</v>
      </c>
      <c r="AL586" s="408">
        <v>3455.4104690456484</v>
      </c>
      <c r="AM586" s="408"/>
      <c r="AN586" s="408">
        <v>567.23443675319754</v>
      </c>
      <c r="AO586" s="408">
        <v>2119.898190629242</v>
      </c>
      <c r="AP586" s="408">
        <v>6942.3799394531043</v>
      </c>
      <c r="AQ586" s="408">
        <v>0</v>
      </c>
      <c r="AR586" s="408">
        <v>0</v>
      </c>
      <c r="AS586" s="408">
        <v>0</v>
      </c>
      <c r="AT586" s="408">
        <v>0</v>
      </c>
      <c r="AU586" s="408">
        <v>0</v>
      </c>
      <c r="AV586" s="408">
        <v>0</v>
      </c>
      <c r="AW586" s="408">
        <v>0</v>
      </c>
      <c r="AX586" s="408">
        <v>0</v>
      </c>
      <c r="AY586" s="408">
        <v>0</v>
      </c>
      <c r="AZ586" s="408">
        <v>0</v>
      </c>
      <c r="BA586" s="408"/>
      <c r="BB586" s="408">
        <v>0</v>
      </c>
      <c r="BC586" s="408">
        <v>0</v>
      </c>
      <c r="BD586" s="408">
        <v>0</v>
      </c>
      <c r="BE586" s="408">
        <v>202.83616391854767</v>
      </c>
      <c r="BF586" s="408">
        <v>1756.9308220458008</v>
      </c>
      <c r="BG586" s="408">
        <v>6792.1234942276315</v>
      </c>
      <c r="BH586" s="408">
        <v>0</v>
      </c>
      <c r="BI586" s="408">
        <v>435.4</v>
      </c>
      <c r="BJ586" s="408">
        <v>2015.55</v>
      </c>
      <c r="BK586" s="408">
        <v>78563.490000000005</v>
      </c>
      <c r="BL586" s="408">
        <v>536</v>
      </c>
      <c r="BM586" s="408"/>
      <c r="BN586" s="408"/>
      <c r="BO586" s="408"/>
      <c r="BP586" s="408"/>
      <c r="BQ586" s="408"/>
      <c r="BR586" s="408"/>
      <c r="BS586" s="408"/>
      <c r="BT586" s="408"/>
      <c r="BU586" s="408"/>
      <c r="BV586" s="408">
        <v>67584.057701328828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190636.90549999999</v>
      </c>
      <c r="CJ586" s="408">
        <v>-61860.620600000053</v>
      </c>
      <c r="CK586" s="408"/>
      <c r="CL586" s="408"/>
      <c r="CM586" s="408"/>
      <c r="CN586" s="408"/>
      <c r="CO586" s="408">
        <v>-69605.441660000011</v>
      </c>
      <c r="CP586" s="408">
        <v>7746.9368599999989</v>
      </c>
      <c r="CQ586" s="408">
        <v>30</v>
      </c>
      <c r="CR586" s="408">
        <v>8520.489532247273</v>
      </c>
      <c r="CS586" s="408">
        <v>205.82872139134997</v>
      </c>
      <c r="CT586" s="408">
        <v>674.06123212282637</v>
      </c>
      <c r="CU586" s="408">
        <v>0</v>
      </c>
      <c r="CV586" s="408">
        <v>0</v>
      </c>
      <c r="CW586" s="408">
        <v>0</v>
      </c>
      <c r="CX586" s="408">
        <v>0</v>
      </c>
      <c r="CY586" s="408">
        <v>0</v>
      </c>
      <c r="CZ586" s="408">
        <v>-241.32969929642059</v>
      </c>
      <c r="DA586" s="408">
        <v>0</v>
      </c>
      <c r="DB586" s="408">
        <v>0</v>
      </c>
      <c r="DC586" s="408">
        <v>7551.7588790234586</v>
      </c>
      <c r="DD586" s="408">
        <v>225.52148870094743</v>
      </c>
      <c r="DE586" s="408">
        <v>26.036263394841512</v>
      </c>
      <c r="DF586" s="408">
        <v>0</v>
      </c>
      <c r="DG586" s="408">
        <v>871.84411738834115</v>
      </c>
      <c r="DH586" s="408">
        <v>0</v>
      </c>
      <c r="DI586" s="408">
        <v>-653.36172276024809</v>
      </c>
      <c r="DJ586" s="408"/>
      <c r="DK586" s="408">
        <v>0</v>
      </c>
      <c r="DL586" s="408">
        <v>0</v>
      </c>
      <c r="DM586" s="408">
        <v>-32.897088612466177</v>
      </c>
      <c r="DN586" s="408">
        <v>0</v>
      </c>
      <c r="DO586" s="408">
        <v>-89.493937631437802</v>
      </c>
      <c r="DP586" s="408">
        <v>-17.478721473909786</v>
      </c>
      <c r="DQ586" s="408">
        <v>0</v>
      </c>
      <c r="DR586" s="408">
        <v>0</v>
      </c>
      <c r="DS586" s="408"/>
      <c r="DT586" s="408"/>
      <c r="DU586" s="408"/>
      <c r="DV586" s="408">
        <v>132935.75301817415</v>
      </c>
      <c r="DW586" s="408">
        <v>0</v>
      </c>
      <c r="DX586" s="408">
        <v>0</v>
      </c>
      <c r="DY586" s="408">
        <v>-69605.441660000026</v>
      </c>
      <c r="DZ586" s="408">
        <v>7746.9368600000016</v>
      </c>
      <c r="EA586" s="408">
        <v>0</v>
      </c>
      <c r="EB586" s="408">
        <v>0</v>
      </c>
      <c r="EC586" s="408">
        <v>-70382.433571181318</v>
      </c>
      <c r="ED586" s="408">
        <v>0</v>
      </c>
      <c r="EE586" s="408">
        <v>0</v>
      </c>
      <c r="EF586" s="408">
        <v>0</v>
      </c>
      <c r="EG586" s="408">
        <v>0</v>
      </c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>
        <v>0</v>
      </c>
      <c r="EN586" s="408">
        <v>0</v>
      </c>
      <c r="EO586" s="408">
        <v>0</v>
      </c>
      <c r="EP586" s="408">
        <v>0</v>
      </c>
      <c r="EQ586" s="408">
        <v>0</v>
      </c>
      <c r="ER586" s="408">
        <v>0</v>
      </c>
      <c r="ES586" s="408">
        <v>0</v>
      </c>
      <c r="ET586" s="408">
        <v>0</v>
      </c>
      <c r="EU586" s="408">
        <v>0</v>
      </c>
      <c r="EV586" s="408">
        <v>239</v>
      </c>
      <c r="EW586" s="408">
        <v>0</v>
      </c>
      <c r="EX586" s="408">
        <v>0</v>
      </c>
      <c r="EY586" s="408">
        <v>0</v>
      </c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591</v>
      </c>
      <c r="B587" s="408" t="s">
        <v>2236</v>
      </c>
      <c r="C587" s="408" t="s">
        <v>2233</v>
      </c>
      <c r="D587" s="408" t="s">
        <v>1956</v>
      </c>
      <c r="E587" s="408" t="s">
        <v>996</v>
      </c>
      <c r="F587" s="408" t="s">
        <v>1320</v>
      </c>
      <c r="G587" s="408" t="s">
        <v>1320</v>
      </c>
      <c r="H587" s="408" t="s">
        <v>1320</v>
      </c>
      <c r="I587" s="408" t="s">
        <v>1320</v>
      </c>
      <c r="J587" s="408" t="s">
        <v>2234</v>
      </c>
      <c r="K587" s="827">
        <v>44652</v>
      </c>
      <c r="L587" s="408">
        <v>0</v>
      </c>
      <c r="M587" s="408">
        <v>0</v>
      </c>
      <c r="N587" s="408">
        <v>36.756999999999998</v>
      </c>
      <c r="O587" s="408">
        <v>36.756999999999998</v>
      </c>
      <c r="P587" s="408">
        <v>36.756999999999998</v>
      </c>
      <c r="Q587" s="408">
        <v>36.756999999999998</v>
      </c>
      <c r="R587" s="408"/>
      <c r="S587" s="408">
        <v>516.83000000000004</v>
      </c>
      <c r="T587" s="408">
        <v>173.82</v>
      </c>
      <c r="U587" s="408"/>
      <c r="V587" s="408">
        <v>25386.22205</v>
      </c>
      <c r="W587" s="408">
        <v>25386.22205</v>
      </c>
      <c r="X587" s="408">
        <v>19166.93765</v>
      </c>
      <c r="Y587" s="408">
        <v>0</v>
      </c>
      <c r="Z587" s="408">
        <v>2247.6705452976771</v>
      </c>
      <c r="AA587" s="408">
        <v>0</v>
      </c>
      <c r="AB587" s="408">
        <v>0</v>
      </c>
      <c r="AC587" s="408">
        <v>99.921848805628201</v>
      </c>
      <c r="AD587" s="408">
        <v>1265.4189597165798</v>
      </c>
      <c r="AE587" s="408">
        <v>13365.425782942355</v>
      </c>
      <c r="AF587" s="408">
        <v>5915.0149360966725</v>
      </c>
      <c r="AG587" s="408">
        <v>297.57972421619672</v>
      </c>
      <c r="AH587" s="408">
        <v>0</v>
      </c>
      <c r="AI587" s="408">
        <v>0</v>
      </c>
      <c r="AJ587" s="408">
        <v>0</v>
      </c>
      <c r="AK587" s="408">
        <v>0</v>
      </c>
      <c r="AL587" s="408">
        <v>347.40866264411039</v>
      </c>
      <c r="AM587" s="408"/>
      <c r="AN587" s="408">
        <v>57.030028369550053</v>
      </c>
      <c r="AO587" s="408">
        <v>213.13560340968135</v>
      </c>
      <c r="AP587" s="408">
        <v>697.99028275758826</v>
      </c>
      <c r="AQ587" s="408">
        <v>0</v>
      </c>
      <c r="AR587" s="408">
        <v>0</v>
      </c>
      <c r="AS587" s="408">
        <v>0</v>
      </c>
      <c r="AT587" s="408">
        <v>0</v>
      </c>
      <c r="AU587" s="408">
        <v>0</v>
      </c>
      <c r="AV587" s="408">
        <v>0</v>
      </c>
      <c r="AW587" s="408">
        <v>0</v>
      </c>
      <c r="AX587" s="408">
        <v>0</v>
      </c>
      <c r="AY587" s="408">
        <v>0</v>
      </c>
      <c r="AZ587" s="408">
        <v>0</v>
      </c>
      <c r="BA587" s="408"/>
      <c r="BB587" s="408">
        <v>0</v>
      </c>
      <c r="BC587" s="408">
        <v>0</v>
      </c>
      <c r="BD587" s="408">
        <v>0</v>
      </c>
      <c r="BE587" s="408">
        <v>20.393247364984262</v>
      </c>
      <c r="BF587" s="408">
        <v>176.64268622006242</v>
      </c>
      <c r="BG587" s="408">
        <v>682.88342608829748</v>
      </c>
      <c r="BH587" s="408">
        <v>0</v>
      </c>
      <c r="BI587" s="408">
        <v>43.63</v>
      </c>
      <c r="BJ587" s="408">
        <v>201.75</v>
      </c>
      <c r="BK587" s="408">
        <v>13332.48</v>
      </c>
      <c r="BL587" s="408">
        <v>50</v>
      </c>
      <c r="BM587" s="408"/>
      <c r="BN587" s="408"/>
      <c r="BO587" s="408"/>
      <c r="BP587" s="408"/>
      <c r="BQ587" s="408"/>
      <c r="BR587" s="408"/>
      <c r="BS587" s="408"/>
      <c r="BT587" s="408"/>
      <c r="BU587" s="408"/>
      <c r="BV587" s="408">
        <v>6794.9342957700164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19168.502</v>
      </c>
      <c r="CJ587" s="408">
        <v>-6217.7500499999951</v>
      </c>
      <c r="CK587" s="408"/>
      <c r="CL587" s="408"/>
      <c r="CM587" s="408"/>
      <c r="CN587" s="408"/>
      <c r="CO587" s="408">
        <v>-6998.1652300000014</v>
      </c>
      <c r="CP587" s="408">
        <v>778.88082999999983</v>
      </c>
      <c r="CQ587" s="408">
        <v>30</v>
      </c>
      <c r="CR587" s="408">
        <v>856.65419491789362</v>
      </c>
      <c r="CS587" s="408">
        <v>20.694120560462835</v>
      </c>
      <c r="CT587" s="408">
        <v>67.770446750052656</v>
      </c>
      <c r="CU587" s="408">
        <v>0</v>
      </c>
      <c r="CV587" s="408">
        <v>0</v>
      </c>
      <c r="CW587" s="408">
        <v>0</v>
      </c>
      <c r="CX587" s="408">
        <v>0</v>
      </c>
      <c r="CY587" s="408">
        <v>0</v>
      </c>
      <c r="CZ587" s="408">
        <v>-24.263406284125494</v>
      </c>
      <c r="DA587" s="408">
        <v>0</v>
      </c>
      <c r="DB587" s="408">
        <v>0</v>
      </c>
      <c r="DC587" s="408">
        <v>759.25754010258697</v>
      </c>
      <c r="DD587" s="408">
        <v>22.674041040555153</v>
      </c>
      <c r="DE587" s="408">
        <v>2.6176986865325702</v>
      </c>
      <c r="DF587" s="408">
        <v>0</v>
      </c>
      <c r="DG587" s="408">
        <v>87.655635001786891</v>
      </c>
      <c r="DH587" s="408">
        <v>0</v>
      </c>
      <c r="DI587" s="408">
        <v>-65.689307930377709</v>
      </c>
      <c r="DJ587" s="408"/>
      <c r="DK587" s="408">
        <v>0</v>
      </c>
      <c r="DL587" s="408">
        <v>0</v>
      </c>
      <c r="DM587" s="408">
        <v>-3.3074894175736063</v>
      </c>
      <c r="DN587" s="408">
        <v>0</v>
      </c>
      <c r="DO587" s="408">
        <v>-8.9977643657137492</v>
      </c>
      <c r="DP587" s="408">
        <v>-1.7573192262906403</v>
      </c>
      <c r="DQ587" s="408">
        <v>0</v>
      </c>
      <c r="DR587" s="408">
        <v>0</v>
      </c>
      <c r="DS587" s="408"/>
      <c r="DT587" s="408"/>
      <c r="DU587" s="408"/>
      <c r="DV587" s="408">
        <v>13365.425782942355</v>
      </c>
      <c r="DW587" s="408">
        <v>0</v>
      </c>
      <c r="DX587" s="408">
        <v>0</v>
      </c>
      <c r="DY587" s="408">
        <v>-6998.1652300000023</v>
      </c>
      <c r="DZ587" s="408">
        <v>778.88083000000006</v>
      </c>
      <c r="EA587" s="408">
        <v>0</v>
      </c>
      <c r="EB587" s="408">
        <v>0</v>
      </c>
      <c r="EC587" s="408">
        <v>-7076.2843776864829</v>
      </c>
      <c r="ED587" s="408">
        <v>0</v>
      </c>
      <c r="EE587" s="408">
        <v>0</v>
      </c>
      <c r="EF587" s="408">
        <v>0</v>
      </c>
      <c r="EG587" s="408">
        <v>0</v>
      </c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>
        <v>0</v>
      </c>
      <c r="EN587" s="408">
        <v>0</v>
      </c>
      <c r="EO587" s="408">
        <v>0</v>
      </c>
      <c r="EP587" s="408">
        <v>0</v>
      </c>
      <c r="EQ587" s="408">
        <v>0</v>
      </c>
      <c r="ER587" s="408">
        <v>0</v>
      </c>
      <c r="ES587" s="408">
        <v>0</v>
      </c>
      <c r="ET587" s="408">
        <v>0</v>
      </c>
      <c r="EU587" s="408">
        <v>0</v>
      </c>
      <c r="EV587" s="408">
        <v>239</v>
      </c>
      <c r="EW587" s="408">
        <v>0</v>
      </c>
      <c r="EX587" s="408">
        <v>0</v>
      </c>
      <c r="EY587" s="408">
        <v>0</v>
      </c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592</v>
      </c>
      <c r="B588" s="408" t="s">
        <v>1034</v>
      </c>
      <c r="C588" s="408" t="s">
        <v>2241</v>
      </c>
      <c r="D588" s="408" t="s">
        <v>596</v>
      </c>
      <c r="E588" s="408" t="s">
        <v>996</v>
      </c>
      <c r="F588" s="408" t="s">
        <v>1320</v>
      </c>
      <c r="G588" s="408" t="s">
        <v>1320</v>
      </c>
      <c r="H588" s="408" t="s">
        <v>1320</v>
      </c>
      <c r="I588" s="408" t="s">
        <v>971</v>
      </c>
      <c r="J588" s="408" t="s">
        <v>2234</v>
      </c>
      <c r="K588" s="827">
        <v>44652</v>
      </c>
      <c r="L588" s="408">
        <v>0</v>
      </c>
      <c r="M588" s="408">
        <v>0</v>
      </c>
      <c r="N588" s="408">
        <v>9.2260000000000009</v>
      </c>
      <c r="O588" s="408">
        <v>9.2260000000000009</v>
      </c>
      <c r="P588" s="408">
        <v>9.2260000000000009</v>
      </c>
      <c r="Q588" s="408">
        <v>9.2260000000000009</v>
      </c>
      <c r="R588" s="408"/>
      <c r="S588" s="408">
        <v>1684.16</v>
      </c>
      <c r="T588" s="408">
        <v>173.82</v>
      </c>
      <c r="U588" s="408"/>
      <c r="V588" s="408">
        <v>17141.723480000004</v>
      </c>
      <c r="W588" s="408">
        <v>17141.723480000004</v>
      </c>
      <c r="X588" s="408">
        <v>11767.393960000001</v>
      </c>
      <c r="Y588" s="408">
        <v>0</v>
      </c>
      <c r="Z588" s="408">
        <v>490.823444576469</v>
      </c>
      <c r="AA588" s="408">
        <v>0</v>
      </c>
      <c r="AB588" s="408">
        <v>0</v>
      </c>
      <c r="AC588" s="408">
        <v>166.06246310591882</v>
      </c>
      <c r="AD588" s="408">
        <v>2533.329782614966</v>
      </c>
      <c r="AE588" s="408">
        <v>10686.406194402869</v>
      </c>
      <c r="AF588" s="408">
        <v>1484.6676225053163</v>
      </c>
      <c r="AG588" s="408">
        <v>74.692454107207652</v>
      </c>
      <c r="AH588" s="408">
        <v>0</v>
      </c>
      <c r="AI588" s="408">
        <v>0</v>
      </c>
      <c r="AJ588" s="408">
        <v>0</v>
      </c>
      <c r="AK588" s="408">
        <v>0</v>
      </c>
      <c r="AL588" s="408">
        <v>87.199508163195119</v>
      </c>
      <c r="AM588" s="408"/>
      <c r="AN588" s="408">
        <v>11.465433121552241</v>
      </c>
      <c r="AO588" s="408">
        <v>356.64158112184043</v>
      </c>
      <c r="AP588" s="408">
        <v>1146.7795387269307</v>
      </c>
      <c r="AQ588" s="408">
        <v>0</v>
      </c>
      <c r="AR588" s="408">
        <v>0</v>
      </c>
      <c r="AS588" s="408">
        <v>0</v>
      </c>
      <c r="AT588" s="408">
        <v>0</v>
      </c>
      <c r="AU588" s="408">
        <v>0</v>
      </c>
      <c r="AV588" s="408">
        <v>0</v>
      </c>
      <c r="AW588" s="408">
        <v>0</v>
      </c>
      <c r="AX588" s="408">
        <v>0</v>
      </c>
      <c r="AY588" s="408">
        <v>0</v>
      </c>
      <c r="AZ588" s="408">
        <v>0</v>
      </c>
      <c r="BA588" s="408"/>
      <c r="BB588" s="408">
        <v>0</v>
      </c>
      <c r="BC588" s="408">
        <v>0</v>
      </c>
      <c r="BD588" s="408">
        <v>0</v>
      </c>
      <c r="BE588" s="408">
        <v>1.7215127814484883</v>
      </c>
      <c r="BF588" s="408">
        <v>44.337280601417305</v>
      </c>
      <c r="BG588" s="408">
        <v>57.646167145937767</v>
      </c>
      <c r="BH588" s="408">
        <v>0</v>
      </c>
      <c r="BI588" s="408">
        <v>0</v>
      </c>
      <c r="BJ588" s="408">
        <v>0</v>
      </c>
      <c r="BK588" s="408">
        <v>0</v>
      </c>
      <c r="BL588" s="408">
        <v>0</v>
      </c>
      <c r="BM588" s="408"/>
      <c r="BN588" s="408"/>
      <c r="BO588" s="408"/>
      <c r="BP588" s="408"/>
      <c r="BQ588" s="408"/>
      <c r="BR588" s="408"/>
      <c r="BS588" s="408"/>
      <c r="BT588" s="408"/>
      <c r="BU588" s="408"/>
      <c r="BV588" s="408">
        <v>1588.3725830341198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11772.495800000001</v>
      </c>
      <c r="CJ588" s="408">
        <v>-5369.2576800000024</v>
      </c>
      <c r="CK588" s="408"/>
      <c r="CL588" s="408"/>
      <c r="CM588" s="408"/>
      <c r="CN588" s="408"/>
      <c r="CO588" s="408">
        <v>-5569.8284600000006</v>
      </c>
      <c r="CP588" s="408">
        <v>195.49894</v>
      </c>
      <c r="CQ588" s="408">
        <v>30</v>
      </c>
      <c r="CR588" s="408">
        <v>283.49680160125354</v>
      </c>
      <c r="CS588" s="408">
        <v>34.627644366028164</v>
      </c>
      <c r="CT588" s="408">
        <v>111.34504818075652</v>
      </c>
      <c r="CU588" s="408">
        <v>0</v>
      </c>
      <c r="CV588" s="408">
        <v>0</v>
      </c>
      <c r="CW588" s="408">
        <v>0</v>
      </c>
      <c r="CX588" s="408">
        <v>0</v>
      </c>
      <c r="CY588" s="408">
        <v>0</v>
      </c>
      <c r="CZ588" s="408">
        <v>-48.574592071101506</v>
      </c>
      <c r="DA588" s="408">
        <v>0</v>
      </c>
      <c r="DB588" s="408">
        <v>0</v>
      </c>
      <c r="DC588" s="408">
        <v>190.57349797280699</v>
      </c>
      <c r="DD588" s="408">
        <v>5.6911799831368768</v>
      </c>
      <c r="DE588" s="408">
        <v>0.22097519174824631</v>
      </c>
      <c r="DF588" s="408">
        <v>0</v>
      </c>
      <c r="DG588" s="408">
        <v>7.3995226616364818</v>
      </c>
      <c r="DH588" s="408">
        <v>0</v>
      </c>
      <c r="DI588" s="408">
        <v>-14.344563289173209</v>
      </c>
      <c r="DJ588" s="408"/>
      <c r="DK588" s="408">
        <v>0</v>
      </c>
      <c r="DL588" s="408">
        <v>0</v>
      </c>
      <c r="DM588" s="408">
        <v>-0.83017921393297911</v>
      </c>
      <c r="DN588" s="408">
        <v>0</v>
      </c>
      <c r="DO588" s="408">
        <v>-2.2584371422606608</v>
      </c>
      <c r="DP588" s="408">
        <v>-0.35329503839092702</v>
      </c>
      <c r="DQ588" s="408">
        <v>0</v>
      </c>
      <c r="DR588" s="408">
        <v>0</v>
      </c>
      <c r="DS588" s="408"/>
      <c r="DT588" s="408"/>
      <c r="DU588" s="408"/>
      <c r="DV588" s="408">
        <v>10686.406194402869</v>
      </c>
      <c r="DW588" s="408">
        <v>0</v>
      </c>
      <c r="DX588" s="408">
        <v>0</v>
      </c>
      <c r="DY588" s="408">
        <v>-5569.8284600000006</v>
      </c>
      <c r="DZ588" s="408">
        <v>195.49893999999995</v>
      </c>
      <c r="EA588" s="408">
        <v>0</v>
      </c>
      <c r="EB588" s="408">
        <v>0</v>
      </c>
      <c r="EC588" s="408">
        <v>-5657.8855350478407</v>
      </c>
      <c r="ED588" s="408">
        <v>0</v>
      </c>
      <c r="EE588" s="408">
        <v>0</v>
      </c>
      <c r="EF588" s="408">
        <v>0</v>
      </c>
      <c r="EG588" s="408">
        <v>0</v>
      </c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>
        <v>0</v>
      </c>
      <c r="EN588" s="408">
        <v>0</v>
      </c>
      <c r="EO588" s="408">
        <v>0</v>
      </c>
      <c r="EP588" s="408">
        <v>0</v>
      </c>
      <c r="EQ588" s="408">
        <v>0</v>
      </c>
      <c r="ER588" s="408">
        <v>0</v>
      </c>
      <c r="ES588" s="408">
        <v>0</v>
      </c>
      <c r="ET588" s="408">
        <v>0</v>
      </c>
      <c r="EU588" s="408">
        <v>0</v>
      </c>
      <c r="EV588" s="408">
        <v>239</v>
      </c>
      <c r="EW588" s="408">
        <v>0</v>
      </c>
      <c r="EX588" s="408">
        <v>0</v>
      </c>
      <c r="EY588" s="408">
        <v>0</v>
      </c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593</v>
      </c>
      <c r="B589" s="408" t="s">
        <v>2236</v>
      </c>
      <c r="C589" s="408" t="s">
        <v>2241</v>
      </c>
      <c r="D589" s="408" t="s">
        <v>596</v>
      </c>
      <c r="E589" s="408" t="s">
        <v>996</v>
      </c>
      <c r="F589" s="408" t="s">
        <v>1320</v>
      </c>
      <c r="G589" s="408" t="s">
        <v>1320</v>
      </c>
      <c r="H589" s="408" t="s">
        <v>1320</v>
      </c>
      <c r="I589" s="408" t="s">
        <v>971</v>
      </c>
      <c r="J589" s="408" t="s">
        <v>2234</v>
      </c>
      <c r="K589" s="827">
        <v>44652</v>
      </c>
      <c r="L589" s="408">
        <v>0</v>
      </c>
      <c r="M589" s="408">
        <v>0</v>
      </c>
      <c r="N589" s="408">
        <v>9.7949999999999999</v>
      </c>
      <c r="O589" s="408">
        <v>9.7949999999999999</v>
      </c>
      <c r="P589" s="408">
        <v>9.7949999999999999</v>
      </c>
      <c r="Q589" s="408">
        <v>9.7949999999999999</v>
      </c>
      <c r="R589" s="408"/>
      <c r="S589" s="408">
        <v>1684.16</v>
      </c>
      <c r="T589" s="408">
        <v>173.82</v>
      </c>
      <c r="U589" s="408"/>
      <c r="V589" s="408">
        <v>18198.914100000002</v>
      </c>
      <c r="W589" s="408">
        <v>18198.914100000002</v>
      </c>
      <c r="X589" s="408">
        <v>12493.130700000002</v>
      </c>
      <c r="Y589" s="408">
        <v>0</v>
      </c>
      <c r="Z589" s="408">
        <v>521.09425966036349</v>
      </c>
      <c r="AA589" s="408">
        <v>0</v>
      </c>
      <c r="AB589" s="408">
        <v>0</v>
      </c>
      <c r="AC589" s="408">
        <v>176.30412162610827</v>
      </c>
      <c r="AD589" s="408">
        <v>2689.5691763184032</v>
      </c>
      <c r="AE589" s="408">
        <v>11345.474601579892</v>
      </c>
      <c r="AF589" s="408">
        <v>1576.2323176283949</v>
      </c>
      <c r="AG589" s="408">
        <v>79.299001515293611</v>
      </c>
      <c r="AH589" s="408">
        <v>0</v>
      </c>
      <c r="AI589" s="408">
        <v>0</v>
      </c>
      <c r="AJ589" s="408">
        <v>0</v>
      </c>
      <c r="AK589" s="408">
        <v>0</v>
      </c>
      <c r="AL589" s="408">
        <v>92.577409761380451</v>
      </c>
      <c r="AM589" s="408"/>
      <c r="AN589" s="408">
        <v>12.172546870323455</v>
      </c>
      <c r="AO589" s="408">
        <v>378.63692684678375</v>
      </c>
      <c r="AP589" s="408">
        <v>1217.5054825309219</v>
      </c>
      <c r="AQ589" s="408">
        <v>0</v>
      </c>
      <c r="AR589" s="408">
        <v>0</v>
      </c>
      <c r="AS589" s="408">
        <v>0</v>
      </c>
      <c r="AT589" s="408">
        <v>0</v>
      </c>
      <c r="AU589" s="408">
        <v>0</v>
      </c>
      <c r="AV589" s="408">
        <v>0</v>
      </c>
      <c r="AW589" s="408">
        <v>0</v>
      </c>
      <c r="AX589" s="408">
        <v>0</v>
      </c>
      <c r="AY589" s="408">
        <v>0</v>
      </c>
      <c r="AZ589" s="408">
        <v>0</v>
      </c>
      <c r="BA589" s="408"/>
      <c r="BB589" s="408">
        <v>0</v>
      </c>
      <c r="BC589" s="408">
        <v>0</v>
      </c>
      <c r="BD589" s="408">
        <v>0</v>
      </c>
      <c r="BE589" s="408">
        <v>1.8276845539007089</v>
      </c>
      <c r="BF589" s="408">
        <v>47.071717265432746</v>
      </c>
      <c r="BG589" s="408">
        <v>61.201409841151133</v>
      </c>
      <c r="BH589" s="408">
        <v>0</v>
      </c>
      <c r="BI589" s="408">
        <v>0</v>
      </c>
      <c r="BJ589" s="408">
        <v>0</v>
      </c>
      <c r="BK589" s="408">
        <v>0</v>
      </c>
      <c r="BL589" s="408">
        <v>0</v>
      </c>
      <c r="BM589" s="408"/>
      <c r="BN589" s="408"/>
      <c r="BO589" s="408"/>
      <c r="BP589" s="408"/>
      <c r="BQ589" s="408"/>
      <c r="BR589" s="408"/>
      <c r="BS589" s="408"/>
      <c r="BT589" s="408"/>
      <c r="BU589" s="408"/>
      <c r="BV589" s="408">
        <v>1686.3331292888795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12499.508000000002</v>
      </c>
      <c r="CJ589" s="408">
        <v>-5699.4360999999953</v>
      </c>
      <c r="CK589" s="408"/>
      <c r="CL589" s="408"/>
      <c r="CM589" s="408"/>
      <c r="CN589" s="408"/>
      <c r="CO589" s="408">
        <v>-5913.3394500000004</v>
      </c>
      <c r="CP589" s="408">
        <v>207.55604999999997</v>
      </c>
      <c r="CQ589" s="408">
        <v>30</v>
      </c>
      <c r="CR589" s="408">
        <v>300.9810504752104</v>
      </c>
      <c r="CS589" s="408">
        <v>36.763253475530632</v>
      </c>
      <c r="CT589" s="408">
        <v>118.21209049756249</v>
      </c>
      <c r="CU589" s="408">
        <v>0</v>
      </c>
      <c r="CV589" s="408">
        <v>0</v>
      </c>
      <c r="CW589" s="408">
        <v>0</v>
      </c>
      <c r="CX589" s="408">
        <v>0</v>
      </c>
      <c r="CY589" s="408">
        <v>0</v>
      </c>
      <c r="CZ589" s="408">
        <v>-51.570358696773837</v>
      </c>
      <c r="DA589" s="408">
        <v>0</v>
      </c>
      <c r="DB589" s="408">
        <v>0</v>
      </c>
      <c r="DC589" s="408">
        <v>202.32683856965582</v>
      </c>
      <c r="DD589" s="408">
        <v>6.0421751501003271</v>
      </c>
      <c r="DE589" s="408">
        <v>0.23460351215847286</v>
      </c>
      <c r="DF589" s="408">
        <v>0</v>
      </c>
      <c r="DG589" s="408">
        <v>7.8558773542954015</v>
      </c>
      <c r="DH589" s="408">
        <v>0</v>
      </c>
      <c r="DI589" s="408">
        <v>-15.229243162524597</v>
      </c>
      <c r="DJ589" s="408"/>
      <c r="DK589" s="408">
        <v>0</v>
      </c>
      <c r="DL589" s="408">
        <v>0</v>
      </c>
      <c r="DM589" s="408">
        <v>-0.88137929768842582</v>
      </c>
      <c r="DN589" s="408">
        <v>0</v>
      </c>
      <c r="DO589" s="408">
        <v>-2.3977229360983188</v>
      </c>
      <c r="DP589" s="408">
        <v>-0.37508399100792644</v>
      </c>
      <c r="DQ589" s="408">
        <v>0</v>
      </c>
      <c r="DR589" s="408">
        <v>0</v>
      </c>
      <c r="DS589" s="408"/>
      <c r="DT589" s="408"/>
      <c r="DU589" s="408"/>
      <c r="DV589" s="408">
        <v>11345.474601579892</v>
      </c>
      <c r="DW589" s="408">
        <v>0</v>
      </c>
      <c r="DX589" s="408">
        <v>0</v>
      </c>
      <c r="DY589" s="408">
        <v>-5913.3394499999995</v>
      </c>
      <c r="DZ589" s="408">
        <v>207.55604999999991</v>
      </c>
      <c r="EA589" s="408">
        <v>0</v>
      </c>
      <c r="EB589" s="408">
        <v>0</v>
      </c>
      <c r="EC589" s="408">
        <v>-6006.8273158241473</v>
      </c>
      <c r="ED589" s="408">
        <v>0</v>
      </c>
      <c r="EE589" s="408">
        <v>0</v>
      </c>
      <c r="EF589" s="408">
        <v>0</v>
      </c>
      <c r="EG589" s="408">
        <v>0</v>
      </c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>
        <v>0</v>
      </c>
      <c r="EN589" s="408">
        <v>0</v>
      </c>
      <c r="EO589" s="408">
        <v>0</v>
      </c>
      <c r="EP589" s="408">
        <v>0</v>
      </c>
      <c r="EQ589" s="408">
        <v>0</v>
      </c>
      <c r="ER589" s="408">
        <v>0</v>
      </c>
      <c r="ES589" s="408">
        <v>0</v>
      </c>
      <c r="ET589" s="408">
        <v>0</v>
      </c>
      <c r="EU589" s="408">
        <v>0</v>
      </c>
      <c r="EV589" s="408">
        <v>239</v>
      </c>
      <c r="EW589" s="408">
        <v>0</v>
      </c>
      <c r="EX589" s="408">
        <v>0</v>
      </c>
      <c r="EY589" s="408">
        <v>0</v>
      </c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594</v>
      </c>
      <c r="B590" s="408" t="s">
        <v>1034</v>
      </c>
      <c r="C590" s="408" t="s">
        <v>2241</v>
      </c>
      <c r="D590" s="408" t="s">
        <v>596</v>
      </c>
      <c r="E590" s="408" t="s">
        <v>996</v>
      </c>
      <c r="F590" s="408" t="s">
        <v>1320</v>
      </c>
      <c r="G590" s="408" t="s">
        <v>1320</v>
      </c>
      <c r="H590" s="408" t="s">
        <v>1320</v>
      </c>
      <c r="I590" s="408" t="s">
        <v>2242</v>
      </c>
      <c r="J590" s="408" t="s">
        <v>2234</v>
      </c>
      <c r="K590" s="827">
        <v>44652</v>
      </c>
      <c r="L590" s="408">
        <v>0</v>
      </c>
      <c r="M590" s="408">
        <v>0</v>
      </c>
      <c r="N590" s="408">
        <v>218.614</v>
      </c>
      <c r="O590" s="408">
        <v>218.614</v>
      </c>
      <c r="P590" s="408">
        <v>218.614</v>
      </c>
      <c r="Q590" s="408">
        <v>218.614</v>
      </c>
      <c r="R590" s="408"/>
      <c r="S590" s="408">
        <v>70.33</v>
      </c>
      <c r="T590" s="408">
        <v>173.82</v>
      </c>
      <c r="U590" s="408"/>
      <c r="V590" s="408">
        <v>53374.608099999998</v>
      </c>
      <c r="W590" s="408">
        <v>53374.608099999998</v>
      </c>
      <c r="X590" s="408">
        <v>57786.238620000004</v>
      </c>
      <c r="Y590" s="408">
        <v>0</v>
      </c>
      <c r="Z590" s="408">
        <v>11630.270595343614</v>
      </c>
      <c r="AA590" s="408">
        <v>0</v>
      </c>
      <c r="AB590" s="408">
        <v>0</v>
      </c>
      <c r="AC590" s="408">
        <v>0</v>
      </c>
      <c r="AD590" s="408">
        <v>0</v>
      </c>
      <c r="AE590" s="408">
        <v>0</v>
      </c>
      <c r="AF590" s="408">
        <v>35179.831739256144</v>
      </c>
      <c r="AG590" s="408">
        <v>1769.869516821276</v>
      </c>
      <c r="AH590" s="408">
        <v>0</v>
      </c>
      <c r="AI590" s="408">
        <v>0</v>
      </c>
      <c r="AJ590" s="408">
        <v>0</v>
      </c>
      <c r="AK590" s="408">
        <v>0</v>
      </c>
      <c r="AL590" s="408">
        <v>2066.2294903087727</v>
      </c>
      <c r="AM590" s="408"/>
      <c r="AN590" s="408">
        <v>271.67832174669644</v>
      </c>
      <c r="AO590" s="408">
        <v>0</v>
      </c>
      <c r="AP590" s="408">
        <v>0</v>
      </c>
      <c r="AQ590" s="408">
        <v>0</v>
      </c>
      <c r="AR590" s="408">
        <v>0</v>
      </c>
      <c r="AS590" s="408">
        <v>0</v>
      </c>
      <c r="AT590" s="408">
        <v>0</v>
      </c>
      <c r="AU590" s="408">
        <v>0</v>
      </c>
      <c r="AV590" s="408">
        <v>0</v>
      </c>
      <c r="AW590" s="408">
        <v>0</v>
      </c>
      <c r="AX590" s="408">
        <v>0</v>
      </c>
      <c r="AY590" s="408">
        <v>0</v>
      </c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40.791978669366983</v>
      </c>
      <c r="BF590" s="408">
        <v>1050.5907502057494</v>
      </c>
      <c r="BG590" s="408">
        <v>1365.950486065688</v>
      </c>
      <c r="BH590" s="408">
        <v>0</v>
      </c>
      <c r="BI590" s="408">
        <v>0</v>
      </c>
      <c r="BJ590" s="408">
        <v>0</v>
      </c>
      <c r="BK590" s="408">
        <v>0</v>
      </c>
      <c r="BL590" s="408">
        <v>0</v>
      </c>
      <c r="BM590" s="408"/>
      <c r="BN590" s="408"/>
      <c r="BO590" s="408"/>
      <c r="BP590" s="408"/>
      <c r="BQ590" s="408"/>
      <c r="BR590" s="408"/>
      <c r="BS590" s="408"/>
      <c r="BT590" s="408"/>
      <c r="BU590" s="408"/>
      <c r="BV590" s="408">
        <v>37637.164954196953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57785.181300000004</v>
      </c>
      <c r="CJ590" s="408">
        <v>4410.5432000000073</v>
      </c>
      <c r="CK590" s="408"/>
      <c r="CL590" s="408"/>
      <c r="CM590" s="408"/>
      <c r="CN590" s="408"/>
      <c r="CO590" s="408">
        <v>-220.80014000000114</v>
      </c>
      <c r="CP590" s="408">
        <v>4632.43066</v>
      </c>
      <c r="CQ590" s="408">
        <v>30</v>
      </c>
      <c r="CR590" s="408">
        <v>4409.6879956498524</v>
      </c>
      <c r="CS590" s="408">
        <v>0</v>
      </c>
      <c r="CT590" s="408">
        <v>0</v>
      </c>
      <c r="CU590" s="408">
        <v>0</v>
      </c>
      <c r="CV590" s="408">
        <v>0</v>
      </c>
      <c r="CW590" s="408">
        <v>0</v>
      </c>
      <c r="CX590" s="408">
        <v>0</v>
      </c>
      <c r="CY590" s="408">
        <v>0</v>
      </c>
      <c r="CZ590" s="408">
        <v>0</v>
      </c>
      <c r="DA590" s="408">
        <v>0</v>
      </c>
      <c r="DB590" s="408">
        <v>0</v>
      </c>
      <c r="DC590" s="408">
        <v>4515.72021307471</v>
      </c>
      <c r="DD590" s="408">
        <v>134.85493397284654</v>
      </c>
      <c r="DE590" s="408">
        <v>5.2361012972958036</v>
      </c>
      <c r="DF590" s="408">
        <v>0</v>
      </c>
      <c r="DG590" s="408">
        <v>175.33484144277031</v>
      </c>
      <c r="DH590" s="408">
        <v>0</v>
      </c>
      <c r="DI590" s="408">
        <v>-339.90053749179606</v>
      </c>
      <c r="DJ590" s="408"/>
      <c r="DK590" s="408">
        <v>0</v>
      </c>
      <c r="DL590" s="408">
        <v>0</v>
      </c>
      <c r="DM590" s="408">
        <v>-19.671450105651729</v>
      </c>
      <c r="DN590" s="408">
        <v>0</v>
      </c>
      <c r="DO590" s="408">
        <v>-53.514630112526902</v>
      </c>
      <c r="DP590" s="408">
        <v>-8.3714764277903555</v>
      </c>
      <c r="DQ590" s="408">
        <v>0</v>
      </c>
      <c r="DR590" s="408">
        <v>0</v>
      </c>
      <c r="DS590" s="408"/>
      <c r="DT590" s="408"/>
      <c r="DU590" s="408"/>
      <c r="DV590" s="408">
        <v>0</v>
      </c>
      <c r="DW590" s="408">
        <v>0</v>
      </c>
      <c r="DX590" s="408">
        <v>0</v>
      </c>
      <c r="DY590" s="408">
        <v>-220.80014000000119</v>
      </c>
      <c r="DZ590" s="408">
        <v>4632.4306600000054</v>
      </c>
      <c r="EA590" s="408">
        <v>0</v>
      </c>
      <c r="EB590" s="408">
        <v>0</v>
      </c>
      <c r="EC590" s="408">
        <v>0</v>
      </c>
      <c r="ED590" s="408">
        <v>0</v>
      </c>
      <c r="EE590" s="408">
        <v>0</v>
      </c>
      <c r="EF590" s="408">
        <v>0</v>
      </c>
      <c r="EG590" s="408">
        <v>0</v>
      </c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>
        <v>0</v>
      </c>
      <c r="EN590" s="408">
        <v>0</v>
      </c>
      <c r="EO590" s="408">
        <v>0</v>
      </c>
      <c r="EP590" s="408">
        <v>0</v>
      </c>
      <c r="EQ590" s="408">
        <v>0</v>
      </c>
      <c r="ER590" s="408">
        <v>0</v>
      </c>
      <c r="ES590" s="408">
        <v>0</v>
      </c>
      <c r="ET590" s="408">
        <v>0</v>
      </c>
      <c r="EU590" s="408">
        <v>0</v>
      </c>
      <c r="EV590" s="408">
        <v>239</v>
      </c>
      <c r="EW590" s="408">
        <v>0</v>
      </c>
      <c r="EX590" s="408">
        <v>0</v>
      </c>
      <c r="EY590" s="408">
        <v>0</v>
      </c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595</v>
      </c>
      <c r="B591" s="408" t="s">
        <v>2236</v>
      </c>
      <c r="C591" s="408" t="s">
        <v>2241</v>
      </c>
      <c r="D591" s="408" t="s">
        <v>596</v>
      </c>
      <c r="E591" s="408" t="s">
        <v>996</v>
      </c>
      <c r="F591" s="408" t="s">
        <v>1320</v>
      </c>
      <c r="G591" s="408" t="s">
        <v>1320</v>
      </c>
      <c r="H591" s="408" t="s">
        <v>1320</v>
      </c>
      <c r="I591" s="408" t="s">
        <v>2242</v>
      </c>
      <c r="J591" s="408" t="s">
        <v>2234</v>
      </c>
      <c r="K591" s="827">
        <v>44652</v>
      </c>
      <c r="L591" s="408">
        <v>0</v>
      </c>
      <c r="M591" s="408">
        <v>0</v>
      </c>
      <c r="N591" s="408">
        <v>46.93</v>
      </c>
      <c r="O591" s="408">
        <v>46.93</v>
      </c>
      <c r="P591" s="408">
        <v>46.93</v>
      </c>
      <c r="Q591" s="408">
        <v>46.93</v>
      </c>
      <c r="R591" s="408"/>
      <c r="S591" s="408">
        <v>70.33</v>
      </c>
      <c r="T591" s="408">
        <v>173.82</v>
      </c>
      <c r="U591" s="408"/>
      <c r="V591" s="408">
        <v>11457.959499999999</v>
      </c>
      <c r="W591" s="408">
        <v>11457.959499999999</v>
      </c>
      <c r="X591" s="408">
        <v>12405.006899999998</v>
      </c>
      <c r="Y591" s="408">
        <v>0</v>
      </c>
      <c r="Z591" s="408">
        <v>2496.6772440899294</v>
      </c>
      <c r="AA591" s="408">
        <v>0</v>
      </c>
      <c r="AB591" s="408">
        <v>0</v>
      </c>
      <c r="AC591" s="408">
        <v>0</v>
      </c>
      <c r="AD591" s="408">
        <v>0</v>
      </c>
      <c r="AE591" s="408">
        <v>0</v>
      </c>
      <c r="AF591" s="408">
        <v>7552.0758209597316</v>
      </c>
      <c r="AG591" s="408">
        <v>379.93896284969162</v>
      </c>
      <c r="AH591" s="408">
        <v>0</v>
      </c>
      <c r="AI591" s="408">
        <v>0</v>
      </c>
      <c r="AJ591" s="408">
        <v>0</v>
      </c>
      <c r="AK591" s="408">
        <v>0</v>
      </c>
      <c r="AL591" s="408">
        <v>443.55873814207092</v>
      </c>
      <c r="AM591" s="408"/>
      <c r="AN591" s="408">
        <v>58.321350140304205</v>
      </c>
      <c r="AO591" s="408">
        <v>0</v>
      </c>
      <c r="AP591" s="408">
        <v>0</v>
      </c>
      <c r="AQ591" s="408">
        <v>0</v>
      </c>
      <c r="AR591" s="408">
        <v>0</v>
      </c>
      <c r="AS591" s="408">
        <v>0</v>
      </c>
      <c r="AT591" s="408">
        <v>0</v>
      </c>
      <c r="AU591" s="408">
        <v>0</v>
      </c>
      <c r="AV591" s="408">
        <v>0</v>
      </c>
      <c r="AW591" s="408">
        <v>0</v>
      </c>
      <c r="AX591" s="408">
        <v>0</v>
      </c>
      <c r="AY591" s="408">
        <v>0</v>
      </c>
      <c r="AZ591" s="408">
        <v>0</v>
      </c>
      <c r="BA591" s="408"/>
      <c r="BB591" s="408">
        <v>0</v>
      </c>
      <c r="BC591" s="408">
        <v>0</v>
      </c>
      <c r="BD591" s="408">
        <v>0</v>
      </c>
      <c r="BE591" s="408">
        <v>8.756838806999518</v>
      </c>
      <c r="BF591" s="408">
        <v>225.53095367705549</v>
      </c>
      <c r="BG591" s="408">
        <v>293.2294194839431</v>
      </c>
      <c r="BH591" s="408">
        <v>0</v>
      </c>
      <c r="BI591" s="408">
        <v>0</v>
      </c>
      <c r="BJ591" s="408">
        <v>0</v>
      </c>
      <c r="BK591" s="408">
        <v>0</v>
      </c>
      <c r="BL591" s="408">
        <v>0</v>
      </c>
      <c r="BM591" s="408"/>
      <c r="BN591" s="408"/>
      <c r="BO591" s="408"/>
      <c r="BP591" s="408"/>
      <c r="BQ591" s="408"/>
      <c r="BR591" s="408"/>
      <c r="BS591" s="408"/>
      <c r="BT591" s="408"/>
      <c r="BU591" s="408"/>
      <c r="BV591" s="408">
        <v>8079.5930329277298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12405.006899999998</v>
      </c>
      <c r="CJ591" s="408">
        <v>947.01739999999882</v>
      </c>
      <c r="CK591" s="408"/>
      <c r="CL591" s="408"/>
      <c r="CM591" s="408"/>
      <c r="CN591" s="408"/>
      <c r="CO591" s="408">
        <v>-47.399300000000238</v>
      </c>
      <c r="CP591" s="408">
        <v>994.44669999999985</v>
      </c>
      <c r="CQ591" s="408">
        <v>30</v>
      </c>
      <c r="CR591" s="408">
        <v>946.63039711934289</v>
      </c>
      <c r="CS591" s="408">
        <v>0</v>
      </c>
      <c r="CT591" s="408">
        <v>0</v>
      </c>
      <c r="CU591" s="408">
        <v>0</v>
      </c>
      <c r="CV591" s="408">
        <v>0</v>
      </c>
      <c r="CW591" s="408">
        <v>0</v>
      </c>
      <c r="CX591" s="408">
        <v>0</v>
      </c>
      <c r="CY591" s="408">
        <v>0</v>
      </c>
      <c r="CZ591" s="408">
        <v>0</v>
      </c>
      <c r="DA591" s="408">
        <v>0</v>
      </c>
      <c r="DB591" s="408">
        <v>0</v>
      </c>
      <c r="DC591" s="408">
        <v>969.39239755731978</v>
      </c>
      <c r="DD591" s="408">
        <v>28.949390484350033</v>
      </c>
      <c r="DE591" s="408">
        <v>1.1240370419190544</v>
      </c>
      <c r="DF591" s="408">
        <v>0</v>
      </c>
      <c r="DG591" s="408">
        <v>37.639236777650126</v>
      </c>
      <c r="DH591" s="408">
        <v>0</v>
      </c>
      <c r="DI591" s="408">
        <v>-72.966654580630802</v>
      </c>
      <c r="DJ591" s="408"/>
      <c r="DK591" s="408">
        <v>0</v>
      </c>
      <c r="DL591" s="408">
        <v>0</v>
      </c>
      <c r="DM591" s="408">
        <v>-4.2228821276690383</v>
      </c>
      <c r="DN591" s="408">
        <v>0</v>
      </c>
      <c r="DO591" s="408">
        <v>-11.488018110372082</v>
      </c>
      <c r="DP591" s="408">
        <v>-1.797109923226337</v>
      </c>
      <c r="DQ591" s="408">
        <v>0</v>
      </c>
      <c r="DR591" s="408">
        <v>0</v>
      </c>
      <c r="DS591" s="408"/>
      <c r="DT591" s="408"/>
      <c r="DU591" s="408"/>
      <c r="DV591" s="408">
        <v>0</v>
      </c>
      <c r="DW591" s="408">
        <v>0</v>
      </c>
      <c r="DX591" s="408">
        <v>0</v>
      </c>
      <c r="DY591" s="408">
        <v>-47.399300000000039</v>
      </c>
      <c r="DZ591" s="408">
        <v>994.44669999999951</v>
      </c>
      <c r="EA591" s="408">
        <v>0</v>
      </c>
      <c r="EB591" s="408">
        <v>0</v>
      </c>
      <c r="EC591" s="408">
        <v>0</v>
      </c>
      <c r="ED591" s="408">
        <v>0</v>
      </c>
      <c r="EE591" s="408">
        <v>0</v>
      </c>
      <c r="EF591" s="408">
        <v>0</v>
      </c>
      <c r="EG591" s="408">
        <v>0</v>
      </c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>
        <v>0</v>
      </c>
      <c r="EN591" s="408">
        <v>0</v>
      </c>
      <c r="EO591" s="408">
        <v>0</v>
      </c>
      <c r="EP591" s="408">
        <v>0</v>
      </c>
      <c r="EQ591" s="408">
        <v>0</v>
      </c>
      <c r="ER591" s="408">
        <v>0</v>
      </c>
      <c r="ES591" s="408">
        <v>0</v>
      </c>
      <c r="ET591" s="408">
        <v>0</v>
      </c>
      <c r="EU591" s="408">
        <v>0</v>
      </c>
      <c r="EV591" s="408">
        <v>239</v>
      </c>
      <c r="EW591" s="408">
        <v>0</v>
      </c>
      <c r="EX591" s="408">
        <v>0</v>
      </c>
      <c r="EY591" s="408">
        <v>0</v>
      </c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596</v>
      </c>
      <c r="B592" s="408" t="s">
        <v>1034</v>
      </c>
      <c r="C592" s="408" t="s">
        <v>2241</v>
      </c>
      <c r="D592" s="408" t="s">
        <v>596</v>
      </c>
      <c r="E592" s="408" t="s">
        <v>996</v>
      </c>
      <c r="F592" s="408" t="s">
        <v>1320</v>
      </c>
      <c r="G592" s="408" t="s">
        <v>1320</v>
      </c>
      <c r="H592" s="408" t="s">
        <v>1320</v>
      </c>
      <c r="I592" s="408" t="s">
        <v>1320</v>
      </c>
      <c r="J592" s="408" t="s">
        <v>2234</v>
      </c>
      <c r="K592" s="827">
        <v>44652</v>
      </c>
      <c r="L592" s="408">
        <v>2377</v>
      </c>
      <c r="M592" s="408">
        <v>2377</v>
      </c>
      <c r="N592" s="408">
        <v>0</v>
      </c>
      <c r="O592" s="408">
        <v>0</v>
      </c>
      <c r="P592" s="408">
        <v>0</v>
      </c>
      <c r="Q592" s="408">
        <v>0</v>
      </c>
      <c r="R592" s="408">
        <v>59.12</v>
      </c>
      <c r="S592" s="408"/>
      <c r="T592" s="408"/>
      <c r="U592" s="408">
        <v>140528.24</v>
      </c>
      <c r="V592" s="408"/>
      <c r="W592" s="408">
        <v>140528.24</v>
      </c>
      <c r="X592" s="408">
        <v>80889.31</v>
      </c>
      <c r="Y592" s="408">
        <v>0</v>
      </c>
      <c r="Z592" s="408">
        <v>0</v>
      </c>
      <c r="AA592" s="408">
        <v>0</v>
      </c>
      <c r="AB592" s="408">
        <v>0</v>
      </c>
      <c r="AC592" s="408">
        <v>1359.7874836441622</v>
      </c>
      <c r="AD592" s="408">
        <v>12163.162840750578</v>
      </c>
      <c r="AE592" s="408">
        <v>114480.59325757532</v>
      </c>
      <c r="AF592" s="408"/>
      <c r="AG592" s="408"/>
      <c r="AH592" s="408"/>
      <c r="AI592" s="408">
        <v>0</v>
      </c>
      <c r="AJ592" s="408">
        <v>0</v>
      </c>
      <c r="AK592" s="408">
        <v>0</v>
      </c>
      <c r="AL592" s="408">
        <v>0</v>
      </c>
      <c r="AM592" s="408"/>
      <c r="AN592" s="408">
        <v>0</v>
      </c>
      <c r="AO592" s="408">
        <v>2871.5874189952729</v>
      </c>
      <c r="AP592" s="408">
        <v>9652.9681527753964</v>
      </c>
      <c r="AQ592" s="408">
        <v>0</v>
      </c>
      <c r="AR592" s="408">
        <v>0</v>
      </c>
      <c r="AS592" s="408"/>
      <c r="AT592" s="408"/>
      <c r="AU592" s="408">
        <v>0</v>
      </c>
      <c r="AV592" s="408">
        <v>0</v>
      </c>
      <c r="AW592" s="408">
        <v>0</v>
      </c>
      <c r="AX592" s="408"/>
      <c r="AY592" s="408"/>
      <c r="AZ592" s="408">
        <v>0</v>
      </c>
      <c r="BA592" s="408"/>
      <c r="BB592" s="408">
        <v>0</v>
      </c>
      <c r="BC592" s="408">
        <v>0</v>
      </c>
      <c r="BD592" s="408">
        <v>0</v>
      </c>
      <c r="BE592" s="408">
        <v>0</v>
      </c>
      <c r="BF592" s="408"/>
      <c r="BG592" s="408">
        <v>0</v>
      </c>
      <c r="BH592" s="408">
        <v>0</v>
      </c>
      <c r="BI592" s="408">
        <v>312.95</v>
      </c>
      <c r="BJ592" s="408">
        <v>1439.9</v>
      </c>
      <c r="BK592" s="408">
        <v>50839.37</v>
      </c>
      <c r="BL592" s="408">
        <v>13</v>
      </c>
      <c r="BM592" s="408"/>
      <c r="BN592" s="408"/>
      <c r="BO592" s="408"/>
      <c r="BP592" s="408"/>
      <c r="BQ592" s="408"/>
      <c r="BR592" s="408"/>
      <c r="BS592" s="408"/>
      <c r="BT592" s="408"/>
      <c r="BU592" s="408"/>
      <c r="BV592" s="408">
        <v>0</v>
      </c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>
        <v>80889.31</v>
      </c>
      <c r="CJ592" s="408">
        <v>-59638.960000000021</v>
      </c>
      <c r="CK592" s="408"/>
      <c r="CL592" s="408"/>
      <c r="CM592" s="408"/>
      <c r="CN592" s="408"/>
      <c r="CO592" s="408">
        <v>-59638.929999999993</v>
      </c>
      <c r="CP592" s="408">
        <v>0</v>
      </c>
      <c r="CQ592" s="408">
        <v>30</v>
      </c>
      <c r="CR592" s="408">
        <v>982.83620570779021</v>
      </c>
      <c r="CS592" s="408">
        <v>278.81299650519031</v>
      </c>
      <c r="CT592" s="408">
        <v>937.24222290476609</v>
      </c>
      <c r="CU592" s="408">
        <v>0</v>
      </c>
      <c r="CV592" s="408">
        <v>0</v>
      </c>
      <c r="CW592" s="408"/>
      <c r="CX592" s="408"/>
      <c r="CY592" s="408"/>
      <c r="CZ592" s="408">
        <v>-233.21901370216437</v>
      </c>
      <c r="DA592" s="408">
        <v>0</v>
      </c>
      <c r="DB592" s="408">
        <v>0</v>
      </c>
      <c r="DC592" s="408"/>
      <c r="DD592" s="408"/>
      <c r="DE592" s="408">
        <v>0</v>
      </c>
      <c r="DF592" s="408">
        <v>0</v>
      </c>
      <c r="DG592" s="408">
        <v>0</v>
      </c>
      <c r="DH592" s="408">
        <v>0</v>
      </c>
      <c r="DI592" s="408">
        <v>0</v>
      </c>
      <c r="DJ592" s="408"/>
      <c r="DK592" s="408">
        <v>0</v>
      </c>
      <c r="DL592" s="408">
        <v>0</v>
      </c>
      <c r="DM592" s="408"/>
      <c r="DN592" s="408">
        <v>0</v>
      </c>
      <c r="DO592" s="408">
        <v>0</v>
      </c>
      <c r="DP592" s="408">
        <v>0</v>
      </c>
      <c r="DQ592" s="408">
        <v>0</v>
      </c>
      <c r="DR592" s="408">
        <v>0</v>
      </c>
      <c r="DS592" s="408"/>
      <c r="DT592" s="408"/>
      <c r="DU592" s="408">
        <v>114480.59325757532</v>
      </c>
      <c r="DV592" s="408"/>
      <c r="DW592" s="408">
        <v>0</v>
      </c>
      <c r="DX592" s="408">
        <v>0</v>
      </c>
      <c r="DY592" s="408">
        <v>-59638.929999999993</v>
      </c>
      <c r="DZ592" s="408"/>
      <c r="EA592" s="408">
        <v>0</v>
      </c>
      <c r="EB592" s="408"/>
      <c r="EC592" s="408">
        <v>-60611.404886984557</v>
      </c>
      <c r="ED592" s="408"/>
      <c r="EE592" s="408">
        <v>0</v>
      </c>
      <c r="EF592" s="408">
        <v>0</v>
      </c>
      <c r="EG592" s="408"/>
      <c r="EH592" s="408">
        <v>0</v>
      </c>
      <c r="EI592" s="408">
        <v>0</v>
      </c>
      <c r="EJ592" s="408">
        <v>0</v>
      </c>
      <c r="EK592" s="408">
        <v>0</v>
      </c>
      <c r="EL592" s="408">
        <v>0</v>
      </c>
      <c r="EM592" s="408"/>
      <c r="EN592" s="408"/>
      <c r="EO592" s="408">
        <v>0</v>
      </c>
      <c r="EP592" s="408">
        <v>0</v>
      </c>
      <c r="EQ592" s="408"/>
      <c r="ER592" s="408">
        <v>0</v>
      </c>
      <c r="ES592" s="408"/>
      <c r="ET592" s="408">
        <v>0</v>
      </c>
      <c r="EU592" s="408"/>
      <c r="EV592" s="408">
        <v>239</v>
      </c>
      <c r="EW592" s="408"/>
      <c r="EX592" s="408"/>
      <c r="EY592" s="408"/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597</v>
      </c>
      <c r="B593" s="408" t="s">
        <v>2236</v>
      </c>
      <c r="C593" s="408" t="s">
        <v>2241</v>
      </c>
      <c r="D593" s="408" t="s">
        <v>596</v>
      </c>
      <c r="E593" s="408" t="s">
        <v>996</v>
      </c>
      <c r="F593" s="408" t="s">
        <v>1320</v>
      </c>
      <c r="G593" s="408" t="s">
        <v>1320</v>
      </c>
      <c r="H593" s="408" t="s">
        <v>1320</v>
      </c>
      <c r="I593" s="408" t="s">
        <v>1320</v>
      </c>
      <c r="J593" s="408" t="s">
        <v>2234</v>
      </c>
      <c r="K593" s="827">
        <v>44652</v>
      </c>
      <c r="L593" s="408">
        <v>285</v>
      </c>
      <c r="M593" s="408">
        <v>285</v>
      </c>
      <c r="N593" s="408">
        <v>0</v>
      </c>
      <c r="O593" s="408">
        <v>0</v>
      </c>
      <c r="P593" s="408">
        <v>0</v>
      </c>
      <c r="Q593" s="408">
        <v>0</v>
      </c>
      <c r="R593" s="408">
        <v>59.12</v>
      </c>
      <c r="S593" s="408"/>
      <c r="T593" s="408"/>
      <c r="U593" s="408">
        <v>16849.2</v>
      </c>
      <c r="V593" s="408"/>
      <c r="W593" s="408">
        <v>16849.2</v>
      </c>
      <c r="X593" s="408">
        <v>9698.5500000000011</v>
      </c>
      <c r="Y593" s="408">
        <v>0</v>
      </c>
      <c r="Z593" s="408">
        <v>0</v>
      </c>
      <c r="AA593" s="408">
        <v>0</v>
      </c>
      <c r="AB593" s="408">
        <v>0</v>
      </c>
      <c r="AC593" s="408">
        <v>163.03720355009938</v>
      </c>
      <c r="AD593" s="408">
        <v>1458.3514554538976</v>
      </c>
      <c r="AE593" s="408">
        <v>13726.112359448451</v>
      </c>
      <c r="AF593" s="408"/>
      <c r="AG593" s="408"/>
      <c r="AH593" s="408"/>
      <c r="AI593" s="408">
        <v>0</v>
      </c>
      <c r="AJ593" s="408">
        <v>0</v>
      </c>
      <c r="AK593" s="408">
        <v>0</v>
      </c>
      <c r="AL593" s="408">
        <v>0</v>
      </c>
      <c r="AM593" s="408"/>
      <c r="AN593" s="408">
        <v>0</v>
      </c>
      <c r="AO593" s="408">
        <v>344.30055297166712</v>
      </c>
      <c r="AP593" s="408">
        <v>1157.3815412456829</v>
      </c>
      <c r="AQ593" s="408">
        <v>0</v>
      </c>
      <c r="AR593" s="408">
        <v>0</v>
      </c>
      <c r="AS593" s="408"/>
      <c r="AT593" s="408"/>
      <c r="AU593" s="408">
        <v>0</v>
      </c>
      <c r="AV593" s="408">
        <v>0</v>
      </c>
      <c r="AW593" s="408">
        <v>0</v>
      </c>
      <c r="AX593" s="408"/>
      <c r="AY593" s="408"/>
      <c r="AZ593" s="408">
        <v>0</v>
      </c>
      <c r="BA593" s="408"/>
      <c r="BB593" s="408">
        <v>0</v>
      </c>
      <c r="BC593" s="408">
        <v>0</v>
      </c>
      <c r="BD593" s="408">
        <v>0</v>
      </c>
      <c r="BE593" s="408">
        <v>0</v>
      </c>
      <c r="BF593" s="408"/>
      <c r="BG593" s="408">
        <v>0</v>
      </c>
      <c r="BH593" s="408">
        <v>0</v>
      </c>
      <c r="BI593" s="408">
        <v>76.12</v>
      </c>
      <c r="BJ593" s="408">
        <v>350.23</v>
      </c>
      <c r="BK593" s="408">
        <v>13396.11</v>
      </c>
      <c r="BL593" s="408">
        <v>3</v>
      </c>
      <c r="BM593" s="408"/>
      <c r="BN593" s="408"/>
      <c r="BO593" s="408"/>
      <c r="BP593" s="408"/>
      <c r="BQ593" s="408"/>
      <c r="BR593" s="408"/>
      <c r="BS593" s="408"/>
      <c r="BT593" s="408"/>
      <c r="BU593" s="408"/>
      <c r="BV593" s="408">
        <v>0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9698.5500000000011</v>
      </c>
      <c r="CJ593" s="408">
        <v>-7150.6799999999948</v>
      </c>
      <c r="CK593" s="408"/>
      <c r="CL593" s="408"/>
      <c r="CM593" s="408"/>
      <c r="CN593" s="408"/>
      <c r="CO593" s="408">
        <v>-7150.6499999999987</v>
      </c>
      <c r="CP593" s="408">
        <v>0</v>
      </c>
      <c r="CQ593" s="408">
        <v>30</v>
      </c>
      <c r="CR593" s="408">
        <v>117.8411100659323</v>
      </c>
      <c r="CS593" s="408">
        <v>33.429408499780948</v>
      </c>
      <c r="CT593" s="408">
        <v>112.37443564487103</v>
      </c>
      <c r="CU593" s="408">
        <v>0</v>
      </c>
      <c r="CV593" s="408">
        <v>0</v>
      </c>
      <c r="CW593" s="408"/>
      <c r="CX593" s="408"/>
      <c r="CY593" s="408"/>
      <c r="CZ593" s="408">
        <v>-27.962734078719677</v>
      </c>
      <c r="DA593" s="408">
        <v>0</v>
      </c>
      <c r="DB593" s="408">
        <v>0</v>
      </c>
      <c r="DC593" s="408"/>
      <c r="DD593" s="408"/>
      <c r="DE593" s="408">
        <v>0</v>
      </c>
      <c r="DF593" s="408">
        <v>0</v>
      </c>
      <c r="DG593" s="408">
        <v>0</v>
      </c>
      <c r="DH593" s="408">
        <v>0</v>
      </c>
      <c r="DI593" s="408">
        <v>0</v>
      </c>
      <c r="DJ593" s="408"/>
      <c r="DK593" s="408">
        <v>0</v>
      </c>
      <c r="DL593" s="408">
        <v>0</v>
      </c>
      <c r="DM593" s="408"/>
      <c r="DN593" s="408">
        <v>0</v>
      </c>
      <c r="DO593" s="408">
        <v>0</v>
      </c>
      <c r="DP593" s="408">
        <v>0</v>
      </c>
      <c r="DQ593" s="408">
        <v>0</v>
      </c>
      <c r="DR593" s="408">
        <v>0</v>
      </c>
      <c r="DS593" s="408"/>
      <c r="DT593" s="408"/>
      <c r="DU593" s="408">
        <v>13726.112359448451</v>
      </c>
      <c r="DV593" s="408"/>
      <c r="DW593" s="408">
        <v>0</v>
      </c>
      <c r="DX593" s="408">
        <v>0</v>
      </c>
      <c r="DY593" s="408">
        <v>-7150.65</v>
      </c>
      <c r="DZ593" s="408"/>
      <c r="EA593" s="408">
        <v>0</v>
      </c>
      <c r="EB593" s="408"/>
      <c r="EC593" s="408">
        <v>-7267.248797976692</v>
      </c>
      <c r="ED593" s="408"/>
      <c r="EE593" s="408">
        <v>0</v>
      </c>
      <c r="EF593" s="408">
        <v>0</v>
      </c>
      <c r="EG593" s="408"/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/>
      <c r="EN593" s="408"/>
      <c r="EO593" s="408">
        <v>0</v>
      </c>
      <c r="EP593" s="408">
        <v>0</v>
      </c>
      <c r="EQ593" s="408"/>
      <c r="ER593" s="408">
        <v>0</v>
      </c>
      <c r="ES593" s="408"/>
      <c r="ET593" s="408">
        <v>0</v>
      </c>
      <c r="EU593" s="408"/>
      <c r="EV593" s="408">
        <v>239</v>
      </c>
      <c r="EW593" s="408"/>
      <c r="EX593" s="408"/>
      <c r="EY593" s="408"/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598</v>
      </c>
      <c r="B594" s="408" t="s">
        <v>1034</v>
      </c>
      <c r="C594" s="408" t="s">
        <v>2233</v>
      </c>
      <c r="D594" s="408" t="s">
        <v>2243</v>
      </c>
      <c r="E594" s="408" t="s">
        <v>972</v>
      </c>
      <c r="F594" s="408" t="s">
        <v>1320</v>
      </c>
      <c r="G594" s="408" t="s">
        <v>1320</v>
      </c>
      <c r="H594" s="408" t="s">
        <v>1320</v>
      </c>
      <c r="I594" s="408" t="s">
        <v>1320</v>
      </c>
      <c r="J594" s="408" t="s">
        <v>2234</v>
      </c>
      <c r="K594" s="827">
        <v>44652</v>
      </c>
      <c r="L594" s="408">
        <v>0</v>
      </c>
      <c r="M594" s="408">
        <v>0</v>
      </c>
      <c r="N594" s="408">
        <v>2382.8510000000001</v>
      </c>
      <c r="O594" s="408">
        <v>2382.8510000000001</v>
      </c>
      <c r="P594" s="408">
        <v>2382.8510000000001</v>
      </c>
      <c r="Q594" s="408">
        <v>2382.8510000000001</v>
      </c>
      <c r="R594" s="408"/>
      <c r="S594" s="408">
        <v>516.83000000000004</v>
      </c>
      <c r="T594" s="408">
        <v>173.82</v>
      </c>
      <c r="U594" s="408"/>
      <c r="V594" s="408">
        <v>1645716.0431500003</v>
      </c>
      <c r="W594" s="408">
        <v>1645716.0431500003</v>
      </c>
      <c r="X594" s="408">
        <v>1242537.6539499999</v>
      </c>
      <c r="Y594" s="408">
        <v>0</v>
      </c>
      <c r="Z594" s="408">
        <v>145710.04180246254</v>
      </c>
      <c r="AA594" s="408">
        <v>0</v>
      </c>
      <c r="AB594" s="408">
        <v>0</v>
      </c>
      <c r="AC594" s="408">
        <v>6477.6471787235087</v>
      </c>
      <c r="AD594" s="408">
        <v>82033.485691966489</v>
      </c>
      <c r="AE594" s="408">
        <v>866442.2611287639</v>
      </c>
      <c r="AF594" s="408">
        <v>383453.47159705346</v>
      </c>
      <c r="AG594" s="408">
        <v>19291.240945351597</v>
      </c>
      <c r="AH594" s="408">
        <v>0</v>
      </c>
      <c r="AI594" s="408">
        <v>0</v>
      </c>
      <c r="AJ594" s="408">
        <v>0</v>
      </c>
      <c r="AK594" s="408">
        <v>0</v>
      </c>
      <c r="AL594" s="408">
        <v>22521.508262104664</v>
      </c>
      <c r="AM594" s="408"/>
      <c r="AN594" s="408">
        <v>3697.0933463125584</v>
      </c>
      <c r="AO594" s="408">
        <v>13816.970528616663</v>
      </c>
      <c r="AP594" s="408">
        <v>45248.710266322123</v>
      </c>
      <c r="AQ594" s="408">
        <v>0</v>
      </c>
      <c r="AR594" s="408">
        <v>0</v>
      </c>
      <c r="AS594" s="408">
        <v>0</v>
      </c>
      <c r="AT594" s="408">
        <v>0</v>
      </c>
      <c r="AU594" s="408">
        <v>0</v>
      </c>
      <c r="AV594" s="408">
        <v>0</v>
      </c>
      <c r="AW594" s="408">
        <v>0</v>
      </c>
      <c r="AX594" s="408">
        <v>0</v>
      </c>
      <c r="AY594" s="408">
        <v>0</v>
      </c>
      <c r="AZ594" s="408">
        <v>0</v>
      </c>
      <c r="BA594" s="408"/>
      <c r="BB594" s="408">
        <v>0</v>
      </c>
      <c r="BC594" s="408">
        <v>0</v>
      </c>
      <c r="BD594" s="408">
        <v>0</v>
      </c>
      <c r="BE594" s="408">
        <v>1322.0357993552279</v>
      </c>
      <c r="BF594" s="408">
        <v>11451.239260607828</v>
      </c>
      <c r="BG594" s="408">
        <v>44269.376030087493</v>
      </c>
      <c r="BH594" s="408">
        <v>0</v>
      </c>
      <c r="BI594" s="408">
        <v>2843.24</v>
      </c>
      <c r="BJ594" s="408">
        <v>13319.21</v>
      </c>
      <c r="BK594" s="408">
        <v>90183.83</v>
      </c>
      <c r="BL594" s="408">
        <v>10191</v>
      </c>
      <c r="BM594" s="408"/>
      <c r="BN594" s="408"/>
      <c r="BO594" s="408"/>
      <c r="BP594" s="408"/>
      <c r="BQ594" s="408"/>
      <c r="BR594" s="408">
        <v>149094.98706999997</v>
      </c>
      <c r="BS594" s="408"/>
      <c r="BT594" s="408"/>
      <c r="BU594" s="408"/>
      <c r="BV594" s="408">
        <v>440496.12268710398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1093442.2080000001</v>
      </c>
      <c r="CJ594" s="408">
        <v>-354783.17427000008</v>
      </c>
      <c r="CK594" s="408"/>
      <c r="CL594" s="408"/>
      <c r="CM594" s="408"/>
      <c r="CN594" s="408"/>
      <c r="CO594" s="408">
        <v>-453671.00189000013</v>
      </c>
      <c r="CP594" s="408">
        <v>50492.612689999994</v>
      </c>
      <c r="CQ594" s="408">
        <v>30</v>
      </c>
      <c r="CR594" s="408">
        <v>55534.437114408356</v>
      </c>
      <c r="CS594" s="408">
        <v>1341.5405466066168</v>
      </c>
      <c r="CT594" s="408">
        <v>4393.3638982726989</v>
      </c>
      <c r="CU594" s="408">
        <v>0</v>
      </c>
      <c r="CV594" s="408">
        <v>0</v>
      </c>
      <c r="CW594" s="408">
        <v>0</v>
      </c>
      <c r="CX594" s="408">
        <v>0</v>
      </c>
      <c r="CY594" s="408">
        <v>0</v>
      </c>
      <c r="CZ594" s="408">
        <v>-1572.9271139520279</v>
      </c>
      <c r="DA594" s="408">
        <v>0</v>
      </c>
      <c r="DB594" s="408">
        <v>0</v>
      </c>
      <c r="DC594" s="408">
        <v>49220.491027314274</v>
      </c>
      <c r="DD594" s="408">
        <v>1469.89311879446</v>
      </c>
      <c r="DE594" s="408">
        <v>169.69790605606636</v>
      </c>
      <c r="DF594" s="408">
        <v>0</v>
      </c>
      <c r="DG594" s="408">
        <v>5682.4636809218064</v>
      </c>
      <c r="DH594" s="408">
        <v>0</v>
      </c>
      <c r="DI594" s="408">
        <v>-4258.4496311235416</v>
      </c>
      <c r="DJ594" s="408"/>
      <c r="DK594" s="408">
        <v>0</v>
      </c>
      <c r="DL594" s="408">
        <v>0</v>
      </c>
      <c r="DM594" s="408">
        <v>-214.41506287658558</v>
      </c>
      <c r="DN594" s="408">
        <v>0</v>
      </c>
      <c r="DO594" s="408">
        <v>-583.29928494178967</v>
      </c>
      <c r="DP594" s="408">
        <v>-113.92197066370682</v>
      </c>
      <c r="DQ594" s="408">
        <v>0</v>
      </c>
      <c r="DR594" s="408">
        <v>0</v>
      </c>
      <c r="DS594" s="408"/>
      <c r="DT594" s="408"/>
      <c r="DU594" s="408"/>
      <c r="DV594" s="408">
        <v>866442.2611287639</v>
      </c>
      <c r="DW594" s="408">
        <v>0</v>
      </c>
      <c r="DX594" s="408">
        <v>0</v>
      </c>
      <c r="DY594" s="408">
        <v>-453671.00189000019</v>
      </c>
      <c r="DZ594" s="408">
        <v>50492.612690000038</v>
      </c>
      <c r="EA594" s="408">
        <v>0</v>
      </c>
      <c r="EB594" s="408">
        <v>0</v>
      </c>
      <c r="EC594" s="408">
        <v>-458735.24242061685</v>
      </c>
      <c r="ED594" s="408">
        <v>0</v>
      </c>
      <c r="EE594" s="408">
        <v>0</v>
      </c>
      <c r="EF594" s="408">
        <v>0</v>
      </c>
      <c r="EG594" s="408">
        <v>0</v>
      </c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>
        <v>0</v>
      </c>
      <c r="EN594" s="408">
        <v>0</v>
      </c>
      <c r="EO594" s="408">
        <v>0</v>
      </c>
      <c r="EP594" s="408">
        <v>0</v>
      </c>
      <c r="EQ594" s="408">
        <v>0</v>
      </c>
      <c r="ER594" s="408">
        <v>0</v>
      </c>
      <c r="ES594" s="408">
        <v>0</v>
      </c>
      <c r="ET594" s="408">
        <v>0</v>
      </c>
      <c r="EU594" s="408">
        <v>0</v>
      </c>
      <c r="EV594" s="408">
        <v>239</v>
      </c>
      <c r="EW594" s="408">
        <v>0</v>
      </c>
      <c r="EX594" s="408">
        <v>0</v>
      </c>
      <c r="EY594" s="408">
        <v>0</v>
      </c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599</v>
      </c>
      <c r="B595" s="408" t="s">
        <v>2235</v>
      </c>
      <c r="C595" s="408" t="s">
        <v>2233</v>
      </c>
      <c r="D595" s="408" t="s">
        <v>2243</v>
      </c>
      <c r="E595" s="408" t="s">
        <v>972</v>
      </c>
      <c r="F595" s="408" t="s">
        <v>1320</v>
      </c>
      <c r="G595" s="408" t="s">
        <v>1320</v>
      </c>
      <c r="H595" s="408" t="s">
        <v>1320</v>
      </c>
      <c r="I595" s="408" t="s">
        <v>1320</v>
      </c>
      <c r="J595" s="408" t="s">
        <v>2234</v>
      </c>
      <c r="K595" s="827">
        <v>44652</v>
      </c>
      <c r="L595" s="408">
        <v>0</v>
      </c>
      <c r="M595" s="408">
        <v>0</v>
      </c>
      <c r="N595" s="408">
        <v>-9.6790000000000003</v>
      </c>
      <c r="O595" s="408">
        <v>-9.6790000000000003</v>
      </c>
      <c r="P595" s="408">
        <v>-9.6790000000000003</v>
      </c>
      <c r="Q595" s="408">
        <v>-9.6790000000000003</v>
      </c>
      <c r="R595" s="408"/>
      <c r="S595" s="408">
        <v>516.83000000000004</v>
      </c>
      <c r="T595" s="408">
        <v>173.82</v>
      </c>
      <c r="U595" s="408"/>
      <c r="V595" s="408">
        <v>-6684.8013499999997</v>
      </c>
      <c r="W595" s="408">
        <v>-6684.8013499999997</v>
      </c>
      <c r="X595" s="408">
        <v>-5047.1145500000002</v>
      </c>
      <c r="Y595" s="408">
        <v>0</v>
      </c>
      <c r="Z595" s="408">
        <v>-591.86558228191143</v>
      </c>
      <c r="AA595" s="408">
        <v>0</v>
      </c>
      <c r="AB595" s="408">
        <v>0</v>
      </c>
      <c r="AC595" s="408">
        <v>-26.311820186350232</v>
      </c>
      <c r="AD595" s="408">
        <v>-333.21517292207682</v>
      </c>
      <c r="AE595" s="408">
        <v>-3519.4372814184799</v>
      </c>
      <c r="AF595" s="408">
        <v>-1557.5653499055879</v>
      </c>
      <c r="AG595" s="408">
        <v>-78.359881129813871</v>
      </c>
      <c r="AH595" s="408">
        <v>0</v>
      </c>
      <c r="AI595" s="408">
        <v>0</v>
      </c>
      <c r="AJ595" s="408">
        <v>0</v>
      </c>
      <c r="AK595" s="408">
        <v>0</v>
      </c>
      <c r="AL595" s="408">
        <v>-91.481036149096624</v>
      </c>
      <c r="AM595" s="408"/>
      <c r="AN595" s="408">
        <v>-15.017374774570149</v>
      </c>
      <c r="AO595" s="408">
        <v>-56.123718078251926</v>
      </c>
      <c r="AP595" s="408">
        <v>-183.79758812772255</v>
      </c>
      <c r="AQ595" s="408">
        <v>0</v>
      </c>
      <c r="AR595" s="408">
        <v>0</v>
      </c>
      <c r="AS595" s="408">
        <v>0</v>
      </c>
      <c r="AT595" s="408">
        <v>0</v>
      </c>
      <c r="AU595" s="408">
        <v>0</v>
      </c>
      <c r="AV595" s="408">
        <v>0</v>
      </c>
      <c r="AW595" s="408">
        <v>0</v>
      </c>
      <c r="AX595" s="408">
        <v>0</v>
      </c>
      <c r="AY595" s="408">
        <v>0</v>
      </c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-5.3700313204473344</v>
      </c>
      <c r="BF595" s="408">
        <v>-46.514257418287244</v>
      </c>
      <c r="BG595" s="408">
        <v>-179.81959031228425</v>
      </c>
      <c r="BH595" s="408">
        <v>0</v>
      </c>
      <c r="BI595" s="408">
        <v>-5.35</v>
      </c>
      <c r="BJ595" s="408">
        <v>-24.39</v>
      </c>
      <c r="BK595" s="408">
        <v>-1536.05</v>
      </c>
      <c r="BL595" s="408">
        <v>0</v>
      </c>
      <c r="BM595" s="408"/>
      <c r="BN595" s="408"/>
      <c r="BO595" s="408"/>
      <c r="BP595" s="408"/>
      <c r="BQ595" s="408"/>
      <c r="BR595" s="408">
        <v>-605.61502999999993</v>
      </c>
      <c r="BS595" s="408"/>
      <c r="BT595" s="408"/>
      <c r="BU595" s="408"/>
      <c r="BV595" s="408">
        <v>-1789.2692289566069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-4441.9583999999995</v>
      </c>
      <c r="CJ595" s="408">
        <v>1440.6174300000002</v>
      </c>
      <c r="CK595" s="408"/>
      <c r="CL595" s="408"/>
      <c r="CM595" s="408"/>
      <c r="CN595" s="408"/>
      <c r="CO595" s="408">
        <v>1842.7848100000006</v>
      </c>
      <c r="CP595" s="408">
        <v>-205.09800999999999</v>
      </c>
      <c r="CQ595" s="408">
        <v>30</v>
      </c>
      <c r="CR595" s="408">
        <v>-225.57760297658524</v>
      </c>
      <c r="CS595" s="408">
        <v>-5.4492584515798228</v>
      </c>
      <c r="CT595" s="408">
        <v>-17.845584625887824</v>
      </c>
      <c r="CU595" s="408">
        <v>0</v>
      </c>
      <c r="CV595" s="408">
        <v>0</v>
      </c>
      <c r="CW595" s="408">
        <v>0</v>
      </c>
      <c r="CX595" s="408">
        <v>0</v>
      </c>
      <c r="CY595" s="408">
        <v>0</v>
      </c>
      <c r="CZ595" s="408">
        <v>6.3891370194534716</v>
      </c>
      <c r="DA595" s="408">
        <v>0</v>
      </c>
      <c r="DB595" s="408">
        <v>0</v>
      </c>
      <c r="DC595" s="408">
        <v>-199.93072695412957</v>
      </c>
      <c r="DD595" s="408">
        <v>-5.9706190176438056</v>
      </c>
      <c r="DE595" s="408">
        <v>-0.68930286984652689</v>
      </c>
      <c r="DF595" s="408">
        <v>0</v>
      </c>
      <c r="DG595" s="408">
        <v>-23.081831792102037</v>
      </c>
      <c r="DH595" s="408">
        <v>0</v>
      </c>
      <c r="DI595" s="408">
        <v>17.297570842509572</v>
      </c>
      <c r="DJ595" s="408"/>
      <c r="DK595" s="408">
        <v>0</v>
      </c>
      <c r="DL595" s="408">
        <v>0</v>
      </c>
      <c r="DM595" s="408">
        <v>0.87094131927781859</v>
      </c>
      <c r="DN595" s="408">
        <v>0</v>
      </c>
      <c r="DO595" s="408">
        <v>2.3693272382333532</v>
      </c>
      <c r="DP595" s="408">
        <v>0.46274431513091585</v>
      </c>
      <c r="DQ595" s="408">
        <v>0</v>
      </c>
      <c r="DR595" s="408">
        <v>0</v>
      </c>
      <c r="DS595" s="408"/>
      <c r="DT595" s="408"/>
      <c r="DU595" s="408"/>
      <c r="DV595" s="408">
        <v>-3519.4372814184799</v>
      </c>
      <c r="DW595" s="408">
        <v>0</v>
      </c>
      <c r="DX595" s="408">
        <v>0</v>
      </c>
      <c r="DY595" s="408">
        <v>1842.7848100000001</v>
      </c>
      <c r="DZ595" s="408">
        <v>-205.09801000000016</v>
      </c>
      <c r="EA595" s="408">
        <v>0</v>
      </c>
      <c r="EB595" s="408">
        <v>0</v>
      </c>
      <c r="EC595" s="408">
        <v>1863.3554558758187</v>
      </c>
      <c r="ED595" s="408">
        <v>0</v>
      </c>
      <c r="EE595" s="408">
        <v>0</v>
      </c>
      <c r="EF595" s="408">
        <v>0</v>
      </c>
      <c r="EG595" s="408">
        <v>0</v>
      </c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>
        <v>0</v>
      </c>
      <c r="EN595" s="408">
        <v>0</v>
      </c>
      <c r="EO595" s="408">
        <v>0</v>
      </c>
      <c r="EP595" s="408">
        <v>0</v>
      </c>
      <c r="EQ595" s="408">
        <v>0</v>
      </c>
      <c r="ER595" s="408">
        <v>0</v>
      </c>
      <c r="ES595" s="408">
        <v>0</v>
      </c>
      <c r="ET595" s="408">
        <v>0</v>
      </c>
      <c r="EU595" s="408">
        <v>0</v>
      </c>
      <c r="EV595" s="408">
        <v>239</v>
      </c>
      <c r="EW595" s="408">
        <v>0</v>
      </c>
      <c r="EX595" s="408">
        <v>0</v>
      </c>
      <c r="EY595" s="408">
        <v>0</v>
      </c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600</v>
      </c>
      <c r="B596" s="408" t="s">
        <v>2236</v>
      </c>
      <c r="C596" s="408" t="s">
        <v>2233</v>
      </c>
      <c r="D596" s="408" t="s">
        <v>2243</v>
      </c>
      <c r="E596" s="408" t="s">
        <v>972</v>
      </c>
      <c r="F596" s="408" t="s">
        <v>1320</v>
      </c>
      <c r="G596" s="408" t="s">
        <v>1320</v>
      </c>
      <c r="H596" s="408" t="s">
        <v>1320</v>
      </c>
      <c r="I596" s="408" t="s">
        <v>1320</v>
      </c>
      <c r="J596" s="408" t="s">
        <v>2234</v>
      </c>
      <c r="K596" s="827">
        <v>44652</v>
      </c>
      <c r="L596" s="408">
        <v>0</v>
      </c>
      <c r="M596" s="408">
        <v>0</v>
      </c>
      <c r="N596" s="408">
        <v>42.94</v>
      </c>
      <c r="O596" s="408">
        <v>42.94</v>
      </c>
      <c r="P596" s="408">
        <v>42.94</v>
      </c>
      <c r="Q596" s="408">
        <v>42.94</v>
      </c>
      <c r="R596" s="408"/>
      <c r="S596" s="408">
        <v>516.83000000000004</v>
      </c>
      <c r="T596" s="408">
        <v>173.82</v>
      </c>
      <c r="U596" s="408"/>
      <c r="V596" s="408">
        <v>29656.510999999999</v>
      </c>
      <c r="W596" s="408">
        <v>29656.510999999999</v>
      </c>
      <c r="X596" s="408">
        <v>22391.062999999998</v>
      </c>
      <c r="Y596" s="408">
        <v>0</v>
      </c>
      <c r="Z596" s="408">
        <v>2625.7576302495377</v>
      </c>
      <c r="AA596" s="408">
        <v>0</v>
      </c>
      <c r="AB596" s="408">
        <v>0</v>
      </c>
      <c r="AC596" s="408">
        <v>116.72998851140396</v>
      </c>
      <c r="AD596" s="408">
        <v>1478.2786987575139</v>
      </c>
      <c r="AE596" s="408">
        <v>15613.662244458053</v>
      </c>
      <c r="AF596" s="408">
        <v>6909.9965001493902</v>
      </c>
      <c r="AG596" s="408">
        <v>347.63645993534533</v>
      </c>
      <c r="AH596" s="408">
        <v>0</v>
      </c>
      <c r="AI596" s="408">
        <v>0</v>
      </c>
      <c r="AJ596" s="408">
        <v>0</v>
      </c>
      <c r="AK596" s="408">
        <v>0</v>
      </c>
      <c r="AL596" s="408">
        <v>405.84726647817013</v>
      </c>
      <c r="AM596" s="408"/>
      <c r="AN596" s="408">
        <v>66.623212400045688</v>
      </c>
      <c r="AO596" s="408">
        <v>248.98775227607578</v>
      </c>
      <c r="AP596" s="408">
        <v>815.40122266808612</v>
      </c>
      <c r="AQ596" s="408">
        <v>0</v>
      </c>
      <c r="AR596" s="408">
        <v>0</v>
      </c>
      <c r="AS596" s="408">
        <v>0</v>
      </c>
      <c r="AT596" s="408">
        <v>0</v>
      </c>
      <c r="AU596" s="408">
        <v>0</v>
      </c>
      <c r="AV596" s="408">
        <v>0</v>
      </c>
      <c r="AW596" s="408">
        <v>0</v>
      </c>
      <c r="AX596" s="408">
        <v>0</v>
      </c>
      <c r="AY596" s="408">
        <v>0</v>
      </c>
      <c r="AZ596" s="408">
        <v>0</v>
      </c>
      <c r="BA596" s="408"/>
      <c r="BB596" s="408">
        <v>0</v>
      </c>
      <c r="BC596" s="408">
        <v>0</v>
      </c>
      <c r="BD596" s="408">
        <v>0</v>
      </c>
      <c r="BE596" s="408">
        <v>23.823653776217434</v>
      </c>
      <c r="BF596" s="408">
        <v>206.3562572105852</v>
      </c>
      <c r="BG596" s="408">
        <v>797.75319847189633</v>
      </c>
      <c r="BH596" s="408">
        <v>0</v>
      </c>
      <c r="BI596" s="408">
        <v>53.72</v>
      </c>
      <c r="BJ596" s="408">
        <v>254.38</v>
      </c>
      <c r="BK596" s="408">
        <v>2181.8200000000002</v>
      </c>
      <c r="BL596" s="408">
        <v>298</v>
      </c>
      <c r="BM596" s="408"/>
      <c r="BN596" s="408"/>
      <c r="BO596" s="408"/>
      <c r="BP596" s="408"/>
      <c r="BQ596" s="408"/>
      <c r="BR596" s="408">
        <v>2686.7557999999995</v>
      </c>
      <c r="BS596" s="408"/>
      <c r="BT596" s="408"/>
      <c r="BU596" s="408"/>
      <c r="BV596" s="408">
        <v>7937.9296096080889</v>
      </c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>
        <v>19704.307199999999</v>
      </c>
      <c r="CJ596" s="408">
        <v>-6393.3665999999939</v>
      </c>
      <c r="CK596" s="408"/>
      <c r="CL596" s="408"/>
      <c r="CM596" s="408"/>
      <c r="CN596" s="408"/>
      <c r="CO596" s="408">
        <v>-8175.3466000000017</v>
      </c>
      <c r="CP596" s="408">
        <v>909.89859999999987</v>
      </c>
      <c r="CQ596" s="408">
        <v>30</v>
      </c>
      <c r="CR596" s="408">
        <v>1000.7544448615063</v>
      </c>
      <c r="CS596" s="408">
        <v>24.175137711627002</v>
      </c>
      <c r="CT596" s="408">
        <v>79.170307246164271</v>
      </c>
      <c r="CU596" s="408">
        <v>0</v>
      </c>
      <c r="CV596" s="408">
        <v>0</v>
      </c>
      <c r="CW596" s="408">
        <v>0</v>
      </c>
      <c r="CX596" s="408">
        <v>0</v>
      </c>
      <c r="CY596" s="408">
        <v>0</v>
      </c>
      <c r="CZ596" s="408">
        <v>-28.344823185797168</v>
      </c>
      <c r="DA596" s="408">
        <v>0</v>
      </c>
      <c r="DB596" s="408">
        <v>0</v>
      </c>
      <c r="DC596" s="408">
        <v>886.97442043706178</v>
      </c>
      <c r="DD596" s="408">
        <v>26.488106273129972</v>
      </c>
      <c r="DE596" s="408">
        <v>3.0580292624454835</v>
      </c>
      <c r="DF596" s="408">
        <v>0</v>
      </c>
      <c r="DG596" s="408">
        <v>102.40043983395617</v>
      </c>
      <c r="DH596" s="408">
        <v>0</v>
      </c>
      <c r="DI596" s="408">
        <v>-76.739094118954654</v>
      </c>
      <c r="DJ596" s="408"/>
      <c r="DK596" s="408">
        <v>0</v>
      </c>
      <c r="DL596" s="408">
        <v>0</v>
      </c>
      <c r="DM596" s="408">
        <v>-3.863851663373282</v>
      </c>
      <c r="DN596" s="408">
        <v>0</v>
      </c>
      <c r="DO596" s="408">
        <v>-10.511304020016553</v>
      </c>
      <c r="DP596" s="408">
        <v>-2.0529229147351629</v>
      </c>
      <c r="DQ596" s="408">
        <v>0</v>
      </c>
      <c r="DR596" s="408">
        <v>0</v>
      </c>
      <c r="DS596" s="408"/>
      <c r="DT596" s="408"/>
      <c r="DU596" s="408"/>
      <c r="DV596" s="408">
        <v>15613.662244458053</v>
      </c>
      <c r="DW596" s="408">
        <v>0</v>
      </c>
      <c r="DX596" s="408">
        <v>0</v>
      </c>
      <c r="DY596" s="408">
        <v>-8175.3465999999989</v>
      </c>
      <c r="DZ596" s="408">
        <v>909.89859999999862</v>
      </c>
      <c r="EA596" s="408">
        <v>0</v>
      </c>
      <c r="EB596" s="408">
        <v>0</v>
      </c>
      <c r="EC596" s="408">
        <v>-8266.6063927376417</v>
      </c>
      <c r="ED596" s="408">
        <v>0</v>
      </c>
      <c r="EE596" s="408">
        <v>0</v>
      </c>
      <c r="EF596" s="408">
        <v>0</v>
      </c>
      <c r="EG596" s="408">
        <v>0</v>
      </c>
      <c r="EH596" s="408">
        <v>0</v>
      </c>
      <c r="EI596" s="408">
        <v>0</v>
      </c>
      <c r="EJ596" s="408">
        <v>0</v>
      </c>
      <c r="EK596" s="408">
        <v>0</v>
      </c>
      <c r="EL596" s="408">
        <v>0</v>
      </c>
      <c r="EM596" s="408">
        <v>0</v>
      </c>
      <c r="EN596" s="408">
        <v>0</v>
      </c>
      <c r="EO596" s="408">
        <v>0</v>
      </c>
      <c r="EP596" s="408">
        <v>0</v>
      </c>
      <c r="EQ596" s="408">
        <v>0</v>
      </c>
      <c r="ER596" s="408">
        <v>0</v>
      </c>
      <c r="ES596" s="408">
        <v>0</v>
      </c>
      <c r="ET596" s="408">
        <v>0</v>
      </c>
      <c r="EU596" s="408">
        <v>0</v>
      </c>
      <c r="EV596" s="408">
        <v>239</v>
      </c>
      <c r="EW596" s="408">
        <v>0</v>
      </c>
      <c r="EX596" s="408">
        <v>0</v>
      </c>
      <c r="EY596" s="408">
        <v>0</v>
      </c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601</v>
      </c>
      <c r="B597" s="408" t="s">
        <v>2236</v>
      </c>
      <c r="C597" s="408" t="s">
        <v>2233</v>
      </c>
      <c r="D597" s="408" t="s">
        <v>2243</v>
      </c>
      <c r="E597" s="408" t="s">
        <v>972</v>
      </c>
      <c r="F597" s="408" t="s">
        <v>1320</v>
      </c>
      <c r="G597" s="408" t="s">
        <v>1320</v>
      </c>
      <c r="H597" s="408" t="s">
        <v>1320</v>
      </c>
      <c r="I597" s="408" t="s">
        <v>1320</v>
      </c>
      <c r="J597" s="408" t="s">
        <v>2234</v>
      </c>
      <c r="K597" s="827">
        <v>44652</v>
      </c>
      <c r="L597" s="408">
        <v>0</v>
      </c>
      <c r="M597" s="408">
        <v>0</v>
      </c>
      <c r="N597" s="408">
        <v>0.85799999999999998</v>
      </c>
      <c r="O597" s="408">
        <v>0.85799999999999998</v>
      </c>
      <c r="P597" s="408">
        <v>0.85799999999999998</v>
      </c>
      <c r="Q597" s="408">
        <v>0.85799999999999998</v>
      </c>
      <c r="R597" s="408"/>
      <c r="S597" s="408">
        <v>516.83000000000004</v>
      </c>
      <c r="T597" s="408">
        <v>173.82</v>
      </c>
      <c r="U597" s="408"/>
      <c r="V597" s="408">
        <v>592.57770000000005</v>
      </c>
      <c r="W597" s="408">
        <v>592.57770000000005</v>
      </c>
      <c r="X597" s="408">
        <v>447.40409999999997</v>
      </c>
      <c r="Y597" s="408">
        <v>0</v>
      </c>
      <c r="Z597" s="408">
        <v>52.466233040384331</v>
      </c>
      <c r="AA597" s="408">
        <v>0</v>
      </c>
      <c r="AB597" s="408">
        <v>0</v>
      </c>
      <c r="AC597" s="408">
        <v>2.3324250149693664</v>
      </c>
      <c r="AD597" s="408">
        <v>29.538032685932624</v>
      </c>
      <c r="AE597" s="408">
        <v>311.98235225302773</v>
      </c>
      <c r="AF597" s="408">
        <v>138.07119229455466</v>
      </c>
      <c r="AG597" s="408">
        <v>6.9462525063932539</v>
      </c>
      <c r="AH597" s="408">
        <v>0</v>
      </c>
      <c r="AI597" s="408">
        <v>0</v>
      </c>
      <c r="AJ597" s="408">
        <v>0</v>
      </c>
      <c r="AK597" s="408">
        <v>0</v>
      </c>
      <c r="AL597" s="408">
        <v>8.1093841322373077</v>
      </c>
      <c r="AM597" s="408"/>
      <c r="AN597" s="408">
        <v>1.331223014421034</v>
      </c>
      <c r="AO597" s="408">
        <v>4.9751162424982072</v>
      </c>
      <c r="AP597" s="408">
        <v>16.292833000680435</v>
      </c>
      <c r="AQ597" s="408">
        <v>0</v>
      </c>
      <c r="AR597" s="408">
        <v>0</v>
      </c>
      <c r="AS597" s="408">
        <v>0</v>
      </c>
      <c r="AT597" s="408">
        <v>0</v>
      </c>
      <c r="AU597" s="408">
        <v>0</v>
      </c>
      <c r="AV597" s="408">
        <v>0</v>
      </c>
      <c r="AW597" s="408">
        <v>0</v>
      </c>
      <c r="AX597" s="408">
        <v>0</v>
      </c>
      <c r="AY597" s="408">
        <v>0</v>
      </c>
      <c r="AZ597" s="408">
        <v>0</v>
      </c>
      <c r="BA597" s="408"/>
      <c r="BB597" s="408">
        <v>0</v>
      </c>
      <c r="BC597" s="408">
        <v>0</v>
      </c>
      <c r="BD597" s="408">
        <v>0</v>
      </c>
      <c r="BE597" s="408">
        <v>0.47602922543070697</v>
      </c>
      <c r="BF597" s="408">
        <v>4.1232805935417352</v>
      </c>
      <c r="BG597" s="408">
        <v>15.940201310873011</v>
      </c>
      <c r="BH597" s="408">
        <v>0</v>
      </c>
      <c r="BI597" s="408">
        <v>0</v>
      </c>
      <c r="BJ597" s="408">
        <v>0</v>
      </c>
      <c r="BK597" s="408">
        <v>9.0399999999999991</v>
      </c>
      <c r="BL597" s="408">
        <v>1</v>
      </c>
      <c r="BM597" s="408"/>
      <c r="BN597" s="408"/>
      <c r="BO597" s="408"/>
      <c r="BP597" s="408"/>
      <c r="BQ597" s="408"/>
      <c r="BR597" s="408">
        <v>53.685059999999993</v>
      </c>
      <c r="BS597" s="408"/>
      <c r="BT597" s="408"/>
      <c r="BU597" s="408"/>
      <c r="BV597" s="408">
        <v>158.6107034244001</v>
      </c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>
        <v>394.63679999999999</v>
      </c>
      <c r="CJ597" s="408">
        <v>-126.85985999999991</v>
      </c>
      <c r="CK597" s="408"/>
      <c r="CL597" s="408"/>
      <c r="CM597" s="408"/>
      <c r="CN597" s="408"/>
      <c r="CO597" s="408">
        <v>-163.35462000000004</v>
      </c>
      <c r="CP597" s="408">
        <v>18.181019999999997</v>
      </c>
      <c r="CQ597" s="408">
        <v>30</v>
      </c>
      <c r="CR597" s="408">
        <v>19.996444194019034</v>
      </c>
      <c r="CS597" s="408">
        <v>0.48305235576562566</v>
      </c>
      <c r="CT597" s="408">
        <v>1.5819311508432463</v>
      </c>
      <c r="CU597" s="408">
        <v>0</v>
      </c>
      <c r="CV597" s="408">
        <v>0</v>
      </c>
      <c r="CW597" s="408">
        <v>0</v>
      </c>
      <c r="CX597" s="408">
        <v>0</v>
      </c>
      <c r="CY597" s="408">
        <v>0</v>
      </c>
      <c r="CZ597" s="408">
        <v>-0.56636838130912537</v>
      </c>
      <c r="DA597" s="408">
        <v>0</v>
      </c>
      <c r="DB597" s="408">
        <v>0</v>
      </c>
      <c r="DC597" s="408">
        <v>17.722963501047957</v>
      </c>
      <c r="DD597" s="408">
        <v>0.52926863489393394</v>
      </c>
      <c r="DE597" s="408">
        <v>6.1103612183936284E-2</v>
      </c>
      <c r="DF597" s="408">
        <v>0</v>
      </c>
      <c r="DG597" s="408">
        <v>2.0461010101894352</v>
      </c>
      <c r="DH597" s="408">
        <v>0</v>
      </c>
      <c r="DI597" s="408">
        <v>-1.5333521833736086</v>
      </c>
      <c r="DJ597" s="408"/>
      <c r="DK597" s="408">
        <v>0</v>
      </c>
      <c r="DL597" s="408">
        <v>0</v>
      </c>
      <c r="DM597" s="408">
        <v>-7.7205047209461419E-2</v>
      </c>
      <c r="DN597" s="408">
        <v>0</v>
      </c>
      <c r="DO597" s="408">
        <v>-0.2100302480012628</v>
      </c>
      <c r="DP597" s="408">
        <v>-4.1020211011708607E-2</v>
      </c>
      <c r="DQ597" s="408">
        <v>0</v>
      </c>
      <c r="DR597" s="408">
        <v>0</v>
      </c>
      <c r="DS597" s="408"/>
      <c r="DT597" s="408"/>
      <c r="DU597" s="408"/>
      <c r="DV597" s="408">
        <v>311.98235225302773</v>
      </c>
      <c r="DW597" s="408">
        <v>0</v>
      </c>
      <c r="DX597" s="408">
        <v>0</v>
      </c>
      <c r="DY597" s="408">
        <v>-163.35462000000007</v>
      </c>
      <c r="DZ597" s="408">
        <v>18.181020000000018</v>
      </c>
      <c r="EA597" s="408">
        <v>0</v>
      </c>
      <c r="EB597" s="408">
        <v>0</v>
      </c>
      <c r="EC597" s="408">
        <v>-165.17811562573121</v>
      </c>
      <c r="ED597" s="408">
        <v>0</v>
      </c>
      <c r="EE597" s="408">
        <v>0</v>
      </c>
      <c r="EF597" s="408">
        <v>0</v>
      </c>
      <c r="EG597" s="408">
        <v>0</v>
      </c>
      <c r="EH597" s="408">
        <v>0</v>
      </c>
      <c r="EI597" s="408">
        <v>0</v>
      </c>
      <c r="EJ597" s="408">
        <v>0</v>
      </c>
      <c r="EK597" s="408">
        <v>0</v>
      </c>
      <c r="EL597" s="408">
        <v>0</v>
      </c>
      <c r="EM597" s="408">
        <v>0</v>
      </c>
      <c r="EN597" s="408">
        <v>0</v>
      </c>
      <c r="EO597" s="408">
        <v>0</v>
      </c>
      <c r="EP597" s="408">
        <v>0</v>
      </c>
      <c r="EQ597" s="408">
        <v>0</v>
      </c>
      <c r="ER597" s="408">
        <v>0</v>
      </c>
      <c r="ES597" s="408">
        <v>0</v>
      </c>
      <c r="ET597" s="408">
        <v>0</v>
      </c>
      <c r="EU597" s="408">
        <v>0</v>
      </c>
      <c r="EV597" s="408">
        <v>239</v>
      </c>
      <c r="EW597" s="408">
        <v>0</v>
      </c>
      <c r="EX597" s="408">
        <v>0</v>
      </c>
      <c r="EY597" s="408">
        <v>0</v>
      </c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602</v>
      </c>
      <c r="B598" s="408" t="s">
        <v>1034</v>
      </c>
      <c r="C598" s="408" t="s">
        <v>2241</v>
      </c>
      <c r="D598" s="408" t="s">
        <v>596</v>
      </c>
      <c r="E598" s="408" t="s">
        <v>972</v>
      </c>
      <c r="F598" s="408" t="s">
        <v>1320</v>
      </c>
      <c r="G598" s="408" t="s">
        <v>1320</v>
      </c>
      <c r="H598" s="408" t="s">
        <v>1320</v>
      </c>
      <c r="I598" s="408" t="s">
        <v>971</v>
      </c>
      <c r="J598" s="408" t="s">
        <v>2234</v>
      </c>
      <c r="K598" s="827">
        <v>44652</v>
      </c>
      <c r="L598" s="408">
        <v>0</v>
      </c>
      <c r="M598" s="408">
        <v>0</v>
      </c>
      <c r="N598" s="408">
        <v>37.643000000000001</v>
      </c>
      <c r="O598" s="408">
        <v>36.137279999999997</v>
      </c>
      <c r="P598" s="408">
        <v>37.643000000000001</v>
      </c>
      <c r="Q598" s="408">
        <v>36.137279999999997</v>
      </c>
      <c r="R598" s="408"/>
      <c r="S598" s="408">
        <v>1684.16</v>
      </c>
      <c r="T598" s="408">
        <v>173.82</v>
      </c>
      <c r="U598" s="408"/>
      <c r="V598" s="408">
        <v>69939.941139999995</v>
      </c>
      <c r="W598" s="408">
        <v>69939.941139999995</v>
      </c>
      <c r="X598" s="408">
        <v>48012.140780000002</v>
      </c>
      <c r="Y598" s="408">
        <v>0</v>
      </c>
      <c r="Z598" s="408">
        <v>2002.608597896382</v>
      </c>
      <c r="AA598" s="408">
        <v>0</v>
      </c>
      <c r="AB598" s="408">
        <v>0</v>
      </c>
      <c r="AC598" s="408">
        <v>677.55140892001975</v>
      </c>
      <c r="AD598" s="408">
        <v>10336.238132123906</v>
      </c>
      <c r="AE598" s="408">
        <v>43601.602902222759</v>
      </c>
      <c r="AF598" s="408">
        <v>6057.5919481863884</v>
      </c>
      <c r="AG598" s="408">
        <v>304.7526609535679</v>
      </c>
      <c r="AH598" s="408">
        <v>0</v>
      </c>
      <c r="AI598" s="408">
        <v>0</v>
      </c>
      <c r="AJ598" s="408">
        <v>0</v>
      </c>
      <c r="AK598" s="408">
        <v>0</v>
      </c>
      <c r="AL598" s="408">
        <v>355.78268868276103</v>
      </c>
      <c r="AM598" s="408"/>
      <c r="AN598" s="408">
        <v>46.780110448145564</v>
      </c>
      <c r="AO598" s="408">
        <v>1455.1332146292477</v>
      </c>
      <c r="AP598" s="408">
        <v>4678.9748727832048</v>
      </c>
      <c r="AQ598" s="408">
        <v>0</v>
      </c>
      <c r="AR598" s="408">
        <v>0</v>
      </c>
      <c r="AS598" s="408">
        <v>0</v>
      </c>
      <c r="AT598" s="408">
        <v>0</v>
      </c>
      <c r="AU598" s="408">
        <v>0</v>
      </c>
      <c r="AV598" s="408">
        <v>0</v>
      </c>
      <c r="AW598" s="408">
        <v>0</v>
      </c>
      <c r="AX598" s="408">
        <v>0</v>
      </c>
      <c r="AY598" s="408">
        <v>0</v>
      </c>
      <c r="AZ598" s="408">
        <v>0</v>
      </c>
      <c r="BA598" s="408"/>
      <c r="BB598" s="408">
        <v>0</v>
      </c>
      <c r="BC598" s="408">
        <v>0</v>
      </c>
      <c r="BD598" s="408">
        <v>0</v>
      </c>
      <c r="BE598" s="408">
        <v>7.0239438144445527</v>
      </c>
      <c r="BF598" s="408">
        <v>180.90052608705307</v>
      </c>
      <c r="BG598" s="408">
        <v>235.20211032674345</v>
      </c>
      <c r="BH598" s="408">
        <v>0</v>
      </c>
      <c r="BI598" s="408">
        <v>0</v>
      </c>
      <c r="BJ598" s="408">
        <v>0</v>
      </c>
      <c r="BK598" s="408">
        <v>0</v>
      </c>
      <c r="BL598" s="408">
        <v>0</v>
      </c>
      <c r="BM598" s="408"/>
      <c r="BN598" s="408"/>
      <c r="BO598" s="408"/>
      <c r="BP598" s="408"/>
      <c r="BQ598" s="408"/>
      <c r="BR598" s="408">
        <v>1920.4856312000047</v>
      </c>
      <c r="BS598" s="408"/>
      <c r="BT598" s="408"/>
      <c r="BU598" s="408"/>
      <c r="BV598" s="408">
        <v>6480.718528414629</v>
      </c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>
        <v>46095.124400000001</v>
      </c>
      <c r="CJ598" s="408">
        <v>-21047.249094400002</v>
      </c>
      <c r="CK598" s="408"/>
      <c r="CL598" s="408"/>
      <c r="CM598" s="408"/>
      <c r="CN598" s="408"/>
      <c r="CO598" s="408">
        <v>-22725.455530000003</v>
      </c>
      <c r="CP598" s="408">
        <v>797.65516999999988</v>
      </c>
      <c r="CQ598" s="408">
        <v>30</v>
      </c>
      <c r="CR598" s="408">
        <v>1156.6952203204091</v>
      </c>
      <c r="CS598" s="408">
        <v>141.28424201933626</v>
      </c>
      <c r="CT598" s="408">
        <v>454.29889970390468</v>
      </c>
      <c r="CU598" s="408">
        <v>0</v>
      </c>
      <c r="CV598" s="408">
        <v>0</v>
      </c>
      <c r="CW598" s="408">
        <v>0</v>
      </c>
      <c r="CX598" s="408">
        <v>0</v>
      </c>
      <c r="CY598" s="408">
        <v>0</v>
      </c>
      <c r="CZ598" s="408">
        <v>-198.18917942038388</v>
      </c>
      <c r="DA598" s="408">
        <v>0</v>
      </c>
      <c r="DB598" s="408">
        <v>0</v>
      </c>
      <c r="DC598" s="408">
        <v>777.55887537289982</v>
      </c>
      <c r="DD598" s="408">
        <v>23.220581845352399</v>
      </c>
      <c r="DE598" s="408">
        <v>0.90160081757849841</v>
      </c>
      <c r="DF598" s="408">
        <v>0</v>
      </c>
      <c r="DG598" s="408">
        <v>30.190790326466725</v>
      </c>
      <c r="DH598" s="408">
        <v>0</v>
      </c>
      <c r="DI598" s="408">
        <v>-58.527248633681438</v>
      </c>
      <c r="DJ598" s="408"/>
      <c r="DK598" s="408">
        <v>0</v>
      </c>
      <c r="DL598" s="408">
        <v>0</v>
      </c>
      <c r="DM598" s="408">
        <v>-3.387213976813257</v>
      </c>
      <c r="DN598" s="408">
        <v>0</v>
      </c>
      <c r="DO598" s="408">
        <v>-9.2146487476824177</v>
      </c>
      <c r="DP598" s="408">
        <v>-1.4414789865759445</v>
      </c>
      <c r="DQ598" s="408">
        <v>0</v>
      </c>
      <c r="DR598" s="408">
        <v>0</v>
      </c>
      <c r="DS598" s="408"/>
      <c r="DT598" s="408"/>
      <c r="DU598" s="408"/>
      <c r="DV598" s="408">
        <v>43601.602902222759</v>
      </c>
      <c r="DW598" s="408">
        <v>0</v>
      </c>
      <c r="DX598" s="408">
        <v>0</v>
      </c>
      <c r="DY598" s="408">
        <v>-22725.455529999999</v>
      </c>
      <c r="DZ598" s="408">
        <v>797.65517</v>
      </c>
      <c r="EA598" s="408">
        <v>0</v>
      </c>
      <c r="EB598" s="408">
        <v>0</v>
      </c>
      <c r="EC598" s="408">
        <v>-23084.737177087129</v>
      </c>
      <c r="ED598" s="408">
        <v>0</v>
      </c>
      <c r="EE598" s="408">
        <v>0</v>
      </c>
      <c r="EF598" s="408">
        <v>0</v>
      </c>
      <c r="EG598" s="408">
        <v>0</v>
      </c>
      <c r="EH598" s="408">
        <v>0</v>
      </c>
      <c r="EI598" s="408">
        <v>0</v>
      </c>
      <c r="EJ598" s="408">
        <v>0</v>
      </c>
      <c r="EK598" s="408">
        <v>0</v>
      </c>
      <c r="EL598" s="408">
        <v>0</v>
      </c>
      <c r="EM598" s="408">
        <v>0</v>
      </c>
      <c r="EN598" s="408">
        <v>0</v>
      </c>
      <c r="EO598" s="408">
        <v>0</v>
      </c>
      <c r="EP598" s="408">
        <v>0</v>
      </c>
      <c r="EQ598" s="408">
        <v>0</v>
      </c>
      <c r="ER598" s="408">
        <v>0</v>
      </c>
      <c r="ES598" s="408">
        <v>0</v>
      </c>
      <c r="ET598" s="408">
        <v>0</v>
      </c>
      <c r="EU598" s="408">
        <v>0</v>
      </c>
      <c r="EV598" s="408">
        <v>239</v>
      </c>
      <c r="EW598" s="408">
        <v>0</v>
      </c>
      <c r="EX598" s="408">
        <v>0</v>
      </c>
      <c r="EY598" s="408">
        <v>0</v>
      </c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408">
        <v>603</v>
      </c>
      <c r="B599" s="408" t="s">
        <v>2236</v>
      </c>
      <c r="C599" s="408" t="s">
        <v>2241</v>
      </c>
      <c r="D599" s="408" t="s">
        <v>596</v>
      </c>
      <c r="E599" s="408" t="s">
        <v>972</v>
      </c>
      <c r="F599" s="408" t="s">
        <v>1320</v>
      </c>
      <c r="G599" s="408" t="s">
        <v>1320</v>
      </c>
      <c r="H599" s="408" t="s">
        <v>1320</v>
      </c>
      <c r="I599" s="408" t="s">
        <v>971</v>
      </c>
      <c r="J599" s="408" t="s">
        <v>2234</v>
      </c>
      <c r="K599" s="827">
        <v>44652</v>
      </c>
      <c r="L599" s="408">
        <v>0</v>
      </c>
      <c r="M599" s="408">
        <v>0</v>
      </c>
      <c r="N599" s="408">
        <v>4.8929999999999998</v>
      </c>
      <c r="O599" s="408">
        <v>4.6972800000000001</v>
      </c>
      <c r="P599" s="408">
        <v>4.8929999999999998</v>
      </c>
      <c r="Q599" s="408">
        <v>4.6972800000000001</v>
      </c>
      <c r="R599" s="408"/>
      <c r="S599" s="408">
        <v>1684.16</v>
      </c>
      <c r="T599" s="408">
        <v>173.82</v>
      </c>
      <c r="U599" s="408"/>
      <c r="V599" s="408">
        <v>9091.0961399999997</v>
      </c>
      <c r="W599" s="408">
        <v>9091.0961399999997</v>
      </c>
      <c r="X599" s="408">
        <v>6240.8257800000001</v>
      </c>
      <c r="Y599" s="408">
        <v>0</v>
      </c>
      <c r="Z599" s="408">
        <v>260.30772971088908</v>
      </c>
      <c r="AA599" s="408">
        <v>0</v>
      </c>
      <c r="AB599" s="408">
        <v>0</v>
      </c>
      <c r="AC599" s="408">
        <v>88.071063513685317</v>
      </c>
      <c r="AD599" s="408">
        <v>1343.5489514778915</v>
      </c>
      <c r="AE599" s="408">
        <v>5667.5249847402156</v>
      </c>
      <c r="AF599" s="408">
        <v>787.39200920426094</v>
      </c>
      <c r="AG599" s="408">
        <v>39.613069363382508</v>
      </c>
      <c r="AH599" s="408">
        <v>0</v>
      </c>
      <c r="AI599" s="408">
        <v>0</v>
      </c>
      <c r="AJ599" s="408">
        <v>0</v>
      </c>
      <c r="AK599" s="408">
        <v>0</v>
      </c>
      <c r="AL599" s="408">
        <v>46.246173145730936</v>
      </c>
      <c r="AM599" s="408"/>
      <c r="AN599" s="408">
        <v>6.0806811471661728</v>
      </c>
      <c r="AO599" s="408">
        <v>189.14451077706104</v>
      </c>
      <c r="AP599" s="408">
        <v>608.19339724592135</v>
      </c>
      <c r="AQ599" s="408">
        <v>0</v>
      </c>
      <c r="AR599" s="408">
        <v>0</v>
      </c>
      <c r="AS599" s="408">
        <v>0</v>
      </c>
      <c r="AT599" s="408">
        <v>0</v>
      </c>
      <c r="AU599" s="408">
        <v>0</v>
      </c>
      <c r="AV599" s="408">
        <v>0</v>
      </c>
      <c r="AW599" s="408">
        <v>0</v>
      </c>
      <c r="AX599" s="408">
        <v>0</v>
      </c>
      <c r="AY599" s="408">
        <v>0</v>
      </c>
      <c r="AZ599" s="408">
        <v>0</v>
      </c>
      <c r="BA599" s="408"/>
      <c r="BB599" s="408">
        <v>0</v>
      </c>
      <c r="BC599" s="408">
        <v>0</v>
      </c>
      <c r="BD599" s="408">
        <v>0</v>
      </c>
      <c r="BE599" s="408">
        <v>0.91300260563922087</v>
      </c>
      <c r="BF599" s="408">
        <v>23.514233035197794</v>
      </c>
      <c r="BG599" s="408">
        <v>30.572587886957884</v>
      </c>
      <c r="BH599" s="408">
        <v>0</v>
      </c>
      <c r="BI599" s="408">
        <v>0</v>
      </c>
      <c r="BJ599" s="408">
        <v>0</v>
      </c>
      <c r="BK599" s="408">
        <v>0</v>
      </c>
      <c r="BL599" s="408">
        <v>0</v>
      </c>
      <c r="BM599" s="408"/>
      <c r="BN599" s="408"/>
      <c r="BO599" s="408"/>
      <c r="BP599" s="408"/>
      <c r="BQ599" s="408"/>
      <c r="BR599" s="408">
        <v>249.63303119999961</v>
      </c>
      <c r="BS599" s="408"/>
      <c r="BT599" s="408"/>
      <c r="BU599" s="408"/>
      <c r="BV599" s="408">
        <v>842.39183273205583</v>
      </c>
      <c r="BW599" s="408"/>
      <c r="BX599" s="408"/>
      <c r="BY599" s="408"/>
      <c r="BZ599" s="408"/>
      <c r="CA599" s="408"/>
      <c r="CB599" s="408"/>
      <c r="CC599" s="408"/>
      <c r="CD599" s="408"/>
      <c r="CE599" s="408"/>
      <c r="CF599" s="408"/>
      <c r="CG599" s="408"/>
      <c r="CH599" s="408"/>
      <c r="CI599" s="408">
        <v>5994.6620000000003</v>
      </c>
      <c r="CJ599" s="408">
        <v>-2732.8202944000004</v>
      </c>
      <c r="CK599" s="408"/>
      <c r="CL599" s="408"/>
      <c r="CM599" s="408"/>
      <c r="CN599" s="408"/>
      <c r="CO599" s="408">
        <v>-2953.9530300000001</v>
      </c>
      <c r="CP599" s="408">
        <v>103.68266999999999</v>
      </c>
      <c r="CQ599" s="408">
        <v>30</v>
      </c>
      <c r="CR599" s="408">
        <v>150.35224910415491</v>
      </c>
      <c r="CS599" s="408">
        <v>18.364737034790323</v>
      </c>
      <c r="CT599" s="408">
        <v>59.051736478261773</v>
      </c>
      <c r="CU599" s="408">
        <v>0</v>
      </c>
      <c r="CV599" s="408">
        <v>0</v>
      </c>
      <c r="CW599" s="408">
        <v>0</v>
      </c>
      <c r="CX599" s="408">
        <v>0</v>
      </c>
      <c r="CY599" s="408">
        <v>0</v>
      </c>
      <c r="CZ599" s="408">
        <v>-25.76148699370242</v>
      </c>
      <c r="DA599" s="408">
        <v>0</v>
      </c>
      <c r="DB599" s="408">
        <v>0</v>
      </c>
      <c r="DC599" s="408">
        <v>101.0704666790532</v>
      </c>
      <c r="DD599" s="408">
        <v>3.018311690601422</v>
      </c>
      <c r="DE599" s="408">
        <v>0.1171939749863613</v>
      </c>
      <c r="DF599" s="408">
        <v>0</v>
      </c>
      <c r="DG599" s="408">
        <v>3.9243295451319469</v>
      </c>
      <c r="DH599" s="408">
        <v>0</v>
      </c>
      <c r="DI599" s="408">
        <v>-7.6076249917542498</v>
      </c>
      <c r="DJ599" s="408"/>
      <c r="DK599" s="408">
        <v>0</v>
      </c>
      <c r="DL599" s="408">
        <v>0</v>
      </c>
      <c r="DM599" s="408">
        <v>-0.44028472726794377</v>
      </c>
      <c r="DN599" s="408">
        <v>0</v>
      </c>
      <c r="DO599" s="408">
        <v>-1.1977599108044004</v>
      </c>
      <c r="DP599" s="408">
        <v>-0.1873696751405598</v>
      </c>
      <c r="DQ599" s="408">
        <v>0</v>
      </c>
      <c r="DR599" s="408">
        <v>0</v>
      </c>
      <c r="DS599" s="408"/>
      <c r="DT599" s="408"/>
      <c r="DU599" s="408"/>
      <c r="DV599" s="408">
        <v>5667.5249847402156</v>
      </c>
      <c r="DW599" s="408">
        <v>0</v>
      </c>
      <c r="DX599" s="408">
        <v>0</v>
      </c>
      <c r="DY599" s="408">
        <v>-2953.9530300000006</v>
      </c>
      <c r="DZ599" s="408">
        <v>103.68267000000003</v>
      </c>
      <c r="EA599" s="408">
        <v>0</v>
      </c>
      <c r="EB599" s="408">
        <v>0</v>
      </c>
      <c r="EC599" s="408">
        <v>-3000.6540128971469</v>
      </c>
      <c r="ED599" s="408">
        <v>0</v>
      </c>
      <c r="EE599" s="408">
        <v>0</v>
      </c>
      <c r="EF599" s="408">
        <v>0</v>
      </c>
      <c r="EG599" s="408">
        <v>0</v>
      </c>
      <c r="EH599" s="408">
        <v>0</v>
      </c>
      <c r="EI599" s="408">
        <v>0</v>
      </c>
      <c r="EJ599" s="408">
        <v>0</v>
      </c>
      <c r="EK599" s="408">
        <v>0</v>
      </c>
      <c r="EL599" s="408">
        <v>0</v>
      </c>
      <c r="EM599" s="408">
        <v>0</v>
      </c>
      <c r="EN599" s="408">
        <v>0</v>
      </c>
      <c r="EO599" s="408">
        <v>0</v>
      </c>
      <c r="EP599" s="408">
        <v>0</v>
      </c>
      <c r="EQ599" s="408">
        <v>0</v>
      </c>
      <c r="ER599" s="408">
        <v>0</v>
      </c>
      <c r="ES599" s="408">
        <v>0</v>
      </c>
      <c r="ET599" s="408">
        <v>0</v>
      </c>
      <c r="EU599" s="408">
        <v>0</v>
      </c>
      <c r="EV599" s="408">
        <v>239</v>
      </c>
      <c r="EW599" s="408">
        <v>0</v>
      </c>
      <c r="EX599" s="408">
        <v>0</v>
      </c>
      <c r="EY599" s="408">
        <v>0</v>
      </c>
      <c r="EZ599" s="408"/>
      <c r="FA599" s="408">
        <v>0</v>
      </c>
      <c r="FB599" s="408"/>
      <c r="FC599" s="408"/>
      <c r="FD599" s="408"/>
      <c r="FE599" s="408"/>
      <c r="FF599" s="408">
        <v>0</v>
      </c>
      <c r="FG599" s="408">
        <v>0</v>
      </c>
      <c r="FH599" s="408">
        <v>0</v>
      </c>
      <c r="FI599" s="408">
        <v>0</v>
      </c>
    </row>
    <row r="600" spans="1:165">
      <c r="A600" s="408">
        <v>604</v>
      </c>
      <c r="B600" s="408" t="s">
        <v>1034</v>
      </c>
      <c r="C600" s="408" t="s">
        <v>2241</v>
      </c>
      <c r="D600" s="408" t="s">
        <v>596</v>
      </c>
      <c r="E600" s="408" t="s">
        <v>972</v>
      </c>
      <c r="F600" s="408" t="s">
        <v>1320</v>
      </c>
      <c r="G600" s="408" t="s">
        <v>1320</v>
      </c>
      <c r="H600" s="408" t="s">
        <v>1320</v>
      </c>
      <c r="I600" s="408" t="s">
        <v>2242</v>
      </c>
      <c r="J600" s="408" t="s">
        <v>2234</v>
      </c>
      <c r="K600" s="827">
        <v>44652</v>
      </c>
      <c r="L600" s="408">
        <v>0</v>
      </c>
      <c r="M600" s="408">
        <v>0</v>
      </c>
      <c r="N600" s="408">
        <v>428.10899999999998</v>
      </c>
      <c r="O600" s="408">
        <v>410.98464000000001</v>
      </c>
      <c r="P600" s="408">
        <v>428.10899999999998</v>
      </c>
      <c r="Q600" s="408">
        <v>410.98464000000001</v>
      </c>
      <c r="R600" s="408"/>
      <c r="S600" s="408">
        <v>70.33</v>
      </c>
      <c r="T600" s="408">
        <v>173.82</v>
      </c>
      <c r="U600" s="408"/>
      <c r="V600" s="408">
        <v>104522.81234999999</v>
      </c>
      <c r="W600" s="408">
        <v>104522.81234999999</v>
      </c>
      <c r="X600" s="408">
        <v>113162.05196999999</v>
      </c>
      <c r="Y600" s="408">
        <v>0</v>
      </c>
      <c r="Z600" s="408">
        <v>22775.41014894727</v>
      </c>
      <c r="AA600" s="408">
        <v>0</v>
      </c>
      <c r="AB600" s="408">
        <v>0</v>
      </c>
      <c r="AC600" s="408">
        <v>0</v>
      </c>
      <c r="AD600" s="408">
        <v>0</v>
      </c>
      <c r="AE600" s="408">
        <v>0</v>
      </c>
      <c r="AF600" s="408">
        <v>68892.214524509895</v>
      </c>
      <c r="AG600" s="408">
        <v>3465.9128371322954</v>
      </c>
      <c r="AH600" s="408">
        <v>0</v>
      </c>
      <c r="AI600" s="408">
        <v>0</v>
      </c>
      <c r="AJ600" s="408">
        <v>0</v>
      </c>
      <c r="AK600" s="408">
        <v>0</v>
      </c>
      <c r="AL600" s="408">
        <v>4046.270782596715</v>
      </c>
      <c r="AM600" s="408"/>
      <c r="AN600" s="408">
        <v>532.02418255306827</v>
      </c>
      <c r="AO600" s="408">
        <v>0</v>
      </c>
      <c r="AP600" s="408">
        <v>0</v>
      </c>
      <c r="AQ600" s="408">
        <v>0</v>
      </c>
      <c r="AR600" s="408">
        <v>0</v>
      </c>
      <c r="AS600" s="408">
        <v>0</v>
      </c>
      <c r="AT600" s="408">
        <v>0</v>
      </c>
      <c r="AU600" s="408">
        <v>0</v>
      </c>
      <c r="AV600" s="408">
        <v>0</v>
      </c>
      <c r="AW600" s="408">
        <v>0</v>
      </c>
      <c r="AX600" s="408">
        <v>0</v>
      </c>
      <c r="AY600" s="408">
        <v>0</v>
      </c>
      <c r="AZ600" s="408">
        <v>0</v>
      </c>
      <c r="BA600" s="408"/>
      <c r="BB600" s="408">
        <v>0</v>
      </c>
      <c r="BC600" s="408">
        <v>0</v>
      </c>
      <c r="BD600" s="408">
        <v>0</v>
      </c>
      <c r="BE600" s="408">
        <v>79.882410075127979</v>
      </c>
      <c r="BF600" s="408">
        <v>2057.3584284621893</v>
      </c>
      <c r="BG600" s="408">
        <v>2674.9233655625694</v>
      </c>
      <c r="BH600" s="408">
        <v>0</v>
      </c>
      <c r="BI600" s="408">
        <v>0</v>
      </c>
      <c r="BJ600" s="408">
        <v>0</v>
      </c>
      <c r="BK600" s="408">
        <v>0</v>
      </c>
      <c r="BL600" s="408">
        <v>0</v>
      </c>
      <c r="BM600" s="408"/>
      <c r="BN600" s="408"/>
      <c r="BO600" s="408"/>
      <c r="BP600" s="408"/>
      <c r="BQ600" s="408"/>
      <c r="BR600" s="408">
        <v>4526.4820787999906</v>
      </c>
      <c r="BS600" s="408"/>
      <c r="BT600" s="408"/>
      <c r="BU600" s="408"/>
      <c r="BV600" s="408">
        <v>73704.37872860978</v>
      </c>
      <c r="BW600" s="408"/>
      <c r="BX600" s="408"/>
      <c r="BY600" s="408"/>
      <c r="BZ600" s="408"/>
      <c r="CA600" s="408"/>
      <c r="CB600" s="408"/>
      <c r="CC600" s="408"/>
      <c r="CD600" s="408"/>
      <c r="CE600" s="408"/>
      <c r="CF600" s="408"/>
      <c r="CG600" s="408"/>
      <c r="CH600" s="408"/>
      <c r="CI600" s="408">
        <v>108634.3434</v>
      </c>
      <c r="CJ600" s="408">
        <v>8292.41354400001</v>
      </c>
      <c r="CK600" s="408"/>
      <c r="CL600" s="408"/>
      <c r="CM600" s="408"/>
      <c r="CN600" s="408"/>
      <c r="CO600" s="408">
        <v>-432.39009000000215</v>
      </c>
      <c r="CP600" s="408">
        <v>9071.6297099999992</v>
      </c>
      <c r="CQ600" s="408">
        <v>30</v>
      </c>
      <c r="CR600" s="408">
        <v>8635.4355994111247</v>
      </c>
      <c r="CS600" s="408">
        <v>0</v>
      </c>
      <c r="CT600" s="408">
        <v>0</v>
      </c>
      <c r="CU600" s="408">
        <v>0</v>
      </c>
      <c r="CV600" s="408">
        <v>0</v>
      </c>
      <c r="CW600" s="408">
        <v>0</v>
      </c>
      <c r="CX600" s="408">
        <v>0</v>
      </c>
      <c r="CY600" s="408">
        <v>0</v>
      </c>
      <c r="CZ600" s="408">
        <v>0</v>
      </c>
      <c r="DA600" s="408">
        <v>0</v>
      </c>
      <c r="DB600" s="408">
        <v>0</v>
      </c>
      <c r="DC600" s="408">
        <v>8843.0771345805842</v>
      </c>
      <c r="DD600" s="408">
        <v>264.0846923261156</v>
      </c>
      <c r="DE600" s="408">
        <v>10.253790197718402</v>
      </c>
      <c r="DF600" s="408">
        <v>0</v>
      </c>
      <c r="DG600" s="408">
        <v>343.3559773629454</v>
      </c>
      <c r="DH600" s="408">
        <v>0</v>
      </c>
      <c r="DI600" s="408">
        <v>-665.62287504494088</v>
      </c>
      <c r="DJ600" s="408"/>
      <c r="DK600" s="408">
        <v>0</v>
      </c>
      <c r="DL600" s="408">
        <v>0</v>
      </c>
      <c r="DM600" s="408">
        <v>-38.522349132628733</v>
      </c>
      <c r="DN600" s="408">
        <v>0</v>
      </c>
      <c r="DO600" s="408">
        <v>-104.79701566616814</v>
      </c>
      <c r="DP600" s="408">
        <v>-16.393755212497467</v>
      </c>
      <c r="DQ600" s="408">
        <v>0</v>
      </c>
      <c r="DR600" s="408">
        <v>0</v>
      </c>
      <c r="DS600" s="408"/>
      <c r="DT600" s="408"/>
      <c r="DU600" s="408"/>
      <c r="DV600" s="408">
        <v>0</v>
      </c>
      <c r="DW600" s="408">
        <v>0</v>
      </c>
      <c r="DX600" s="408">
        <v>0</v>
      </c>
      <c r="DY600" s="408">
        <v>-432.39009000000078</v>
      </c>
      <c r="DZ600" s="408">
        <v>9071.6297099999938</v>
      </c>
      <c r="EA600" s="408">
        <v>0</v>
      </c>
      <c r="EB600" s="408">
        <v>0</v>
      </c>
      <c r="EC600" s="408">
        <v>0</v>
      </c>
      <c r="ED600" s="408">
        <v>0</v>
      </c>
      <c r="EE600" s="408">
        <v>0</v>
      </c>
      <c r="EF600" s="408">
        <v>0</v>
      </c>
      <c r="EG600" s="408">
        <v>0</v>
      </c>
      <c r="EH600" s="408">
        <v>0</v>
      </c>
      <c r="EI600" s="408">
        <v>0</v>
      </c>
      <c r="EJ600" s="408">
        <v>0</v>
      </c>
      <c r="EK600" s="408">
        <v>0</v>
      </c>
      <c r="EL600" s="408">
        <v>0</v>
      </c>
      <c r="EM600" s="408">
        <v>0</v>
      </c>
      <c r="EN600" s="408">
        <v>0</v>
      </c>
      <c r="EO600" s="408">
        <v>0</v>
      </c>
      <c r="EP600" s="408">
        <v>0</v>
      </c>
      <c r="EQ600" s="408">
        <v>0</v>
      </c>
      <c r="ER600" s="408">
        <v>0</v>
      </c>
      <c r="ES600" s="408">
        <v>0</v>
      </c>
      <c r="ET600" s="408">
        <v>0</v>
      </c>
      <c r="EU600" s="408">
        <v>0</v>
      </c>
      <c r="EV600" s="408">
        <v>239</v>
      </c>
      <c r="EW600" s="408">
        <v>0</v>
      </c>
      <c r="EX600" s="408">
        <v>0</v>
      </c>
      <c r="EY600" s="408">
        <v>0</v>
      </c>
      <c r="EZ600" s="408"/>
      <c r="FA600" s="408">
        <v>0</v>
      </c>
      <c r="FB600" s="408"/>
      <c r="FC600" s="408"/>
      <c r="FD600" s="408"/>
      <c r="FE600" s="408"/>
      <c r="FF600" s="408">
        <v>0</v>
      </c>
      <c r="FG600" s="408">
        <v>0</v>
      </c>
      <c r="FH600" s="408">
        <v>0</v>
      </c>
      <c r="FI600" s="408">
        <v>0</v>
      </c>
    </row>
    <row r="601" spans="1:165">
      <c r="A601" s="408">
        <v>605</v>
      </c>
      <c r="B601" s="408" t="s">
        <v>2236</v>
      </c>
      <c r="C601" s="408" t="s">
        <v>2241</v>
      </c>
      <c r="D601" s="408" t="s">
        <v>596</v>
      </c>
      <c r="E601" s="408" t="s">
        <v>972</v>
      </c>
      <c r="F601" s="408" t="s">
        <v>1320</v>
      </c>
      <c r="G601" s="408" t="s">
        <v>1320</v>
      </c>
      <c r="H601" s="408" t="s">
        <v>1320</v>
      </c>
      <c r="I601" s="408" t="s">
        <v>2242</v>
      </c>
      <c r="J601" s="408" t="s">
        <v>2234</v>
      </c>
      <c r="K601" s="827">
        <v>44652</v>
      </c>
      <c r="L601" s="408">
        <v>0</v>
      </c>
      <c r="M601" s="408">
        <v>0</v>
      </c>
      <c r="N601" s="408">
        <v>30.687000000000001</v>
      </c>
      <c r="O601" s="408">
        <v>29.459520000000001</v>
      </c>
      <c r="P601" s="408">
        <v>30.687000000000001</v>
      </c>
      <c r="Q601" s="408">
        <v>29.459520000000001</v>
      </c>
      <c r="R601" s="408"/>
      <c r="S601" s="408">
        <v>70.33</v>
      </c>
      <c r="T601" s="408">
        <v>173.82</v>
      </c>
      <c r="U601" s="408"/>
      <c r="V601" s="408">
        <v>7492.2310500000003</v>
      </c>
      <c r="W601" s="408">
        <v>7492.2310500000003</v>
      </c>
      <c r="X601" s="408">
        <v>8111.494709999999</v>
      </c>
      <c r="Y601" s="408">
        <v>0</v>
      </c>
      <c r="Z601" s="408">
        <v>1632.5492134964343</v>
      </c>
      <c r="AA601" s="408">
        <v>0</v>
      </c>
      <c r="AB601" s="408">
        <v>0</v>
      </c>
      <c r="AC601" s="408">
        <v>0</v>
      </c>
      <c r="AD601" s="408">
        <v>0</v>
      </c>
      <c r="AE601" s="408">
        <v>0</v>
      </c>
      <c r="AF601" s="408">
        <v>4938.2175733601389</v>
      </c>
      <c r="AG601" s="408">
        <v>248.43782128635172</v>
      </c>
      <c r="AH601" s="408">
        <v>0</v>
      </c>
      <c r="AI601" s="408">
        <v>0</v>
      </c>
      <c r="AJ601" s="408">
        <v>0</v>
      </c>
      <c r="AK601" s="408">
        <v>0</v>
      </c>
      <c r="AL601" s="408">
        <v>290.0380779323616</v>
      </c>
      <c r="AM601" s="408"/>
      <c r="AN601" s="408">
        <v>38.135675937684113</v>
      </c>
      <c r="AO601" s="408">
        <v>0</v>
      </c>
      <c r="AP601" s="408">
        <v>0</v>
      </c>
      <c r="AQ601" s="408">
        <v>0</v>
      </c>
      <c r="AR601" s="408">
        <v>0</v>
      </c>
      <c r="AS601" s="408">
        <v>0</v>
      </c>
      <c r="AT601" s="408">
        <v>0</v>
      </c>
      <c r="AU601" s="408">
        <v>0</v>
      </c>
      <c r="AV601" s="408">
        <v>0</v>
      </c>
      <c r="AW601" s="408">
        <v>0</v>
      </c>
      <c r="AX601" s="408">
        <v>0</v>
      </c>
      <c r="AY601" s="408">
        <v>0</v>
      </c>
      <c r="AZ601" s="408">
        <v>0</v>
      </c>
      <c r="BA601" s="408"/>
      <c r="BB601" s="408">
        <v>0</v>
      </c>
      <c r="BC601" s="408">
        <v>0</v>
      </c>
      <c r="BD601" s="408">
        <v>0</v>
      </c>
      <c r="BE601" s="408">
        <v>5.7259985610567696</v>
      </c>
      <c r="BF601" s="408">
        <v>147.47215801167275</v>
      </c>
      <c r="BG601" s="408">
        <v>191.73942458350228</v>
      </c>
      <c r="BH601" s="408">
        <v>0</v>
      </c>
      <c r="BI601" s="408">
        <v>0</v>
      </c>
      <c r="BJ601" s="408">
        <v>0</v>
      </c>
      <c r="BK601" s="408">
        <v>0</v>
      </c>
      <c r="BL601" s="408">
        <v>0</v>
      </c>
      <c r="BM601" s="408"/>
      <c r="BN601" s="408"/>
      <c r="BO601" s="408"/>
      <c r="BP601" s="408"/>
      <c r="BQ601" s="408"/>
      <c r="BR601" s="408">
        <v>324.45978839999998</v>
      </c>
      <c r="BS601" s="408"/>
      <c r="BT601" s="408"/>
      <c r="BU601" s="408"/>
      <c r="BV601" s="408">
        <v>5283.1551545163711</v>
      </c>
      <c r="BW601" s="408"/>
      <c r="BX601" s="408"/>
      <c r="BY601" s="408"/>
      <c r="BZ601" s="408"/>
      <c r="CA601" s="408"/>
      <c r="CB601" s="408"/>
      <c r="CC601" s="408"/>
      <c r="CD601" s="408"/>
      <c r="CE601" s="408"/>
      <c r="CF601" s="408"/>
      <c r="CG601" s="408"/>
      <c r="CH601" s="408"/>
      <c r="CI601" s="408">
        <v>7787.1617999999999</v>
      </c>
      <c r="CJ601" s="408">
        <v>594.58999199999926</v>
      </c>
      <c r="CK601" s="408"/>
      <c r="CL601" s="408"/>
      <c r="CM601" s="408"/>
      <c r="CN601" s="408"/>
      <c r="CO601" s="408">
        <v>-30.993870000000157</v>
      </c>
      <c r="CP601" s="408">
        <v>650.25752999999997</v>
      </c>
      <c r="CQ601" s="408">
        <v>30</v>
      </c>
      <c r="CR601" s="408">
        <v>618.99098649906682</v>
      </c>
      <c r="CS601" s="408">
        <v>0</v>
      </c>
      <c r="CT601" s="408">
        <v>0</v>
      </c>
      <c r="CU601" s="408">
        <v>0</v>
      </c>
      <c r="CV601" s="408">
        <v>0</v>
      </c>
      <c r="CW601" s="408">
        <v>0</v>
      </c>
      <c r="CX601" s="408">
        <v>0</v>
      </c>
      <c r="CY601" s="408">
        <v>0</v>
      </c>
      <c r="CZ601" s="408">
        <v>0</v>
      </c>
      <c r="DA601" s="408">
        <v>0</v>
      </c>
      <c r="DB601" s="408">
        <v>0</v>
      </c>
      <c r="DC601" s="408">
        <v>633.874802979788</v>
      </c>
      <c r="DD601" s="408">
        <v>18.929681350804373</v>
      </c>
      <c r="DE601" s="408">
        <v>0.73499519934732671</v>
      </c>
      <c r="DF601" s="408">
        <v>0</v>
      </c>
      <c r="DG601" s="408">
        <v>24.611874259444903</v>
      </c>
      <c r="DH601" s="408">
        <v>0</v>
      </c>
      <c r="DI601" s="408">
        <v>-47.712076051903068</v>
      </c>
      <c r="DJ601" s="408"/>
      <c r="DK601" s="408">
        <v>0</v>
      </c>
      <c r="DL601" s="408">
        <v>0</v>
      </c>
      <c r="DM601" s="408">
        <v>-2.7612952024670676</v>
      </c>
      <c r="DN601" s="408">
        <v>0</v>
      </c>
      <c r="DO601" s="408">
        <v>-7.5118860377793908</v>
      </c>
      <c r="DP601" s="408">
        <v>-1.1751099981684803</v>
      </c>
      <c r="DQ601" s="408">
        <v>0</v>
      </c>
      <c r="DR601" s="408">
        <v>0</v>
      </c>
      <c r="DS601" s="408"/>
      <c r="DT601" s="408"/>
      <c r="DU601" s="408"/>
      <c r="DV601" s="408">
        <v>0</v>
      </c>
      <c r="DW601" s="408">
        <v>0</v>
      </c>
      <c r="DX601" s="408">
        <v>0</v>
      </c>
      <c r="DY601" s="408">
        <v>-30.993870000000243</v>
      </c>
      <c r="DZ601" s="408">
        <v>650.25752999999986</v>
      </c>
      <c r="EA601" s="408">
        <v>0</v>
      </c>
      <c r="EB601" s="408">
        <v>0</v>
      </c>
      <c r="EC601" s="408">
        <v>0</v>
      </c>
      <c r="ED601" s="408">
        <v>0</v>
      </c>
      <c r="EE601" s="408">
        <v>0</v>
      </c>
      <c r="EF601" s="408">
        <v>0</v>
      </c>
      <c r="EG601" s="408">
        <v>0</v>
      </c>
      <c r="EH601" s="408">
        <v>0</v>
      </c>
      <c r="EI601" s="408">
        <v>0</v>
      </c>
      <c r="EJ601" s="408">
        <v>0</v>
      </c>
      <c r="EK601" s="408">
        <v>0</v>
      </c>
      <c r="EL601" s="408">
        <v>0</v>
      </c>
      <c r="EM601" s="408">
        <v>0</v>
      </c>
      <c r="EN601" s="408">
        <v>0</v>
      </c>
      <c r="EO601" s="408">
        <v>0</v>
      </c>
      <c r="EP601" s="408">
        <v>0</v>
      </c>
      <c r="EQ601" s="408">
        <v>0</v>
      </c>
      <c r="ER601" s="408">
        <v>0</v>
      </c>
      <c r="ES601" s="408">
        <v>0</v>
      </c>
      <c r="ET601" s="408">
        <v>0</v>
      </c>
      <c r="EU601" s="408">
        <v>0</v>
      </c>
      <c r="EV601" s="408">
        <v>239</v>
      </c>
      <c r="EW601" s="408">
        <v>0</v>
      </c>
      <c r="EX601" s="408">
        <v>0</v>
      </c>
      <c r="EY601" s="408">
        <v>0</v>
      </c>
      <c r="EZ601" s="408"/>
      <c r="FA601" s="408">
        <v>0</v>
      </c>
      <c r="FB601" s="408"/>
      <c r="FC601" s="408"/>
      <c r="FD601" s="408"/>
      <c r="FE601" s="408"/>
      <c r="FF601" s="408">
        <v>0</v>
      </c>
      <c r="FG601" s="408">
        <v>0</v>
      </c>
      <c r="FH601" s="408">
        <v>0</v>
      </c>
      <c r="FI601" s="408">
        <v>0</v>
      </c>
    </row>
    <row r="602" spans="1:165">
      <c r="A602" s="408">
        <v>606</v>
      </c>
      <c r="B602" s="408" t="s">
        <v>1034</v>
      </c>
      <c r="C602" s="408" t="s">
        <v>2241</v>
      </c>
      <c r="D602" s="408" t="s">
        <v>596</v>
      </c>
      <c r="E602" s="408" t="s">
        <v>972</v>
      </c>
      <c r="F602" s="408" t="s">
        <v>1320</v>
      </c>
      <c r="G602" s="408" t="s">
        <v>1320</v>
      </c>
      <c r="H602" s="408" t="s">
        <v>1320</v>
      </c>
      <c r="I602" s="408" t="s">
        <v>1320</v>
      </c>
      <c r="J602" s="408" t="s">
        <v>2234</v>
      </c>
      <c r="K602" s="827">
        <v>44652</v>
      </c>
      <c r="L602" s="408">
        <v>2008</v>
      </c>
      <c r="M602" s="408">
        <v>1927.68</v>
      </c>
      <c r="N602" s="408">
        <v>0</v>
      </c>
      <c r="O602" s="408">
        <v>0</v>
      </c>
      <c r="P602" s="408">
        <v>0</v>
      </c>
      <c r="Q602" s="408">
        <v>0</v>
      </c>
      <c r="R602" s="408">
        <v>59.12</v>
      </c>
      <c r="S602" s="408"/>
      <c r="T602" s="408"/>
      <c r="U602" s="408">
        <v>118712.95999999999</v>
      </c>
      <c r="V602" s="408"/>
      <c r="W602" s="408">
        <v>118712.95999999999</v>
      </c>
      <c r="X602" s="408">
        <v>68332.240000000005</v>
      </c>
      <c r="Y602" s="408">
        <v>0</v>
      </c>
      <c r="Z602" s="408">
        <v>0</v>
      </c>
      <c r="AA602" s="408">
        <v>0</v>
      </c>
      <c r="AB602" s="408">
        <v>0</v>
      </c>
      <c r="AC602" s="408">
        <v>1148.6972095740336</v>
      </c>
      <c r="AD602" s="408">
        <v>10274.981482636584</v>
      </c>
      <c r="AE602" s="408">
        <v>96708.88988692101</v>
      </c>
      <c r="AF602" s="408"/>
      <c r="AG602" s="408"/>
      <c r="AH602" s="408"/>
      <c r="AI602" s="408">
        <v>0</v>
      </c>
      <c r="AJ602" s="408">
        <v>0</v>
      </c>
      <c r="AK602" s="408">
        <v>0</v>
      </c>
      <c r="AL602" s="408">
        <v>0</v>
      </c>
      <c r="AM602" s="408"/>
      <c r="AN602" s="408">
        <v>0</v>
      </c>
      <c r="AO602" s="408">
        <v>2425.8088083056405</v>
      </c>
      <c r="AP602" s="408">
        <v>8154.4636309520392</v>
      </c>
      <c r="AQ602" s="408">
        <v>0</v>
      </c>
      <c r="AR602" s="408">
        <v>0</v>
      </c>
      <c r="AS602" s="408"/>
      <c r="AT602" s="408"/>
      <c r="AU602" s="408">
        <v>0</v>
      </c>
      <c r="AV602" s="408">
        <v>0</v>
      </c>
      <c r="AW602" s="408">
        <v>0</v>
      </c>
      <c r="AX602" s="408"/>
      <c r="AY602" s="408"/>
      <c r="AZ602" s="408">
        <v>0</v>
      </c>
      <c r="BA602" s="408"/>
      <c r="BB602" s="408">
        <v>0</v>
      </c>
      <c r="BC602" s="408">
        <v>0</v>
      </c>
      <c r="BD602" s="408">
        <v>0</v>
      </c>
      <c r="BE602" s="408">
        <v>0</v>
      </c>
      <c r="BF602" s="408"/>
      <c r="BG602" s="408">
        <v>0</v>
      </c>
      <c r="BH602" s="408">
        <v>0</v>
      </c>
      <c r="BI602" s="408">
        <v>502.16</v>
      </c>
      <c r="BJ602" s="408">
        <v>2310.31</v>
      </c>
      <c r="BK602" s="408">
        <v>7613.95</v>
      </c>
      <c r="BL602" s="408">
        <v>14</v>
      </c>
      <c r="BM602" s="408"/>
      <c r="BN602" s="408"/>
      <c r="BO602" s="408"/>
      <c r="BP602" s="408"/>
      <c r="BQ602" s="408"/>
      <c r="BR602" s="408">
        <v>2733.2895999999978</v>
      </c>
      <c r="BS602" s="408"/>
      <c r="BT602" s="408"/>
      <c r="BU602" s="408"/>
      <c r="BV602" s="408">
        <v>0</v>
      </c>
      <c r="BW602" s="408"/>
      <c r="BX602" s="408"/>
      <c r="BY602" s="408"/>
      <c r="BZ602" s="408"/>
      <c r="CA602" s="408"/>
      <c r="CB602" s="408"/>
      <c r="CC602" s="408"/>
      <c r="CD602" s="408"/>
      <c r="CE602" s="408"/>
      <c r="CF602" s="408"/>
      <c r="CG602" s="408"/>
      <c r="CH602" s="408"/>
      <c r="CI602" s="408">
        <v>65598.950400000002</v>
      </c>
      <c r="CJ602" s="408">
        <v>-48365.521199999988</v>
      </c>
      <c r="CK602" s="408"/>
      <c r="CL602" s="408"/>
      <c r="CM602" s="408"/>
      <c r="CN602" s="408"/>
      <c r="CO602" s="408">
        <v>-50380.719999999994</v>
      </c>
      <c r="CP602" s="408">
        <v>0</v>
      </c>
      <c r="CQ602" s="408">
        <v>30</v>
      </c>
      <c r="CR602" s="408">
        <v>830.26297899084966</v>
      </c>
      <c r="CS602" s="408">
        <v>235.53070971073748</v>
      </c>
      <c r="CT602" s="408">
        <v>791.7469009645647</v>
      </c>
      <c r="CU602" s="408">
        <v>0</v>
      </c>
      <c r="CV602" s="408">
        <v>0</v>
      </c>
      <c r="CW602" s="408"/>
      <c r="CX602" s="408"/>
      <c r="CY602" s="408"/>
      <c r="CZ602" s="408">
        <v>-197.01463168445298</v>
      </c>
      <c r="DA602" s="408">
        <v>0</v>
      </c>
      <c r="DB602" s="408">
        <v>0</v>
      </c>
      <c r="DC602" s="408"/>
      <c r="DD602" s="408"/>
      <c r="DE602" s="408">
        <v>0</v>
      </c>
      <c r="DF602" s="408">
        <v>0</v>
      </c>
      <c r="DG602" s="408">
        <v>0</v>
      </c>
      <c r="DH602" s="408">
        <v>0</v>
      </c>
      <c r="DI602" s="408">
        <v>0</v>
      </c>
      <c r="DJ602" s="408"/>
      <c r="DK602" s="408">
        <v>0</v>
      </c>
      <c r="DL602" s="408">
        <v>0</v>
      </c>
      <c r="DM602" s="408"/>
      <c r="DN602" s="408">
        <v>0</v>
      </c>
      <c r="DO602" s="408">
        <v>0</v>
      </c>
      <c r="DP602" s="408">
        <v>0</v>
      </c>
      <c r="DQ602" s="408">
        <v>0</v>
      </c>
      <c r="DR602" s="408">
        <v>0</v>
      </c>
      <c r="DS602" s="408"/>
      <c r="DT602" s="408"/>
      <c r="DU602" s="408">
        <v>96708.88988692101</v>
      </c>
      <c r="DV602" s="408"/>
      <c r="DW602" s="408">
        <v>0</v>
      </c>
      <c r="DX602" s="408">
        <v>0</v>
      </c>
      <c r="DY602" s="408">
        <v>-50380.719999999987</v>
      </c>
      <c r="DZ602" s="408"/>
      <c r="EA602" s="408">
        <v>0</v>
      </c>
      <c r="EB602" s="408"/>
      <c r="EC602" s="408">
        <v>-51202.230127498937</v>
      </c>
      <c r="ED602" s="408"/>
      <c r="EE602" s="408">
        <v>0</v>
      </c>
      <c r="EF602" s="408">
        <v>0</v>
      </c>
      <c r="EG602" s="408"/>
      <c r="EH602" s="408">
        <v>0</v>
      </c>
      <c r="EI602" s="408">
        <v>0</v>
      </c>
      <c r="EJ602" s="408">
        <v>0</v>
      </c>
      <c r="EK602" s="408">
        <v>0</v>
      </c>
      <c r="EL602" s="408">
        <v>0</v>
      </c>
      <c r="EM602" s="408"/>
      <c r="EN602" s="408"/>
      <c r="EO602" s="408">
        <v>0</v>
      </c>
      <c r="EP602" s="408">
        <v>0</v>
      </c>
      <c r="EQ602" s="408"/>
      <c r="ER602" s="408">
        <v>0</v>
      </c>
      <c r="ES602" s="408"/>
      <c r="ET602" s="408">
        <v>0</v>
      </c>
      <c r="EU602" s="408"/>
      <c r="EV602" s="408">
        <v>239</v>
      </c>
      <c r="EW602" s="408"/>
      <c r="EX602" s="408"/>
      <c r="EY602" s="408"/>
      <c r="EZ602" s="408"/>
      <c r="FA602" s="408">
        <v>0</v>
      </c>
      <c r="FB602" s="408"/>
      <c r="FC602" s="408"/>
      <c r="FD602" s="408"/>
      <c r="FE602" s="408"/>
      <c r="FF602" s="408">
        <v>0</v>
      </c>
      <c r="FG602" s="408">
        <v>0</v>
      </c>
      <c r="FH602" s="408">
        <v>0</v>
      </c>
      <c r="FI602" s="408">
        <v>0</v>
      </c>
    </row>
    <row r="603" spans="1:165">
      <c r="A603" s="408">
        <v>607</v>
      </c>
      <c r="B603" s="408" t="s">
        <v>2236</v>
      </c>
      <c r="C603" s="408" t="s">
        <v>2241</v>
      </c>
      <c r="D603" s="408" t="s">
        <v>596</v>
      </c>
      <c r="E603" s="408" t="s">
        <v>972</v>
      </c>
      <c r="F603" s="408" t="s">
        <v>1320</v>
      </c>
      <c r="G603" s="408" t="s">
        <v>1320</v>
      </c>
      <c r="H603" s="408" t="s">
        <v>1320</v>
      </c>
      <c r="I603" s="408" t="s">
        <v>1320</v>
      </c>
      <c r="J603" s="408" t="s">
        <v>2234</v>
      </c>
      <c r="K603" s="827">
        <v>44652</v>
      </c>
      <c r="L603" s="408">
        <v>193</v>
      </c>
      <c r="M603" s="408">
        <v>185.28</v>
      </c>
      <c r="N603" s="408">
        <v>0</v>
      </c>
      <c r="O603" s="408">
        <v>0</v>
      </c>
      <c r="P603" s="408">
        <v>0</v>
      </c>
      <c r="Q603" s="408">
        <v>0</v>
      </c>
      <c r="R603" s="408">
        <v>59.12</v>
      </c>
      <c r="S603" s="408"/>
      <c r="T603" s="408"/>
      <c r="U603" s="408">
        <v>11410.16</v>
      </c>
      <c r="V603" s="408"/>
      <c r="W603" s="408">
        <v>11410.16</v>
      </c>
      <c r="X603" s="408">
        <v>6567.79</v>
      </c>
      <c r="Y603" s="408">
        <v>0</v>
      </c>
      <c r="Z603" s="408">
        <v>0</v>
      </c>
      <c r="AA603" s="408">
        <v>0</v>
      </c>
      <c r="AB603" s="408">
        <v>0</v>
      </c>
      <c r="AC603" s="408">
        <v>110.40765012340063</v>
      </c>
      <c r="AD603" s="408">
        <v>987.58537158807803</v>
      </c>
      <c r="AE603" s="408">
        <v>9295.2269662229864</v>
      </c>
      <c r="AF603" s="408"/>
      <c r="AG603" s="408"/>
      <c r="AH603" s="408"/>
      <c r="AI603" s="408">
        <v>0</v>
      </c>
      <c r="AJ603" s="408">
        <v>0</v>
      </c>
      <c r="AK603" s="408">
        <v>0</v>
      </c>
      <c r="AL603" s="408">
        <v>0</v>
      </c>
      <c r="AM603" s="408"/>
      <c r="AN603" s="408">
        <v>0</v>
      </c>
      <c r="AO603" s="408">
        <v>233.15791832818158</v>
      </c>
      <c r="AP603" s="408">
        <v>783.77065775584845</v>
      </c>
      <c r="AQ603" s="408">
        <v>0</v>
      </c>
      <c r="AR603" s="408">
        <v>0</v>
      </c>
      <c r="AS603" s="408"/>
      <c r="AT603" s="408"/>
      <c r="AU603" s="408">
        <v>0</v>
      </c>
      <c r="AV603" s="408">
        <v>0</v>
      </c>
      <c r="AW603" s="408">
        <v>0</v>
      </c>
      <c r="AX603" s="408"/>
      <c r="AY603" s="408"/>
      <c r="AZ603" s="408">
        <v>0</v>
      </c>
      <c r="BA603" s="408"/>
      <c r="BB603" s="408">
        <v>0</v>
      </c>
      <c r="BC603" s="408">
        <v>0</v>
      </c>
      <c r="BD603" s="408">
        <v>0</v>
      </c>
      <c r="BE603" s="408">
        <v>0</v>
      </c>
      <c r="BF603" s="408"/>
      <c r="BG603" s="408">
        <v>0</v>
      </c>
      <c r="BH603" s="408">
        <v>0</v>
      </c>
      <c r="BI603" s="408">
        <v>53.25</v>
      </c>
      <c r="BJ603" s="408">
        <v>244.97</v>
      </c>
      <c r="BK603" s="408">
        <v>7.54</v>
      </c>
      <c r="BL603" s="408">
        <v>1</v>
      </c>
      <c r="BM603" s="408"/>
      <c r="BN603" s="408"/>
      <c r="BO603" s="408"/>
      <c r="BP603" s="408"/>
      <c r="BQ603" s="408"/>
      <c r="BR603" s="408">
        <v>262.71159999999998</v>
      </c>
      <c r="BS603" s="408"/>
      <c r="BT603" s="408"/>
      <c r="BU603" s="408"/>
      <c r="BV603" s="408">
        <v>0</v>
      </c>
      <c r="BW603" s="408"/>
      <c r="BX603" s="408"/>
      <c r="BY603" s="408"/>
      <c r="BZ603" s="408"/>
      <c r="CA603" s="408"/>
      <c r="CB603" s="408"/>
      <c r="CC603" s="408"/>
      <c r="CD603" s="408"/>
      <c r="CE603" s="408"/>
      <c r="CF603" s="408"/>
      <c r="CG603" s="408"/>
      <c r="CH603" s="408"/>
      <c r="CI603" s="408">
        <v>6305.0784000000003</v>
      </c>
      <c r="CJ603" s="408">
        <v>-4648.7052000000003</v>
      </c>
      <c r="CK603" s="408"/>
      <c r="CL603" s="408"/>
      <c r="CM603" s="408"/>
      <c r="CN603" s="408"/>
      <c r="CO603" s="408">
        <v>-4842.369999999999</v>
      </c>
      <c r="CP603" s="408">
        <v>0</v>
      </c>
      <c r="CQ603" s="408">
        <v>30</v>
      </c>
      <c r="CR603" s="408">
        <v>79.801172781491005</v>
      </c>
      <c r="CS603" s="408">
        <v>22.638160843711319</v>
      </c>
      <c r="CT603" s="408">
        <v>76.099179226175693</v>
      </c>
      <c r="CU603" s="408">
        <v>0</v>
      </c>
      <c r="CV603" s="408">
        <v>0</v>
      </c>
      <c r="CW603" s="408"/>
      <c r="CX603" s="408"/>
      <c r="CY603" s="408"/>
      <c r="CZ603" s="408">
        <v>-18.936167288396177</v>
      </c>
      <c r="DA603" s="408">
        <v>0</v>
      </c>
      <c r="DB603" s="408">
        <v>0</v>
      </c>
      <c r="DC603" s="408"/>
      <c r="DD603" s="408"/>
      <c r="DE603" s="408">
        <v>0</v>
      </c>
      <c r="DF603" s="408">
        <v>0</v>
      </c>
      <c r="DG603" s="408">
        <v>0</v>
      </c>
      <c r="DH603" s="408">
        <v>0</v>
      </c>
      <c r="DI603" s="408">
        <v>0</v>
      </c>
      <c r="DJ603" s="408"/>
      <c r="DK603" s="408">
        <v>0</v>
      </c>
      <c r="DL603" s="408">
        <v>0</v>
      </c>
      <c r="DM603" s="408"/>
      <c r="DN603" s="408">
        <v>0</v>
      </c>
      <c r="DO603" s="408">
        <v>0</v>
      </c>
      <c r="DP603" s="408">
        <v>0</v>
      </c>
      <c r="DQ603" s="408">
        <v>0</v>
      </c>
      <c r="DR603" s="408">
        <v>0</v>
      </c>
      <c r="DS603" s="408"/>
      <c r="DT603" s="408"/>
      <c r="DU603" s="408">
        <v>9295.2269662229864</v>
      </c>
      <c r="DV603" s="408"/>
      <c r="DW603" s="408">
        <v>0</v>
      </c>
      <c r="DX603" s="408">
        <v>0</v>
      </c>
      <c r="DY603" s="408">
        <v>-4842.37</v>
      </c>
      <c r="DZ603" s="408"/>
      <c r="EA603" s="408">
        <v>0</v>
      </c>
      <c r="EB603" s="408"/>
      <c r="EC603" s="408">
        <v>-4921.3298877526377</v>
      </c>
      <c r="ED603" s="408"/>
      <c r="EE603" s="408">
        <v>0</v>
      </c>
      <c r="EF603" s="408">
        <v>0</v>
      </c>
      <c r="EG603" s="408"/>
      <c r="EH603" s="408">
        <v>0</v>
      </c>
      <c r="EI603" s="408">
        <v>0</v>
      </c>
      <c r="EJ603" s="408">
        <v>0</v>
      </c>
      <c r="EK603" s="408">
        <v>0</v>
      </c>
      <c r="EL603" s="408">
        <v>0</v>
      </c>
      <c r="EM603" s="408"/>
      <c r="EN603" s="408"/>
      <c r="EO603" s="408">
        <v>0</v>
      </c>
      <c r="EP603" s="408">
        <v>0</v>
      </c>
      <c r="EQ603" s="408"/>
      <c r="ER603" s="408">
        <v>0</v>
      </c>
      <c r="ES603" s="408"/>
      <c r="ET603" s="408">
        <v>0</v>
      </c>
      <c r="EU603" s="408"/>
      <c r="EV603" s="408">
        <v>239</v>
      </c>
      <c r="EW603" s="408"/>
      <c r="EX603" s="408"/>
      <c r="EY603" s="408"/>
      <c r="EZ603" s="408"/>
      <c r="FA603" s="408">
        <v>0</v>
      </c>
      <c r="FB603" s="408"/>
      <c r="FC603" s="408"/>
      <c r="FD603" s="408"/>
      <c r="FE603" s="408"/>
      <c r="FF603" s="408">
        <v>0</v>
      </c>
      <c r="FG603" s="408">
        <v>0</v>
      </c>
      <c r="FH603" s="408">
        <v>0</v>
      </c>
      <c r="FI603" s="408">
        <v>0</v>
      </c>
    </row>
    <row r="604" spans="1:165">
      <c r="A604" s="408">
        <v>608</v>
      </c>
      <c r="B604" s="408" t="s">
        <v>1034</v>
      </c>
      <c r="C604" s="408" t="s">
        <v>2233</v>
      </c>
      <c r="D604" s="408" t="s">
        <v>1956</v>
      </c>
      <c r="E604" s="408" t="s">
        <v>2244</v>
      </c>
      <c r="F604" s="408" t="s">
        <v>1320</v>
      </c>
      <c r="G604" s="408" t="s">
        <v>1320</v>
      </c>
      <c r="H604" s="408" t="s">
        <v>1320</v>
      </c>
      <c r="I604" s="408" t="s">
        <v>1320</v>
      </c>
      <c r="J604" s="408" t="s">
        <v>2234</v>
      </c>
      <c r="K604" s="827">
        <v>44652</v>
      </c>
      <c r="L604" s="408">
        <v>0</v>
      </c>
      <c r="M604" s="408">
        <v>0</v>
      </c>
      <c r="N604" s="408">
        <v>232.524</v>
      </c>
      <c r="O604" s="408">
        <v>232.524</v>
      </c>
      <c r="P604" s="408">
        <v>232.524</v>
      </c>
      <c r="Q604" s="408">
        <v>232.524</v>
      </c>
      <c r="R604" s="408"/>
      <c r="S604" s="408">
        <v>516.83000000000004</v>
      </c>
      <c r="T604" s="408">
        <v>173.82</v>
      </c>
      <c r="U604" s="408"/>
      <c r="V604" s="408">
        <v>160592.70060000001</v>
      </c>
      <c r="W604" s="408">
        <v>160592.70060000001</v>
      </c>
      <c r="X604" s="408">
        <v>121249.6398</v>
      </c>
      <c r="Y604" s="408">
        <v>0</v>
      </c>
      <c r="Z604" s="408">
        <v>14218.716050678702</v>
      </c>
      <c r="AA604" s="408">
        <v>0</v>
      </c>
      <c r="AB604" s="408">
        <v>0</v>
      </c>
      <c r="AC604" s="408">
        <v>632.10348972113866</v>
      </c>
      <c r="AD604" s="408">
        <v>8005.0134175568737</v>
      </c>
      <c r="AE604" s="408">
        <v>84549.399155341525</v>
      </c>
      <c r="AF604" s="408">
        <v>37418.258644637557</v>
      </c>
      <c r="AG604" s="408">
        <v>1882.483004424924</v>
      </c>
      <c r="AH604" s="408">
        <v>0</v>
      </c>
      <c r="AI604" s="408">
        <v>0</v>
      </c>
      <c r="AJ604" s="408">
        <v>0</v>
      </c>
      <c r="AK604" s="408">
        <v>0</v>
      </c>
      <c r="AL604" s="408">
        <v>2197.6998088162559</v>
      </c>
      <c r="AM604" s="408"/>
      <c r="AN604" s="408">
        <v>360.77074615994928</v>
      </c>
      <c r="AO604" s="408">
        <v>1348.291292739689</v>
      </c>
      <c r="AP604" s="408">
        <v>4415.4716790795082</v>
      </c>
      <c r="AQ604" s="408">
        <v>0</v>
      </c>
      <c r="AR604" s="408">
        <v>0</v>
      </c>
      <c r="AS604" s="408">
        <v>0</v>
      </c>
      <c r="AT604" s="408">
        <v>0</v>
      </c>
      <c r="AU604" s="408">
        <v>0</v>
      </c>
      <c r="AV604" s="408">
        <v>0</v>
      </c>
      <c r="AW604" s="408">
        <v>0</v>
      </c>
      <c r="AX604" s="408">
        <v>0</v>
      </c>
      <c r="AY604" s="408">
        <v>0</v>
      </c>
      <c r="AZ604" s="408">
        <v>0</v>
      </c>
      <c r="BA604" s="408"/>
      <c r="BB604" s="408">
        <v>0</v>
      </c>
      <c r="BC604" s="408">
        <v>0</v>
      </c>
      <c r="BD604" s="408">
        <v>0</v>
      </c>
      <c r="BE604" s="408">
        <v>129.00724896742392</v>
      </c>
      <c r="BF604" s="408">
        <v>1117.437874979835</v>
      </c>
      <c r="BG604" s="408">
        <v>4319.9060251858227</v>
      </c>
      <c r="BH604" s="408">
        <v>0</v>
      </c>
      <c r="BI604" s="408">
        <v>276.68</v>
      </c>
      <c r="BJ604" s="408">
        <v>1279.42</v>
      </c>
      <c r="BK604" s="408">
        <v>47482.44</v>
      </c>
      <c r="BL604" s="408">
        <v>260</v>
      </c>
      <c r="BM604" s="408"/>
      <c r="BN604" s="408"/>
      <c r="BO604" s="408"/>
      <c r="BP604" s="408"/>
      <c r="BQ604" s="408"/>
      <c r="BR604" s="408"/>
      <c r="BS604" s="408"/>
      <c r="BT604" s="408"/>
      <c r="BU604" s="408"/>
      <c r="BV604" s="408">
        <v>42984.609793770636</v>
      </c>
      <c r="BW604" s="408"/>
      <c r="BX604" s="408"/>
      <c r="BY604" s="408"/>
      <c r="BZ604" s="408"/>
      <c r="CA604" s="408"/>
      <c r="CB604" s="408"/>
      <c r="CC604" s="408"/>
      <c r="CD604" s="408"/>
      <c r="CE604" s="408"/>
      <c r="CF604" s="408"/>
      <c r="CG604" s="408"/>
      <c r="CH604" s="408"/>
      <c r="CI604" s="408">
        <v>121247.554</v>
      </c>
      <c r="CJ604" s="408">
        <v>-39345.176600000006</v>
      </c>
      <c r="CK604" s="408"/>
      <c r="CL604" s="408"/>
      <c r="CM604" s="408"/>
      <c r="CN604" s="408"/>
      <c r="CO604" s="408">
        <v>-44270.244360000012</v>
      </c>
      <c r="CP604" s="408">
        <v>4927.1835599999995</v>
      </c>
      <c r="CQ604" s="408">
        <v>30</v>
      </c>
      <c r="CR604" s="408">
        <v>5419.1762118532351</v>
      </c>
      <c r="CS604" s="408">
        <v>130.91056640098645</v>
      </c>
      <c r="CT604" s="408">
        <v>428.71440433411954</v>
      </c>
      <c r="CU604" s="408">
        <v>0</v>
      </c>
      <c r="CV604" s="408">
        <v>0</v>
      </c>
      <c r="CW604" s="408">
        <v>0</v>
      </c>
      <c r="CX604" s="408">
        <v>0</v>
      </c>
      <c r="CY604" s="408">
        <v>0</v>
      </c>
      <c r="CZ604" s="408">
        <v>-153.48979195282391</v>
      </c>
      <c r="DA604" s="408">
        <v>0</v>
      </c>
      <c r="DB604" s="408">
        <v>0</v>
      </c>
      <c r="DC604" s="408">
        <v>4803.047045591702</v>
      </c>
      <c r="DD604" s="408">
        <v>143.43550123552109</v>
      </c>
      <c r="DE604" s="408">
        <v>16.559506199834033</v>
      </c>
      <c r="DF604" s="408">
        <v>0</v>
      </c>
      <c r="DG604" s="408">
        <v>554.50768216001052</v>
      </c>
      <c r="DH604" s="408">
        <v>0</v>
      </c>
      <c r="DI604" s="408">
        <v>-415.54916443679031</v>
      </c>
      <c r="DJ604" s="408"/>
      <c r="DK604" s="408">
        <v>0</v>
      </c>
      <c r="DL604" s="408">
        <v>0</v>
      </c>
      <c r="DM604" s="408">
        <v>-20.923107689199014</v>
      </c>
      <c r="DN604" s="408">
        <v>0</v>
      </c>
      <c r="DO604" s="408">
        <v>-56.919665951334991</v>
      </c>
      <c r="DP604" s="408">
        <v>-11.116764038795452</v>
      </c>
      <c r="DQ604" s="408">
        <v>0</v>
      </c>
      <c r="DR604" s="408">
        <v>0</v>
      </c>
      <c r="DS604" s="408"/>
      <c r="DT604" s="408"/>
      <c r="DU604" s="408"/>
      <c r="DV604" s="408">
        <v>84549.399155341525</v>
      </c>
      <c r="DW604" s="408">
        <v>0</v>
      </c>
      <c r="DX604" s="408">
        <v>0</v>
      </c>
      <c r="DY604" s="408">
        <v>-44270.244359999997</v>
      </c>
      <c r="DZ604" s="408">
        <v>4927.1835599999977</v>
      </c>
      <c r="EA604" s="408">
        <v>0</v>
      </c>
      <c r="EB604" s="408">
        <v>0</v>
      </c>
      <c r="EC604" s="408">
        <v>-44764.424426290825</v>
      </c>
      <c r="ED604" s="408">
        <v>0</v>
      </c>
      <c r="EE604" s="408">
        <v>0</v>
      </c>
      <c r="EF604" s="408">
        <v>0</v>
      </c>
      <c r="EG604" s="408">
        <v>0</v>
      </c>
      <c r="EH604" s="408">
        <v>0</v>
      </c>
      <c r="EI604" s="408">
        <v>0</v>
      </c>
      <c r="EJ604" s="408">
        <v>0</v>
      </c>
      <c r="EK604" s="408">
        <v>0</v>
      </c>
      <c r="EL604" s="408">
        <v>0</v>
      </c>
      <c r="EM604" s="408">
        <v>0</v>
      </c>
      <c r="EN604" s="408">
        <v>0</v>
      </c>
      <c r="EO604" s="408">
        <v>0</v>
      </c>
      <c r="EP604" s="408">
        <v>0</v>
      </c>
      <c r="EQ604" s="408">
        <v>0</v>
      </c>
      <c r="ER604" s="408">
        <v>0</v>
      </c>
      <c r="ES604" s="408">
        <v>0</v>
      </c>
      <c r="ET604" s="408">
        <v>0</v>
      </c>
      <c r="EU604" s="408">
        <v>0</v>
      </c>
      <c r="EV604" s="408">
        <v>239</v>
      </c>
      <c r="EW604" s="408">
        <v>0</v>
      </c>
      <c r="EX604" s="408">
        <v>0</v>
      </c>
      <c r="EY604" s="408">
        <v>0</v>
      </c>
      <c r="EZ604" s="408"/>
      <c r="FA604" s="408">
        <v>0</v>
      </c>
      <c r="FB604" s="408"/>
      <c r="FC604" s="408"/>
      <c r="FD604" s="408"/>
      <c r="FE604" s="408"/>
      <c r="FF604" s="408">
        <v>0</v>
      </c>
      <c r="FG604" s="408">
        <v>0</v>
      </c>
      <c r="FH604" s="408">
        <v>0</v>
      </c>
      <c r="FI604" s="408">
        <v>0</v>
      </c>
    </row>
    <row r="605" spans="1:165">
      <c r="A605" s="408">
        <v>609</v>
      </c>
      <c r="B605" s="408" t="s">
        <v>2236</v>
      </c>
      <c r="C605" s="408" t="s">
        <v>2233</v>
      </c>
      <c r="D605" s="408" t="s">
        <v>1956</v>
      </c>
      <c r="E605" s="408" t="s">
        <v>2244</v>
      </c>
      <c r="F605" s="408" t="s">
        <v>1320</v>
      </c>
      <c r="G605" s="408" t="s">
        <v>1320</v>
      </c>
      <c r="H605" s="408" t="s">
        <v>1320</v>
      </c>
      <c r="I605" s="408" t="s">
        <v>1320</v>
      </c>
      <c r="J605" s="408" t="s">
        <v>2234</v>
      </c>
      <c r="K605" s="827">
        <v>44652</v>
      </c>
      <c r="L605" s="408">
        <v>0</v>
      </c>
      <c r="M605" s="408">
        <v>0</v>
      </c>
      <c r="N605" s="408">
        <v>0.1</v>
      </c>
      <c r="O605" s="408">
        <v>0.1</v>
      </c>
      <c r="P605" s="408">
        <v>0.1</v>
      </c>
      <c r="Q605" s="408">
        <v>0.1</v>
      </c>
      <c r="R605" s="408"/>
      <c r="S605" s="408">
        <v>516.83000000000004</v>
      </c>
      <c r="T605" s="408">
        <v>173.82</v>
      </c>
      <c r="U605" s="408"/>
      <c r="V605" s="408">
        <v>69.065000000000012</v>
      </c>
      <c r="W605" s="408">
        <v>69.065000000000012</v>
      </c>
      <c r="X605" s="408">
        <v>52.144999999999996</v>
      </c>
      <c r="Y605" s="408">
        <v>0</v>
      </c>
      <c r="Z605" s="408">
        <v>6.1149455758023699</v>
      </c>
      <c r="AA605" s="408">
        <v>0</v>
      </c>
      <c r="AB605" s="408">
        <v>0</v>
      </c>
      <c r="AC605" s="408">
        <v>0.27184440733908705</v>
      </c>
      <c r="AD605" s="408">
        <v>3.4426611522066</v>
      </c>
      <c r="AE605" s="408">
        <v>36.361579516669899</v>
      </c>
      <c r="AF605" s="408">
        <v>16.0922135541439</v>
      </c>
      <c r="AG605" s="408">
        <v>0.80958653920667301</v>
      </c>
      <c r="AH605" s="408">
        <v>0</v>
      </c>
      <c r="AI605" s="408">
        <v>0</v>
      </c>
      <c r="AJ605" s="408">
        <v>0</v>
      </c>
      <c r="AK605" s="408">
        <v>0</v>
      </c>
      <c r="AL605" s="408">
        <v>0.94514966576192405</v>
      </c>
      <c r="AM605" s="408"/>
      <c r="AN605" s="408">
        <v>0.155154197484969</v>
      </c>
      <c r="AO605" s="408">
        <v>0.57985037791354399</v>
      </c>
      <c r="AP605" s="408">
        <v>1.8989315851608901</v>
      </c>
      <c r="AQ605" s="408">
        <v>0</v>
      </c>
      <c r="AR605" s="408">
        <v>0</v>
      </c>
      <c r="AS605" s="408">
        <v>0</v>
      </c>
      <c r="AT605" s="408">
        <v>0</v>
      </c>
      <c r="AU605" s="408">
        <v>0</v>
      </c>
      <c r="AV605" s="408">
        <v>0</v>
      </c>
      <c r="AW605" s="408">
        <v>0</v>
      </c>
      <c r="AX605" s="408">
        <v>0</v>
      </c>
      <c r="AY605" s="408">
        <v>0</v>
      </c>
      <c r="AZ605" s="408">
        <v>0</v>
      </c>
      <c r="BA605" s="408"/>
      <c r="BB605" s="408">
        <v>0</v>
      </c>
      <c r="BC605" s="408">
        <v>0</v>
      </c>
      <c r="BD605" s="408">
        <v>0</v>
      </c>
      <c r="BE605" s="408">
        <v>5.5481261705210609E-2</v>
      </c>
      <c r="BF605" s="408">
        <v>0.48056883374612297</v>
      </c>
      <c r="BG605" s="408">
        <v>1.8578323206145702</v>
      </c>
      <c r="BH605" s="408">
        <v>0</v>
      </c>
      <c r="BI605" s="408">
        <v>0.11</v>
      </c>
      <c r="BJ605" s="408">
        <v>0.54</v>
      </c>
      <c r="BK605" s="408">
        <v>102.15</v>
      </c>
      <c r="BL605" s="408">
        <v>1</v>
      </c>
      <c r="BM605" s="408"/>
      <c r="BN605" s="408"/>
      <c r="BO605" s="408"/>
      <c r="BP605" s="408"/>
      <c r="BQ605" s="408"/>
      <c r="BR605" s="408"/>
      <c r="BS605" s="408"/>
      <c r="BT605" s="408"/>
      <c r="BU605" s="408"/>
      <c r="BV605" s="408">
        <v>18.486095970209803</v>
      </c>
      <c r="BW605" s="408"/>
      <c r="BX605" s="408"/>
      <c r="BY605" s="408"/>
      <c r="BZ605" s="408"/>
      <c r="CA605" s="408"/>
      <c r="CB605" s="408"/>
      <c r="CC605" s="408"/>
      <c r="CD605" s="408"/>
      <c r="CE605" s="408"/>
      <c r="CF605" s="408"/>
      <c r="CG605" s="408"/>
      <c r="CH605" s="408"/>
      <c r="CI605" s="408">
        <v>52.144999999999996</v>
      </c>
      <c r="CJ605" s="408">
        <v>-16.950000000000017</v>
      </c>
      <c r="CK605" s="408"/>
      <c r="CL605" s="408"/>
      <c r="CM605" s="408"/>
      <c r="CN605" s="408"/>
      <c r="CO605" s="408">
        <v>-19.039000000000005</v>
      </c>
      <c r="CP605" s="408">
        <v>2.1189999999999998</v>
      </c>
      <c r="CQ605" s="408">
        <v>30</v>
      </c>
      <c r="CR605" s="408">
        <v>2.3305879014008113</v>
      </c>
      <c r="CS605" s="408">
        <v>5.6299808364292048E-2</v>
      </c>
      <c r="CT605" s="408">
        <v>0.1843742600050402</v>
      </c>
      <c r="CU605" s="408">
        <v>0</v>
      </c>
      <c r="CV605" s="408">
        <v>0</v>
      </c>
      <c r="CW605" s="408">
        <v>0</v>
      </c>
      <c r="CX605" s="408">
        <v>0</v>
      </c>
      <c r="CY605" s="408">
        <v>0</v>
      </c>
      <c r="CZ605" s="408">
        <v>-6.6010300851879755E-2</v>
      </c>
      <c r="DA605" s="408">
        <v>0</v>
      </c>
      <c r="DB605" s="408">
        <v>0</v>
      </c>
      <c r="DC605" s="408">
        <v>2.0656134616606003</v>
      </c>
      <c r="DD605" s="408">
        <v>6.1686321083209095E-2</v>
      </c>
      <c r="DE605" s="408">
        <v>7.1216331216709047E-3</v>
      </c>
      <c r="DF605" s="408">
        <v>0</v>
      </c>
      <c r="DG605" s="408">
        <v>0.23847331121088988</v>
      </c>
      <c r="DH605" s="408">
        <v>0</v>
      </c>
      <c r="DI605" s="408">
        <v>-0.17871237568456966</v>
      </c>
      <c r="DJ605" s="408"/>
      <c r="DK605" s="408">
        <v>0</v>
      </c>
      <c r="DL605" s="408">
        <v>0</v>
      </c>
      <c r="DM605" s="408">
        <v>-8.9982572505200586E-3</v>
      </c>
      <c r="DN605" s="408">
        <v>0</v>
      </c>
      <c r="DO605" s="408">
        <v>-2.4479049883597059E-2</v>
      </c>
      <c r="DP605" s="408">
        <v>-4.780910374324987E-3</v>
      </c>
      <c r="DQ605" s="408">
        <v>0</v>
      </c>
      <c r="DR605" s="408">
        <v>0</v>
      </c>
      <c r="DS605" s="408"/>
      <c r="DT605" s="408"/>
      <c r="DU605" s="408"/>
      <c r="DV605" s="408">
        <v>36.361579516669899</v>
      </c>
      <c r="DW605" s="408">
        <v>0</v>
      </c>
      <c r="DX605" s="408">
        <v>0</v>
      </c>
      <c r="DY605" s="408">
        <v>-19.039000000000009</v>
      </c>
      <c r="DZ605" s="408">
        <v>2.1189999999999998</v>
      </c>
      <c r="EA605" s="408">
        <v>0</v>
      </c>
      <c r="EB605" s="408">
        <v>0</v>
      </c>
      <c r="EC605" s="408">
        <v>-19.251528627707597</v>
      </c>
      <c r="ED605" s="408">
        <v>0</v>
      </c>
      <c r="EE605" s="408">
        <v>0</v>
      </c>
      <c r="EF605" s="408">
        <v>0</v>
      </c>
      <c r="EG605" s="408">
        <v>0</v>
      </c>
      <c r="EH605" s="408">
        <v>0</v>
      </c>
      <c r="EI605" s="408">
        <v>0</v>
      </c>
      <c r="EJ605" s="408">
        <v>0</v>
      </c>
      <c r="EK605" s="408">
        <v>0</v>
      </c>
      <c r="EL605" s="408">
        <v>0</v>
      </c>
      <c r="EM605" s="408">
        <v>0</v>
      </c>
      <c r="EN605" s="408">
        <v>0</v>
      </c>
      <c r="EO605" s="408">
        <v>0</v>
      </c>
      <c r="EP605" s="408">
        <v>0</v>
      </c>
      <c r="EQ605" s="408">
        <v>0</v>
      </c>
      <c r="ER605" s="408">
        <v>0</v>
      </c>
      <c r="ES605" s="408">
        <v>0</v>
      </c>
      <c r="ET605" s="408">
        <v>0</v>
      </c>
      <c r="EU605" s="408">
        <v>0</v>
      </c>
      <c r="EV605" s="408">
        <v>239</v>
      </c>
      <c r="EW605" s="408">
        <v>0</v>
      </c>
      <c r="EX605" s="408">
        <v>0</v>
      </c>
      <c r="EY605" s="408">
        <v>0</v>
      </c>
      <c r="EZ605" s="408"/>
      <c r="FA605" s="408">
        <v>0</v>
      </c>
      <c r="FB605" s="408"/>
      <c r="FC605" s="408"/>
      <c r="FD605" s="408"/>
      <c r="FE605" s="408"/>
      <c r="FF605" s="408">
        <v>0</v>
      </c>
      <c r="FG605" s="408">
        <v>0</v>
      </c>
      <c r="FH605" s="408">
        <v>0</v>
      </c>
      <c r="FI605" s="408">
        <v>0</v>
      </c>
    </row>
    <row r="606" spans="1:165">
      <c r="A606" s="408">
        <v>610</v>
      </c>
      <c r="B606" s="408" t="s">
        <v>1034</v>
      </c>
      <c r="C606" s="408" t="s">
        <v>2245</v>
      </c>
      <c r="D606" s="408" t="s">
        <v>596</v>
      </c>
      <c r="E606" s="408" t="s">
        <v>2244</v>
      </c>
      <c r="F606" s="408" t="s">
        <v>1320</v>
      </c>
      <c r="G606" s="408" t="s">
        <v>1320</v>
      </c>
      <c r="H606" s="408" t="s">
        <v>1320</v>
      </c>
      <c r="I606" s="408" t="s">
        <v>971</v>
      </c>
      <c r="J606" s="408" t="s">
        <v>2234</v>
      </c>
      <c r="K606" s="827">
        <v>44652</v>
      </c>
      <c r="L606" s="408">
        <v>451</v>
      </c>
      <c r="M606" s="408">
        <v>451</v>
      </c>
      <c r="N606" s="408">
        <v>22.238</v>
      </c>
      <c r="O606" s="408">
        <v>22.238</v>
      </c>
      <c r="P606" s="408">
        <v>22.238</v>
      </c>
      <c r="Q606" s="408">
        <v>22.238</v>
      </c>
      <c r="R606" s="408">
        <v>67.099999999999994</v>
      </c>
      <c r="S606" s="408">
        <v>70.33</v>
      </c>
      <c r="T606" s="408">
        <v>173.82</v>
      </c>
      <c r="U606" s="408">
        <v>30262.1</v>
      </c>
      <c r="V606" s="408">
        <v>5429.4076999999997</v>
      </c>
      <c r="W606" s="408">
        <v>35691.507700000002</v>
      </c>
      <c r="X606" s="408">
        <v>24838.21054</v>
      </c>
      <c r="Y606" s="408">
        <v>0</v>
      </c>
      <c r="Z606" s="408">
        <v>1183.0621895178317</v>
      </c>
      <c r="AA606" s="408">
        <v>0</v>
      </c>
      <c r="AB606" s="408">
        <v>0</v>
      </c>
      <c r="AC606" s="408">
        <v>337.53655684645474</v>
      </c>
      <c r="AD606" s="408">
        <v>5149.1721464265656</v>
      </c>
      <c r="AE606" s="408">
        <v>21720.970786355269</v>
      </c>
      <c r="AF606" s="408">
        <v>3578.58645017052</v>
      </c>
      <c r="AG606" s="408">
        <v>180.03585458877993</v>
      </c>
      <c r="AH606" s="408">
        <v>0</v>
      </c>
      <c r="AI606" s="408">
        <v>0</v>
      </c>
      <c r="AJ606" s="408">
        <v>0</v>
      </c>
      <c r="AK606" s="408">
        <v>0</v>
      </c>
      <c r="AL606" s="408">
        <v>210.18238267213664</v>
      </c>
      <c r="AM606" s="408"/>
      <c r="AN606" s="408">
        <v>27.635844543364264</v>
      </c>
      <c r="AO606" s="408">
        <v>724.89243715276666</v>
      </c>
      <c r="AP606" s="408">
        <v>2330.9020231190043</v>
      </c>
      <c r="AQ606" s="408">
        <v>0</v>
      </c>
      <c r="AR606" s="408">
        <v>0</v>
      </c>
      <c r="AS606" s="408">
        <v>0</v>
      </c>
      <c r="AT606" s="408">
        <v>0</v>
      </c>
      <c r="AU606" s="408">
        <v>0</v>
      </c>
      <c r="AV606" s="408">
        <v>0</v>
      </c>
      <c r="AW606" s="408">
        <v>0</v>
      </c>
      <c r="AX606" s="408">
        <v>0</v>
      </c>
      <c r="AY606" s="408">
        <v>0</v>
      </c>
      <c r="AZ606" s="408">
        <v>0</v>
      </c>
      <c r="BA606" s="408"/>
      <c r="BB606" s="408">
        <v>0</v>
      </c>
      <c r="BC606" s="408">
        <v>0</v>
      </c>
      <c r="BD606" s="408">
        <v>0</v>
      </c>
      <c r="BE606" s="408">
        <v>4.1494690259973419</v>
      </c>
      <c r="BF606" s="408">
        <v>106.86889724846282</v>
      </c>
      <c r="BG606" s="408">
        <v>138.94813190888399</v>
      </c>
      <c r="BH606" s="408">
        <v>0</v>
      </c>
      <c r="BI606" s="408">
        <v>0</v>
      </c>
      <c r="BJ606" s="408">
        <v>0</v>
      </c>
      <c r="BK606" s="408">
        <v>0</v>
      </c>
      <c r="BL606" s="408">
        <v>0</v>
      </c>
      <c r="BM606" s="408"/>
      <c r="BN606" s="408"/>
      <c r="BO606" s="408"/>
      <c r="BP606" s="408"/>
      <c r="BQ606" s="408"/>
      <c r="BR606" s="408"/>
      <c r="BS606" s="408"/>
      <c r="BT606" s="408"/>
      <c r="BU606" s="408"/>
      <c r="BV606" s="408">
        <v>3828.5529483538644</v>
      </c>
      <c r="BW606" s="408"/>
      <c r="BX606" s="408"/>
      <c r="BY606" s="408"/>
      <c r="BZ606" s="408"/>
      <c r="CA606" s="408"/>
      <c r="CB606" s="408"/>
      <c r="CC606" s="408"/>
      <c r="CD606" s="408"/>
      <c r="CE606" s="408"/>
      <c r="CF606" s="408"/>
      <c r="CG606" s="408"/>
      <c r="CH606" s="408"/>
      <c r="CI606" s="408">
        <v>24838.739200000004</v>
      </c>
      <c r="CJ606" s="408">
        <v>-10852.798499999997</v>
      </c>
      <c r="CK606" s="408"/>
      <c r="CL606" s="408"/>
      <c r="CM606" s="408"/>
      <c r="CN606" s="408"/>
      <c r="CO606" s="408">
        <v>-11324.520379999998</v>
      </c>
      <c r="CP606" s="408">
        <v>471.22321999999991</v>
      </c>
      <c r="CQ606" s="408">
        <v>30</v>
      </c>
      <c r="CR606" s="408">
        <v>646.53228014666638</v>
      </c>
      <c r="CS606" s="408">
        <v>70.382475981604443</v>
      </c>
      <c r="CT606" s="408">
        <v>226.31586046341408</v>
      </c>
      <c r="CU606" s="408">
        <v>0</v>
      </c>
      <c r="CV606" s="408">
        <v>0</v>
      </c>
      <c r="CW606" s="408">
        <v>0</v>
      </c>
      <c r="CX606" s="408">
        <v>0</v>
      </c>
      <c r="CY606" s="408">
        <v>0</v>
      </c>
      <c r="CZ606" s="408">
        <v>-98.731297532957797</v>
      </c>
      <c r="DA606" s="408">
        <v>0</v>
      </c>
      <c r="DB606" s="408">
        <v>0</v>
      </c>
      <c r="DC606" s="408">
        <v>459.35112160408471</v>
      </c>
      <c r="DD606" s="408">
        <v>13.717804082484037</v>
      </c>
      <c r="DE606" s="408">
        <v>0.53263020963554109</v>
      </c>
      <c r="DF606" s="408">
        <v>0</v>
      </c>
      <c r="DG606" s="408">
        <v>17.835528392528971</v>
      </c>
      <c r="DH606" s="408">
        <v>0</v>
      </c>
      <c r="DI606" s="408">
        <v>-34.575590551120058</v>
      </c>
      <c r="DJ606" s="408"/>
      <c r="DK606" s="408">
        <v>0</v>
      </c>
      <c r="DL606" s="408">
        <v>0</v>
      </c>
      <c r="DM606" s="408">
        <v>-2.0010324473706476</v>
      </c>
      <c r="DN606" s="408">
        <v>0</v>
      </c>
      <c r="DO606" s="408">
        <v>-5.4436511131142993</v>
      </c>
      <c r="DP606" s="408">
        <v>-0.85156894252519422</v>
      </c>
      <c r="DQ606" s="408">
        <v>0</v>
      </c>
      <c r="DR606" s="408">
        <v>0</v>
      </c>
      <c r="DS606" s="408"/>
      <c r="DT606" s="408"/>
      <c r="DU606" s="408">
        <v>21720.970786355269</v>
      </c>
      <c r="DV606" s="408">
        <v>0</v>
      </c>
      <c r="DW606" s="408">
        <v>0</v>
      </c>
      <c r="DX606" s="408">
        <v>0</v>
      </c>
      <c r="DY606" s="408">
        <v>-11324.520379999998</v>
      </c>
      <c r="DZ606" s="408">
        <v>471.22322000000031</v>
      </c>
      <c r="EA606" s="408">
        <v>0</v>
      </c>
      <c r="EB606" s="408">
        <v>0</v>
      </c>
      <c r="EC606" s="408">
        <v>-11500.10248381575</v>
      </c>
      <c r="ED606" s="408">
        <v>0</v>
      </c>
      <c r="EE606" s="408">
        <v>0</v>
      </c>
      <c r="EF606" s="408">
        <v>0</v>
      </c>
      <c r="EG606" s="408">
        <v>0</v>
      </c>
      <c r="EH606" s="408">
        <v>0</v>
      </c>
      <c r="EI606" s="408">
        <v>0</v>
      </c>
      <c r="EJ606" s="408">
        <v>0</v>
      </c>
      <c r="EK606" s="408">
        <v>0</v>
      </c>
      <c r="EL606" s="408">
        <v>0</v>
      </c>
      <c r="EM606" s="408">
        <v>0</v>
      </c>
      <c r="EN606" s="408">
        <v>0</v>
      </c>
      <c r="EO606" s="408">
        <v>0</v>
      </c>
      <c r="EP606" s="408">
        <v>0</v>
      </c>
      <c r="EQ606" s="408">
        <v>0</v>
      </c>
      <c r="ER606" s="408">
        <v>0</v>
      </c>
      <c r="ES606" s="408">
        <v>0</v>
      </c>
      <c r="ET606" s="408">
        <v>0</v>
      </c>
      <c r="EU606" s="408">
        <v>0</v>
      </c>
      <c r="EV606" s="408">
        <v>239</v>
      </c>
      <c r="EW606" s="408">
        <v>0</v>
      </c>
      <c r="EX606" s="408">
        <v>0</v>
      </c>
      <c r="EY606" s="408">
        <v>0</v>
      </c>
      <c r="EZ606" s="408"/>
      <c r="FA606" s="408">
        <v>0</v>
      </c>
      <c r="FB606" s="408"/>
      <c r="FC606" s="408"/>
      <c r="FD606" s="408"/>
      <c r="FE606" s="408"/>
      <c r="FF606" s="408">
        <v>0</v>
      </c>
      <c r="FG606" s="408">
        <v>0</v>
      </c>
      <c r="FH606" s="408">
        <v>0</v>
      </c>
      <c r="FI606" s="408">
        <v>0</v>
      </c>
    </row>
    <row r="607" spans="1:165">
      <c r="A607" s="408">
        <v>611</v>
      </c>
      <c r="B607" s="408" t="s">
        <v>1034</v>
      </c>
      <c r="C607" s="408" t="s">
        <v>2245</v>
      </c>
      <c r="D607" s="408" t="s">
        <v>596</v>
      </c>
      <c r="E607" s="408" t="s">
        <v>2244</v>
      </c>
      <c r="F607" s="408" t="s">
        <v>1320</v>
      </c>
      <c r="G607" s="408" t="s">
        <v>1320</v>
      </c>
      <c r="H607" s="408" t="s">
        <v>1320</v>
      </c>
      <c r="I607" s="408" t="s">
        <v>2242</v>
      </c>
      <c r="J607" s="408" t="s">
        <v>2234</v>
      </c>
      <c r="K607" s="827">
        <v>44652</v>
      </c>
      <c r="L607" s="408">
        <v>462</v>
      </c>
      <c r="M607" s="408">
        <v>462</v>
      </c>
      <c r="N607" s="408">
        <v>137.125</v>
      </c>
      <c r="O607" s="408">
        <v>137.125</v>
      </c>
      <c r="P607" s="408">
        <v>137.125</v>
      </c>
      <c r="Q607" s="408">
        <v>137.125</v>
      </c>
      <c r="R607" s="408">
        <v>59.12</v>
      </c>
      <c r="S607" s="408">
        <v>70.33</v>
      </c>
      <c r="T607" s="408">
        <v>173.82</v>
      </c>
      <c r="U607" s="408">
        <v>27313.439999999999</v>
      </c>
      <c r="V607" s="408">
        <v>33479.068749999999</v>
      </c>
      <c r="W607" s="408">
        <v>60792.508749999994</v>
      </c>
      <c r="X607" s="408">
        <v>51968.111250000002</v>
      </c>
      <c r="Y607" s="408">
        <v>0</v>
      </c>
      <c r="Z607" s="408">
        <v>7295.0536351125411</v>
      </c>
      <c r="AA607" s="408">
        <v>0</v>
      </c>
      <c r="AB607" s="408">
        <v>0</v>
      </c>
      <c r="AC607" s="408">
        <v>264.29188786016113</v>
      </c>
      <c r="AD607" s="408">
        <v>2364.0644646305286</v>
      </c>
      <c r="AE607" s="408">
        <v>22250.750561632223</v>
      </c>
      <c r="AF607" s="408">
        <v>22066.44783611982</v>
      </c>
      <c r="AG607" s="408">
        <v>1110.1455418871503</v>
      </c>
      <c r="AH607" s="408">
        <v>0</v>
      </c>
      <c r="AI607" s="408">
        <v>0</v>
      </c>
      <c r="AJ607" s="408">
        <v>0</v>
      </c>
      <c r="AK607" s="408">
        <v>0</v>
      </c>
      <c r="AL607" s="408">
        <v>1296.0364791760383</v>
      </c>
      <c r="AM607" s="408"/>
      <c r="AN607" s="408">
        <v>170.40944253119997</v>
      </c>
      <c r="AO607" s="408">
        <v>558.12931744880768</v>
      </c>
      <c r="AP607" s="408">
        <v>1876.1763931772123</v>
      </c>
      <c r="AQ607" s="408">
        <v>0</v>
      </c>
      <c r="AR607" s="408">
        <v>0</v>
      </c>
      <c r="AS607" s="408">
        <v>0</v>
      </c>
      <c r="AT607" s="408">
        <v>0</v>
      </c>
      <c r="AU607" s="408">
        <v>0</v>
      </c>
      <c r="AV607" s="408">
        <v>0</v>
      </c>
      <c r="AW607" s="408">
        <v>0</v>
      </c>
      <c r="AX607" s="408">
        <v>0</v>
      </c>
      <c r="AY607" s="408">
        <v>0</v>
      </c>
      <c r="AZ607" s="408">
        <v>0</v>
      </c>
      <c r="BA607" s="408"/>
      <c r="BB607" s="408">
        <v>0</v>
      </c>
      <c r="BC607" s="408">
        <v>0</v>
      </c>
      <c r="BD607" s="408">
        <v>0</v>
      </c>
      <c r="BE607" s="408">
        <v>25.586650786486445</v>
      </c>
      <c r="BF607" s="408">
        <v>658.98001327437112</v>
      </c>
      <c r="BG607" s="408">
        <v>856.78849662765174</v>
      </c>
      <c r="BH607" s="408">
        <v>0</v>
      </c>
      <c r="BI607" s="408">
        <v>0</v>
      </c>
      <c r="BJ607" s="408">
        <v>0</v>
      </c>
      <c r="BK607" s="408">
        <v>0</v>
      </c>
      <c r="BL607" s="408">
        <v>0</v>
      </c>
      <c r="BM607" s="408"/>
      <c r="BN607" s="408"/>
      <c r="BO607" s="408"/>
      <c r="BP607" s="408"/>
      <c r="BQ607" s="408"/>
      <c r="BR607" s="408"/>
      <c r="BS607" s="408"/>
      <c r="BT607" s="408"/>
      <c r="BU607" s="408"/>
      <c r="BV607" s="408">
        <v>23607.802996808325</v>
      </c>
      <c r="BW607" s="408"/>
      <c r="BX607" s="408"/>
      <c r="BY607" s="408"/>
      <c r="BZ607" s="408"/>
      <c r="CA607" s="408"/>
      <c r="CB607" s="408"/>
      <c r="CC607" s="408"/>
      <c r="CD607" s="408"/>
      <c r="CE607" s="408"/>
      <c r="CF607" s="408"/>
      <c r="CG607" s="408"/>
      <c r="CH607" s="408"/>
      <c r="CI607" s="408">
        <v>51969.4329</v>
      </c>
      <c r="CJ607" s="408">
        <v>-8823.1058499999999</v>
      </c>
      <c r="CK607" s="408"/>
      <c r="CL607" s="408"/>
      <c r="CM607" s="408"/>
      <c r="CN607" s="408"/>
      <c r="CO607" s="408">
        <v>-11730.076249999998</v>
      </c>
      <c r="CP607" s="408">
        <v>2905.6787499999996</v>
      </c>
      <c r="CQ607" s="408">
        <v>30</v>
      </c>
      <c r="CR607" s="408">
        <v>2956.9906987932336</v>
      </c>
      <c r="CS607" s="408">
        <v>54.190830620697625</v>
      </c>
      <c r="CT607" s="408">
        <v>182.16487462431701</v>
      </c>
      <c r="CU607" s="408">
        <v>0</v>
      </c>
      <c r="CV607" s="408">
        <v>0</v>
      </c>
      <c r="CW607" s="408">
        <v>0</v>
      </c>
      <c r="CX607" s="408">
        <v>0</v>
      </c>
      <c r="CY607" s="408">
        <v>0</v>
      </c>
      <c r="CZ607" s="408">
        <v>-45.329063664450587</v>
      </c>
      <c r="DA607" s="408">
        <v>0</v>
      </c>
      <c r="DB607" s="408">
        <v>0</v>
      </c>
      <c r="DC607" s="408">
        <v>2832.4724593021019</v>
      </c>
      <c r="DD607" s="408">
        <v>84.587367785350466</v>
      </c>
      <c r="DE607" s="408">
        <v>3.2843294134487593</v>
      </c>
      <c r="DF607" s="408">
        <v>0</v>
      </c>
      <c r="DG607" s="408">
        <v>109.97827281345144</v>
      </c>
      <c r="DH607" s="408">
        <v>0</v>
      </c>
      <c r="DI607" s="408">
        <v>-213.20163028700154</v>
      </c>
      <c r="DJ607" s="408"/>
      <c r="DK607" s="408">
        <v>0</v>
      </c>
      <c r="DL607" s="408">
        <v>0</v>
      </c>
      <c r="DM607" s="408">
        <v>-12.338860254775682</v>
      </c>
      <c r="DN607" s="408">
        <v>0</v>
      </c>
      <c r="DO607" s="408">
        <v>-33.566897152882348</v>
      </c>
      <c r="DP607" s="408">
        <v>-5.2509844070405336</v>
      </c>
      <c r="DQ607" s="408">
        <v>0</v>
      </c>
      <c r="DR607" s="408">
        <v>0</v>
      </c>
      <c r="DS607" s="408"/>
      <c r="DT607" s="408"/>
      <c r="DU607" s="408">
        <v>22250.750561632223</v>
      </c>
      <c r="DV607" s="408">
        <v>0</v>
      </c>
      <c r="DW607" s="408">
        <v>0</v>
      </c>
      <c r="DX607" s="408">
        <v>0</v>
      </c>
      <c r="DY607" s="408">
        <v>-11730.076249999998</v>
      </c>
      <c r="DZ607" s="408">
        <v>2905.6787500000028</v>
      </c>
      <c r="EA607" s="408">
        <v>0</v>
      </c>
      <c r="EB607" s="408">
        <v>0</v>
      </c>
      <c r="EC607" s="408">
        <v>-11780.592788299056</v>
      </c>
      <c r="ED607" s="408">
        <v>0</v>
      </c>
      <c r="EE607" s="408">
        <v>0</v>
      </c>
      <c r="EF607" s="408">
        <v>0</v>
      </c>
      <c r="EG607" s="408">
        <v>0</v>
      </c>
      <c r="EH607" s="408">
        <v>0</v>
      </c>
      <c r="EI607" s="408">
        <v>0</v>
      </c>
      <c r="EJ607" s="408">
        <v>0</v>
      </c>
      <c r="EK607" s="408">
        <v>0</v>
      </c>
      <c r="EL607" s="408">
        <v>0</v>
      </c>
      <c r="EM607" s="408">
        <v>0</v>
      </c>
      <c r="EN607" s="408">
        <v>0</v>
      </c>
      <c r="EO607" s="408">
        <v>0</v>
      </c>
      <c r="EP607" s="408">
        <v>0</v>
      </c>
      <c r="EQ607" s="408">
        <v>0</v>
      </c>
      <c r="ER607" s="408">
        <v>0</v>
      </c>
      <c r="ES607" s="408">
        <v>0</v>
      </c>
      <c r="ET607" s="408">
        <v>0</v>
      </c>
      <c r="EU607" s="408">
        <v>0</v>
      </c>
      <c r="EV607" s="408">
        <v>239</v>
      </c>
      <c r="EW607" s="408">
        <v>0</v>
      </c>
      <c r="EX607" s="408">
        <v>0</v>
      </c>
      <c r="EY607" s="408">
        <v>0</v>
      </c>
      <c r="EZ607" s="408"/>
      <c r="FA607" s="408">
        <v>0</v>
      </c>
      <c r="FB607" s="408"/>
      <c r="FC607" s="408"/>
      <c r="FD607" s="408"/>
      <c r="FE607" s="408"/>
      <c r="FF607" s="408">
        <v>0</v>
      </c>
      <c r="FG607" s="408">
        <v>0</v>
      </c>
      <c r="FH607" s="408">
        <v>0</v>
      </c>
      <c r="FI607" s="408">
        <v>0</v>
      </c>
    </row>
    <row r="608" spans="1:165">
      <c r="A608" s="408">
        <v>612</v>
      </c>
      <c r="B608" s="408" t="s">
        <v>1034</v>
      </c>
      <c r="C608" s="408" t="s">
        <v>2245</v>
      </c>
      <c r="D608" s="408" t="s">
        <v>596</v>
      </c>
      <c r="E608" s="408" t="s">
        <v>2244</v>
      </c>
      <c r="F608" s="408" t="s">
        <v>1320</v>
      </c>
      <c r="G608" s="408" t="s">
        <v>1320</v>
      </c>
      <c r="H608" s="408" t="s">
        <v>1320</v>
      </c>
      <c r="I608" s="408" t="s">
        <v>1320</v>
      </c>
      <c r="J608" s="408" t="s">
        <v>2234</v>
      </c>
      <c r="K608" s="827">
        <v>44652</v>
      </c>
      <c r="L608" s="408">
        <v>0</v>
      </c>
      <c r="M608" s="408">
        <v>0</v>
      </c>
      <c r="N608" s="408">
        <v>0</v>
      </c>
      <c r="O608" s="408">
        <v>0</v>
      </c>
      <c r="P608" s="408">
        <v>0</v>
      </c>
      <c r="Q608" s="408">
        <v>0</v>
      </c>
      <c r="R608" s="408"/>
      <c r="S608" s="408"/>
      <c r="T608" s="408"/>
      <c r="U608" s="408"/>
      <c r="V608" s="408"/>
      <c r="W608" s="408"/>
      <c r="X608" s="408"/>
      <c r="Y608" s="408"/>
      <c r="Z608" s="408"/>
      <c r="AA608" s="408">
        <v>0</v>
      </c>
      <c r="AB608" s="408"/>
      <c r="AC608" s="408"/>
      <c r="AD608" s="408"/>
      <c r="AE608" s="408"/>
      <c r="AF608" s="408"/>
      <c r="AG608" s="408"/>
      <c r="AH608" s="408"/>
      <c r="AI608" s="408"/>
      <c r="AJ608" s="408"/>
      <c r="AK608" s="408"/>
      <c r="AL608" s="408"/>
      <c r="AM608" s="408"/>
      <c r="AN608" s="408"/>
      <c r="AO608" s="408"/>
      <c r="AP608" s="408"/>
      <c r="AQ608" s="408"/>
      <c r="AR608" s="408"/>
      <c r="AS608" s="408"/>
      <c r="AT608" s="408"/>
      <c r="AU608" s="408"/>
      <c r="AV608" s="408"/>
      <c r="AW608" s="408"/>
      <c r="AX608" s="408"/>
      <c r="AY608" s="408"/>
      <c r="AZ608" s="408">
        <v>0</v>
      </c>
      <c r="BA608" s="408"/>
      <c r="BB608" s="408"/>
      <c r="BC608" s="408"/>
      <c r="BD608" s="408"/>
      <c r="BE608" s="408"/>
      <c r="BF608" s="408"/>
      <c r="BG608" s="408"/>
      <c r="BH608" s="408"/>
      <c r="BI608" s="408">
        <v>168.99</v>
      </c>
      <c r="BJ608" s="408">
        <v>777.42</v>
      </c>
      <c r="BK608" s="408">
        <v>0</v>
      </c>
      <c r="BL608" s="408">
        <v>1</v>
      </c>
      <c r="BM608" s="408"/>
      <c r="BN608" s="408"/>
      <c r="BO608" s="408"/>
      <c r="BP608" s="408"/>
      <c r="BQ608" s="408"/>
      <c r="BR608" s="408"/>
      <c r="BS608" s="408"/>
      <c r="BT608" s="408"/>
      <c r="BU608" s="408"/>
      <c r="BV608" s="408"/>
      <c r="BW608" s="408"/>
      <c r="BX608" s="408"/>
      <c r="BY608" s="408"/>
      <c r="BZ608" s="408"/>
      <c r="CA608" s="408"/>
      <c r="CB608" s="408"/>
      <c r="CC608" s="408"/>
      <c r="CD608" s="408"/>
      <c r="CE608" s="408"/>
      <c r="CF608" s="408"/>
      <c r="CG608" s="408"/>
      <c r="CH608" s="408"/>
      <c r="CI608" s="408"/>
      <c r="CJ608" s="408">
        <v>-0.03</v>
      </c>
      <c r="CK608" s="408"/>
      <c r="CL608" s="408"/>
      <c r="CM608" s="408"/>
      <c r="CN608" s="408"/>
      <c r="CO608" s="408">
        <v>0</v>
      </c>
      <c r="CP608" s="408">
        <v>0</v>
      </c>
      <c r="CQ608" s="408">
        <v>30</v>
      </c>
      <c r="CR608" s="408"/>
      <c r="CS608" s="408"/>
      <c r="CT608" s="408"/>
      <c r="CU608" s="408"/>
      <c r="CV608" s="408"/>
      <c r="CW608" s="408"/>
      <c r="CX608" s="408"/>
      <c r="CY608" s="408"/>
      <c r="CZ608" s="408"/>
      <c r="DA608" s="408"/>
      <c r="DB608" s="408"/>
      <c r="DC608" s="408"/>
      <c r="DD608" s="408"/>
      <c r="DE608" s="408"/>
      <c r="DF608" s="408"/>
      <c r="DG608" s="408"/>
      <c r="DH608" s="408"/>
      <c r="DI608" s="408"/>
      <c r="DJ608" s="408"/>
      <c r="DK608" s="408">
        <v>0</v>
      </c>
      <c r="DL608" s="408"/>
      <c r="DM608" s="408"/>
      <c r="DN608" s="408"/>
      <c r="DO608" s="408"/>
      <c r="DP608" s="408"/>
      <c r="DQ608" s="408"/>
      <c r="DR608" s="408"/>
      <c r="DS608" s="408"/>
      <c r="DT608" s="408"/>
      <c r="DU608" s="408"/>
      <c r="DV608" s="408"/>
      <c r="DW608" s="408"/>
      <c r="DX608" s="408"/>
      <c r="DY608" s="408"/>
      <c r="DZ608" s="408"/>
      <c r="EA608" s="408"/>
      <c r="EB608" s="408"/>
      <c r="EC608" s="408"/>
      <c r="ED608" s="408"/>
      <c r="EE608" s="408"/>
      <c r="EF608" s="408"/>
      <c r="EG608" s="408"/>
      <c r="EH608" s="408"/>
      <c r="EI608" s="408"/>
      <c r="EJ608" s="408"/>
      <c r="EK608" s="408"/>
      <c r="EL608" s="408"/>
      <c r="EM608" s="408"/>
      <c r="EN608" s="408"/>
      <c r="EO608" s="408"/>
      <c r="EP608" s="408"/>
      <c r="EQ608" s="408"/>
      <c r="ER608" s="408"/>
      <c r="ES608" s="408"/>
      <c r="ET608" s="408"/>
      <c r="EU608" s="408"/>
      <c r="EV608" s="408">
        <v>239</v>
      </c>
      <c r="EW608" s="408"/>
      <c r="EX608" s="408"/>
      <c r="EY608" s="408"/>
      <c r="EZ608" s="408"/>
      <c r="FA608" s="408">
        <v>0</v>
      </c>
      <c r="FB608" s="408"/>
      <c r="FC608" s="408"/>
      <c r="FD608" s="408"/>
      <c r="FE608" s="408"/>
      <c r="FF608" s="408">
        <v>0</v>
      </c>
      <c r="FG608" s="408">
        <v>0</v>
      </c>
      <c r="FH608" s="408">
        <v>0</v>
      </c>
      <c r="FI608" s="408">
        <v>0</v>
      </c>
    </row>
    <row r="609" spans="1:165">
      <c r="A609" s="408">
        <v>613</v>
      </c>
      <c r="B609" s="408" t="s">
        <v>1034</v>
      </c>
      <c r="C609" s="408" t="s">
        <v>2233</v>
      </c>
      <c r="D609" s="408" t="s">
        <v>2246</v>
      </c>
      <c r="E609" s="408" t="s">
        <v>2247</v>
      </c>
      <c r="F609" s="408" t="s">
        <v>2248</v>
      </c>
      <c r="G609" s="408" t="s">
        <v>1320</v>
      </c>
      <c r="H609" s="408" t="s">
        <v>1320</v>
      </c>
      <c r="I609" s="408" t="s">
        <v>1320</v>
      </c>
      <c r="J609" s="408" t="s">
        <v>2234</v>
      </c>
      <c r="K609" s="827">
        <v>44652</v>
      </c>
      <c r="L609" s="408">
        <v>0</v>
      </c>
      <c r="M609" s="408">
        <v>0</v>
      </c>
      <c r="N609" s="408">
        <v>260.14699999999999</v>
      </c>
      <c r="O609" s="408">
        <v>260.14699999999999</v>
      </c>
      <c r="P609" s="408">
        <v>260.14699999999999</v>
      </c>
      <c r="Q609" s="408">
        <v>260.14699999999999</v>
      </c>
      <c r="R609" s="408"/>
      <c r="S609" s="408">
        <v>284.26</v>
      </c>
      <c r="T609" s="408">
        <v>95.6</v>
      </c>
      <c r="U609" s="408"/>
      <c r="V609" s="408">
        <v>98819.439419999995</v>
      </c>
      <c r="W609" s="408">
        <v>98819.439419999995</v>
      </c>
      <c r="X609" s="408">
        <v>74607.55812999999</v>
      </c>
      <c r="Y609" s="408">
        <v>0</v>
      </c>
      <c r="Z609" s="408">
        <v>8749.3161068954414</v>
      </c>
      <c r="AA609" s="408">
        <v>0</v>
      </c>
      <c r="AB609" s="408">
        <v>0</v>
      </c>
      <c r="AC609" s="408">
        <v>388.95728869822841</v>
      </c>
      <c r="AD609" s="408">
        <v>4925.7888391969973</v>
      </c>
      <c r="AE609" s="408">
        <v>52026.457045877069</v>
      </c>
      <c r="AF609" s="408">
        <v>23024.875937084344</v>
      </c>
      <c r="AG609" s="408">
        <v>1158.3633017824907</v>
      </c>
      <c r="AH609" s="408">
        <v>0</v>
      </c>
      <c r="AI609" s="408">
        <v>0</v>
      </c>
      <c r="AJ609" s="408">
        <v>0</v>
      </c>
      <c r="AK609" s="408">
        <v>0</v>
      </c>
      <c r="AL609" s="408">
        <v>1352.3281755443193</v>
      </c>
      <c r="AM609" s="408"/>
      <c r="AN609" s="408">
        <v>221.99594457217293</v>
      </c>
      <c r="AO609" s="408">
        <v>829.65484944691048</v>
      </c>
      <c r="AP609" s="408">
        <v>2717.0074529666763</v>
      </c>
      <c r="AQ609" s="408">
        <v>0</v>
      </c>
      <c r="AR609" s="408">
        <v>0</v>
      </c>
      <c r="AS609" s="408">
        <v>0</v>
      </c>
      <c r="AT609" s="408">
        <v>0</v>
      </c>
      <c r="AU609" s="408">
        <v>0</v>
      </c>
      <c r="AV609" s="408">
        <v>0</v>
      </c>
      <c r="AW609" s="408">
        <v>0</v>
      </c>
      <c r="AX609" s="408">
        <v>0</v>
      </c>
      <c r="AY609" s="408">
        <v>0</v>
      </c>
      <c r="AZ609" s="408">
        <v>0</v>
      </c>
      <c r="BA609" s="408"/>
      <c r="BB609" s="408">
        <v>0</v>
      </c>
      <c r="BC609" s="408">
        <v>0</v>
      </c>
      <c r="BD609" s="408">
        <v>0</v>
      </c>
      <c r="BE609" s="408">
        <v>79.383060838539734</v>
      </c>
      <c r="BF609" s="408">
        <v>687.60197215904054</v>
      </c>
      <c r="BG609" s="408">
        <v>2658.2022759100428</v>
      </c>
      <c r="BH609" s="408">
        <v>0</v>
      </c>
      <c r="BI609" s="408">
        <v>174.77</v>
      </c>
      <c r="BJ609" s="408">
        <v>804.38</v>
      </c>
      <c r="BK609" s="408">
        <v>23514.12</v>
      </c>
      <c r="BL609" s="408">
        <v>14</v>
      </c>
      <c r="BM609" s="408"/>
      <c r="BN609" s="408"/>
      <c r="BO609" s="408"/>
      <c r="BP609" s="408"/>
      <c r="BQ609" s="408"/>
      <c r="BR609" s="408"/>
      <c r="BS609" s="408"/>
      <c r="BT609" s="408"/>
      <c r="BU609" s="408"/>
      <c r="BV609" s="408">
        <v>26450.063245991969</v>
      </c>
      <c r="BW609" s="408"/>
      <c r="BX609" s="408"/>
      <c r="BY609" s="408"/>
      <c r="BZ609" s="408"/>
      <c r="CA609" s="408"/>
      <c r="CB609" s="408"/>
      <c r="CC609" s="408"/>
      <c r="CD609" s="408"/>
      <c r="CE609" s="408"/>
      <c r="CF609" s="408"/>
      <c r="CG609" s="408"/>
      <c r="CH609" s="408"/>
      <c r="CI609" s="408">
        <v>74608.418499999985</v>
      </c>
      <c r="CJ609" s="408">
        <v>-24211.050919999994</v>
      </c>
      <c r="CK609" s="408"/>
      <c r="CL609" s="408"/>
      <c r="CM609" s="408"/>
      <c r="CN609" s="408"/>
      <c r="CO609" s="408">
        <v>-27242.593839999998</v>
      </c>
      <c r="CP609" s="408">
        <v>3030.7125500000016</v>
      </c>
      <c r="CQ609" s="408">
        <v>30</v>
      </c>
      <c r="CR609" s="408">
        <v>3334.6249793213283</v>
      </c>
      <c r="CS609" s="408">
        <v>80.554244356001163</v>
      </c>
      <c r="CT609" s="408">
        <v>263.80425839641657</v>
      </c>
      <c r="CU609" s="408">
        <v>0</v>
      </c>
      <c r="CV609" s="408">
        <v>0</v>
      </c>
      <c r="CW609" s="408">
        <v>0</v>
      </c>
      <c r="CX609" s="408">
        <v>0</v>
      </c>
      <c r="CY609" s="408">
        <v>0</v>
      </c>
      <c r="CZ609" s="408">
        <v>-94.448099546417325</v>
      </c>
      <c r="DA609" s="408">
        <v>0</v>
      </c>
      <c r="DB609" s="408">
        <v>0</v>
      </c>
      <c r="DC609" s="408">
        <v>2955.4972986583052</v>
      </c>
      <c r="DD609" s="408">
        <v>88.261312539584765</v>
      </c>
      <c r="DE609" s="408">
        <v>10.189693204368282</v>
      </c>
      <c r="DF609" s="408">
        <v>0</v>
      </c>
      <c r="DG609" s="408">
        <v>341.20964070368791</v>
      </c>
      <c r="DH609" s="408">
        <v>0</v>
      </c>
      <c r="DI609" s="408">
        <v>-255.70318618469173</v>
      </c>
      <c r="DJ609" s="408"/>
      <c r="DK609" s="408">
        <v>0</v>
      </c>
      <c r="DL609" s="408">
        <v>0</v>
      </c>
      <c r="DM609" s="408">
        <v>-12.874782959230743</v>
      </c>
      <c r="DN609" s="408">
        <v>0</v>
      </c>
      <c r="DO609" s="408">
        <v>-35.024832645373635</v>
      </c>
      <c r="DP609" s="408">
        <v>-6.8405672013228127</v>
      </c>
      <c r="DQ609" s="408">
        <v>0</v>
      </c>
      <c r="DR609" s="408">
        <v>0</v>
      </c>
      <c r="DS609" s="408"/>
      <c r="DT609" s="408"/>
      <c r="DU609" s="408"/>
      <c r="DV609" s="408">
        <v>52026.457045877069</v>
      </c>
      <c r="DW609" s="408">
        <v>0</v>
      </c>
      <c r="DX609" s="408">
        <v>0</v>
      </c>
      <c r="DY609" s="408">
        <v>-27242.593840000001</v>
      </c>
      <c r="DZ609" s="408">
        <v>3030.7125500000002</v>
      </c>
      <c r="EA609" s="408">
        <v>0</v>
      </c>
      <c r="EB609" s="408">
        <v>0</v>
      </c>
      <c r="EC609" s="408">
        <v>-27545.250798517292</v>
      </c>
      <c r="ED609" s="408">
        <v>0</v>
      </c>
      <c r="EE609" s="408">
        <v>0</v>
      </c>
      <c r="EF609" s="408">
        <v>0</v>
      </c>
      <c r="EG609" s="408">
        <v>0</v>
      </c>
      <c r="EH609" s="408">
        <v>0</v>
      </c>
      <c r="EI609" s="408">
        <v>0</v>
      </c>
      <c r="EJ609" s="408">
        <v>0</v>
      </c>
      <c r="EK609" s="408">
        <v>0</v>
      </c>
      <c r="EL609" s="408">
        <v>0</v>
      </c>
      <c r="EM609" s="408">
        <v>0</v>
      </c>
      <c r="EN609" s="408">
        <v>0</v>
      </c>
      <c r="EO609" s="408">
        <v>0</v>
      </c>
      <c r="EP609" s="408">
        <v>0</v>
      </c>
      <c r="EQ609" s="408">
        <v>0</v>
      </c>
      <c r="ER609" s="408">
        <v>0</v>
      </c>
      <c r="ES609" s="408">
        <v>0</v>
      </c>
      <c r="ET609" s="408">
        <v>0</v>
      </c>
      <c r="EU609" s="408">
        <v>0</v>
      </c>
      <c r="EV609" s="408">
        <v>239</v>
      </c>
      <c r="EW609" s="408">
        <v>0</v>
      </c>
      <c r="EX609" s="408">
        <v>0</v>
      </c>
      <c r="EY609" s="408">
        <v>0</v>
      </c>
      <c r="EZ609" s="408"/>
      <c r="FA609" s="408">
        <v>0</v>
      </c>
      <c r="FB609" s="408"/>
      <c r="FC609" s="408"/>
      <c r="FD609" s="408"/>
      <c r="FE609" s="408"/>
      <c r="FF609" s="408">
        <v>0</v>
      </c>
      <c r="FG609" s="408">
        <v>0</v>
      </c>
      <c r="FH609" s="408">
        <v>0</v>
      </c>
      <c r="FI609" s="408">
        <v>0</v>
      </c>
    </row>
    <row r="610" spans="1:165">
      <c r="A610" s="408">
        <v>614</v>
      </c>
      <c r="B610" s="408" t="s">
        <v>1034</v>
      </c>
      <c r="C610" s="408" t="s">
        <v>2233</v>
      </c>
      <c r="D610" s="408" t="s">
        <v>1956</v>
      </c>
      <c r="E610" s="408" t="s">
        <v>999</v>
      </c>
      <c r="F610" s="408" t="s">
        <v>2249</v>
      </c>
      <c r="G610" s="408" t="s">
        <v>1320</v>
      </c>
      <c r="H610" s="408" t="s">
        <v>1320</v>
      </c>
      <c r="I610" s="408" t="s">
        <v>1320</v>
      </c>
      <c r="J610" s="408" t="s">
        <v>2234</v>
      </c>
      <c r="K610" s="827">
        <v>44652</v>
      </c>
      <c r="L610" s="408">
        <v>0</v>
      </c>
      <c r="M610" s="408">
        <v>0</v>
      </c>
      <c r="N610" s="408">
        <v>7.1449999999999996</v>
      </c>
      <c r="O610" s="408">
        <v>6.7163000000000004</v>
      </c>
      <c r="P610" s="408">
        <v>7.1449999999999996</v>
      </c>
      <c r="Q610" s="408">
        <v>6.7163000000000004</v>
      </c>
      <c r="R610" s="408"/>
      <c r="S610" s="408">
        <v>516.83000000000004</v>
      </c>
      <c r="T610" s="408">
        <v>173.82</v>
      </c>
      <c r="U610" s="408"/>
      <c r="V610" s="408">
        <v>4934.6942500000005</v>
      </c>
      <c r="W610" s="408">
        <v>4934.6942500000005</v>
      </c>
      <c r="X610" s="408">
        <v>3725.7602499999994</v>
      </c>
      <c r="Y610" s="408">
        <v>0</v>
      </c>
      <c r="Z610" s="408">
        <v>436.91286139107928</v>
      </c>
      <c r="AA610" s="408">
        <v>0</v>
      </c>
      <c r="AB610" s="408">
        <v>0</v>
      </c>
      <c r="AC610" s="408">
        <v>19.423282904377764</v>
      </c>
      <c r="AD610" s="408">
        <v>245.97813932516152</v>
      </c>
      <c r="AE610" s="408">
        <v>2598.0348564660644</v>
      </c>
      <c r="AF610" s="408">
        <v>1149.7886584435814</v>
      </c>
      <c r="AG610" s="408">
        <v>57.844958226316777</v>
      </c>
      <c r="AH610" s="408">
        <v>0</v>
      </c>
      <c r="AI610" s="408">
        <v>0</v>
      </c>
      <c r="AJ610" s="408">
        <v>0</v>
      </c>
      <c r="AK610" s="408">
        <v>0</v>
      </c>
      <c r="AL610" s="408">
        <v>67.530943618689463</v>
      </c>
      <c r="AM610" s="408"/>
      <c r="AN610" s="408">
        <v>11.085767410301035</v>
      </c>
      <c r="AO610" s="408">
        <v>41.430309501922714</v>
      </c>
      <c r="AP610" s="408">
        <v>135.67866175974558</v>
      </c>
      <c r="AQ610" s="408">
        <v>0</v>
      </c>
      <c r="AR610" s="408">
        <v>0</v>
      </c>
      <c r="AS610" s="408">
        <v>0</v>
      </c>
      <c r="AT610" s="408">
        <v>0</v>
      </c>
      <c r="AU610" s="408">
        <v>0</v>
      </c>
      <c r="AV610" s="408">
        <v>0</v>
      </c>
      <c r="AW610" s="408">
        <v>0</v>
      </c>
      <c r="AX610" s="408">
        <v>0</v>
      </c>
      <c r="AY610" s="408">
        <v>0</v>
      </c>
      <c r="AZ610" s="408">
        <v>0</v>
      </c>
      <c r="BA610" s="408"/>
      <c r="BB610" s="408">
        <v>0</v>
      </c>
      <c r="BC610" s="408">
        <v>0</v>
      </c>
      <c r="BD610" s="408">
        <v>0</v>
      </c>
      <c r="BE610" s="408">
        <v>3.9641361488372975</v>
      </c>
      <c r="BF610" s="408">
        <v>34.336643171160482</v>
      </c>
      <c r="BG610" s="408">
        <v>132.74211930791103</v>
      </c>
      <c r="BH610" s="408">
        <v>0</v>
      </c>
      <c r="BI610" s="408">
        <v>8.19</v>
      </c>
      <c r="BJ610" s="408">
        <v>37.83</v>
      </c>
      <c r="BK610" s="408">
        <v>1474.9</v>
      </c>
      <c r="BL610" s="408">
        <v>7</v>
      </c>
      <c r="BM610" s="408"/>
      <c r="BN610" s="408"/>
      <c r="BO610" s="408"/>
      <c r="BP610" s="408"/>
      <c r="BQ610" s="408">
        <v>223.5456149999996</v>
      </c>
      <c r="BR610" s="408"/>
      <c r="BS610" s="408"/>
      <c r="BT610" s="408"/>
      <c r="BU610" s="408"/>
      <c r="BV610" s="408">
        <v>1320.8315570714901</v>
      </c>
      <c r="BW610" s="408"/>
      <c r="BX610" s="408"/>
      <c r="BY610" s="408"/>
      <c r="BZ610" s="408"/>
      <c r="CA610" s="408"/>
      <c r="CB610" s="408"/>
      <c r="CC610" s="408"/>
      <c r="CD610" s="408"/>
      <c r="CE610" s="408"/>
      <c r="CF610" s="408"/>
      <c r="CG610" s="408"/>
      <c r="CH610" s="408"/>
      <c r="CI610" s="408">
        <v>3504.1439999999993</v>
      </c>
      <c r="CJ610" s="408">
        <v>-1134.4985950000018</v>
      </c>
      <c r="CK610" s="408"/>
      <c r="CL610" s="408"/>
      <c r="CM610" s="408"/>
      <c r="CN610" s="408"/>
      <c r="CO610" s="408">
        <v>-1360.3365500000002</v>
      </c>
      <c r="CP610" s="408">
        <v>151.40254999999996</v>
      </c>
      <c r="CQ610" s="408">
        <v>30</v>
      </c>
      <c r="CR610" s="408">
        <v>166.52050555508777</v>
      </c>
      <c r="CS610" s="408">
        <v>4.0226213076286683</v>
      </c>
      <c r="CT610" s="408">
        <v>13.173540877360125</v>
      </c>
      <c r="CU610" s="408">
        <v>0</v>
      </c>
      <c r="CV610" s="408">
        <v>0</v>
      </c>
      <c r="CW610" s="408">
        <v>0</v>
      </c>
      <c r="CX610" s="408">
        <v>0</v>
      </c>
      <c r="CY610" s="408">
        <v>0</v>
      </c>
      <c r="CZ610" s="408">
        <v>-4.7164359958667887</v>
      </c>
      <c r="DA610" s="408">
        <v>0</v>
      </c>
      <c r="DB610" s="408">
        <v>0</v>
      </c>
      <c r="DC610" s="408">
        <v>147.58808183564997</v>
      </c>
      <c r="DD610" s="408">
        <v>4.4074876413952921</v>
      </c>
      <c r="DE610" s="408">
        <v>0.50884068654338543</v>
      </c>
      <c r="DF610" s="408">
        <v>0</v>
      </c>
      <c r="DG610" s="408">
        <v>17.0389180860181</v>
      </c>
      <c r="DH610" s="408">
        <v>0</v>
      </c>
      <c r="DI610" s="408">
        <v>-12.768999242662517</v>
      </c>
      <c r="DJ610" s="408"/>
      <c r="DK610" s="408">
        <v>0</v>
      </c>
      <c r="DL610" s="408">
        <v>0</v>
      </c>
      <c r="DM610" s="408">
        <v>-0.64292548054964982</v>
      </c>
      <c r="DN610" s="408">
        <v>0</v>
      </c>
      <c r="DO610" s="408">
        <v>-1.7490281141830053</v>
      </c>
      <c r="DP610" s="408">
        <v>-0.34159604624552209</v>
      </c>
      <c r="DQ610" s="408">
        <v>0</v>
      </c>
      <c r="DR610" s="408">
        <v>0</v>
      </c>
      <c r="DS610" s="408"/>
      <c r="DT610" s="408"/>
      <c r="DU610" s="408"/>
      <c r="DV610" s="408">
        <v>2598.0348564660644</v>
      </c>
      <c r="DW610" s="408">
        <v>0</v>
      </c>
      <c r="DX610" s="408">
        <v>0</v>
      </c>
      <c r="DY610" s="408">
        <v>-1360.3365500000004</v>
      </c>
      <c r="DZ610" s="408">
        <v>151.40254999999979</v>
      </c>
      <c r="EA610" s="408">
        <v>0</v>
      </c>
      <c r="EB610" s="408">
        <v>0</v>
      </c>
      <c r="EC610" s="408">
        <v>-1375.5217204497083</v>
      </c>
      <c r="ED610" s="408">
        <v>0</v>
      </c>
      <c r="EE610" s="408">
        <v>0</v>
      </c>
      <c r="EF610" s="408">
        <v>0</v>
      </c>
      <c r="EG610" s="408">
        <v>0</v>
      </c>
      <c r="EH610" s="408">
        <v>0</v>
      </c>
      <c r="EI610" s="408">
        <v>0</v>
      </c>
      <c r="EJ610" s="408">
        <v>0</v>
      </c>
      <c r="EK610" s="408">
        <v>0</v>
      </c>
      <c r="EL610" s="408">
        <v>0</v>
      </c>
      <c r="EM610" s="408">
        <v>0</v>
      </c>
      <c r="EN610" s="408">
        <v>0</v>
      </c>
      <c r="EO610" s="408">
        <v>0</v>
      </c>
      <c r="EP610" s="408">
        <v>0</v>
      </c>
      <c r="EQ610" s="408">
        <v>0</v>
      </c>
      <c r="ER610" s="408">
        <v>0</v>
      </c>
      <c r="ES610" s="408">
        <v>0</v>
      </c>
      <c r="ET610" s="408">
        <v>0</v>
      </c>
      <c r="EU610" s="408">
        <v>0</v>
      </c>
      <c r="EV610" s="408">
        <v>239</v>
      </c>
      <c r="EW610" s="408">
        <v>0</v>
      </c>
      <c r="EX610" s="408">
        <v>0</v>
      </c>
      <c r="EY610" s="408">
        <v>0</v>
      </c>
      <c r="EZ610" s="408"/>
      <c r="FA610" s="408">
        <v>0</v>
      </c>
      <c r="FB610" s="408"/>
      <c r="FC610" s="408"/>
      <c r="FD610" s="408"/>
      <c r="FE610" s="408"/>
      <c r="FF610" s="408">
        <v>0</v>
      </c>
      <c r="FG610" s="408">
        <v>0</v>
      </c>
      <c r="FH610" s="408">
        <v>0</v>
      </c>
      <c r="FI610" s="408">
        <v>0</v>
      </c>
    </row>
    <row r="611" spans="1:165">
      <c r="A611" s="408">
        <v>615</v>
      </c>
      <c r="B611" s="408" t="s">
        <v>1034</v>
      </c>
      <c r="C611" s="408" t="s">
        <v>2245</v>
      </c>
      <c r="D611" s="408" t="s">
        <v>596</v>
      </c>
      <c r="E611" s="408" t="s">
        <v>999</v>
      </c>
      <c r="F611" s="408" t="s">
        <v>2249</v>
      </c>
      <c r="G611" s="408" t="s">
        <v>1320</v>
      </c>
      <c r="H611" s="408" t="s">
        <v>1320</v>
      </c>
      <c r="I611" s="408" t="s">
        <v>971</v>
      </c>
      <c r="J611" s="408" t="s">
        <v>2234</v>
      </c>
      <c r="K611" s="827">
        <v>44652</v>
      </c>
      <c r="L611" s="408">
        <v>100</v>
      </c>
      <c r="M611" s="408">
        <v>94</v>
      </c>
      <c r="N611" s="408">
        <v>3.9089999999999998</v>
      </c>
      <c r="O611" s="408">
        <v>3.6744599999999998</v>
      </c>
      <c r="P611" s="408">
        <v>3.9089999999999998</v>
      </c>
      <c r="Q611" s="408">
        <v>3.6744599999999998</v>
      </c>
      <c r="R611" s="408">
        <v>67.099999999999994</v>
      </c>
      <c r="S611" s="408">
        <v>70.33</v>
      </c>
      <c r="T611" s="408">
        <v>173.82</v>
      </c>
      <c r="U611" s="408">
        <v>6709.9999999999991</v>
      </c>
      <c r="V611" s="408">
        <v>954.38234999999986</v>
      </c>
      <c r="W611" s="408">
        <v>7664.382349999999</v>
      </c>
      <c r="X611" s="408">
        <v>5237.2659700000004</v>
      </c>
      <c r="Y611" s="408">
        <v>0</v>
      </c>
      <c r="Z611" s="408">
        <v>207.95890362556005</v>
      </c>
      <c r="AA611" s="408">
        <v>0</v>
      </c>
      <c r="AB611" s="408">
        <v>0</v>
      </c>
      <c r="AC611" s="408">
        <v>74.841808613404609</v>
      </c>
      <c r="AD611" s="408">
        <v>1141.7233140635399</v>
      </c>
      <c r="AE611" s="408">
        <v>4816.1797752450702</v>
      </c>
      <c r="AF611" s="408">
        <v>629.04462783148495</v>
      </c>
      <c r="AG611" s="408">
        <v>31.646737817588843</v>
      </c>
      <c r="AH611" s="408">
        <v>0</v>
      </c>
      <c r="AI611" s="408">
        <v>0</v>
      </c>
      <c r="AJ611" s="408">
        <v>0</v>
      </c>
      <c r="AK611" s="408">
        <v>0</v>
      </c>
      <c r="AL611" s="408">
        <v>36.945900434633607</v>
      </c>
      <c r="AM611" s="408"/>
      <c r="AN611" s="408">
        <v>4.857834172138273</v>
      </c>
      <c r="AO611" s="408">
        <v>160.73003041081299</v>
      </c>
      <c r="AP611" s="408">
        <v>516.82971687782799</v>
      </c>
      <c r="AQ611" s="408">
        <v>0</v>
      </c>
      <c r="AR611" s="408">
        <v>0</v>
      </c>
      <c r="AS611" s="408">
        <v>0</v>
      </c>
      <c r="AT611" s="408">
        <v>0</v>
      </c>
      <c r="AU611" s="408">
        <v>0</v>
      </c>
      <c r="AV611" s="408">
        <v>0</v>
      </c>
      <c r="AW611" s="408">
        <v>0</v>
      </c>
      <c r="AX611" s="408">
        <v>0</v>
      </c>
      <c r="AY611" s="408">
        <v>0</v>
      </c>
      <c r="AZ611" s="408">
        <v>0</v>
      </c>
      <c r="BA611" s="408"/>
      <c r="BB611" s="408">
        <v>0</v>
      </c>
      <c r="BC611" s="408">
        <v>0</v>
      </c>
      <c r="BD611" s="408">
        <v>0</v>
      </c>
      <c r="BE611" s="408">
        <v>0.72939447893801646</v>
      </c>
      <c r="BF611" s="408">
        <v>18.785435711135946</v>
      </c>
      <c r="BG611" s="408">
        <v>24.42432986922509</v>
      </c>
      <c r="BH611" s="408">
        <v>0</v>
      </c>
      <c r="BI611" s="408">
        <v>0</v>
      </c>
      <c r="BJ611" s="408">
        <v>0</v>
      </c>
      <c r="BK611" s="408">
        <v>0</v>
      </c>
      <c r="BL611" s="408">
        <v>0</v>
      </c>
      <c r="BM611" s="408"/>
      <c r="BN611" s="408"/>
      <c r="BO611" s="408"/>
      <c r="BP611" s="408"/>
      <c r="BQ611" s="408">
        <v>314.23595820000003</v>
      </c>
      <c r="BR611" s="408"/>
      <c r="BS611" s="408"/>
      <c r="BT611" s="408"/>
      <c r="BU611" s="408"/>
      <c r="BV611" s="408">
        <v>672.98378789078401</v>
      </c>
      <c r="BW611" s="408"/>
      <c r="BX611" s="408"/>
      <c r="BY611" s="408"/>
      <c r="BZ611" s="408"/>
      <c r="CA611" s="408"/>
      <c r="CB611" s="408"/>
      <c r="CC611" s="408"/>
      <c r="CD611" s="408"/>
      <c r="CE611" s="408"/>
      <c r="CF611" s="408"/>
      <c r="CG611" s="408"/>
      <c r="CH611" s="408"/>
      <c r="CI611" s="408">
        <v>4921.8510999999999</v>
      </c>
      <c r="CJ611" s="408">
        <v>-2282.6983090000003</v>
      </c>
      <c r="CK611" s="408"/>
      <c r="CL611" s="408"/>
      <c r="CM611" s="408"/>
      <c r="CN611" s="408"/>
      <c r="CO611" s="408">
        <v>-2509.9480899999994</v>
      </c>
      <c r="CP611" s="408">
        <v>82.831709999999987</v>
      </c>
      <c r="CQ611" s="408">
        <v>30</v>
      </c>
      <c r="CR611" s="408">
        <v>122.74401662944865</v>
      </c>
      <c r="CS611" s="408">
        <v>15.60587050589902</v>
      </c>
      <c r="CT611" s="408">
        <v>50.180900324482081</v>
      </c>
      <c r="CU611" s="408">
        <v>0</v>
      </c>
      <c r="CV611" s="408">
        <v>0</v>
      </c>
      <c r="CW611" s="408">
        <v>0</v>
      </c>
      <c r="CX611" s="408">
        <v>0</v>
      </c>
      <c r="CY611" s="408">
        <v>0</v>
      </c>
      <c r="CZ611" s="408">
        <v>-21.891640251209992</v>
      </c>
      <c r="DA611" s="408">
        <v>0</v>
      </c>
      <c r="DB611" s="408">
        <v>0</v>
      </c>
      <c r="DC611" s="408">
        <v>80.744830216312948</v>
      </c>
      <c r="DD611" s="408">
        <v>2.4113182911426421</v>
      </c>
      <c r="DE611" s="408">
        <v>9.3625842677638627E-2</v>
      </c>
      <c r="DF611" s="408">
        <v>0</v>
      </c>
      <c r="DG611" s="408">
        <v>3.1351326776866486</v>
      </c>
      <c r="DH611" s="408">
        <v>0</v>
      </c>
      <c r="DI611" s="408">
        <v>-6.0777040859937301</v>
      </c>
      <c r="DJ611" s="408"/>
      <c r="DK611" s="408">
        <v>0</v>
      </c>
      <c r="DL611" s="408">
        <v>0</v>
      </c>
      <c r="DM611" s="408">
        <v>-0.35174187592282635</v>
      </c>
      <c r="DN611" s="408">
        <v>0</v>
      </c>
      <c r="DO611" s="408">
        <v>-0.95688605994980946</v>
      </c>
      <c r="DP611" s="408">
        <v>-0.14968895567636409</v>
      </c>
      <c r="DQ611" s="408">
        <v>0</v>
      </c>
      <c r="DR611" s="408">
        <v>0</v>
      </c>
      <c r="DS611" s="408"/>
      <c r="DT611" s="408"/>
      <c r="DU611" s="408">
        <v>4816.1797752450702</v>
      </c>
      <c r="DV611" s="408">
        <v>0</v>
      </c>
      <c r="DW611" s="408">
        <v>0</v>
      </c>
      <c r="DX611" s="408">
        <v>0</v>
      </c>
      <c r="DY611" s="408">
        <v>-2509.948089999999</v>
      </c>
      <c r="DZ611" s="408">
        <v>82.831710000000044</v>
      </c>
      <c r="EA611" s="408">
        <v>0</v>
      </c>
      <c r="EB611" s="408">
        <v>0</v>
      </c>
      <c r="EC611" s="408">
        <v>-2549.9118589391901</v>
      </c>
      <c r="ED611" s="408">
        <v>0</v>
      </c>
      <c r="EE611" s="408">
        <v>0</v>
      </c>
      <c r="EF611" s="408">
        <v>0</v>
      </c>
      <c r="EG611" s="408">
        <v>0</v>
      </c>
      <c r="EH611" s="408">
        <v>0</v>
      </c>
      <c r="EI611" s="408">
        <v>0</v>
      </c>
      <c r="EJ611" s="408">
        <v>0</v>
      </c>
      <c r="EK611" s="408">
        <v>0</v>
      </c>
      <c r="EL611" s="408">
        <v>0</v>
      </c>
      <c r="EM611" s="408">
        <v>0</v>
      </c>
      <c r="EN611" s="408">
        <v>0</v>
      </c>
      <c r="EO611" s="408">
        <v>0</v>
      </c>
      <c r="EP611" s="408">
        <v>0</v>
      </c>
      <c r="EQ611" s="408">
        <v>0</v>
      </c>
      <c r="ER611" s="408">
        <v>0</v>
      </c>
      <c r="ES611" s="408">
        <v>0</v>
      </c>
      <c r="ET611" s="408">
        <v>0</v>
      </c>
      <c r="EU611" s="408">
        <v>0</v>
      </c>
      <c r="EV611" s="408">
        <v>239</v>
      </c>
      <c r="EW611" s="408">
        <v>0</v>
      </c>
      <c r="EX611" s="408">
        <v>0</v>
      </c>
      <c r="EY611" s="408">
        <v>0</v>
      </c>
      <c r="EZ611" s="408"/>
      <c r="FA611" s="408">
        <v>0</v>
      </c>
      <c r="FB611" s="408"/>
      <c r="FC611" s="408"/>
      <c r="FD611" s="408"/>
      <c r="FE611" s="408"/>
      <c r="FF611" s="408">
        <v>0</v>
      </c>
      <c r="FG611" s="408">
        <v>0</v>
      </c>
      <c r="FH611" s="408">
        <v>0</v>
      </c>
      <c r="FI611" s="408">
        <v>0</v>
      </c>
    </row>
    <row r="612" spans="1:165">
      <c r="A612" s="408">
        <v>616</v>
      </c>
      <c r="B612" s="408" t="s">
        <v>1034</v>
      </c>
      <c r="C612" s="408" t="s">
        <v>2245</v>
      </c>
      <c r="D612" s="408" t="s">
        <v>596</v>
      </c>
      <c r="E612" s="408" t="s">
        <v>999</v>
      </c>
      <c r="F612" s="408" t="s">
        <v>2249</v>
      </c>
      <c r="G612" s="408" t="s">
        <v>1320</v>
      </c>
      <c r="H612" s="408" t="s">
        <v>1320</v>
      </c>
      <c r="I612" s="408" t="s">
        <v>2242</v>
      </c>
      <c r="J612" s="408" t="s">
        <v>2234</v>
      </c>
      <c r="K612" s="827">
        <v>44652</v>
      </c>
      <c r="L612" s="408">
        <v>100</v>
      </c>
      <c r="M612" s="408">
        <v>94</v>
      </c>
      <c r="N612" s="408">
        <v>32.448999999999998</v>
      </c>
      <c r="O612" s="408">
        <v>30.50206</v>
      </c>
      <c r="P612" s="408">
        <v>32.448999999999998</v>
      </c>
      <c r="Q612" s="408">
        <v>30.50206</v>
      </c>
      <c r="R612" s="408">
        <v>59.12</v>
      </c>
      <c r="S612" s="408">
        <v>70.33</v>
      </c>
      <c r="T612" s="408">
        <v>173.82</v>
      </c>
      <c r="U612" s="408">
        <v>5912</v>
      </c>
      <c r="V612" s="408">
        <v>7922.4233499999991</v>
      </c>
      <c r="W612" s="408">
        <v>13834.423350000001</v>
      </c>
      <c r="X612" s="408">
        <v>11980.244169999998</v>
      </c>
      <c r="Y612" s="408">
        <v>0</v>
      </c>
      <c r="Z612" s="408">
        <v>1726.2876602061392</v>
      </c>
      <c r="AA612" s="408">
        <v>0</v>
      </c>
      <c r="AB612" s="408">
        <v>0</v>
      </c>
      <c r="AC612" s="408">
        <v>57.206036333368203</v>
      </c>
      <c r="AD612" s="408">
        <v>511.70226507154302</v>
      </c>
      <c r="AE612" s="408">
        <v>4816.1797752450702</v>
      </c>
      <c r="AF612" s="408">
        <v>5221.7623761841533</v>
      </c>
      <c r="AG612" s="408">
        <v>262.70273610717328</v>
      </c>
      <c r="AH612" s="408">
        <v>0</v>
      </c>
      <c r="AI612" s="408">
        <v>0</v>
      </c>
      <c r="AJ612" s="408">
        <v>0</v>
      </c>
      <c r="AK612" s="408">
        <v>0</v>
      </c>
      <c r="AL612" s="408">
        <v>306.6916150430867</v>
      </c>
      <c r="AM612" s="408"/>
      <c r="AN612" s="408">
        <v>40.325367370610081</v>
      </c>
      <c r="AO612" s="408">
        <v>120.807211569006</v>
      </c>
      <c r="AP612" s="408">
        <v>406.098786401994</v>
      </c>
      <c r="AQ612" s="408">
        <v>0</v>
      </c>
      <c r="AR612" s="408">
        <v>0</v>
      </c>
      <c r="AS612" s="408">
        <v>0</v>
      </c>
      <c r="AT612" s="408">
        <v>0</v>
      </c>
      <c r="AU612" s="408">
        <v>0</v>
      </c>
      <c r="AV612" s="408">
        <v>0</v>
      </c>
      <c r="AW612" s="408">
        <v>0</v>
      </c>
      <c r="AX612" s="408">
        <v>0</v>
      </c>
      <c r="AY612" s="408">
        <v>0</v>
      </c>
      <c r="AZ612" s="408">
        <v>0</v>
      </c>
      <c r="BA612" s="408"/>
      <c r="BB612" s="408">
        <v>0</v>
      </c>
      <c r="BC612" s="408">
        <v>0</v>
      </c>
      <c r="BD612" s="408">
        <v>0</v>
      </c>
      <c r="BE612" s="408">
        <v>6.0547765277717307</v>
      </c>
      <c r="BF612" s="408">
        <v>155.93978086227943</v>
      </c>
      <c r="BG612" s="408">
        <v>202.74880530224738</v>
      </c>
      <c r="BH612" s="408">
        <v>0</v>
      </c>
      <c r="BI612" s="408">
        <v>0</v>
      </c>
      <c r="BJ612" s="408">
        <v>0</v>
      </c>
      <c r="BK612" s="408">
        <v>0</v>
      </c>
      <c r="BL612" s="408">
        <v>0</v>
      </c>
      <c r="BM612" s="408"/>
      <c r="BN612" s="408"/>
      <c r="BO612" s="408"/>
      <c r="BP612" s="408"/>
      <c r="BQ612" s="408">
        <v>718.81465019999951</v>
      </c>
      <c r="BR612" s="408"/>
      <c r="BS612" s="408"/>
      <c r="BT612" s="408"/>
      <c r="BU612" s="408"/>
      <c r="BV612" s="408">
        <v>5586.5057388764517</v>
      </c>
      <c r="BW612" s="408"/>
      <c r="BX612" s="408"/>
      <c r="BY612" s="408"/>
      <c r="BZ612" s="408"/>
      <c r="CA612" s="408"/>
      <c r="CB612" s="408"/>
      <c r="CC612" s="408"/>
      <c r="CD612" s="408"/>
      <c r="CE612" s="408"/>
      <c r="CF612" s="408"/>
      <c r="CG612" s="408"/>
      <c r="CH612" s="408"/>
      <c r="CI612" s="408">
        <v>11260.884999999998</v>
      </c>
      <c r="CJ612" s="408">
        <v>-1743.5029490000015</v>
      </c>
      <c r="CK612" s="408"/>
      <c r="CL612" s="408"/>
      <c r="CM612" s="408"/>
      <c r="CN612" s="408"/>
      <c r="CO612" s="408">
        <v>-2541.7734899999996</v>
      </c>
      <c r="CP612" s="408">
        <v>687.59430999999984</v>
      </c>
      <c r="CQ612" s="408">
        <v>30</v>
      </c>
      <c r="CR612" s="408">
        <v>695.88024792693977</v>
      </c>
      <c r="CS612" s="408">
        <v>11.729617017467007</v>
      </c>
      <c r="CT612" s="408">
        <v>39.429626542059964</v>
      </c>
      <c r="CU612" s="408">
        <v>0</v>
      </c>
      <c r="CV612" s="408">
        <v>0</v>
      </c>
      <c r="CW612" s="408">
        <v>0</v>
      </c>
      <c r="CX612" s="408">
        <v>0</v>
      </c>
      <c r="CY612" s="408">
        <v>0</v>
      </c>
      <c r="CZ612" s="408">
        <v>-9.8114856416560201</v>
      </c>
      <c r="DA612" s="408">
        <v>0</v>
      </c>
      <c r="DB612" s="408">
        <v>0</v>
      </c>
      <c r="DC612" s="408">
        <v>670.27091217424822</v>
      </c>
      <c r="DD612" s="408">
        <v>20.016594328290523</v>
      </c>
      <c r="DE612" s="408">
        <v>0.77719748504648223</v>
      </c>
      <c r="DF612" s="408">
        <v>0</v>
      </c>
      <c r="DG612" s="408">
        <v>26.025049950947562</v>
      </c>
      <c r="DH612" s="408">
        <v>0</v>
      </c>
      <c r="DI612" s="408">
        <v>-50.45162954372222</v>
      </c>
      <c r="DJ612" s="408"/>
      <c r="DK612" s="408">
        <v>0</v>
      </c>
      <c r="DL612" s="408">
        <v>0</v>
      </c>
      <c r="DM612" s="408">
        <v>-2.9198444952212412</v>
      </c>
      <c r="DN612" s="408">
        <v>0</v>
      </c>
      <c r="DO612" s="408">
        <v>-7.943206896728384</v>
      </c>
      <c r="DP612" s="408">
        <v>-1.2425829937944073</v>
      </c>
      <c r="DQ612" s="408">
        <v>0</v>
      </c>
      <c r="DR612" s="408">
        <v>0</v>
      </c>
      <c r="DS612" s="408"/>
      <c r="DT612" s="408"/>
      <c r="DU612" s="408">
        <v>4816.1797752450702</v>
      </c>
      <c r="DV612" s="408">
        <v>0</v>
      </c>
      <c r="DW612" s="408">
        <v>0</v>
      </c>
      <c r="DX612" s="408">
        <v>0</v>
      </c>
      <c r="DY612" s="408">
        <v>-2541.7734900000005</v>
      </c>
      <c r="DZ612" s="408">
        <v>687.5943099999995</v>
      </c>
      <c r="EA612" s="408">
        <v>0</v>
      </c>
      <c r="EB612" s="408">
        <v>0</v>
      </c>
      <c r="EC612" s="408">
        <v>-2549.9118589391901</v>
      </c>
      <c r="ED612" s="408">
        <v>0</v>
      </c>
      <c r="EE612" s="408">
        <v>0</v>
      </c>
      <c r="EF612" s="408">
        <v>0</v>
      </c>
      <c r="EG612" s="408">
        <v>0</v>
      </c>
      <c r="EH612" s="408">
        <v>0</v>
      </c>
      <c r="EI612" s="408">
        <v>0</v>
      </c>
      <c r="EJ612" s="408">
        <v>0</v>
      </c>
      <c r="EK612" s="408">
        <v>0</v>
      </c>
      <c r="EL612" s="408">
        <v>0</v>
      </c>
      <c r="EM612" s="408">
        <v>0</v>
      </c>
      <c r="EN612" s="408">
        <v>0</v>
      </c>
      <c r="EO612" s="408">
        <v>0</v>
      </c>
      <c r="EP612" s="408">
        <v>0</v>
      </c>
      <c r="EQ612" s="408">
        <v>0</v>
      </c>
      <c r="ER612" s="408">
        <v>0</v>
      </c>
      <c r="ES612" s="408">
        <v>0</v>
      </c>
      <c r="ET612" s="408">
        <v>0</v>
      </c>
      <c r="EU612" s="408">
        <v>0</v>
      </c>
      <c r="EV612" s="408">
        <v>239</v>
      </c>
      <c r="EW612" s="408">
        <v>0</v>
      </c>
      <c r="EX612" s="408">
        <v>0</v>
      </c>
      <c r="EY612" s="408">
        <v>0</v>
      </c>
      <c r="EZ612" s="408"/>
      <c r="FA612" s="408">
        <v>0</v>
      </c>
      <c r="FB612" s="408"/>
      <c r="FC612" s="408"/>
      <c r="FD612" s="408"/>
      <c r="FE612" s="408"/>
      <c r="FF612" s="408">
        <v>0</v>
      </c>
      <c r="FG612" s="408">
        <v>0</v>
      </c>
      <c r="FH612" s="408">
        <v>0</v>
      </c>
      <c r="FI612" s="408">
        <v>0</v>
      </c>
    </row>
    <row r="613" spans="1:165">
      <c r="A613" s="408">
        <v>617</v>
      </c>
      <c r="B613" s="408" t="s">
        <v>1034</v>
      </c>
      <c r="C613" s="408" t="s">
        <v>2245</v>
      </c>
      <c r="D613" s="408" t="s">
        <v>596</v>
      </c>
      <c r="E613" s="408" t="s">
        <v>999</v>
      </c>
      <c r="F613" s="408" t="s">
        <v>2249</v>
      </c>
      <c r="G613" s="408" t="s">
        <v>1320</v>
      </c>
      <c r="H613" s="408" t="s">
        <v>1320</v>
      </c>
      <c r="I613" s="408" t="s">
        <v>1320</v>
      </c>
      <c r="J613" s="408" t="s">
        <v>2234</v>
      </c>
      <c r="K613" s="827">
        <v>44652</v>
      </c>
      <c r="L613" s="408">
        <v>0</v>
      </c>
      <c r="M613" s="408">
        <v>0</v>
      </c>
      <c r="N613" s="408">
        <v>0</v>
      </c>
      <c r="O613" s="408">
        <v>0</v>
      </c>
      <c r="P613" s="408">
        <v>0</v>
      </c>
      <c r="Q613" s="408">
        <v>0</v>
      </c>
      <c r="R613" s="408"/>
      <c r="S613" s="408"/>
      <c r="T613" s="408"/>
      <c r="U613" s="408"/>
      <c r="V613" s="408"/>
      <c r="W613" s="408"/>
      <c r="X613" s="408"/>
      <c r="Y613" s="408"/>
      <c r="Z613" s="408"/>
      <c r="AA613" s="408">
        <v>0</v>
      </c>
      <c r="AB613" s="408"/>
      <c r="AC613" s="408"/>
      <c r="AD613" s="408"/>
      <c r="AE613" s="408"/>
      <c r="AF613" s="408"/>
      <c r="AG613" s="408"/>
      <c r="AH613" s="408"/>
      <c r="AI613" s="408"/>
      <c r="AJ613" s="408"/>
      <c r="AK613" s="408"/>
      <c r="AL613" s="408"/>
      <c r="AM613" s="408"/>
      <c r="AN613" s="408"/>
      <c r="AO613" s="408"/>
      <c r="AP613" s="408"/>
      <c r="AQ613" s="408"/>
      <c r="AR613" s="408"/>
      <c r="AS613" s="408"/>
      <c r="AT613" s="408"/>
      <c r="AU613" s="408"/>
      <c r="AV613" s="408"/>
      <c r="AW613" s="408"/>
      <c r="AX613" s="408"/>
      <c r="AY613" s="408"/>
      <c r="AZ613" s="408">
        <v>0</v>
      </c>
      <c r="BA613" s="408"/>
      <c r="BB613" s="408"/>
      <c r="BC613" s="408"/>
      <c r="BD613" s="408"/>
      <c r="BE613" s="408"/>
      <c r="BF613" s="408"/>
      <c r="BG613" s="408"/>
      <c r="BH613" s="408"/>
      <c r="BI613" s="408">
        <v>37.19</v>
      </c>
      <c r="BJ613" s="408">
        <v>171.1</v>
      </c>
      <c r="BK613" s="408">
        <v>6438.4</v>
      </c>
      <c r="BL613" s="408">
        <v>1</v>
      </c>
      <c r="BM613" s="408"/>
      <c r="BN613" s="408"/>
      <c r="BO613" s="408"/>
      <c r="BP613" s="408"/>
      <c r="BQ613" s="408"/>
      <c r="BR613" s="408"/>
      <c r="BS613" s="408"/>
      <c r="BT613" s="408"/>
      <c r="BU613" s="408"/>
      <c r="BV613" s="408"/>
      <c r="BW613" s="408"/>
      <c r="BX613" s="408"/>
      <c r="BY613" s="408"/>
      <c r="BZ613" s="408"/>
      <c r="CA613" s="408"/>
      <c r="CB613" s="408"/>
      <c r="CC613" s="408"/>
      <c r="CD613" s="408"/>
      <c r="CE613" s="408"/>
      <c r="CF613" s="408"/>
      <c r="CG613" s="408"/>
      <c r="CH613" s="408"/>
      <c r="CI613" s="408"/>
      <c r="CJ613" s="408">
        <v>-0.03</v>
      </c>
      <c r="CK613" s="408"/>
      <c r="CL613" s="408"/>
      <c r="CM613" s="408"/>
      <c r="CN613" s="408"/>
      <c r="CO613" s="408">
        <v>0</v>
      </c>
      <c r="CP613" s="408">
        <v>0</v>
      </c>
      <c r="CQ613" s="408">
        <v>30</v>
      </c>
      <c r="CR613" s="408"/>
      <c r="CS613" s="408"/>
      <c r="CT613" s="408"/>
      <c r="CU613" s="408"/>
      <c r="CV613" s="408"/>
      <c r="CW613" s="408"/>
      <c r="CX613" s="408"/>
      <c r="CY613" s="408"/>
      <c r="CZ613" s="408"/>
      <c r="DA613" s="408"/>
      <c r="DB613" s="408"/>
      <c r="DC613" s="408"/>
      <c r="DD613" s="408"/>
      <c r="DE613" s="408"/>
      <c r="DF613" s="408"/>
      <c r="DG613" s="408"/>
      <c r="DH613" s="408"/>
      <c r="DI613" s="408"/>
      <c r="DJ613" s="408"/>
      <c r="DK613" s="408">
        <v>0</v>
      </c>
      <c r="DL613" s="408"/>
      <c r="DM613" s="408"/>
      <c r="DN613" s="408"/>
      <c r="DO613" s="408"/>
      <c r="DP613" s="408"/>
      <c r="DQ613" s="408"/>
      <c r="DR613" s="408"/>
      <c r="DS613" s="408"/>
      <c r="DT613" s="408"/>
      <c r="DU613" s="408"/>
      <c r="DV613" s="408"/>
      <c r="DW613" s="408"/>
      <c r="DX613" s="408"/>
      <c r="DY613" s="408"/>
      <c r="DZ613" s="408"/>
      <c r="EA613" s="408"/>
      <c r="EB613" s="408"/>
      <c r="EC613" s="408"/>
      <c r="ED613" s="408"/>
      <c r="EE613" s="408"/>
      <c r="EF613" s="408"/>
      <c r="EG613" s="408"/>
      <c r="EH613" s="408"/>
      <c r="EI613" s="408"/>
      <c r="EJ613" s="408"/>
      <c r="EK613" s="408"/>
      <c r="EL613" s="408"/>
      <c r="EM613" s="408"/>
      <c r="EN613" s="408"/>
      <c r="EO613" s="408"/>
      <c r="EP613" s="408"/>
      <c r="EQ613" s="408"/>
      <c r="ER613" s="408"/>
      <c r="ES613" s="408"/>
      <c r="ET613" s="408"/>
      <c r="EU613" s="408"/>
      <c r="EV613" s="408">
        <v>239</v>
      </c>
      <c r="EW613" s="408"/>
      <c r="EX613" s="408"/>
      <c r="EY613" s="408"/>
      <c r="EZ613" s="408"/>
      <c r="FA613" s="408">
        <v>0</v>
      </c>
      <c r="FB613" s="408"/>
      <c r="FC613" s="408"/>
      <c r="FD613" s="408"/>
      <c r="FE613" s="408"/>
      <c r="FF613" s="408">
        <v>0</v>
      </c>
      <c r="FG613" s="408">
        <v>0</v>
      </c>
      <c r="FH613" s="408">
        <v>0</v>
      </c>
      <c r="FI613" s="408">
        <v>0</v>
      </c>
    </row>
    <row r="614" spans="1:165">
      <c r="A614" s="408">
        <v>618</v>
      </c>
      <c r="B614" s="408" t="s">
        <v>1034</v>
      </c>
      <c r="C614" s="408" t="s">
        <v>2233</v>
      </c>
      <c r="D614" s="408" t="s">
        <v>1956</v>
      </c>
      <c r="E614" s="408" t="s">
        <v>2250</v>
      </c>
      <c r="F614" s="408" t="s">
        <v>1320</v>
      </c>
      <c r="G614" s="408" t="s">
        <v>1320</v>
      </c>
      <c r="H614" s="408" t="s">
        <v>1320</v>
      </c>
      <c r="I614" s="408" t="s">
        <v>1320</v>
      </c>
      <c r="J614" s="408" t="s">
        <v>2234</v>
      </c>
      <c r="K614" s="827">
        <v>44652</v>
      </c>
      <c r="L614" s="408">
        <v>0</v>
      </c>
      <c r="M614" s="408">
        <v>0</v>
      </c>
      <c r="N614" s="408">
        <v>1.103</v>
      </c>
      <c r="O614" s="408">
        <v>1.103</v>
      </c>
      <c r="P614" s="408">
        <v>1.103</v>
      </c>
      <c r="Q614" s="408">
        <v>1.103</v>
      </c>
      <c r="R614" s="408"/>
      <c r="S614" s="408">
        <v>516.83000000000004</v>
      </c>
      <c r="T614" s="408">
        <v>173.82</v>
      </c>
      <c r="U614" s="408"/>
      <c r="V614" s="408">
        <v>761.78694999999993</v>
      </c>
      <c r="W614" s="408">
        <v>761.78694999999993</v>
      </c>
      <c r="X614" s="408">
        <v>575.1593499999999</v>
      </c>
      <c r="Y614" s="408">
        <v>0</v>
      </c>
      <c r="Z614" s="408">
        <v>67.447849701100139</v>
      </c>
      <c r="AA614" s="408">
        <v>0</v>
      </c>
      <c r="AB614" s="408">
        <v>0</v>
      </c>
      <c r="AC614" s="408">
        <v>2.9984438129501298</v>
      </c>
      <c r="AD614" s="408">
        <v>37.972552508838795</v>
      </c>
      <c r="AE614" s="408">
        <v>401.06822206886898</v>
      </c>
      <c r="AF614" s="408">
        <v>177.49711550220721</v>
      </c>
      <c r="AG614" s="408">
        <v>8.9297395274496019</v>
      </c>
      <c r="AH614" s="408">
        <v>0</v>
      </c>
      <c r="AI614" s="408">
        <v>0</v>
      </c>
      <c r="AJ614" s="408">
        <v>0</v>
      </c>
      <c r="AK614" s="408">
        <v>0</v>
      </c>
      <c r="AL614" s="408">
        <v>10.425000813354021</v>
      </c>
      <c r="AM614" s="408"/>
      <c r="AN614" s="408">
        <v>1.711350798259208</v>
      </c>
      <c r="AO614" s="408">
        <v>6.3957496683863901</v>
      </c>
      <c r="AP614" s="408">
        <v>20.945215384324616</v>
      </c>
      <c r="AQ614" s="408">
        <v>0</v>
      </c>
      <c r="AR614" s="408">
        <v>0</v>
      </c>
      <c r="AS614" s="408">
        <v>0</v>
      </c>
      <c r="AT614" s="408">
        <v>0</v>
      </c>
      <c r="AU614" s="408">
        <v>0</v>
      </c>
      <c r="AV614" s="408">
        <v>0</v>
      </c>
      <c r="AW614" s="408">
        <v>0</v>
      </c>
      <c r="AX614" s="408">
        <v>0</v>
      </c>
      <c r="AY614" s="408">
        <v>0</v>
      </c>
      <c r="AZ614" s="408">
        <v>0</v>
      </c>
      <c r="BA614" s="408"/>
      <c r="BB614" s="408">
        <v>0</v>
      </c>
      <c r="BC614" s="408">
        <v>0</v>
      </c>
      <c r="BD614" s="408">
        <v>0</v>
      </c>
      <c r="BE614" s="408">
        <v>0.611958316608473</v>
      </c>
      <c r="BF614" s="408">
        <v>5.3006742362197361</v>
      </c>
      <c r="BG614" s="408">
        <v>20.491890496378709</v>
      </c>
      <c r="BH614" s="408">
        <v>0</v>
      </c>
      <c r="BI614" s="408">
        <v>1.29</v>
      </c>
      <c r="BJ614" s="408">
        <v>6.11</v>
      </c>
      <c r="BK614" s="408">
        <v>238.01</v>
      </c>
      <c r="BL614" s="408">
        <v>7</v>
      </c>
      <c r="BM614" s="408"/>
      <c r="BN614" s="408"/>
      <c r="BO614" s="408"/>
      <c r="BP614" s="408"/>
      <c r="BQ614" s="408"/>
      <c r="BR614" s="408"/>
      <c r="BS614" s="408"/>
      <c r="BT614" s="408"/>
      <c r="BU614" s="408"/>
      <c r="BV614" s="408">
        <v>203.90163855141415</v>
      </c>
      <c r="BW614" s="408"/>
      <c r="BX614" s="408"/>
      <c r="BY614" s="408"/>
      <c r="BZ614" s="408"/>
      <c r="CA614" s="408"/>
      <c r="CB614" s="408"/>
      <c r="CC614" s="408"/>
      <c r="CD614" s="408"/>
      <c r="CE614" s="408"/>
      <c r="CF614" s="408"/>
      <c r="CG614" s="408"/>
      <c r="CH614" s="408"/>
      <c r="CI614" s="408">
        <v>573.59500000000003</v>
      </c>
      <c r="CJ614" s="408">
        <v>-188.22194999999988</v>
      </c>
      <c r="CK614" s="408"/>
      <c r="CL614" s="408"/>
      <c r="CM614" s="408"/>
      <c r="CN614" s="408"/>
      <c r="CO614" s="408">
        <v>-210.00017000000005</v>
      </c>
      <c r="CP614" s="408">
        <v>23.372569999999996</v>
      </c>
      <c r="CQ614" s="408">
        <v>30</v>
      </c>
      <c r="CR614" s="408">
        <v>25.706384552450913</v>
      </c>
      <c r="CS614" s="408">
        <v>0.62098688625814091</v>
      </c>
      <c r="CT614" s="408">
        <v>2.0336480878555925</v>
      </c>
      <c r="CU614" s="408">
        <v>0</v>
      </c>
      <c r="CV614" s="408">
        <v>0</v>
      </c>
      <c r="CW614" s="408">
        <v>0</v>
      </c>
      <c r="CX614" s="408">
        <v>0</v>
      </c>
      <c r="CY614" s="408">
        <v>0</v>
      </c>
      <c r="CZ614" s="408">
        <v>-0.72809361839622966</v>
      </c>
      <c r="DA614" s="408">
        <v>0</v>
      </c>
      <c r="DB614" s="408">
        <v>0</v>
      </c>
      <c r="DC614" s="408">
        <v>22.783716482116432</v>
      </c>
      <c r="DD614" s="408">
        <v>0.68040012154779639</v>
      </c>
      <c r="DE614" s="408">
        <v>7.8551613332029979E-2</v>
      </c>
      <c r="DF614" s="408">
        <v>0</v>
      </c>
      <c r="DG614" s="408">
        <v>2.6303606226561165</v>
      </c>
      <c r="DH614" s="408">
        <v>0</v>
      </c>
      <c r="DI614" s="408">
        <v>-1.9711975038008092</v>
      </c>
      <c r="DJ614" s="408"/>
      <c r="DK614" s="408">
        <v>0</v>
      </c>
      <c r="DL614" s="408">
        <v>0</v>
      </c>
      <c r="DM614" s="408">
        <v>-9.925077747323563E-2</v>
      </c>
      <c r="DN614" s="408">
        <v>0</v>
      </c>
      <c r="DO614" s="408">
        <v>-0.27000392021607489</v>
      </c>
      <c r="DP614" s="408">
        <v>-5.2733441428804761E-2</v>
      </c>
      <c r="DQ614" s="408">
        <v>0</v>
      </c>
      <c r="DR614" s="408">
        <v>0</v>
      </c>
      <c r="DS614" s="408"/>
      <c r="DT614" s="408"/>
      <c r="DU614" s="408"/>
      <c r="DV614" s="408">
        <v>401.06822206886898</v>
      </c>
      <c r="DW614" s="408">
        <v>0</v>
      </c>
      <c r="DX614" s="408">
        <v>0</v>
      </c>
      <c r="DY614" s="408">
        <v>-210.00017000000003</v>
      </c>
      <c r="DZ614" s="408">
        <v>23.372569999999996</v>
      </c>
      <c r="EA614" s="408">
        <v>0</v>
      </c>
      <c r="EB614" s="408">
        <v>0</v>
      </c>
      <c r="EC614" s="408">
        <v>-212.34436076361482</v>
      </c>
      <c r="ED614" s="408">
        <v>0</v>
      </c>
      <c r="EE614" s="408">
        <v>0</v>
      </c>
      <c r="EF614" s="408">
        <v>0</v>
      </c>
      <c r="EG614" s="408">
        <v>0</v>
      </c>
      <c r="EH614" s="408">
        <v>0</v>
      </c>
      <c r="EI614" s="408">
        <v>0</v>
      </c>
      <c r="EJ614" s="408">
        <v>0</v>
      </c>
      <c r="EK614" s="408">
        <v>0</v>
      </c>
      <c r="EL614" s="408">
        <v>0</v>
      </c>
      <c r="EM614" s="408">
        <v>0</v>
      </c>
      <c r="EN614" s="408">
        <v>0</v>
      </c>
      <c r="EO614" s="408">
        <v>0</v>
      </c>
      <c r="EP614" s="408">
        <v>0</v>
      </c>
      <c r="EQ614" s="408">
        <v>0</v>
      </c>
      <c r="ER614" s="408">
        <v>0</v>
      </c>
      <c r="ES614" s="408">
        <v>0</v>
      </c>
      <c r="ET614" s="408">
        <v>0</v>
      </c>
      <c r="EU614" s="408">
        <v>0</v>
      </c>
      <c r="EV614" s="408">
        <v>239</v>
      </c>
      <c r="EW614" s="408">
        <v>0</v>
      </c>
      <c r="EX614" s="408">
        <v>0</v>
      </c>
      <c r="EY614" s="408">
        <v>0</v>
      </c>
      <c r="EZ614" s="408"/>
      <c r="FA614" s="408">
        <v>0</v>
      </c>
      <c r="FB614" s="408"/>
      <c r="FC614" s="408"/>
      <c r="FD614" s="408"/>
      <c r="FE614" s="408"/>
      <c r="FF614" s="408">
        <v>0</v>
      </c>
      <c r="FG614" s="408">
        <v>0</v>
      </c>
      <c r="FH614" s="408">
        <v>0</v>
      </c>
      <c r="FI614" s="408">
        <v>0</v>
      </c>
    </row>
    <row r="615" spans="1:165">
      <c r="A615" s="408">
        <v>619</v>
      </c>
      <c r="B615" s="408" t="s">
        <v>1034</v>
      </c>
      <c r="C615" s="408" t="s">
        <v>2233</v>
      </c>
      <c r="D615" s="408" t="s">
        <v>2243</v>
      </c>
      <c r="E615" s="408" t="s">
        <v>972</v>
      </c>
      <c r="F615" s="408" t="s">
        <v>2251</v>
      </c>
      <c r="G615" s="408" t="s">
        <v>2252</v>
      </c>
      <c r="H615" s="408" t="s">
        <v>1320</v>
      </c>
      <c r="I615" s="408" t="s">
        <v>1320</v>
      </c>
      <c r="J615" s="408" t="s">
        <v>2234</v>
      </c>
      <c r="K615" s="827">
        <v>44652</v>
      </c>
      <c r="L615" s="408">
        <v>0</v>
      </c>
      <c r="M615" s="408">
        <v>0</v>
      </c>
      <c r="N615" s="408">
        <v>0</v>
      </c>
      <c r="O615" s="408">
        <v>0</v>
      </c>
      <c r="P615" s="408">
        <v>0</v>
      </c>
      <c r="Q615" s="408">
        <v>0</v>
      </c>
      <c r="R615" s="408"/>
      <c r="S615" s="408"/>
      <c r="T615" s="408"/>
      <c r="U615" s="408"/>
      <c r="V615" s="408"/>
      <c r="W615" s="408"/>
      <c r="X615" s="408"/>
      <c r="Y615" s="408"/>
      <c r="Z615" s="408"/>
      <c r="AA615" s="408">
        <v>0</v>
      </c>
      <c r="AB615" s="408"/>
      <c r="AC615" s="408"/>
      <c r="AD615" s="408"/>
      <c r="AE615" s="408"/>
      <c r="AF615" s="408"/>
      <c r="AG615" s="408"/>
      <c r="AH615" s="408"/>
      <c r="AI615" s="408"/>
      <c r="AJ615" s="408"/>
      <c r="AK615" s="408"/>
      <c r="AL615" s="408"/>
      <c r="AM615" s="408"/>
      <c r="AN615" s="408"/>
      <c r="AO615" s="408"/>
      <c r="AP615" s="408"/>
      <c r="AQ615" s="408"/>
      <c r="AR615" s="408"/>
      <c r="AS615" s="408"/>
      <c r="AT615" s="408"/>
      <c r="AU615" s="408"/>
      <c r="AV615" s="408"/>
      <c r="AW615" s="408"/>
      <c r="AX615" s="408"/>
      <c r="AY615" s="408"/>
      <c r="AZ615" s="408">
        <v>0</v>
      </c>
      <c r="BA615" s="408"/>
      <c r="BB615" s="408"/>
      <c r="BC615" s="408"/>
      <c r="BD615" s="408"/>
      <c r="BE615" s="408"/>
      <c r="BF615" s="408"/>
      <c r="BG615" s="408"/>
      <c r="BH615" s="408"/>
      <c r="BI615" s="408">
        <v>1167.1300000000001</v>
      </c>
      <c r="BJ615" s="408">
        <v>5371</v>
      </c>
      <c r="BK615" s="408">
        <v>530.69000000000005</v>
      </c>
      <c r="BL615" s="408">
        <v>69</v>
      </c>
      <c r="BM615" s="408"/>
      <c r="BN615" s="408"/>
      <c r="BO615" s="408"/>
      <c r="BP615" s="408"/>
      <c r="BQ615" s="408"/>
      <c r="BR615" s="408"/>
      <c r="BS615" s="408"/>
      <c r="BT615" s="408"/>
      <c r="BU615" s="408"/>
      <c r="BV615" s="408"/>
      <c r="BW615" s="408"/>
      <c r="BX615" s="408"/>
      <c r="BY615" s="408"/>
      <c r="BZ615" s="408"/>
      <c r="CA615" s="408"/>
      <c r="CB615" s="408"/>
      <c r="CC615" s="408"/>
      <c r="CD615" s="408"/>
      <c r="CE615" s="408"/>
      <c r="CF615" s="408"/>
      <c r="CG615" s="408"/>
      <c r="CH615" s="408"/>
      <c r="CI615" s="408"/>
      <c r="CJ615" s="408">
        <v>-0.03</v>
      </c>
      <c r="CK615" s="408"/>
      <c r="CL615" s="408"/>
      <c r="CM615" s="408"/>
      <c r="CN615" s="408"/>
      <c r="CO615" s="408">
        <v>0</v>
      </c>
      <c r="CP615" s="408">
        <v>0</v>
      </c>
      <c r="CQ615" s="408">
        <v>30</v>
      </c>
      <c r="CR615" s="408"/>
      <c r="CS615" s="408"/>
      <c r="CT615" s="408"/>
      <c r="CU615" s="408"/>
      <c r="CV615" s="408"/>
      <c r="CW615" s="408"/>
      <c r="CX615" s="408"/>
      <c r="CY615" s="408"/>
      <c r="CZ615" s="408"/>
      <c r="DA615" s="408"/>
      <c r="DB615" s="408"/>
      <c r="DC615" s="408"/>
      <c r="DD615" s="408"/>
      <c r="DE615" s="408"/>
      <c r="DF615" s="408"/>
      <c r="DG615" s="408"/>
      <c r="DH615" s="408"/>
      <c r="DI615" s="408"/>
      <c r="DJ615" s="408"/>
      <c r="DK615" s="408">
        <v>0</v>
      </c>
      <c r="DL615" s="408"/>
      <c r="DM615" s="408"/>
      <c r="DN615" s="408"/>
      <c r="DO615" s="408"/>
      <c r="DP615" s="408"/>
      <c r="DQ615" s="408"/>
      <c r="DR615" s="408"/>
      <c r="DS615" s="408"/>
      <c r="DT615" s="408"/>
      <c r="DU615" s="408"/>
      <c r="DV615" s="408"/>
      <c r="DW615" s="408"/>
      <c r="DX615" s="408"/>
      <c r="DY615" s="408"/>
      <c r="DZ615" s="408"/>
      <c r="EA615" s="408"/>
      <c r="EB615" s="408"/>
      <c r="EC615" s="408"/>
      <c r="ED615" s="408"/>
      <c r="EE615" s="408"/>
      <c r="EF615" s="408"/>
      <c r="EG615" s="408"/>
      <c r="EH615" s="408"/>
      <c r="EI615" s="408"/>
      <c r="EJ615" s="408"/>
      <c r="EK615" s="408"/>
      <c r="EL615" s="408"/>
      <c r="EM615" s="408"/>
      <c r="EN615" s="408"/>
      <c r="EO615" s="408"/>
      <c r="EP615" s="408"/>
      <c r="EQ615" s="408"/>
      <c r="ER615" s="408"/>
      <c r="ES615" s="408"/>
      <c r="ET615" s="408"/>
      <c r="EU615" s="408"/>
      <c r="EV615" s="408">
        <v>239</v>
      </c>
      <c r="EW615" s="408"/>
      <c r="EX615" s="408"/>
      <c r="EY615" s="408"/>
      <c r="EZ615" s="408"/>
      <c r="FA615" s="408">
        <v>0</v>
      </c>
      <c r="FB615" s="408"/>
      <c r="FC615" s="408"/>
      <c r="FD615" s="408"/>
      <c r="FE615" s="408"/>
      <c r="FF615" s="408">
        <v>0</v>
      </c>
      <c r="FG615" s="408">
        <v>0</v>
      </c>
      <c r="FH615" s="408">
        <v>0</v>
      </c>
      <c r="FI615" s="408">
        <v>0</v>
      </c>
    </row>
    <row r="616" spans="1:165">
      <c r="A616" s="408">
        <v>620</v>
      </c>
      <c r="B616" s="408" t="s">
        <v>2236</v>
      </c>
      <c r="C616" s="408" t="s">
        <v>2233</v>
      </c>
      <c r="D616" s="408" t="s">
        <v>2243</v>
      </c>
      <c r="E616" s="408" t="s">
        <v>972</v>
      </c>
      <c r="F616" s="408" t="s">
        <v>2251</v>
      </c>
      <c r="G616" s="408" t="s">
        <v>2252</v>
      </c>
      <c r="H616" s="408" t="s">
        <v>1320</v>
      </c>
      <c r="I616" s="408" t="s">
        <v>1320</v>
      </c>
      <c r="J616" s="408" t="s">
        <v>2234</v>
      </c>
      <c r="K616" s="827">
        <v>44652</v>
      </c>
      <c r="L616" s="408">
        <v>0</v>
      </c>
      <c r="M616" s="408">
        <v>0</v>
      </c>
      <c r="N616" s="408">
        <v>0</v>
      </c>
      <c r="O616" s="408">
        <v>0</v>
      </c>
      <c r="P616" s="408">
        <v>0</v>
      </c>
      <c r="Q616" s="408">
        <v>0</v>
      </c>
      <c r="R616" s="408"/>
      <c r="S616" s="408"/>
      <c r="T616" s="408"/>
      <c r="U616" s="408"/>
      <c r="V616" s="408"/>
      <c r="W616" s="408"/>
      <c r="X616" s="408"/>
      <c r="Y616" s="408"/>
      <c r="Z616" s="408"/>
      <c r="AA616" s="408">
        <v>0</v>
      </c>
      <c r="AB616" s="408"/>
      <c r="AC616" s="408"/>
      <c r="AD616" s="408"/>
      <c r="AE616" s="408"/>
      <c r="AF616" s="408"/>
      <c r="AG616" s="408"/>
      <c r="AH616" s="408"/>
      <c r="AI616" s="408"/>
      <c r="AJ616" s="408"/>
      <c r="AK616" s="408"/>
      <c r="AL616" s="408"/>
      <c r="AM616" s="408"/>
      <c r="AN616" s="408"/>
      <c r="AO616" s="408"/>
      <c r="AP616" s="408"/>
      <c r="AQ616" s="408"/>
      <c r="AR616" s="408"/>
      <c r="AS616" s="408"/>
      <c r="AT616" s="408"/>
      <c r="AU616" s="408"/>
      <c r="AV616" s="408"/>
      <c r="AW616" s="408"/>
      <c r="AX616" s="408"/>
      <c r="AY616" s="408"/>
      <c r="AZ616" s="408">
        <v>0</v>
      </c>
      <c r="BA616" s="408"/>
      <c r="BB616" s="408"/>
      <c r="BC616" s="408"/>
      <c r="BD616" s="408"/>
      <c r="BE616" s="408"/>
      <c r="BF616" s="408"/>
      <c r="BG616" s="408"/>
      <c r="BH616" s="408"/>
      <c r="BI616" s="408">
        <v>0.44</v>
      </c>
      <c r="BJ616" s="408">
        <v>2.14</v>
      </c>
      <c r="BK616" s="408">
        <v>49.36</v>
      </c>
      <c r="BL616" s="408">
        <v>4</v>
      </c>
      <c r="BM616" s="408"/>
      <c r="BN616" s="408"/>
      <c r="BO616" s="408"/>
      <c r="BP616" s="408"/>
      <c r="BQ616" s="408"/>
      <c r="BR616" s="408"/>
      <c r="BS616" s="408"/>
      <c r="BT616" s="408"/>
      <c r="BU616" s="408"/>
      <c r="BV616" s="408"/>
      <c r="BW616" s="408"/>
      <c r="BX616" s="408"/>
      <c r="BY616" s="408"/>
      <c r="BZ616" s="408"/>
      <c r="CA616" s="408"/>
      <c r="CB616" s="408"/>
      <c r="CC616" s="408"/>
      <c r="CD616" s="408"/>
      <c r="CE616" s="408"/>
      <c r="CF616" s="408"/>
      <c r="CG616" s="408"/>
      <c r="CH616" s="408"/>
      <c r="CI616" s="408"/>
      <c r="CJ616" s="408">
        <v>-0.03</v>
      </c>
      <c r="CK616" s="408"/>
      <c r="CL616" s="408"/>
      <c r="CM616" s="408"/>
      <c r="CN616" s="408"/>
      <c r="CO616" s="408">
        <v>0</v>
      </c>
      <c r="CP616" s="408">
        <v>0</v>
      </c>
      <c r="CQ616" s="408">
        <v>30</v>
      </c>
      <c r="CR616" s="408"/>
      <c r="CS616" s="408"/>
      <c r="CT616" s="408"/>
      <c r="CU616" s="408"/>
      <c r="CV616" s="408"/>
      <c r="CW616" s="408"/>
      <c r="CX616" s="408"/>
      <c r="CY616" s="408"/>
      <c r="CZ616" s="408"/>
      <c r="DA616" s="408"/>
      <c r="DB616" s="408"/>
      <c r="DC616" s="408"/>
      <c r="DD616" s="408"/>
      <c r="DE616" s="408"/>
      <c r="DF616" s="408"/>
      <c r="DG616" s="408"/>
      <c r="DH616" s="408"/>
      <c r="DI616" s="408"/>
      <c r="DJ616" s="408"/>
      <c r="DK616" s="408">
        <v>0</v>
      </c>
      <c r="DL616" s="408"/>
      <c r="DM616" s="408"/>
      <c r="DN616" s="408"/>
      <c r="DO616" s="408"/>
      <c r="DP616" s="408"/>
      <c r="DQ616" s="408"/>
      <c r="DR616" s="408"/>
      <c r="DS616" s="408"/>
      <c r="DT616" s="408"/>
      <c r="DU616" s="408"/>
      <c r="DV616" s="408"/>
      <c r="DW616" s="408"/>
      <c r="DX616" s="408"/>
      <c r="DY616" s="408"/>
      <c r="DZ616" s="408"/>
      <c r="EA616" s="408"/>
      <c r="EB616" s="408"/>
      <c r="EC616" s="408"/>
      <c r="ED616" s="408"/>
      <c r="EE616" s="408"/>
      <c r="EF616" s="408"/>
      <c r="EG616" s="408"/>
      <c r="EH616" s="408"/>
      <c r="EI616" s="408"/>
      <c r="EJ616" s="408"/>
      <c r="EK616" s="408"/>
      <c r="EL616" s="408"/>
      <c r="EM616" s="408"/>
      <c r="EN616" s="408"/>
      <c r="EO616" s="408"/>
      <c r="EP616" s="408"/>
      <c r="EQ616" s="408"/>
      <c r="ER616" s="408"/>
      <c r="ES616" s="408"/>
      <c r="ET616" s="408"/>
      <c r="EU616" s="408"/>
      <c r="EV616" s="408">
        <v>239</v>
      </c>
      <c r="EW616" s="408"/>
      <c r="EX616" s="408"/>
      <c r="EY616" s="408"/>
      <c r="EZ616" s="408"/>
      <c r="FA616" s="408">
        <v>0</v>
      </c>
      <c r="FB616" s="408"/>
      <c r="FC616" s="408"/>
      <c r="FD616" s="408"/>
      <c r="FE616" s="408"/>
      <c r="FF616" s="408">
        <v>0</v>
      </c>
      <c r="FG616" s="408">
        <v>0</v>
      </c>
      <c r="FH616" s="408">
        <v>0</v>
      </c>
      <c r="FI616" s="408">
        <v>0</v>
      </c>
    </row>
    <row r="617" spans="1:165">
      <c r="A617" s="408">
        <v>621</v>
      </c>
      <c r="B617" s="408" t="s">
        <v>1034</v>
      </c>
      <c r="C617" s="408" t="s">
        <v>2233</v>
      </c>
      <c r="D617" s="408" t="s">
        <v>2243</v>
      </c>
      <c r="E617" s="408" t="s">
        <v>972</v>
      </c>
      <c r="F617" s="408" t="s">
        <v>2251</v>
      </c>
      <c r="G617" s="408" t="s">
        <v>2252</v>
      </c>
      <c r="H617" s="408" t="s">
        <v>1320</v>
      </c>
      <c r="I617" s="408" t="s">
        <v>1320</v>
      </c>
      <c r="J617" s="408" t="s">
        <v>2234</v>
      </c>
      <c r="K617" s="827">
        <v>44652</v>
      </c>
      <c r="L617" s="408">
        <v>0</v>
      </c>
      <c r="M617" s="408">
        <v>0</v>
      </c>
      <c r="N617" s="408">
        <v>5.8090000000000002</v>
      </c>
      <c r="O617" s="408">
        <v>5.8090000000000002</v>
      </c>
      <c r="P617" s="408">
        <v>5.8090000000000002</v>
      </c>
      <c r="Q617" s="408">
        <v>5.8090000000000002</v>
      </c>
      <c r="R617" s="408"/>
      <c r="S617" s="408">
        <v>516.83000000000004</v>
      </c>
      <c r="T617" s="408">
        <v>173.82</v>
      </c>
      <c r="U617" s="408"/>
      <c r="V617" s="408">
        <v>4011.98585</v>
      </c>
      <c r="W617" s="408">
        <v>4011.98585</v>
      </c>
      <c r="X617" s="408">
        <v>3029.1030499999997</v>
      </c>
      <c r="Y617" s="408">
        <v>0</v>
      </c>
      <c r="Z617" s="408">
        <v>355.21718849835969</v>
      </c>
      <c r="AA617" s="408">
        <v>0</v>
      </c>
      <c r="AB617" s="408">
        <v>0</v>
      </c>
      <c r="AC617" s="408">
        <v>15.791441622327564</v>
      </c>
      <c r="AD617" s="408">
        <v>199.98418633168137</v>
      </c>
      <c r="AE617" s="408">
        <v>2112.2441541233547</v>
      </c>
      <c r="AF617" s="408">
        <v>934.79668536021916</v>
      </c>
      <c r="AG617" s="408">
        <v>47.028882062515628</v>
      </c>
      <c r="AH617" s="408">
        <v>0</v>
      </c>
      <c r="AI617" s="408">
        <v>0</v>
      </c>
      <c r="AJ617" s="408">
        <v>0</v>
      </c>
      <c r="AK617" s="408">
        <v>0</v>
      </c>
      <c r="AL617" s="408">
        <v>54.903744084110166</v>
      </c>
      <c r="AM617" s="408"/>
      <c r="AN617" s="408">
        <v>9.0129073319018485</v>
      </c>
      <c r="AO617" s="408">
        <v>33.683508452997771</v>
      </c>
      <c r="AP617" s="408">
        <v>110.3089357819961</v>
      </c>
      <c r="AQ617" s="408">
        <v>0</v>
      </c>
      <c r="AR617" s="408">
        <v>0</v>
      </c>
      <c r="AS617" s="408">
        <v>0</v>
      </c>
      <c r="AT617" s="408">
        <v>0</v>
      </c>
      <c r="AU617" s="408">
        <v>0</v>
      </c>
      <c r="AV617" s="408">
        <v>0</v>
      </c>
      <c r="AW617" s="408">
        <v>0</v>
      </c>
      <c r="AX617" s="408">
        <v>0</v>
      </c>
      <c r="AY617" s="408">
        <v>0</v>
      </c>
      <c r="AZ617" s="408">
        <v>0</v>
      </c>
      <c r="BA617" s="408"/>
      <c r="BB617" s="408">
        <v>0</v>
      </c>
      <c r="BC617" s="408">
        <v>0</v>
      </c>
      <c r="BD617" s="408">
        <v>0</v>
      </c>
      <c r="BE617" s="408">
        <v>3.2229064924556843</v>
      </c>
      <c r="BF617" s="408">
        <v>27.916243552312284</v>
      </c>
      <c r="BG617" s="408">
        <v>107.92147950450038</v>
      </c>
      <c r="BH617" s="408">
        <v>0</v>
      </c>
      <c r="BI617" s="408">
        <v>0</v>
      </c>
      <c r="BJ617" s="408">
        <v>0</v>
      </c>
      <c r="BK617" s="408">
        <v>0</v>
      </c>
      <c r="BL617" s="408">
        <v>0</v>
      </c>
      <c r="BM617" s="408"/>
      <c r="BN617" s="408"/>
      <c r="BO617" s="408"/>
      <c r="BP617" s="408"/>
      <c r="BQ617" s="408"/>
      <c r="BR617" s="408">
        <v>363.46912999999995</v>
      </c>
      <c r="BS617" s="408"/>
      <c r="BT617" s="408"/>
      <c r="BU617" s="408"/>
      <c r="BV617" s="408">
        <v>1073.8573149094875</v>
      </c>
      <c r="BW617" s="408"/>
      <c r="BX617" s="408"/>
      <c r="BY617" s="408"/>
      <c r="BZ617" s="408"/>
      <c r="CA617" s="408"/>
      <c r="CB617" s="408"/>
      <c r="CC617" s="408"/>
      <c r="CD617" s="408"/>
      <c r="CE617" s="408"/>
      <c r="CF617" s="408"/>
      <c r="CG617" s="408"/>
      <c r="CH617" s="408"/>
      <c r="CI617" s="408">
        <v>2666.0927999999999</v>
      </c>
      <c r="CJ617" s="408">
        <v>-864.47313000000076</v>
      </c>
      <c r="CK617" s="408"/>
      <c r="CL617" s="408"/>
      <c r="CM617" s="408"/>
      <c r="CN617" s="408"/>
      <c r="CO617" s="408">
        <v>-1105.9755100000002</v>
      </c>
      <c r="CP617" s="408">
        <v>123.09271</v>
      </c>
      <c r="CQ617" s="408">
        <v>30</v>
      </c>
      <c r="CR617" s="408">
        <v>135.38385119237319</v>
      </c>
      <c r="CS617" s="408">
        <v>3.2704558678817293</v>
      </c>
      <c r="CT617" s="408">
        <v>10.710300763692786</v>
      </c>
      <c r="CU617" s="408">
        <v>0</v>
      </c>
      <c r="CV617" s="408">
        <v>0</v>
      </c>
      <c r="CW617" s="408">
        <v>0</v>
      </c>
      <c r="CX617" s="408">
        <v>0</v>
      </c>
      <c r="CY617" s="408">
        <v>0</v>
      </c>
      <c r="CZ617" s="408">
        <v>-3.834538376485682</v>
      </c>
      <c r="DA617" s="408">
        <v>0</v>
      </c>
      <c r="DB617" s="408">
        <v>0</v>
      </c>
      <c r="DC617" s="408">
        <v>119.99148598786439</v>
      </c>
      <c r="DD617" s="408">
        <v>3.583358391723614</v>
      </c>
      <c r="DE617" s="408">
        <v>0.41369566803786251</v>
      </c>
      <c r="DF617" s="408">
        <v>0</v>
      </c>
      <c r="DG617" s="408">
        <v>13.852914648240599</v>
      </c>
      <c r="DH617" s="408">
        <v>0</v>
      </c>
      <c r="DI617" s="408">
        <v>-10.381401903516689</v>
      </c>
      <c r="DJ617" s="408"/>
      <c r="DK617" s="408">
        <v>0</v>
      </c>
      <c r="DL617" s="408">
        <v>0</v>
      </c>
      <c r="DM617" s="408">
        <v>-0.52270876368270081</v>
      </c>
      <c r="DN617" s="408">
        <v>0</v>
      </c>
      <c r="DO617" s="408">
        <v>-1.4219880077381504</v>
      </c>
      <c r="DP617" s="408">
        <v>-0.27772308364453835</v>
      </c>
      <c r="DQ617" s="408">
        <v>0</v>
      </c>
      <c r="DR617" s="408">
        <v>0</v>
      </c>
      <c r="DS617" s="408"/>
      <c r="DT617" s="408"/>
      <c r="DU617" s="408"/>
      <c r="DV617" s="408">
        <v>2112.2441541233547</v>
      </c>
      <c r="DW617" s="408">
        <v>0</v>
      </c>
      <c r="DX617" s="408">
        <v>0</v>
      </c>
      <c r="DY617" s="408">
        <v>-1105.9755100000002</v>
      </c>
      <c r="DZ617" s="408">
        <v>123.0927099999999</v>
      </c>
      <c r="EA617" s="408">
        <v>0</v>
      </c>
      <c r="EB617" s="408">
        <v>0</v>
      </c>
      <c r="EC617" s="408">
        <v>-1118.3212979835348</v>
      </c>
      <c r="ED617" s="408">
        <v>0</v>
      </c>
      <c r="EE617" s="408">
        <v>0</v>
      </c>
      <c r="EF617" s="408">
        <v>0</v>
      </c>
      <c r="EG617" s="408">
        <v>0</v>
      </c>
      <c r="EH617" s="408">
        <v>0</v>
      </c>
      <c r="EI617" s="408">
        <v>0</v>
      </c>
      <c r="EJ617" s="408">
        <v>0</v>
      </c>
      <c r="EK617" s="408">
        <v>0</v>
      </c>
      <c r="EL617" s="408">
        <v>0</v>
      </c>
      <c r="EM617" s="408">
        <v>0</v>
      </c>
      <c r="EN617" s="408">
        <v>0</v>
      </c>
      <c r="EO617" s="408">
        <v>0</v>
      </c>
      <c r="EP617" s="408">
        <v>0</v>
      </c>
      <c r="EQ617" s="408">
        <v>0</v>
      </c>
      <c r="ER617" s="408">
        <v>0</v>
      </c>
      <c r="ES617" s="408">
        <v>0</v>
      </c>
      <c r="ET617" s="408">
        <v>0</v>
      </c>
      <c r="EU617" s="408">
        <v>0</v>
      </c>
      <c r="EV617" s="408">
        <v>239</v>
      </c>
      <c r="EW617" s="408">
        <v>0</v>
      </c>
      <c r="EX617" s="408">
        <v>0</v>
      </c>
      <c r="EY617" s="408">
        <v>0</v>
      </c>
      <c r="EZ617" s="408"/>
      <c r="FA617" s="408">
        <v>0</v>
      </c>
      <c r="FB617" s="408"/>
      <c r="FC617" s="408"/>
      <c r="FD617" s="408"/>
      <c r="FE617" s="408"/>
      <c r="FF617" s="408">
        <v>0</v>
      </c>
      <c r="FG617" s="408">
        <v>0</v>
      </c>
      <c r="FH617" s="408">
        <v>0</v>
      </c>
      <c r="FI617" s="408">
        <v>0</v>
      </c>
    </row>
    <row r="618" spans="1:165">
      <c r="A618" s="408">
        <v>622</v>
      </c>
      <c r="B618" s="408" t="s">
        <v>2236</v>
      </c>
      <c r="C618" s="408" t="s">
        <v>2233</v>
      </c>
      <c r="D618" s="408" t="s">
        <v>2243</v>
      </c>
      <c r="E618" s="408" t="s">
        <v>972</v>
      </c>
      <c r="F618" s="408" t="s">
        <v>2251</v>
      </c>
      <c r="G618" s="408" t="s">
        <v>2252</v>
      </c>
      <c r="H618" s="408" t="s">
        <v>1320</v>
      </c>
      <c r="I618" s="408" t="s">
        <v>1320</v>
      </c>
      <c r="J618" s="408" t="s">
        <v>2234</v>
      </c>
      <c r="K618" s="827">
        <v>44652</v>
      </c>
      <c r="L618" s="408">
        <v>0</v>
      </c>
      <c r="M618" s="408">
        <v>0</v>
      </c>
      <c r="N618" s="408">
        <v>0.4</v>
      </c>
      <c r="O618" s="408">
        <v>0.4</v>
      </c>
      <c r="P618" s="408">
        <v>0.4</v>
      </c>
      <c r="Q618" s="408">
        <v>0.4</v>
      </c>
      <c r="R618" s="408"/>
      <c r="S618" s="408">
        <v>516.83000000000004</v>
      </c>
      <c r="T618" s="408">
        <v>173.82</v>
      </c>
      <c r="U618" s="408"/>
      <c r="V618" s="408">
        <v>276.26000000000005</v>
      </c>
      <c r="W618" s="408">
        <v>276.26000000000005</v>
      </c>
      <c r="X618" s="408">
        <v>208.57999999999998</v>
      </c>
      <c r="Y618" s="408">
        <v>0</v>
      </c>
      <c r="Z618" s="408">
        <v>24.459782303209479</v>
      </c>
      <c r="AA618" s="408">
        <v>0</v>
      </c>
      <c r="AB618" s="408">
        <v>0</v>
      </c>
      <c r="AC618" s="408">
        <v>1.0873776293563482</v>
      </c>
      <c r="AD618" s="408">
        <v>13.7706446088264</v>
      </c>
      <c r="AE618" s="408">
        <v>145.44631806667959</v>
      </c>
      <c r="AF618" s="408">
        <v>64.368854216575599</v>
      </c>
      <c r="AG618" s="408">
        <v>3.238346156826692</v>
      </c>
      <c r="AH618" s="408">
        <v>0</v>
      </c>
      <c r="AI618" s="408">
        <v>0</v>
      </c>
      <c r="AJ618" s="408">
        <v>0</v>
      </c>
      <c r="AK618" s="408">
        <v>0</v>
      </c>
      <c r="AL618" s="408">
        <v>3.7805986630476962</v>
      </c>
      <c r="AM618" s="408"/>
      <c r="AN618" s="408">
        <v>0.62061678993987601</v>
      </c>
      <c r="AO618" s="408">
        <v>2.319401511654176</v>
      </c>
      <c r="AP618" s="408">
        <v>7.5957263406435604</v>
      </c>
      <c r="AQ618" s="408">
        <v>0</v>
      </c>
      <c r="AR618" s="408">
        <v>0</v>
      </c>
      <c r="AS618" s="408">
        <v>0</v>
      </c>
      <c r="AT618" s="408">
        <v>0</v>
      </c>
      <c r="AU618" s="408">
        <v>0</v>
      </c>
      <c r="AV618" s="408">
        <v>0</v>
      </c>
      <c r="AW618" s="408">
        <v>0</v>
      </c>
      <c r="AX618" s="408">
        <v>0</v>
      </c>
      <c r="AY618" s="408">
        <v>0</v>
      </c>
      <c r="AZ618" s="408">
        <v>0</v>
      </c>
      <c r="BA618" s="408"/>
      <c r="BB618" s="408">
        <v>0</v>
      </c>
      <c r="BC618" s="408">
        <v>0</v>
      </c>
      <c r="BD618" s="408">
        <v>0</v>
      </c>
      <c r="BE618" s="408">
        <v>0.22192504682084244</v>
      </c>
      <c r="BF618" s="408">
        <v>1.9222753349844919</v>
      </c>
      <c r="BG618" s="408">
        <v>7.4313292824582806</v>
      </c>
      <c r="BH618" s="408">
        <v>0</v>
      </c>
      <c r="BI618" s="408">
        <v>0</v>
      </c>
      <c r="BJ618" s="408">
        <v>0</v>
      </c>
      <c r="BK618" s="408">
        <v>0</v>
      </c>
      <c r="BL618" s="408">
        <v>0</v>
      </c>
      <c r="BM618" s="408"/>
      <c r="BN618" s="408"/>
      <c r="BO618" s="408"/>
      <c r="BP618" s="408"/>
      <c r="BQ618" s="408"/>
      <c r="BR618" s="408">
        <v>25.027999999999999</v>
      </c>
      <c r="BS618" s="408"/>
      <c r="BT618" s="408"/>
      <c r="BU618" s="408"/>
      <c r="BV618" s="408">
        <v>73.944383880839212</v>
      </c>
      <c r="BW618" s="408"/>
      <c r="BX618" s="408"/>
      <c r="BY618" s="408"/>
      <c r="BZ618" s="408"/>
      <c r="CA618" s="408"/>
      <c r="CB618" s="408"/>
      <c r="CC618" s="408"/>
      <c r="CD618" s="408"/>
      <c r="CE618" s="408"/>
      <c r="CF618" s="408"/>
      <c r="CG618" s="408"/>
      <c r="CH618" s="408"/>
      <c r="CI618" s="408">
        <v>183.55200000000002</v>
      </c>
      <c r="CJ618" s="408">
        <v>-59.585999999999956</v>
      </c>
      <c r="CK618" s="408"/>
      <c r="CL618" s="408"/>
      <c r="CM618" s="408"/>
      <c r="CN618" s="408"/>
      <c r="CO618" s="408">
        <v>-76.15600000000002</v>
      </c>
      <c r="CP618" s="408">
        <v>8.4759999999999991</v>
      </c>
      <c r="CQ618" s="408">
        <v>30</v>
      </c>
      <c r="CR618" s="408">
        <v>9.3223516056032452</v>
      </c>
      <c r="CS618" s="408">
        <v>0.22519923345716819</v>
      </c>
      <c r="CT618" s="408">
        <v>0.73749704002016081</v>
      </c>
      <c r="CU618" s="408">
        <v>0</v>
      </c>
      <c r="CV618" s="408">
        <v>0</v>
      </c>
      <c r="CW618" s="408">
        <v>0</v>
      </c>
      <c r="CX618" s="408">
        <v>0</v>
      </c>
      <c r="CY618" s="408">
        <v>0</v>
      </c>
      <c r="CZ618" s="408">
        <v>-0.26404120340751902</v>
      </c>
      <c r="DA618" s="408">
        <v>0</v>
      </c>
      <c r="DB618" s="408">
        <v>0</v>
      </c>
      <c r="DC618" s="408">
        <v>8.2624538466424013</v>
      </c>
      <c r="DD618" s="408">
        <v>0.24674528433283638</v>
      </c>
      <c r="DE618" s="408">
        <v>2.8486532486683619E-2</v>
      </c>
      <c r="DF618" s="408">
        <v>0</v>
      </c>
      <c r="DG618" s="408">
        <v>0.95389324484355953</v>
      </c>
      <c r="DH618" s="408">
        <v>0</v>
      </c>
      <c r="DI618" s="408">
        <v>-0.71484950273827863</v>
      </c>
      <c r="DJ618" s="408"/>
      <c r="DK618" s="408">
        <v>0</v>
      </c>
      <c r="DL618" s="408">
        <v>0</v>
      </c>
      <c r="DM618" s="408">
        <v>-3.5993029002080235E-2</v>
      </c>
      <c r="DN618" s="408">
        <v>0</v>
      </c>
      <c r="DO618" s="408">
        <v>-9.7916199534388237E-2</v>
      </c>
      <c r="DP618" s="408">
        <v>-1.9123641497299948E-2</v>
      </c>
      <c r="DQ618" s="408">
        <v>0</v>
      </c>
      <c r="DR618" s="408">
        <v>0</v>
      </c>
      <c r="DS618" s="408"/>
      <c r="DT618" s="408"/>
      <c r="DU618" s="408"/>
      <c r="DV618" s="408">
        <v>145.44631806667959</v>
      </c>
      <c r="DW618" s="408">
        <v>0</v>
      </c>
      <c r="DX618" s="408">
        <v>0</v>
      </c>
      <c r="DY618" s="408">
        <v>-76.156000000000034</v>
      </c>
      <c r="DZ618" s="408">
        <v>8.4759999999999991</v>
      </c>
      <c r="EA618" s="408">
        <v>0</v>
      </c>
      <c r="EB618" s="408">
        <v>0</v>
      </c>
      <c r="EC618" s="408">
        <v>-77.006114510830386</v>
      </c>
      <c r="ED618" s="408">
        <v>0</v>
      </c>
      <c r="EE618" s="408">
        <v>0</v>
      </c>
      <c r="EF618" s="408">
        <v>0</v>
      </c>
      <c r="EG618" s="408">
        <v>0</v>
      </c>
      <c r="EH618" s="408">
        <v>0</v>
      </c>
      <c r="EI618" s="408">
        <v>0</v>
      </c>
      <c r="EJ618" s="408">
        <v>0</v>
      </c>
      <c r="EK618" s="408">
        <v>0</v>
      </c>
      <c r="EL618" s="408">
        <v>0</v>
      </c>
      <c r="EM618" s="408">
        <v>0</v>
      </c>
      <c r="EN618" s="408">
        <v>0</v>
      </c>
      <c r="EO618" s="408">
        <v>0</v>
      </c>
      <c r="EP618" s="408">
        <v>0</v>
      </c>
      <c r="EQ618" s="408">
        <v>0</v>
      </c>
      <c r="ER618" s="408">
        <v>0</v>
      </c>
      <c r="ES618" s="408">
        <v>0</v>
      </c>
      <c r="ET618" s="408">
        <v>0</v>
      </c>
      <c r="EU618" s="408">
        <v>0</v>
      </c>
      <c r="EV618" s="408">
        <v>239</v>
      </c>
      <c r="EW618" s="408">
        <v>0</v>
      </c>
      <c r="EX618" s="408">
        <v>0</v>
      </c>
      <c r="EY618" s="408">
        <v>0</v>
      </c>
      <c r="EZ618" s="408"/>
      <c r="FA618" s="408">
        <v>0</v>
      </c>
      <c r="FB618" s="408"/>
      <c r="FC618" s="408"/>
      <c r="FD618" s="408"/>
      <c r="FE618" s="408"/>
      <c r="FF618" s="408">
        <v>0</v>
      </c>
      <c r="FG618" s="408">
        <v>0</v>
      </c>
      <c r="FH618" s="408">
        <v>0</v>
      </c>
      <c r="FI618" s="408">
        <v>0</v>
      </c>
    </row>
    <row r="619" spans="1:165">
      <c r="A619" s="408">
        <v>623</v>
      </c>
      <c r="B619" s="408" t="s">
        <v>1034</v>
      </c>
      <c r="C619" s="408" t="s">
        <v>2233</v>
      </c>
      <c r="D619" s="408" t="s">
        <v>2243</v>
      </c>
      <c r="E619" s="408" t="s">
        <v>972</v>
      </c>
      <c r="F619" s="408" t="s">
        <v>2251</v>
      </c>
      <c r="G619" s="408" t="s">
        <v>2253</v>
      </c>
      <c r="H619" s="408" t="s">
        <v>1320</v>
      </c>
      <c r="I619" s="408" t="s">
        <v>1320</v>
      </c>
      <c r="J619" s="408" t="s">
        <v>2234</v>
      </c>
      <c r="K619" s="827">
        <v>44652</v>
      </c>
      <c r="L619" s="408">
        <v>0</v>
      </c>
      <c r="M619" s="408">
        <v>0</v>
      </c>
      <c r="N619" s="408">
        <v>0.45100000000000001</v>
      </c>
      <c r="O619" s="408">
        <v>0.1804</v>
      </c>
      <c r="P619" s="408">
        <v>0.45100000000000001</v>
      </c>
      <c r="Q619" s="408">
        <v>0.1804</v>
      </c>
      <c r="R619" s="408"/>
      <c r="S619" s="408">
        <v>516.83000000000004</v>
      </c>
      <c r="T619" s="408">
        <v>173.82</v>
      </c>
      <c r="U619" s="408"/>
      <c r="V619" s="408">
        <v>311.48315000000002</v>
      </c>
      <c r="W619" s="408">
        <v>311.48315000000002</v>
      </c>
      <c r="X619" s="408">
        <v>235.17395000000002</v>
      </c>
      <c r="Y619" s="408">
        <v>0</v>
      </c>
      <c r="Z619" s="408">
        <v>27.57840454686869</v>
      </c>
      <c r="AA619" s="408">
        <v>0</v>
      </c>
      <c r="AB619" s="408">
        <v>0</v>
      </c>
      <c r="AC619" s="408">
        <v>1.2260182770992825</v>
      </c>
      <c r="AD619" s="408">
        <v>15.526401796451765</v>
      </c>
      <c r="AE619" s="408">
        <v>163.99072362018126</v>
      </c>
      <c r="AF619" s="408">
        <v>72.575883129188981</v>
      </c>
      <c r="AG619" s="408">
        <v>3.6512352918220952</v>
      </c>
      <c r="AH619" s="408">
        <v>0</v>
      </c>
      <c r="AI619" s="408">
        <v>0</v>
      </c>
      <c r="AJ619" s="408">
        <v>0</v>
      </c>
      <c r="AK619" s="408">
        <v>0</v>
      </c>
      <c r="AL619" s="408">
        <v>4.2626249925862769</v>
      </c>
      <c r="AM619" s="408"/>
      <c r="AN619" s="408">
        <v>0.69974543065721018</v>
      </c>
      <c r="AO619" s="408">
        <v>2.6151252043900834</v>
      </c>
      <c r="AP619" s="408">
        <v>8.5641814490756136</v>
      </c>
      <c r="AQ619" s="408">
        <v>0</v>
      </c>
      <c r="AR619" s="408">
        <v>0</v>
      </c>
      <c r="AS619" s="408">
        <v>0</v>
      </c>
      <c r="AT619" s="408">
        <v>0</v>
      </c>
      <c r="AU619" s="408">
        <v>0</v>
      </c>
      <c r="AV619" s="408">
        <v>0</v>
      </c>
      <c r="AW619" s="408">
        <v>0</v>
      </c>
      <c r="AX619" s="408">
        <v>0</v>
      </c>
      <c r="AY619" s="408">
        <v>0</v>
      </c>
      <c r="AZ619" s="408">
        <v>0</v>
      </c>
      <c r="BA619" s="408"/>
      <c r="BB619" s="408">
        <v>0</v>
      </c>
      <c r="BC619" s="408">
        <v>0</v>
      </c>
      <c r="BD619" s="408">
        <v>0</v>
      </c>
      <c r="BE619" s="408">
        <v>0.25022049029049981</v>
      </c>
      <c r="BF619" s="408">
        <v>2.1673654401950144</v>
      </c>
      <c r="BG619" s="408">
        <v>8.3788237659717115</v>
      </c>
      <c r="BH619" s="408">
        <v>0</v>
      </c>
      <c r="BI619" s="408">
        <v>0</v>
      </c>
      <c r="BJ619" s="408">
        <v>0</v>
      </c>
      <c r="BK619" s="408">
        <v>0</v>
      </c>
      <c r="BL619" s="408">
        <v>0</v>
      </c>
      <c r="BM619" s="408"/>
      <c r="BN619" s="408"/>
      <c r="BO619" s="408"/>
      <c r="BP619" s="408"/>
      <c r="BQ619" s="408"/>
      <c r="BR619" s="408"/>
      <c r="BS619" s="408">
        <v>152.391998</v>
      </c>
      <c r="BT619" s="408"/>
      <c r="BU619" s="408"/>
      <c r="BV619" s="408">
        <v>83.372292825646213</v>
      </c>
      <c r="BW619" s="408"/>
      <c r="BX619" s="408"/>
      <c r="BY619" s="408"/>
      <c r="BZ619" s="408"/>
      <c r="CA619" s="408"/>
      <c r="CB619" s="408"/>
      <c r="CC619" s="408"/>
      <c r="CD619" s="408"/>
      <c r="CE619" s="408"/>
      <c r="CF619" s="408"/>
      <c r="CG619" s="408"/>
      <c r="CH619" s="408"/>
      <c r="CI619" s="408">
        <v>82.598399999999998</v>
      </c>
      <c r="CJ619" s="408">
        <v>-27.073308000000026</v>
      </c>
      <c r="CK619" s="408"/>
      <c r="CL619" s="408"/>
      <c r="CM619" s="408"/>
      <c r="CN619" s="408"/>
      <c r="CO619" s="408">
        <v>-85.865890000000022</v>
      </c>
      <c r="CP619" s="408">
        <v>9.5566899999999997</v>
      </c>
      <c r="CQ619" s="408">
        <v>30</v>
      </c>
      <c r="CR619" s="408">
        <v>10.510951435317679</v>
      </c>
      <c r="CS619" s="408">
        <v>0.25391213572295701</v>
      </c>
      <c r="CT619" s="408">
        <v>0.8315279126227324</v>
      </c>
      <c r="CU619" s="408">
        <v>0</v>
      </c>
      <c r="CV619" s="408">
        <v>0</v>
      </c>
      <c r="CW619" s="408">
        <v>0</v>
      </c>
      <c r="CX619" s="408">
        <v>0</v>
      </c>
      <c r="CY619" s="408">
        <v>0</v>
      </c>
      <c r="CZ619" s="408">
        <v>-0.29770645684197738</v>
      </c>
      <c r="DA619" s="408">
        <v>0</v>
      </c>
      <c r="DB619" s="408">
        <v>0</v>
      </c>
      <c r="DC619" s="408">
        <v>9.3159167120893187</v>
      </c>
      <c r="DD619" s="408">
        <v>0.27820530808527311</v>
      </c>
      <c r="DE619" s="408">
        <v>3.2118565378735808E-2</v>
      </c>
      <c r="DF619" s="408">
        <v>0</v>
      </c>
      <c r="DG619" s="408">
        <v>1.0755146335611148</v>
      </c>
      <c r="DH619" s="408">
        <v>0</v>
      </c>
      <c r="DI619" s="408">
        <v>-0.80599281433741155</v>
      </c>
      <c r="DJ619" s="408"/>
      <c r="DK619" s="408">
        <v>0</v>
      </c>
      <c r="DL619" s="408">
        <v>0</v>
      </c>
      <c r="DM619" s="408">
        <v>-4.0582140199845185E-2</v>
      </c>
      <c r="DN619" s="408">
        <v>0</v>
      </c>
      <c r="DO619" s="408">
        <v>-0.11040051497502201</v>
      </c>
      <c r="DP619" s="408">
        <v>-2.1561905788205715E-2</v>
      </c>
      <c r="DQ619" s="408">
        <v>0</v>
      </c>
      <c r="DR619" s="408">
        <v>0</v>
      </c>
      <c r="DS619" s="408"/>
      <c r="DT619" s="408"/>
      <c r="DU619" s="408"/>
      <c r="DV619" s="408">
        <v>163.99072362018126</v>
      </c>
      <c r="DW619" s="408">
        <v>0</v>
      </c>
      <c r="DX619" s="408">
        <v>0</v>
      </c>
      <c r="DY619" s="408">
        <v>-85.865890000000007</v>
      </c>
      <c r="DZ619" s="408">
        <v>9.5566900000000032</v>
      </c>
      <c r="EA619" s="408">
        <v>0</v>
      </c>
      <c r="EB619" s="408">
        <v>0</v>
      </c>
      <c r="EC619" s="408">
        <v>-86.824394110961279</v>
      </c>
      <c r="ED619" s="408">
        <v>0</v>
      </c>
      <c r="EE619" s="408">
        <v>0</v>
      </c>
      <c r="EF619" s="408">
        <v>0</v>
      </c>
      <c r="EG619" s="408">
        <v>0</v>
      </c>
      <c r="EH619" s="408">
        <v>0</v>
      </c>
      <c r="EI619" s="408">
        <v>0</v>
      </c>
      <c r="EJ619" s="408">
        <v>0</v>
      </c>
      <c r="EK619" s="408">
        <v>0</v>
      </c>
      <c r="EL619" s="408">
        <v>0</v>
      </c>
      <c r="EM619" s="408">
        <v>0</v>
      </c>
      <c r="EN619" s="408">
        <v>0</v>
      </c>
      <c r="EO619" s="408">
        <v>0</v>
      </c>
      <c r="EP619" s="408">
        <v>0</v>
      </c>
      <c r="EQ619" s="408">
        <v>0</v>
      </c>
      <c r="ER619" s="408">
        <v>0</v>
      </c>
      <c r="ES619" s="408">
        <v>0</v>
      </c>
      <c r="ET619" s="408">
        <v>0</v>
      </c>
      <c r="EU619" s="408">
        <v>0</v>
      </c>
      <c r="EV619" s="408">
        <v>239</v>
      </c>
      <c r="EW619" s="408">
        <v>0</v>
      </c>
      <c r="EX619" s="408">
        <v>0</v>
      </c>
      <c r="EY619" s="408">
        <v>0</v>
      </c>
      <c r="EZ619" s="408"/>
      <c r="FA619" s="408">
        <v>0</v>
      </c>
      <c r="FB619" s="408"/>
      <c r="FC619" s="408"/>
      <c r="FD619" s="408"/>
      <c r="FE619" s="408"/>
      <c r="FF619" s="408">
        <v>0</v>
      </c>
      <c r="FG619" s="408">
        <v>0</v>
      </c>
      <c r="FH619" s="408">
        <v>0</v>
      </c>
      <c r="FI619" s="408">
        <v>0</v>
      </c>
    </row>
    <row r="620" spans="1:165">
      <c r="A620" s="408">
        <v>624</v>
      </c>
      <c r="B620" s="408" t="s">
        <v>1034</v>
      </c>
      <c r="C620" s="408" t="s">
        <v>2241</v>
      </c>
      <c r="D620" s="408" t="s">
        <v>596</v>
      </c>
      <c r="E620" s="408" t="s">
        <v>972</v>
      </c>
      <c r="F620" s="408" t="s">
        <v>2251</v>
      </c>
      <c r="G620" s="408" t="s">
        <v>1320</v>
      </c>
      <c r="H620" s="408" t="s">
        <v>1320</v>
      </c>
      <c r="I620" s="408" t="s">
        <v>971</v>
      </c>
      <c r="J620" s="408" t="s">
        <v>2234</v>
      </c>
      <c r="K620" s="827">
        <v>44652</v>
      </c>
      <c r="L620" s="408">
        <v>0</v>
      </c>
      <c r="M620" s="408">
        <v>0</v>
      </c>
      <c r="N620" s="408">
        <v>6.9000000000000006E-2</v>
      </c>
      <c r="O620" s="408">
        <v>6.6239999999999993E-2</v>
      </c>
      <c r="P620" s="408">
        <v>6.9000000000000006E-2</v>
      </c>
      <c r="Q620" s="408">
        <v>6.6239999999999993E-2</v>
      </c>
      <c r="R620" s="408"/>
      <c r="S620" s="408">
        <v>1684.16</v>
      </c>
      <c r="T620" s="408">
        <v>173.82</v>
      </c>
      <c r="U620" s="408"/>
      <c r="V620" s="408">
        <v>128.20062000000001</v>
      </c>
      <c r="W620" s="408">
        <v>128.20062000000001</v>
      </c>
      <c r="X620" s="408">
        <v>88.006740000000008</v>
      </c>
      <c r="Y620" s="408">
        <v>0</v>
      </c>
      <c r="Z620" s="408">
        <v>3.6708018291541689</v>
      </c>
      <c r="AA620" s="408">
        <v>0</v>
      </c>
      <c r="AB620" s="408">
        <v>0</v>
      </c>
      <c r="AC620" s="408">
        <v>1.2419585903217427</v>
      </c>
      <c r="AD620" s="408">
        <v>18.946429113422138</v>
      </c>
      <c r="AE620" s="408">
        <v>79.922179429199858</v>
      </c>
      <c r="AF620" s="408">
        <v>11.103627352359291</v>
      </c>
      <c r="AG620" s="408">
        <v>0.55861471205260438</v>
      </c>
      <c r="AH620" s="408">
        <v>0</v>
      </c>
      <c r="AI620" s="408">
        <v>0</v>
      </c>
      <c r="AJ620" s="408">
        <v>0</v>
      </c>
      <c r="AK620" s="408">
        <v>0</v>
      </c>
      <c r="AL620" s="408">
        <v>0.6521532693757276</v>
      </c>
      <c r="AM620" s="408"/>
      <c r="AN620" s="408">
        <v>8.5748415931834451E-2</v>
      </c>
      <c r="AO620" s="408">
        <v>2.6672739104061338</v>
      </c>
      <c r="AP620" s="408">
        <v>8.5766082996052688</v>
      </c>
      <c r="AQ620" s="408">
        <v>0</v>
      </c>
      <c r="AR620" s="408">
        <v>0</v>
      </c>
      <c r="AS620" s="408">
        <v>0</v>
      </c>
      <c r="AT620" s="408">
        <v>0</v>
      </c>
      <c r="AU620" s="408">
        <v>0</v>
      </c>
      <c r="AV620" s="408">
        <v>0</v>
      </c>
      <c r="AW620" s="408">
        <v>0</v>
      </c>
      <c r="AX620" s="408">
        <v>0</v>
      </c>
      <c r="AY620" s="408">
        <v>0</v>
      </c>
      <c r="AZ620" s="408">
        <v>0</v>
      </c>
      <c r="BA620" s="408"/>
      <c r="BB620" s="408">
        <v>0</v>
      </c>
      <c r="BC620" s="408">
        <v>0</v>
      </c>
      <c r="BD620" s="408">
        <v>0</v>
      </c>
      <c r="BE620" s="408">
        <v>1.2874960104047874E-2</v>
      </c>
      <c r="BF620" s="408">
        <v>0.33159249528482487</v>
      </c>
      <c r="BG620" s="408">
        <v>0.43112784880443372</v>
      </c>
      <c r="BH620" s="408">
        <v>0</v>
      </c>
      <c r="BI620" s="408">
        <v>0</v>
      </c>
      <c r="BJ620" s="408">
        <v>0</v>
      </c>
      <c r="BK620" s="408">
        <v>0</v>
      </c>
      <c r="BL620" s="408">
        <v>0</v>
      </c>
      <c r="BM620" s="408"/>
      <c r="BN620" s="408"/>
      <c r="BO620" s="408"/>
      <c r="BP620" s="408"/>
      <c r="BQ620" s="408"/>
      <c r="BR620" s="408">
        <v>3.5202696000000158</v>
      </c>
      <c r="BS620" s="408"/>
      <c r="BT620" s="408"/>
      <c r="BU620" s="408"/>
      <c r="BV620" s="408">
        <v>11.879222656552598</v>
      </c>
      <c r="BW620" s="408"/>
      <c r="BX620" s="408"/>
      <c r="BY620" s="408"/>
      <c r="BZ620" s="408"/>
      <c r="CA620" s="408"/>
      <c r="CB620" s="408"/>
      <c r="CC620" s="408"/>
      <c r="CD620" s="408"/>
      <c r="CE620" s="408"/>
      <c r="CF620" s="408"/>
      <c r="CG620" s="408"/>
      <c r="CH620" s="408"/>
      <c r="CI620" s="408">
        <v>89.282200000000017</v>
      </c>
      <c r="CJ620" s="408">
        <v>-33.820395199999979</v>
      </c>
      <c r="CK620" s="408"/>
      <c r="CL620" s="408"/>
      <c r="CM620" s="408"/>
      <c r="CN620" s="408"/>
      <c r="CO620" s="408">
        <v>-41.655990000000003</v>
      </c>
      <c r="CP620" s="408">
        <v>1.46211</v>
      </c>
      <c r="CQ620" s="408">
        <v>30</v>
      </c>
      <c r="CR620" s="408">
        <v>2.1202340462265923</v>
      </c>
      <c r="CS620" s="408">
        <v>0.25897544561629537</v>
      </c>
      <c r="CT620" s="408">
        <v>0.83273448129982874</v>
      </c>
      <c r="CU620" s="408">
        <v>0</v>
      </c>
      <c r="CV620" s="408">
        <v>0</v>
      </c>
      <c r="CW620" s="408">
        <v>0</v>
      </c>
      <c r="CX620" s="408">
        <v>0</v>
      </c>
      <c r="CY620" s="408">
        <v>0</v>
      </c>
      <c r="CZ620" s="408">
        <v>-0.36328277183026003</v>
      </c>
      <c r="DA620" s="408">
        <v>0</v>
      </c>
      <c r="DB620" s="408">
        <v>0</v>
      </c>
      <c r="DC620" s="408">
        <v>1.4252732885458155</v>
      </c>
      <c r="DD620" s="408">
        <v>4.2563561547414253E-2</v>
      </c>
      <c r="DE620" s="408">
        <v>1.6526434240872537E-3</v>
      </c>
      <c r="DF620" s="408">
        <v>0</v>
      </c>
      <c r="DG620" s="408">
        <v>5.5340024241590902E-2</v>
      </c>
      <c r="DH620" s="408">
        <v>0</v>
      </c>
      <c r="DI620" s="408">
        <v>-0.10728103912345022</v>
      </c>
      <c r="DJ620" s="408"/>
      <c r="DK620" s="408">
        <v>0</v>
      </c>
      <c r="DL620" s="408">
        <v>0</v>
      </c>
      <c r="DM620" s="408">
        <v>-6.2087975028588538E-3</v>
      </c>
      <c r="DN620" s="408">
        <v>0</v>
      </c>
      <c r="DO620" s="408">
        <v>-1.6890544419681963E-2</v>
      </c>
      <c r="DP620" s="408">
        <v>-2.6422455721844817E-3</v>
      </c>
      <c r="DQ620" s="408">
        <v>0</v>
      </c>
      <c r="DR620" s="408">
        <v>0</v>
      </c>
      <c r="DS620" s="408"/>
      <c r="DT620" s="408"/>
      <c r="DU620" s="408"/>
      <c r="DV620" s="408">
        <v>79.922179429199858</v>
      </c>
      <c r="DW620" s="408">
        <v>0</v>
      </c>
      <c r="DX620" s="408">
        <v>0</v>
      </c>
      <c r="DY620" s="408">
        <v>-41.655990000000017</v>
      </c>
      <c r="DZ620" s="408">
        <v>1.4621100000000009</v>
      </c>
      <c r="EA620" s="408">
        <v>0</v>
      </c>
      <c r="EB620" s="408">
        <v>0</v>
      </c>
      <c r="EC620" s="408">
        <v>-42.314556895545302</v>
      </c>
      <c r="ED620" s="408">
        <v>0</v>
      </c>
      <c r="EE620" s="408">
        <v>0</v>
      </c>
      <c r="EF620" s="408">
        <v>0</v>
      </c>
      <c r="EG620" s="408">
        <v>0</v>
      </c>
      <c r="EH620" s="408">
        <v>0</v>
      </c>
      <c r="EI620" s="408">
        <v>0</v>
      </c>
      <c r="EJ620" s="408">
        <v>0</v>
      </c>
      <c r="EK620" s="408">
        <v>0</v>
      </c>
      <c r="EL620" s="408">
        <v>0</v>
      </c>
      <c r="EM620" s="408">
        <v>0</v>
      </c>
      <c r="EN620" s="408">
        <v>0</v>
      </c>
      <c r="EO620" s="408">
        <v>0</v>
      </c>
      <c r="EP620" s="408">
        <v>0</v>
      </c>
      <c r="EQ620" s="408">
        <v>0</v>
      </c>
      <c r="ER620" s="408">
        <v>0</v>
      </c>
      <c r="ES620" s="408">
        <v>0</v>
      </c>
      <c r="ET620" s="408">
        <v>0</v>
      </c>
      <c r="EU620" s="408">
        <v>0</v>
      </c>
      <c r="EV620" s="408">
        <v>239</v>
      </c>
      <c r="EW620" s="408">
        <v>0</v>
      </c>
      <c r="EX620" s="408">
        <v>0</v>
      </c>
      <c r="EY620" s="408">
        <v>0</v>
      </c>
      <c r="EZ620" s="408"/>
      <c r="FA620" s="408">
        <v>0</v>
      </c>
      <c r="FB620" s="408"/>
      <c r="FC620" s="408"/>
      <c r="FD620" s="408"/>
      <c r="FE620" s="408"/>
      <c r="FF620" s="408">
        <v>0</v>
      </c>
      <c r="FG620" s="408">
        <v>0</v>
      </c>
      <c r="FH620" s="408">
        <v>0</v>
      </c>
      <c r="FI620" s="408">
        <v>0</v>
      </c>
    </row>
    <row r="621" spans="1:165">
      <c r="A621" s="408">
        <v>625</v>
      </c>
      <c r="B621" s="408" t="s">
        <v>1034</v>
      </c>
      <c r="C621" s="408" t="s">
        <v>2241</v>
      </c>
      <c r="D621" s="408" t="s">
        <v>596</v>
      </c>
      <c r="E621" s="408" t="s">
        <v>972</v>
      </c>
      <c r="F621" s="408" t="s">
        <v>2251</v>
      </c>
      <c r="G621" s="408" t="s">
        <v>1320</v>
      </c>
      <c r="H621" s="408" t="s">
        <v>1320</v>
      </c>
      <c r="I621" s="408" t="s">
        <v>2242</v>
      </c>
      <c r="J621" s="408" t="s">
        <v>2234</v>
      </c>
      <c r="K621" s="827">
        <v>44652</v>
      </c>
      <c r="L621" s="408">
        <v>0</v>
      </c>
      <c r="M621" s="408">
        <v>0</v>
      </c>
      <c r="N621" s="408">
        <v>0.36899999999999999</v>
      </c>
      <c r="O621" s="408">
        <v>0.35424</v>
      </c>
      <c r="P621" s="408">
        <v>0.36899999999999999</v>
      </c>
      <c r="Q621" s="408">
        <v>0.35424</v>
      </c>
      <c r="R621" s="408"/>
      <c r="S621" s="408">
        <v>70.33</v>
      </c>
      <c r="T621" s="408">
        <v>173.82</v>
      </c>
      <c r="U621" s="408"/>
      <c r="V621" s="408">
        <v>90.091349999999991</v>
      </c>
      <c r="W621" s="408">
        <v>90.091349999999991</v>
      </c>
      <c r="X621" s="408">
        <v>97.537769999999995</v>
      </c>
      <c r="Y621" s="408">
        <v>0</v>
      </c>
      <c r="Z621" s="408">
        <v>19.630809781998376</v>
      </c>
      <c r="AA621" s="408">
        <v>0</v>
      </c>
      <c r="AB621" s="408">
        <v>0</v>
      </c>
      <c r="AC621" s="408">
        <v>0</v>
      </c>
      <c r="AD621" s="408">
        <v>0</v>
      </c>
      <c r="AE621" s="408">
        <v>0</v>
      </c>
      <c r="AF621" s="408">
        <v>59.380268014790985</v>
      </c>
      <c r="AG621" s="408">
        <v>2.987374329672623</v>
      </c>
      <c r="AH621" s="408">
        <v>0</v>
      </c>
      <c r="AI621" s="408">
        <v>0</v>
      </c>
      <c r="AJ621" s="408">
        <v>0</v>
      </c>
      <c r="AK621" s="408">
        <v>0</v>
      </c>
      <c r="AL621" s="408">
        <v>3.4876022666614994</v>
      </c>
      <c r="AM621" s="408"/>
      <c r="AN621" s="408">
        <v>0.45856761563546244</v>
      </c>
      <c r="AO621" s="408">
        <v>0</v>
      </c>
      <c r="AP621" s="408">
        <v>0</v>
      </c>
      <c r="AQ621" s="408">
        <v>0</v>
      </c>
      <c r="AR621" s="408">
        <v>0</v>
      </c>
      <c r="AS621" s="408">
        <v>0</v>
      </c>
      <c r="AT621" s="408">
        <v>0</v>
      </c>
      <c r="AU621" s="408">
        <v>0</v>
      </c>
      <c r="AV621" s="408">
        <v>0</v>
      </c>
      <c r="AW621" s="408">
        <v>0</v>
      </c>
      <c r="AX621" s="408">
        <v>0</v>
      </c>
      <c r="AY621" s="408">
        <v>0</v>
      </c>
      <c r="AZ621" s="408">
        <v>0</v>
      </c>
      <c r="BA621" s="408"/>
      <c r="BB621" s="408">
        <v>0</v>
      </c>
      <c r="BC621" s="408">
        <v>0</v>
      </c>
      <c r="BD621" s="408">
        <v>0</v>
      </c>
      <c r="BE621" s="408">
        <v>6.8853047512951668E-2</v>
      </c>
      <c r="BF621" s="408">
        <v>1.7732989965231938</v>
      </c>
      <c r="BG621" s="408">
        <v>2.3055967566497975</v>
      </c>
      <c r="BH621" s="408">
        <v>0</v>
      </c>
      <c r="BI621" s="408">
        <v>0</v>
      </c>
      <c r="BJ621" s="408">
        <v>0</v>
      </c>
      <c r="BK621" s="408">
        <v>0</v>
      </c>
      <c r="BL621" s="408">
        <v>0</v>
      </c>
      <c r="BM621" s="408"/>
      <c r="BN621" s="408"/>
      <c r="BO621" s="408"/>
      <c r="BP621" s="408"/>
      <c r="BQ621" s="408"/>
      <c r="BR621" s="408">
        <v>3.9015107999999983</v>
      </c>
      <c r="BS621" s="408"/>
      <c r="BT621" s="408"/>
      <c r="BU621" s="408"/>
      <c r="BV621" s="408">
        <v>63.528016815476931</v>
      </c>
      <c r="BW621" s="408"/>
      <c r="BX621" s="408"/>
      <c r="BY621" s="408"/>
      <c r="BZ621" s="408"/>
      <c r="CA621" s="408"/>
      <c r="CB621" s="408"/>
      <c r="CC621" s="408"/>
      <c r="CD621" s="408"/>
      <c r="CE621" s="408"/>
      <c r="CF621" s="408"/>
      <c r="CG621" s="408"/>
      <c r="CH621" s="408"/>
      <c r="CI621" s="408">
        <v>92.515499999999989</v>
      </c>
      <c r="CJ621" s="408">
        <v>5.9978039999999879</v>
      </c>
      <c r="CK621" s="408"/>
      <c r="CL621" s="408"/>
      <c r="CM621" s="408"/>
      <c r="CN621" s="408"/>
      <c r="CO621" s="408">
        <v>-0.37269000000000191</v>
      </c>
      <c r="CP621" s="408">
        <v>7.8191099999999993</v>
      </c>
      <c r="CQ621" s="408">
        <v>30</v>
      </c>
      <c r="CR621" s="408">
        <v>7.4431412004482809</v>
      </c>
      <c r="CS621" s="408">
        <v>0</v>
      </c>
      <c r="CT621" s="408">
        <v>0</v>
      </c>
      <c r="CU621" s="408">
        <v>0</v>
      </c>
      <c r="CV621" s="408">
        <v>0</v>
      </c>
      <c r="CW621" s="408">
        <v>0</v>
      </c>
      <c r="CX621" s="408">
        <v>0</v>
      </c>
      <c r="CY621" s="408">
        <v>0</v>
      </c>
      <c r="CZ621" s="408">
        <v>0</v>
      </c>
      <c r="DA621" s="408">
        <v>0</v>
      </c>
      <c r="DB621" s="408">
        <v>0</v>
      </c>
      <c r="DC621" s="408">
        <v>7.6221136735276218</v>
      </c>
      <c r="DD621" s="408">
        <v>0.22762252479704159</v>
      </c>
      <c r="DE621" s="408">
        <v>8.8380496157709626E-3</v>
      </c>
      <c r="DF621" s="408">
        <v>0</v>
      </c>
      <c r="DG621" s="408">
        <v>0.29594882529198596</v>
      </c>
      <c r="DH621" s="408">
        <v>0</v>
      </c>
      <c r="DI621" s="408">
        <v>-0.57372033966018776</v>
      </c>
      <c r="DJ621" s="408"/>
      <c r="DK621" s="408">
        <v>0</v>
      </c>
      <c r="DL621" s="408">
        <v>0</v>
      </c>
      <c r="DM621" s="408">
        <v>-3.3203569254418586E-2</v>
      </c>
      <c r="DN621" s="408">
        <v>0</v>
      </c>
      <c r="DO621" s="408">
        <v>-9.0327694070472919E-2</v>
      </c>
      <c r="DP621" s="408">
        <v>-1.4130269799073503E-2</v>
      </c>
      <c r="DQ621" s="408">
        <v>0</v>
      </c>
      <c r="DR621" s="408">
        <v>0</v>
      </c>
      <c r="DS621" s="408"/>
      <c r="DT621" s="408"/>
      <c r="DU621" s="408"/>
      <c r="DV621" s="408">
        <v>0</v>
      </c>
      <c r="DW621" s="408">
        <v>0</v>
      </c>
      <c r="DX621" s="408">
        <v>0</v>
      </c>
      <c r="DY621" s="408">
        <v>-0.37269000000000219</v>
      </c>
      <c r="DZ621" s="408">
        <v>7.8191099999999949</v>
      </c>
      <c r="EA621" s="408">
        <v>0</v>
      </c>
      <c r="EB621" s="408">
        <v>0</v>
      </c>
      <c r="EC621" s="408">
        <v>0</v>
      </c>
      <c r="ED621" s="408">
        <v>0</v>
      </c>
      <c r="EE621" s="408">
        <v>0</v>
      </c>
      <c r="EF621" s="408">
        <v>0</v>
      </c>
      <c r="EG621" s="408">
        <v>0</v>
      </c>
      <c r="EH621" s="408">
        <v>0</v>
      </c>
      <c r="EI621" s="408">
        <v>0</v>
      </c>
      <c r="EJ621" s="408">
        <v>0</v>
      </c>
      <c r="EK621" s="408">
        <v>0</v>
      </c>
      <c r="EL621" s="408">
        <v>0</v>
      </c>
      <c r="EM621" s="408">
        <v>0</v>
      </c>
      <c r="EN621" s="408">
        <v>0</v>
      </c>
      <c r="EO621" s="408">
        <v>0</v>
      </c>
      <c r="EP621" s="408">
        <v>0</v>
      </c>
      <c r="EQ621" s="408">
        <v>0</v>
      </c>
      <c r="ER621" s="408">
        <v>0</v>
      </c>
      <c r="ES621" s="408">
        <v>0</v>
      </c>
      <c r="ET621" s="408">
        <v>0</v>
      </c>
      <c r="EU621" s="408">
        <v>0</v>
      </c>
      <c r="EV621" s="408">
        <v>239</v>
      </c>
      <c r="EW621" s="408">
        <v>0</v>
      </c>
      <c r="EX621" s="408">
        <v>0</v>
      </c>
      <c r="EY621" s="408">
        <v>0</v>
      </c>
      <c r="EZ621" s="408"/>
      <c r="FA621" s="408">
        <v>0</v>
      </c>
      <c r="FB621" s="408"/>
      <c r="FC621" s="408"/>
      <c r="FD621" s="408"/>
      <c r="FE621" s="408"/>
      <c r="FF621" s="408">
        <v>0</v>
      </c>
      <c r="FG621" s="408">
        <v>0</v>
      </c>
      <c r="FH621" s="408">
        <v>0</v>
      </c>
      <c r="FI621" s="408">
        <v>0</v>
      </c>
    </row>
    <row r="622" spans="1:165">
      <c r="A622" s="408">
        <v>626</v>
      </c>
      <c r="B622" s="408" t="s">
        <v>1034</v>
      </c>
      <c r="C622" s="408" t="s">
        <v>2241</v>
      </c>
      <c r="D622" s="408" t="s">
        <v>596</v>
      </c>
      <c r="E622" s="408" t="s">
        <v>972</v>
      </c>
      <c r="F622" s="408" t="s">
        <v>2251</v>
      </c>
      <c r="G622" s="408" t="s">
        <v>1320</v>
      </c>
      <c r="H622" s="408" t="s">
        <v>1320</v>
      </c>
      <c r="I622" s="408" t="s">
        <v>1320</v>
      </c>
      <c r="J622" s="408" t="s">
        <v>2234</v>
      </c>
      <c r="K622" s="827">
        <v>44652</v>
      </c>
      <c r="L622" s="408">
        <v>177</v>
      </c>
      <c r="M622" s="408">
        <v>169.92</v>
      </c>
      <c r="N622" s="408">
        <v>0</v>
      </c>
      <c r="O622" s="408">
        <v>0</v>
      </c>
      <c r="P622" s="408">
        <v>0</v>
      </c>
      <c r="Q622" s="408">
        <v>0</v>
      </c>
      <c r="R622" s="408">
        <v>59.12</v>
      </c>
      <c r="S622" s="408"/>
      <c r="T622" s="408"/>
      <c r="U622" s="408">
        <v>10464.24</v>
      </c>
      <c r="V622" s="408"/>
      <c r="W622" s="408">
        <v>10464.24</v>
      </c>
      <c r="X622" s="408">
        <v>6023.31</v>
      </c>
      <c r="Y622" s="408">
        <v>0</v>
      </c>
      <c r="Z622" s="408">
        <v>0</v>
      </c>
      <c r="AA622" s="408">
        <v>0</v>
      </c>
      <c r="AB622" s="408">
        <v>0</v>
      </c>
      <c r="AC622" s="408">
        <v>101.25468431006172</v>
      </c>
      <c r="AD622" s="408">
        <v>905.7130091766312</v>
      </c>
      <c r="AE622" s="408">
        <v>8524.6382021837744</v>
      </c>
      <c r="AF622" s="408"/>
      <c r="AG622" s="408"/>
      <c r="AH622" s="408"/>
      <c r="AI622" s="408">
        <v>0</v>
      </c>
      <c r="AJ622" s="408">
        <v>0</v>
      </c>
      <c r="AK622" s="408">
        <v>0</v>
      </c>
      <c r="AL622" s="408">
        <v>0</v>
      </c>
      <c r="AM622" s="408"/>
      <c r="AN622" s="408">
        <v>0</v>
      </c>
      <c r="AO622" s="408">
        <v>213.82876447714062</v>
      </c>
      <c r="AP622" s="408">
        <v>718.79485193152937</v>
      </c>
      <c r="AQ622" s="408">
        <v>0</v>
      </c>
      <c r="AR622" s="408">
        <v>0</v>
      </c>
      <c r="AS622" s="408"/>
      <c r="AT622" s="408"/>
      <c r="AU622" s="408">
        <v>0</v>
      </c>
      <c r="AV622" s="408">
        <v>0</v>
      </c>
      <c r="AW622" s="408">
        <v>0</v>
      </c>
      <c r="AX622" s="408"/>
      <c r="AY622" s="408"/>
      <c r="AZ622" s="408">
        <v>0</v>
      </c>
      <c r="BA622" s="408"/>
      <c r="BB622" s="408">
        <v>0</v>
      </c>
      <c r="BC622" s="408">
        <v>0</v>
      </c>
      <c r="BD622" s="408">
        <v>0</v>
      </c>
      <c r="BE622" s="408">
        <v>0</v>
      </c>
      <c r="BF622" s="408"/>
      <c r="BG622" s="408">
        <v>0</v>
      </c>
      <c r="BH622" s="408">
        <v>0</v>
      </c>
      <c r="BI622" s="408">
        <v>12.49</v>
      </c>
      <c r="BJ622" s="408">
        <v>57.56</v>
      </c>
      <c r="BK622" s="408">
        <v>15.32</v>
      </c>
      <c r="BL622" s="408">
        <v>9</v>
      </c>
      <c r="BM622" s="408"/>
      <c r="BN622" s="408"/>
      <c r="BO622" s="408"/>
      <c r="BP622" s="408"/>
      <c r="BQ622" s="408"/>
      <c r="BR622" s="408">
        <v>240.93240000000043</v>
      </c>
      <c r="BS622" s="408"/>
      <c r="BT622" s="408"/>
      <c r="BU622" s="408"/>
      <c r="BV622" s="408">
        <v>0</v>
      </c>
      <c r="BW622" s="408"/>
      <c r="BX622" s="408"/>
      <c r="BY622" s="408"/>
      <c r="BZ622" s="408"/>
      <c r="CA622" s="408"/>
      <c r="CB622" s="408"/>
      <c r="CC622" s="408"/>
      <c r="CD622" s="408"/>
      <c r="CE622" s="408"/>
      <c r="CF622" s="408"/>
      <c r="CG622" s="408"/>
      <c r="CH622" s="408"/>
      <c r="CI622" s="408">
        <v>5782.3775999999998</v>
      </c>
      <c r="CJ622" s="408">
        <v>-4263.3227999999999</v>
      </c>
      <c r="CK622" s="408"/>
      <c r="CL622" s="408"/>
      <c r="CM622" s="408"/>
      <c r="CN622" s="408"/>
      <c r="CO622" s="408">
        <v>-4440.9299999999994</v>
      </c>
      <c r="CP622" s="408">
        <v>0</v>
      </c>
      <c r="CQ622" s="408">
        <v>30</v>
      </c>
      <c r="CR622" s="408">
        <v>73.185531514631521</v>
      </c>
      <c r="CS622" s="408">
        <v>20.761422120916592</v>
      </c>
      <c r="CT622" s="408">
        <v>69.790438979446208</v>
      </c>
      <c r="CU622" s="408">
        <v>0</v>
      </c>
      <c r="CV622" s="408">
        <v>0</v>
      </c>
      <c r="CW622" s="408"/>
      <c r="CX622" s="408"/>
      <c r="CY622" s="408"/>
      <c r="CZ622" s="408">
        <v>-17.366329585731251</v>
      </c>
      <c r="DA622" s="408">
        <v>0</v>
      </c>
      <c r="DB622" s="408">
        <v>0</v>
      </c>
      <c r="DC622" s="408"/>
      <c r="DD622" s="408"/>
      <c r="DE622" s="408">
        <v>0</v>
      </c>
      <c r="DF622" s="408">
        <v>0</v>
      </c>
      <c r="DG622" s="408">
        <v>0</v>
      </c>
      <c r="DH622" s="408">
        <v>0</v>
      </c>
      <c r="DI622" s="408">
        <v>0</v>
      </c>
      <c r="DJ622" s="408"/>
      <c r="DK622" s="408">
        <v>0</v>
      </c>
      <c r="DL622" s="408">
        <v>0</v>
      </c>
      <c r="DM622" s="408"/>
      <c r="DN622" s="408">
        <v>0</v>
      </c>
      <c r="DO622" s="408">
        <v>0</v>
      </c>
      <c r="DP622" s="408">
        <v>0</v>
      </c>
      <c r="DQ622" s="408">
        <v>0</v>
      </c>
      <c r="DR622" s="408">
        <v>0</v>
      </c>
      <c r="DS622" s="408"/>
      <c r="DT622" s="408"/>
      <c r="DU622" s="408">
        <v>8524.6382021837744</v>
      </c>
      <c r="DV622" s="408"/>
      <c r="DW622" s="408">
        <v>0</v>
      </c>
      <c r="DX622" s="408">
        <v>0</v>
      </c>
      <c r="DY622" s="408">
        <v>-4440.9299999999994</v>
      </c>
      <c r="DZ622" s="408"/>
      <c r="EA622" s="408">
        <v>0</v>
      </c>
      <c r="EB622" s="408"/>
      <c r="EC622" s="408">
        <v>-4513.3439903223662</v>
      </c>
      <c r="ED622" s="408"/>
      <c r="EE622" s="408">
        <v>0</v>
      </c>
      <c r="EF622" s="408">
        <v>0</v>
      </c>
      <c r="EG622" s="408"/>
      <c r="EH622" s="408">
        <v>0</v>
      </c>
      <c r="EI622" s="408">
        <v>0</v>
      </c>
      <c r="EJ622" s="408">
        <v>0</v>
      </c>
      <c r="EK622" s="408">
        <v>0</v>
      </c>
      <c r="EL622" s="408">
        <v>0</v>
      </c>
      <c r="EM622" s="408"/>
      <c r="EN622" s="408"/>
      <c r="EO622" s="408">
        <v>0</v>
      </c>
      <c r="EP622" s="408">
        <v>0</v>
      </c>
      <c r="EQ622" s="408"/>
      <c r="ER622" s="408">
        <v>0</v>
      </c>
      <c r="ES622" s="408"/>
      <c r="ET622" s="408">
        <v>0</v>
      </c>
      <c r="EU622" s="408"/>
      <c r="EV622" s="408">
        <v>239</v>
      </c>
      <c r="EW622" s="408"/>
      <c r="EX622" s="408"/>
      <c r="EY622" s="408"/>
      <c r="EZ622" s="408"/>
      <c r="FA622" s="408">
        <v>0</v>
      </c>
      <c r="FB622" s="408"/>
      <c r="FC622" s="408"/>
      <c r="FD622" s="408"/>
      <c r="FE622" s="408"/>
      <c r="FF622" s="408">
        <v>0</v>
      </c>
      <c r="FG622" s="408">
        <v>0</v>
      </c>
      <c r="FH622" s="408">
        <v>0</v>
      </c>
      <c r="FI622" s="408">
        <v>0</v>
      </c>
    </row>
    <row r="623" spans="1:165">
      <c r="A623" s="408">
        <v>627</v>
      </c>
      <c r="B623" s="408" t="s">
        <v>1034</v>
      </c>
      <c r="C623" s="408" t="s">
        <v>2241</v>
      </c>
      <c r="D623" s="408" t="s">
        <v>596</v>
      </c>
      <c r="E623" s="408" t="s">
        <v>972</v>
      </c>
      <c r="F623" s="408" t="s">
        <v>2251</v>
      </c>
      <c r="G623" s="408" t="s">
        <v>2253</v>
      </c>
      <c r="H623" s="408" t="s">
        <v>1320</v>
      </c>
      <c r="I623" s="408" t="s">
        <v>2242</v>
      </c>
      <c r="J623" s="408" t="s">
        <v>2234</v>
      </c>
      <c r="K623" s="827">
        <v>44652</v>
      </c>
      <c r="L623" s="408">
        <v>0</v>
      </c>
      <c r="M623" s="408">
        <v>0</v>
      </c>
      <c r="N623" s="408">
        <v>0.24299999999999999</v>
      </c>
      <c r="O623" s="408">
        <v>7.2900000000000006E-2</v>
      </c>
      <c r="P623" s="408">
        <v>0.24299999999999999</v>
      </c>
      <c r="Q623" s="408">
        <v>7.2900000000000006E-2</v>
      </c>
      <c r="R623" s="408"/>
      <c r="S623" s="408">
        <v>70.33</v>
      </c>
      <c r="T623" s="408">
        <v>173.82</v>
      </c>
      <c r="U623" s="408"/>
      <c r="V623" s="408">
        <v>59.328449999999997</v>
      </c>
      <c r="W623" s="408">
        <v>59.328449999999997</v>
      </c>
      <c r="X623" s="408">
        <v>64.232189999999989</v>
      </c>
      <c r="Y623" s="408">
        <v>0</v>
      </c>
      <c r="Z623" s="408">
        <v>12.92760644180381</v>
      </c>
      <c r="AA623" s="408">
        <v>0</v>
      </c>
      <c r="AB623" s="408">
        <v>0</v>
      </c>
      <c r="AC623" s="408">
        <v>0</v>
      </c>
      <c r="AD623" s="408">
        <v>0</v>
      </c>
      <c r="AE623" s="408">
        <v>0</v>
      </c>
      <c r="AF623" s="408">
        <v>39.104078936569671</v>
      </c>
      <c r="AG623" s="408">
        <v>1.9672952902722152</v>
      </c>
      <c r="AH623" s="408">
        <v>0</v>
      </c>
      <c r="AI623" s="408">
        <v>0</v>
      </c>
      <c r="AJ623" s="408">
        <v>0</v>
      </c>
      <c r="AK623" s="408">
        <v>0</v>
      </c>
      <c r="AL623" s="408">
        <v>2.2967136878014753</v>
      </c>
      <c r="AM623" s="408"/>
      <c r="AN623" s="408">
        <v>0.30198355175993868</v>
      </c>
      <c r="AO623" s="408">
        <v>0</v>
      </c>
      <c r="AP623" s="408">
        <v>0</v>
      </c>
      <c r="AQ623" s="408">
        <v>0</v>
      </c>
      <c r="AR623" s="408">
        <v>0</v>
      </c>
      <c r="AS623" s="408">
        <v>0</v>
      </c>
      <c r="AT623" s="408">
        <v>0</v>
      </c>
      <c r="AU623" s="408">
        <v>0</v>
      </c>
      <c r="AV623" s="408">
        <v>0</v>
      </c>
      <c r="AW623" s="408">
        <v>0</v>
      </c>
      <c r="AX623" s="408">
        <v>0</v>
      </c>
      <c r="AY623" s="408">
        <v>0</v>
      </c>
      <c r="AZ623" s="408">
        <v>0</v>
      </c>
      <c r="BA623" s="408"/>
      <c r="BB623" s="408">
        <v>0</v>
      </c>
      <c r="BC623" s="408">
        <v>0</v>
      </c>
      <c r="BD623" s="408">
        <v>0</v>
      </c>
      <c r="BE623" s="408">
        <v>4.5342250801212076E-2</v>
      </c>
      <c r="BF623" s="408">
        <v>1.1677822660030788</v>
      </c>
      <c r="BG623" s="408">
        <v>1.5183198153547448</v>
      </c>
      <c r="BH623" s="408">
        <v>0</v>
      </c>
      <c r="BI623" s="408">
        <v>0</v>
      </c>
      <c r="BJ623" s="408">
        <v>0</v>
      </c>
      <c r="BK623" s="408">
        <v>0</v>
      </c>
      <c r="BL623" s="408">
        <v>0</v>
      </c>
      <c r="BM623" s="408"/>
      <c r="BN623" s="408"/>
      <c r="BO623" s="408"/>
      <c r="BP623" s="408"/>
      <c r="BQ623" s="408"/>
      <c r="BR623" s="408"/>
      <c r="BS623" s="408">
        <v>44.962532999999993</v>
      </c>
      <c r="BT623" s="408"/>
      <c r="BU623" s="408"/>
      <c r="BV623" s="408">
        <v>41.835523268728707</v>
      </c>
      <c r="BW623" s="408"/>
      <c r="BX623" s="408"/>
      <c r="BY623" s="408"/>
      <c r="BZ623" s="408"/>
      <c r="CA623" s="408"/>
      <c r="CB623" s="408"/>
      <c r="CC623" s="408"/>
      <c r="CD623" s="408"/>
      <c r="CE623" s="408"/>
      <c r="CF623" s="408"/>
      <c r="CG623" s="408"/>
      <c r="CH623" s="408"/>
      <c r="CI623" s="408">
        <v>18.5031</v>
      </c>
      <c r="CJ623" s="408">
        <v>0.67456499999999764</v>
      </c>
      <c r="CK623" s="408"/>
      <c r="CL623" s="408"/>
      <c r="CM623" s="408"/>
      <c r="CN623" s="408"/>
      <c r="CO623" s="408">
        <v>-0.24543000000000123</v>
      </c>
      <c r="CP623" s="408">
        <v>5.1491699999999989</v>
      </c>
      <c r="CQ623" s="408">
        <v>30</v>
      </c>
      <c r="CR623" s="408">
        <v>4.9015807905391142</v>
      </c>
      <c r="CS623" s="408">
        <v>0</v>
      </c>
      <c r="CT623" s="408">
        <v>0</v>
      </c>
      <c r="CU623" s="408">
        <v>0</v>
      </c>
      <c r="CV623" s="408">
        <v>0</v>
      </c>
      <c r="CW623" s="408">
        <v>0</v>
      </c>
      <c r="CX623" s="408">
        <v>0</v>
      </c>
      <c r="CY623" s="408">
        <v>0</v>
      </c>
      <c r="CZ623" s="408">
        <v>0</v>
      </c>
      <c r="DA623" s="408">
        <v>0</v>
      </c>
      <c r="DB623" s="408">
        <v>0</v>
      </c>
      <c r="DC623" s="408">
        <v>5.0194407118352657</v>
      </c>
      <c r="DD623" s="408">
        <v>0.14989776023219803</v>
      </c>
      <c r="DE623" s="408">
        <v>5.8201790152637989E-3</v>
      </c>
      <c r="DF623" s="408">
        <v>0</v>
      </c>
      <c r="DG623" s="408">
        <v>0.19489312885082</v>
      </c>
      <c r="DH623" s="408">
        <v>0</v>
      </c>
      <c r="DI623" s="408">
        <v>-0.37781583343475944</v>
      </c>
      <c r="DJ623" s="408"/>
      <c r="DK623" s="408">
        <v>0</v>
      </c>
      <c r="DL623" s="408">
        <v>0</v>
      </c>
      <c r="DM623" s="408">
        <v>-2.1865765118763481E-2</v>
      </c>
      <c r="DN623" s="408">
        <v>0</v>
      </c>
      <c r="DO623" s="408">
        <v>-5.9484091217140822E-2</v>
      </c>
      <c r="DP623" s="408">
        <v>-9.3052996237801278E-3</v>
      </c>
      <c r="DQ623" s="408">
        <v>0</v>
      </c>
      <c r="DR623" s="408">
        <v>0</v>
      </c>
      <c r="DS623" s="408"/>
      <c r="DT623" s="408"/>
      <c r="DU623" s="408"/>
      <c r="DV623" s="408">
        <v>0</v>
      </c>
      <c r="DW623" s="408">
        <v>0</v>
      </c>
      <c r="DX623" s="408">
        <v>0</v>
      </c>
      <c r="DY623" s="408">
        <v>-0.24543000000000248</v>
      </c>
      <c r="DZ623" s="408">
        <v>5.149169999999998</v>
      </c>
      <c r="EA623" s="408">
        <v>0</v>
      </c>
      <c r="EB623" s="408">
        <v>0</v>
      </c>
      <c r="EC623" s="408">
        <v>0</v>
      </c>
      <c r="ED623" s="408">
        <v>0</v>
      </c>
      <c r="EE623" s="408">
        <v>0</v>
      </c>
      <c r="EF623" s="408">
        <v>0</v>
      </c>
      <c r="EG623" s="408">
        <v>0</v>
      </c>
      <c r="EH623" s="408">
        <v>0</v>
      </c>
      <c r="EI623" s="408">
        <v>0</v>
      </c>
      <c r="EJ623" s="408">
        <v>0</v>
      </c>
      <c r="EK623" s="408">
        <v>0</v>
      </c>
      <c r="EL623" s="408">
        <v>0</v>
      </c>
      <c r="EM623" s="408">
        <v>0</v>
      </c>
      <c r="EN623" s="408">
        <v>0</v>
      </c>
      <c r="EO623" s="408">
        <v>0</v>
      </c>
      <c r="EP623" s="408">
        <v>0</v>
      </c>
      <c r="EQ623" s="408">
        <v>0</v>
      </c>
      <c r="ER623" s="408">
        <v>0</v>
      </c>
      <c r="ES623" s="408">
        <v>0</v>
      </c>
      <c r="ET623" s="408">
        <v>0</v>
      </c>
      <c r="EU623" s="408">
        <v>0</v>
      </c>
      <c r="EV623" s="408">
        <v>239</v>
      </c>
      <c r="EW623" s="408">
        <v>0</v>
      </c>
      <c r="EX623" s="408">
        <v>0</v>
      </c>
      <c r="EY623" s="408">
        <v>0</v>
      </c>
      <c r="EZ623" s="408"/>
      <c r="FA623" s="408">
        <v>0</v>
      </c>
      <c r="FB623" s="408"/>
      <c r="FC623" s="408"/>
      <c r="FD623" s="408"/>
      <c r="FE623" s="408"/>
      <c r="FF623" s="408">
        <v>0</v>
      </c>
      <c r="FG623" s="408">
        <v>0</v>
      </c>
      <c r="FH623" s="408">
        <v>0</v>
      </c>
      <c r="FI623" s="408">
        <v>0</v>
      </c>
    </row>
    <row r="624" spans="1:165">
      <c r="A624" s="408">
        <v>628</v>
      </c>
      <c r="B624" s="408" t="s">
        <v>1034</v>
      </c>
      <c r="C624" s="408" t="s">
        <v>2233</v>
      </c>
      <c r="D624" s="408" t="s">
        <v>2243</v>
      </c>
      <c r="E624" s="408" t="s">
        <v>972</v>
      </c>
      <c r="F624" s="408" t="s">
        <v>2254</v>
      </c>
      <c r="G624" s="408" t="s">
        <v>2252</v>
      </c>
      <c r="H624" s="408" t="s">
        <v>1320</v>
      </c>
      <c r="I624" s="408" t="s">
        <v>1320</v>
      </c>
      <c r="J624" s="408" t="s">
        <v>2234</v>
      </c>
      <c r="K624" s="827">
        <v>44652</v>
      </c>
      <c r="L624" s="408">
        <v>0</v>
      </c>
      <c r="M624" s="408">
        <v>0</v>
      </c>
      <c r="N624" s="408">
        <v>0</v>
      </c>
      <c r="O624" s="408">
        <v>0</v>
      </c>
      <c r="P624" s="408">
        <v>0</v>
      </c>
      <c r="Q624" s="408">
        <v>0</v>
      </c>
      <c r="R624" s="408"/>
      <c r="S624" s="408"/>
      <c r="T624" s="408"/>
      <c r="U624" s="408"/>
      <c r="V624" s="408"/>
      <c r="W624" s="408"/>
      <c r="X624" s="408"/>
      <c r="Y624" s="408"/>
      <c r="Z624" s="408"/>
      <c r="AA624" s="408">
        <v>0</v>
      </c>
      <c r="AB624" s="408"/>
      <c r="AC624" s="408"/>
      <c r="AD624" s="408"/>
      <c r="AE624" s="408"/>
      <c r="AF624" s="408"/>
      <c r="AG624" s="408"/>
      <c r="AH624" s="408"/>
      <c r="AI624" s="408"/>
      <c r="AJ624" s="408"/>
      <c r="AK624" s="408"/>
      <c r="AL624" s="408"/>
      <c r="AM624" s="408"/>
      <c r="AN624" s="408"/>
      <c r="AO624" s="408"/>
      <c r="AP624" s="408"/>
      <c r="AQ624" s="408"/>
      <c r="AR624" s="408"/>
      <c r="AS624" s="408"/>
      <c r="AT624" s="408"/>
      <c r="AU624" s="408"/>
      <c r="AV624" s="408"/>
      <c r="AW624" s="408"/>
      <c r="AX624" s="408"/>
      <c r="AY624" s="408"/>
      <c r="AZ624" s="408">
        <v>0</v>
      </c>
      <c r="BA624" s="408"/>
      <c r="BB624" s="408"/>
      <c r="BC624" s="408"/>
      <c r="BD624" s="408"/>
      <c r="BE624" s="408"/>
      <c r="BF624" s="408"/>
      <c r="BG624" s="408"/>
      <c r="BH624" s="408"/>
      <c r="BI624" s="408">
        <v>0.05</v>
      </c>
      <c r="BJ624" s="408">
        <v>0.28000000000000003</v>
      </c>
      <c r="BK624" s="408">
        <v>4.3499999999999996</v>
      </c>
      <c r="BL624" s="408">
        <v>1</v>
      </c>
      <c r="BM624" s="408"/>
      <c r="BN624" s="408"/>
      <c r="BO624" s="408"/>
      <c r="BP624" s="408"/>
      <c r="BQ624" s="408"/>
      <c r="BR624" s="408"/>
      <c r="BS624" s="408"/>
      <c r="BT624" s="408"/>
      <c r="BU624" s="408"/>
      <c r="BV624" s="408"/>
      <c r="BW624" s="408"/>
      <c r="BX624" s="408"/>
      <c r="BY624" s="408"/>
      <c r="BZ624" s="408"/>
      <c r="CA624" s="408"/>
      <c r="CB624" s="408"/>
      <c r="CC624" s="408"/>
      <c r="CD624" s="408"/>
      <c r="CE624" s="408"/>
      <c r="CF624" s="408"/>
      <c r="CG624" s="408"/>
      <c r="CH624" s="408"/>
      <c r="CI624" s="408"/>
      <c r="CJ624" s="408">
        <v>-0.03</v>
      </c>
      <c r="CK624" s="408"/>
      <c r="CL624" s="408"/>
      <c r="CM624" s="408"/>
      <c r="CN624" s="408"/>
      <c r="CO624" s="408">
        <v>0</v>
      </c>
      <c r="CP624" s="408">
        <v>0</v>
      </c>
      <c r="CQ624" s="408">
        <v>30</v>
      </c>
      <c r="CR624" s="408"/>
      <c r="CS624" s="408"/>
      <c r="CT624" s="408"/>
      <c r="CU624" s="408"/>
      <c r="CV624" s="408"/>
      <c r="CW624" s="408"/>
      <c r="CX624" s="408"/>
      <c r="CY624" s="408"/>
      <c r="CZ624" s="408"/>
      <c r="DA624" s="408"/>
      <c r="DB624" s="408"/>
      <c r="DC624" s="408"/>
      <c r="DD624" s="408"/>
      <c r="DE624" s="408"/>
      <c r="DF624" s="408"/>
      <c r="DG624" s="408"/>
      <c r="DH624" s="408"/>
      <c r="DI624" s="408"/>
      <c r="DJ624" s="408"/>
      <c r="DK624" s="408">
        <v>0</v>
      </c>
      <c r="DL624" s="408"/>
      <c r="DM624" s="408"/>
      <c r="DN624" s="408"/>
      <c r="DO624" s="408"/>
      <c r="DP624" s="408"/>
      <c r="DQ624" s="408"/>
      <c r="DR624" s="408"/>
      <c r="DS624" s="408"/>
      <c r="DT624" s="408"/>
      <c r="DU624" s="408"/>
      <c r="DV624" s="408"/>
      <c r="DW624" s="408"/>
      <c r="DX624" s="408"/>
      <c r="DY624" s="408"/>
      <c r="DZ624" s="408"/>
      <c r="EA624" s="408"/>
      <c r="EB624" s="408"/>
      <c r="EC624" s="408"/>
      <c r="ED624" s="408"/>
      <c r="EE624" s="408"/>
      <c r="EF624" s="408"/>
      <c r="EG624" s="408"/>
      <c r="EH624" s="408"/>
      <c r="EI624" s="408"/>
      <c r="EJ624" s="408"/>
      <c r="EK624" s="408"/>
      <c r="EL624" s="408"/>
      <c r="EM624" s="408"/>
      <c r="EN624" s="408"/>
      <c r="EO624" s="408"/>
      <c r="EP624" s="408"/>
      <c r="EQ624" s="408"/>
      <c r="ER624" s="408"/>
      <c r="ES624" s="408"/>
      <c r="ET624" s="408"/>
      <c r="EU624" s="408"/>
      <c r="EV624" s="408">
        <v>239</v>
      </c>
      <c r="EW624" s="408"/>
      <c r="EX624" s="408"/>
      <c r="EY624" s="408"/>
      <c r="EZ624" s="408"/>
      <c r="FA624" s="408">
        <v>0</v>
      </c>
      <c r="FB624" s="408"/>
      <c r="FC624" s="408"/>
      <c r="FD624" s="408"/>
      <c r="FE624" s="408"/>
      <c r="FF624" s="408">
        <v>0</v>
      </c>
      <c r="FG624" s="408">
        <v>0</v>
      </c>
      <c r="FH624" s="408">
        <v>0</v>
      </c>
      <c r="FI624" s="408">
        <v>0</v>
      </c>
    </row>
    <row r="625" spans="1:165">
      <c r="A625" s="408">
        <v>629</v>
      </c>
      <c r="B625" s="408" t="s">
        <v>1034</v>
      </c>
      <c r="C625" s="408" t="s">
        <v>2233</v>
      </c>
      <c r="D625" s="408" t="s">
        <v>2243</v>
      </c>
      <c r="E625" s="408" t="s">
        <v>972</v>
      </c>
      <c r="F625" s="408" t="s">
        <v>2254</v>
      </c>
      <c r="G625" s="408" t="s">
        <v>2252</v>
      </c>
      <c r="H625" s="408" t="s">
        <v>1320</v>
      </c>
      <c r="I625" s="408" t="s">
        <v>1320</v>
      </c>
      <c r="J625" s="408" t="s">
        <v>2234</v>
      </c>
      <c r="K625" s="827">
        <v>44652</v>
      </c>
      <c r="L625" s="408">
        <v>0</v>
      </c>
      <c r="M625" s="408">
        <v>0</v>
      </c>
      <c r="N625" s="408">
        <v>0.05</v>
      </c>
      <c r="O625" s="408">
        <v>0.05</v>
      </c>
      <c r="P625" s="408">
        <v>0.05</v>
      </c>
      <c r="Q625" s="408">
        <v>0.05</v>
      </c>
      <c r="R625" s="408"/>
      <c r="S625" s="408">
        <v>516.83000000000004</v>
      </c>
      <c r="T625" s="408">
        <v>173.82</v>
      </c>
      <c r="U625" s="408"/>
      <c r="V625" s="408">
        <v>34.532500000000006</v>
      </c>
      <c r="W625" s="408">
        <v>34.532500000000006</v>
      </c>
      <c r="X625" s="408">
        <v>26.072499999999998</v>
      </c>
      <c r="Y625" s="408">
        <v>0</v>
      </c>
      <c r="Z625" s="408">
        <v>3.0574727879011849</v>
      </c>
      <c r="AA625" s="408">
        <v>0</v>
      </c>
      <c r="AB625" s="408">
        <v>0</v>
      </c>
      <c r="AC625" s="408">
        <v>0.13592220366954352</v>
      </c>
      <c r="AD625" s="408">
        <v>1.7213305761033</v>
      </c>
      <c r="AE625" s="408">
        <v>18.180789758334949</v>
      </c>
      <c r="AF625" s="408">
        <v>8.0461067770719499</v>
      </c>
      <c r="AG625" s="408">
        <v>0.4047932696033365</v>
      </c>
      <c r="AH625" s="408">
        <v>0</v>
      </c>
      <c r="AI625" s="408">
        <v>0</v>
      </c>
      <c r="AJ625" s="408">
        <v>0</v>
      </c>
      <c r="AK625" s="408">
        <v>0</v>
      </c>
      <c r="AL625" s="408">
        <v>0.47257483288096203</v>
      </c>
      <c r="AM625" s="408"/>
      <c r="AN625" s="408">
        <v>7.7577098742484502E-2</v>
      </c>
      <c r="AO625" s="408">
        <v>0.289925188956772</v>
      </c>
      <c r="AP625" s="408">
        <v>0.94946579258044506</v>
      </c>
      <c r="AQ625" s="408">
        <v>0</v>
      </c>
      <c r="AR625" s="408">
        <v>0</v>
      </c>
      <c r="AS625" s="408">
        <v>0</v>
      </c>
      <c r="AT625" s="408">
        <v>0</v>
      </c>
      <c r="AU625" s="408">
        <v>0</v>
      </c>
      <c r="AV625" s="408">
        <v>0</v>
      </c>
      <c r="AW625" s="408">
        <v>0</v>
      </c>
      <c r="AX625" s="408">
        <v>0</v>
      </c>
      <c r="AY625" s="408">
        <v>0</v>
      </c>
      <c r="AZ625" s="408">
        <v>0</v>
      </c>
      <c r="BA625" s="408"/>
      <c r="BB625" s="408">
        <v>0</v>
      </c>
      <c r="BC625" s="408">
        <v>0</v>
      </c>
      <c r="BD625" s="408">
        <v>0</v>
      </c>
      <c r="BE625" s="408">
        <v>2.7740630852605305E-2</v>
      </c>
      <c r="BF625" s="408">
        <v>0.24028441687306148</v>
      </c>
      <c r="BG625" s="408">
        <v>0.92891616030728508</v>
      </c>
      <c r="BH625" s="408">
        <v>0</v>
      </c>
      <c r="BI625" s="408">
        <v>0</v>
      </c>
      <c r="BJ625" s="408">
        <v>0</v>
      </c>
      <c r="BK625" s="408">
        <v>0</v>
      </c>
      <c r="BL625" s="408">
        <v>0</v>
      </c>
      <c r="BM625" s="408"/>
      <c r="BN625" s="408"/>
      <c r="BO625" s="408"/>
      <c r="BP625" s="408"/>
      <c r="BQ625" s="408"/>
      <c r="BR625" s="408">
        <v>3.1284999999999998</v>
      </c>
      <c r="BS625" s="408"/>
      <c r="BT625" s="408"/>
      <c r="BU625" s="408"/>
      <c r="BV625" s="408">
        <v>9.2430479851049014</v>
      </c>
      <c r="BW625" s="408"/>
      <c r="BX625" s="408"/>
      <c r="BY625" s="408"/>
      <c r="BZ625" s="408"/>
      <c r="CA625" s="408"/>
      <c r="CB625" s="408"/>
      <c r="CC625" s="408"/>
      <c r="CD625" s="408"/>
      <c r="CE625" s="408"/>
      <c r="CF625" s="408"/>
      <c r="CG625" s="408"/>
      <c r="CH625" s="408"/>
      <c r="CI625" s="408">
        <v>22.944000000000003</v>
      </c>
      <c r="CJ625" s="408">
        <v>-7.4745000000000026</v>
      </c>
      <c r="CK625" s="408"/>
      <c r="CL625" s="408"/>
      <c r="CM625" s="408"/>
      <c r="CN625" s="408"/>
      <c r="CO625" s="408">
        <v>-9.5195000000000025</v>
      </c>
      <c r="CP625" s="408">
        <v>1.0594999999999999</v>
      </c>
      <c r="CQ625" s="408">
        <v>30</v>
      </c>
      <c r="CR625" s="408">
        <v>1.1652939507004056</v>
      </c>
      <c r="CS625" s="408">
        <v>2.8149904182146024E-2</v>
      </c>
      <c r="CT625" s="408">
        <v>9.2187130002520101E-2</v>
      </c>
      <c r="CU625" s="408">
        <v>0</v>
      </c>
      <c r="CV625" s="408">
        <v>0</v>
      </c>
      <c r="CW625" s="408">
        <v>0</v>
      </c>
      <c r="CX625" s="408">
        <v>0</v>
      </c>
      <c r="CY625" s="408">
        <v>0</v>
      </c>
      <c r="CZ625" s="408">
        <v>-3.3005150425939878E-2</v>
      </c>
      <c r="DA625" s="408">
        <v>0</v>
      </c>
      <c r="DB625" s="408">
        <v>0</v>
      </c>
      <c r="DC625" s="408">
        <v>1.0328067308303002</v>
      </c>
      <c r="DD625" s="408">
        <v>3.0843160541604547E-2</v>
      </c>
      <c r="DE625" s="408">
        <v>3.5608165608354524E-3</v>
      </c>
      <c r="DF625" s="408">
        <v>0</v>
      </c>
      <c r="DG625" s="408">
        <v>0.11923665560544494</v>
      </c>
      <c r="DH625" s="408">
        <v>0</v>
      </c>
      <c r="DI625" s="408">
        <v>-8.9356187842284829E-2</v>
      </c>
      <c r="DJ625" s="408"/>
      <c r="DK625" s="408">
        <v>0</v>
      </c>
      <c r="DL625" s="408">
        <v>0</v>
      </c>
      <c r="DM625" s="408">
        <v>-4.4991286252600293E-3</v>
      </c>
      <c r="DN625" s="408">
        <v>0</v>
      </c>
      <c r="DO625" s="408">
        <v>-1.223952494179853E-2</v>
      </c>
      <c r="DP625" s="408">
        <v>-2.3904551871624935E-3</v>
      </c>
      <c r="DQ625" s="408">
        <v>0</v>
      </c>
      <c r="DR625" s="408">
        <v>0</v>
      </c>
      <c r="DS625" s="408"/>
      <c r="DT625" s="408"/>
      <c r="DU625" s="408"/>
      <c r="DV625" s="408">
        <v>18.180789758334949</v>
      </c>
      <c r="DW625" s="408">
        <v>0</v>
      </c>
      <c r="DX625" s="408">
        <v>0</v>
      </c>
      <c r="DY625" s="408">
        <v>-9.5195000000000043</v>
      </c>
      <c r="DZ625" s="408">
        <v>1.0594999999999999</v>
      </c>
      <c r="EA625" s="408">
        <v>0</v>
      </c>
      <c r="EB625" s="408">
        <v>0</v>
      </c>
      <c r="EC625" s="408">
        <v>-9.6257643138537983</v>
      </c>
      <c r="ED625" s="408">
        <v>0</v>
      </c>
      <c r="EE625" s="408">
        <v>0</v>
      </c>
      <c r="EF625" s="408">
        <v>0</v>
      </c>
      <c r="EG625" s="408">
        <v>0</v>
      </c>
      <c r="EH625" s="408">
        <v>0</v>
      </c>
      <c r="EI625" s="408">
        <v>0</v>
      </c>
      <c r="EJ625" s="408">
        <v>0</v>
      </c>
      <c r="EK625" s="408">
        <v>0</v>
      </c>
      <c r="EL625" s="408">
        <v>0</v>
      </c>
      <c r="EM625" s="408">
        <v>0</v>
      </c>
      <c r="EN625" s="408">
        <v>0</v>
      </c>
      <c r="EO625" s="408">
        <v>0</v>
      </c>
      <c r="EP625" s="408">
        <v>0</v>
      </c>
      <c r="EQ625" s="408">
        <v>0</v>
      </c>
      <c r="ER625" s="408">
        <v>0</v>
      </c>
      <c r="ES625" s="408">
        <v>0</v>
      </c>
      <c r="ET625" s="408">
        <v>0</v>
      </c>
      <c r="EU625" s="408">
        <v>0</v>
      </c>
      <c r="EV625" s="408">
        <v>239</v>
      </c>
      <c r="EW625" s="408">
        <v>0</v>
      </c>
      <c r="EX625" s="408">
        <v>0</v>
      </c>
      <c r="EY625" s="408">
        <v>0</v>
      </c>
      <c r="EZ625" s="408"/>
      <c r="FA625" s="408">
        <v>0</v>
      </c>
      <c r="FB625" s="408"/>
      <c r="FC625" s="408"/>
      <c r="FD625" s="408"/>
      <c r="FE625" s="408"/>
      <c r="FF625" s="408">
        <v>0</v>
      </c>
      <c r="FG625" s="408">
        <v>0</v>
      </c>
      <c r="FH625" s="408">
        <v>0</v>
      </c>
      <c r="FI625" s="408">
        <v>0</v>
      </c>
    </row>
    <row r="626" spans="1:165">
      <c r="A626" s="408">
        <v>631</v>
      </c>
      <c r="B626" s="408" t="s">
        <v>1034</v>
      </c>
      <c r="C626" s="408" t="s">
        <v>2233</v>
      </c>
      <c r="D626" s="408" t="s">
        <v>1953</v>
      </c>
      <c r="E626" s="408" t="s">
        <v>967</v>
      </c>
      <c r="F626" s="408" t="s">
        <v>967</v>
      </c>
      <c r="G626" s="408" t="s">
        <v>1320</v>
      </c>
      <c r="H626" s="408" t="s">
        <v>1320</v>
      </c>
      <c r="I626" s="408" t="s">
        <v>1320</v>
      </c>
      <c r="J626" s="408" t="s">
        <v>2234</v>
      </c>
      <c r="K626" s="827">
        <v>44682</v>
      </c>
      <c r="L626" s="408">
        <v>0</v>
      </c>
      <c r="M626" s="408">
        <v>0</v>
      </c>
      <c r="N626" s="408">
        <v>1754.64</v>
      </c>
      <c r="O626" s="408">
        <v>1754.64</v>
      </c>
      <c r="P626" s="408">
        <v>1754.64</v>
      </c>
      <c r="Q626" s="408">
        <v>1754.64</v>
      </c>
      <c r="R626" s="408"/>
      <c r="S626" s="408">
        <v>516.83000000000004</v>
      </c>
      <c r="T626" s="408">
        <v>173.82</v>
      </c>
      <c r="U626" s="408"/>
      <c r="V626" s="408">
        <v>1211842.1160000002</v>
      </c>
      <c r="W626" s="408">
        <v>1211842.1160000002</v>
      </c>
      <c r="X626" s="408">
        <v>914957.02799999993</v>
      </c>
      <c r="Y626" s="408">
        <v>0</v>
      </c>
      <c r="Z626" s="408">
        <v>107295.2810512587</v>
      </c>
      <c r="AA626" s="408">
        <v>0</v>
      </c>
      <c r="AB626" s="408">
        <v>0</v>
      </c>
      <c r="AC626" s="408">
        <v>4769.8907089345566</v>
      </c>
      <c r="AD626" s="408">
        <v>60406.309641077882</v>
      </c>
      <c r="AE626" s="408">
        <v>638014.81883129675</v>
      </c>
      <c r="AF626" s="408">
        <v>282360.41590643051</v>
      </c>
      <c r="AG626" s="408">
        <v>14205.329251535966</v>
      </c>
      <c r="AH626" s="408">
        <v>0</v>
      </c>
      <c r="AI626" s="408">
        <v>0</v>
      </c>
      <c r="AJ626" s="408">
        <v>0</v>
      </c>
      <c r="AK626" s="408">
        <v>0</v>
      </c>
      <c r="AL626" s="408">
        <v>16583.974095325022</v>
      </c>
      <c r="AM626" s="408"/>
      <c r="AN626" s="408">
        <v>2722.3976107502599</v>
      </c>
      <c r="AO626" s="408">
        <v>10174.28667102221</v>
      </c>
      <c r="AP626" s="408">
        <v>33319.413165867045</v>
      </c>
      <c r="AQ626" s="408">
        <v>0</v>
      </c>
      <c r="AR626" s="408">
        <v>0</v>
      </c>
      <c r="AS626" s="408">
        <v>0</v>
      </c>
      <c r="AT626" s="408">
        <v>0</v>
      </c>
      <c r="AU626" s="408">
        <v>0</v>
      </c>
      <c r="AV626" s="408">
        <v>0</v>
      </c>
      <c r="AW626" s="408">
        <v>0</v>
      </c>
      <c r="AX626" s="408">
        <v>0</v>
      </c>
      <c r="AY626" s="408">
        <v>0</v>
      </c>
      <c r="AZ626" s="408">
        <v>0</v>
      </c>
      <c r="BA626" s="408"/>
      <c r="BB626" s="408">
        <v>0</v>
      </c>
      <c r="BC626" s="408">
        <v>0</v>
      </c>
      <c r="BD626" s="408">
        <v>0</v>
      </c>
      <c r="BE626" s="408">
        <v>973.49641038430741</v>
      </c>
      <c r="BF626" s="408">
        <v>8432.2529844429719</v>
      </c>
      <c r="BG626" s="408">
        <v>32598.269030431493</v>
      </c>
      <c r="BH626" s="408">
        <v>0</v>
      </c>
      <c r="BI626" s="408">
        <v>6973.11</v>
      </c>
      <c r="BJ626" s="408">
        <v>32453.200000000001</v>
      </c>
      <c r="BK626" s="408">
        <v>313172.13</v>
      </c>
      <c r="BL626" s="408">
        <v>12337</v>
      </c>
      <c r="BM626" s="408"/>
      <c r="BN626" s="408"/>
      <c r="BO626" s="408"/>
      <c r="BP626" s="408"/>
      <c r="BQ626" s="408"/>
      <c r="BR626" s="408"/>
      <c r="BS626" s="408"/>
      <c r="BT626" s="408"/>
      <c r="BU626" s="408"/>
      <c r="BV626" s="408">
        <v>324364.43433168932</v>
      </c>
      <c r="BW626" s="408"/>
      <c r="BX626" s="408"/>
      <c r="BY626" s="408"/>
      <c r="BZ626" s="408"/>
      <c r="CA626" s="408"/>
      <c r="CB626" s="408"/>
      <c r="CC626" s="408"/>
      <c r="CD626" s="408"/>
      <c r="CE626" s="408"/>
      <c r="CF626" s="408"/>
      <c r="CG626" s="408"/>
      <c r="CH626" s="408"/>
      <c r="CI626" s="408">
        <v>914957.02799999993</v>
      </c>
      <c r="CJ626" s="408">
        <v>-296885.11800000025</v>
      </c>
      <c r="CK626" s="408"/>
      <c r="CL626" s="408"/>
      <c r="CM626" s="408"/>
      <c r="CN626" s="408"/>
      <c r="CO626" s="408">
        <v>-334065.90960000007</v>
      </c>
      <c r="CP626" s="408">
        <v>37180.821599999996</v>
      </c>
      <c r="CQ626" s="408">
        <v>31</v>
      </c>
      <c r="CR626" s="408">
        <v>40893.427553139045</v>
      </c>
      <c r="CS626" s="408">
        <v>987.85895748321309</v>
      </c>
      <c r="CT626" s="408">
        <v>3235.104515752435</v>
      </c>
      <c r="CU626" s="408">
        <v>0</v>
      </c>
      <c r="CV626" s="408">
        <v>0</v>
      </c>
      <c r="CW626" s="408">
        <v>0</v>
      </c>
      <c r="CX626" s="408">
        <v>0</v>
      </c>
      <c r="CY626" s="408">
        <v>0</v>
      </c>
      <c r="CZ626" s="408">
        <v>-1158.2431428674172</v>
      </c>
      <c r="DA626" s="408">
        <v>0</v>
      </c>
      <c r="DB626" s="408">
        <v>0</v>
      </c>
      <c r="DC626" s="408">
        <v>36244.080043681606</v>
      </c>
      <c r="DD626" s="408">
        <v>1082.3728642544211</v>
      </c>
      <c r="DE626" s="408">
        <v>124.95902340608632</v>
      </c>
      <c r="DF626" s="408">
        <v>0</v>
      </c>
      <c r="DG626" s="408">
        <v>4184.3481078307632</v>
      </c>
      <c r="DH626" s="408">
        <v>0</v>
      </c>
      <c r="DI626" s="408">
        <v>-3135.7588287117396</v>
      </c>
      <c r="DJ626" s="408"/>
      <c r="DK626" s="408">
        <v>0</v>
      </c>
      <c r="DL626" s="408">
        <v>0</v>
      </c>
      <c r="DM626" s="408">
        <v>-157.88702102052412</v>
      </c>
      <c r="DN626" s="408">
        <v>0</v>
      </c>
      <c r="DO626" s="408">
        <v>-429.51920087754479</v>
      </c>
      <c r="DP626" s="408">
        <v>-83.887765792056143</v>
      </c>
      <c r="DQ626" s="408">
        <v>0</v>
      </c>
      <c r="DR626" s="408">
        <v>0</v>
      </c>
      <c r="DS626" s="408"/>
      <c r="DT626" s="408"/>
      <c r="DU626" s="408"/>
      <c r="DV626" s="408">
        <v>638014.81883129675</v>
      </c>
      <c r="DW626" s="408">
        <v>0</v>
      </c>
      <c r="DX626" s="408">
        <v>0</v>
      </c>
      <c r="DY626" s="408">
        <v>-334065.90960000013</v>
      </c>
      <c r="DZ626" s="408">
        <v>37180.821599999967</v>
      </c>
      <c r="EA626" s="408">
        <v>0</v>
      </c>
      <c r="EB626" s="408">
        <v>0</v>
      </c>
      <c r="EC626" s="408">
        <v>-337795.02191320865</v>
      </c>
      <c r="ED626" s="408">
        <v>0</v>
      </c>
      <c r="EE626" s="408">
        <v>0</v>
      </c>
      <c r="EF626" s="408">
        <v>0</v>
      </c>
      <c r="EG626" s="408">
        <v>0</v>
      </c>
      <c r="EH626" s="408">
        <v>0</v>
      </c>
      <c r="EI626" s="408">
        <v>0</v>
      </c>
      <c r="EJ626" s="408">
        <v>0</v>
      </c>
      <c r="EK626" s="408">
        <v>0</v>
      </c>
      <c r="EL626" s="408">
        <v>0</v>
      </c>
      <c r="EM626" s="408">
        <v>0</v>
      </c>
      <c r="EN626" s="408">
        <v>0</v>
      </c>
      <c r="EO626" s="408">
        <v>0</v>
      </c>
      <c r="EP626" s="408">
        <v>0</v>
      </c>
      <c r="EQ626" s="408">
        <v>0</v>
      </c>
      <c r="ER626" s="408">
        <v>0</v>
      </c>
      <c r="ES626" s="408">
        <v>0</v>
      </c>
      <c r="ET626" s="408">
        <v>0</v>
      </c>
      <c r="EU626" s="408">
        <v>0</v>
      </c>
      <c r="EV626" s="408">
        <v>239</v>
      </c>
      <c r="EW626" s="408">
        <v>0</v>
      </c>
      <c r="EX626" s="408">
        <v>0</v>
      </c>
      <c r="EY626" s="408">
        <v>0</v>
      </c>
      <c r="EZ626" s="408"/>
      <c r="FA626" s="408">
        <v>0</v>
      </c>
      <c r="FB626" s="408"/>
      <c r="FC626" s="408"/>
      <c r="FD626" s="408"/>
      <c r="FE626" s="408"/>
      <c r="FF626" s="408">
        <v>0</v>
      </c>
      <c r="FG626" s="408">
        <v>0</v>
      </c>
      <c r="FH626" s="408">
        <v>0</v>
      </c>
      <c r="FI626" s="408">
        <v>0</v>
      </c>
    </row>
    <row r="627" spans="1:165">
      <c r="A627" s="408">
        <v>632</v>
      </c>
      <c r="B627" s="408" t="s">
        <v>2235</v>
      </c>
      <c r="C627" s="408" t="s">
        <v>2233</v>
      </c>
      <c r="D627" s="408" t="s">
        <v>1953</v>
      </c>
      <c r="E627" s="408" t="s">
        <v>967</v>
      </c>
      <c r="F627" s="408" t="s">
        <v>967</v>
      </c>
      <c r="G627" s="408" t="s">
        <v>1320</v>
      </c>
      <c r="H627" s="408" t="s">
        <v>1320</v>
      </c>
      <c r="I627" s="408" t="s">
        <v>1320</v>
      </c>
      <c r="J627" s="408" t="s">
        <v>2234</v>
      </c>
      <c r="K627" s="827">
        <v>44682</v>
      </c>
      <c r="L627" s="408">
        <v>0</v>
      </c>
      <c r="M627" s="408">
        <v>0</v>
      </c>
      <c r="N627" s="408">
        <v>-2.0619999999999998</v>
      </c>
      <c r="O627" s="408">
        <v>-2.0619999999999998</v>
      </c>
      <c r="P627" s="408">
        <v>-2.0619999999999998</v>
      </c>
      <c r="Q627" s="408">
        <v>-2.0619999999999998</v>
      </c>
      <c r="R627" s="408"/>
      <c r="S627" s="408">
        <v>516.83000000000004</v>
      </c>
      <c r="T627" s="408">
        <v>173.82</v>
      </c>
      <c r="U627" s="408"/>
      <c r="V627" s="408">
        <v>-1424.1203</v>
      </c>
      <c r="W627" s="408">
        <v>-1424.1203</v>
      </c>
      <c r="X627" s="408">
        <v>-1075.2298999999998</v>
      </c>
      <c r="Y627" s="408">
        <v>0</v>
      </c>
      <c r="Z627" s="408">
        <v>-126.09017777304486</v>
      </c>
      <c r="AA627" s="408">
        <v>0</v>
      </c>
      <c r="AB627" s="408">
        <v>0</v>
      </c>
      <c r="AC627" s="408">
        <v>-5.6054316793319741</v>
      </c>
      <c r="AD627" s="408">
        <v>-70.987672958500085</v>
      </c>
      <c r="AE627" s="408">
        <v>-749.77576963373326</v>
      </c>
      <c r="AF627" s="408">
        <v>-331.82144348644715</v>
      </c>
      <c r="AG627" s="408">
        <v>-16.693674438441594</v>
      </c>
      <c r="AH627" s="408">
        <v>0</v>
      </c>
      <c r="AI627" s="408">
        <v>0</v>
      </c>
      <c r="AJ627" s="408">
        <v>0</v>
      </c>
      <c r="AK627" s="408">
        <v>0</v>
      </c>
      <c r="AL627" s="408">
        <v>-19.48898610801087</v>
      </c>
      <c r="AM627" s="408"/>
      <c r="AN627" s="408">
        <v>-3.1992795521400605</v>
      </c>
      <c r="AO627" s="408">
        <v>-11.956514792577275</v>
      </c>
      <c r="AP627" s="408">
        <v>-39.155969286017552</v>
      </c>
      <c r="AQ627" s="408">
        <v>0</v>
      </c>
      <c r="AR627" s="408">
        <v>0</v>
      </c>
      <c r="AS627" s="408">
        <v>0</v>
      </c>
      <c r="AT627" s="408">
        <v>0</v>
      </c>
      <c r="AU627" s="408">
        <v>0</v>
      </c>
      <c r="AV627" s="408">
        <v>0</v>
      </c>
      <c r="AW627" s="408">
        <v>0</v>
      </c>
      <c r="AX627" s="408">
        <v>0</v>
      </c>
      <c r="AY627" s="408">
        <v>0</v>
      </c>
      <c r="AZ627" s="408">
        <v>0</v>
      </c>
      <c r="BA627" s="408"/>
      <c r="BB627" s="408">
        <v>0</v>
      </c>
      <c r="BC627" s="408">
        <v>0</v>
      </c>
      <c r="BD627" s="408">
        <v>0</v>
      </c>
      <c r="BE627" s="408">
        <v>-1.1440236163614426</v>
      </c>
      <c r="BF627" s="408">
        <v>-9.909329351845054</v>
      </c>
      <c r="BG627" s="408">
        <v>-38.308502451072428</v>
      </c>
      <c r="BH627" s="408">
        <v>0</v>
      </c>
      <c r="BI627" s="408">
        <v>-2.0299999999999998</v>
      </c>
      <c r="BJ627" s="408">
        <v>-9.2200000000000006</v>
      </c>
      <c r="BK627" s="408">
        <v>-415.9</v>
      </c>
      <c r="BL627" s="408">
        <v>0</v>
      </c>
      <c r="BM627" s="408"/>
      <c r="BN627" s="408"/>
      <c r="BO627" s="408"/>
      <c r="BP627" s="408"/>
      <c r="BQ627" s="408"/>
      <c r="BR627" s="408"/>
      <c r="BS627" s="408"/>
      <c r="BT627" s="408"/>
      <c r="BU627" s="408"/>
      <c r="BV627" s="408">
        <v>-381.18329890572602</v>
      </c>
      <c r="BW627" s="408"/>
      <c r="BX627" s="408"/>
      <c r="BY627" s="408"/>
      <c r="BZ627" s="408"/>
      <c r="CA627" s="408"/>
      <c r="CB627" s="408"/>
      <c r="CC627" s="408"/>
      <c r="CD627" s="408"/>
      <c r="CE627" s="408"/>
      <c r="CF627" s="408"/>
      <c r="CG627" s="408"/>
      <c r="CH627" s="408"/>
      <c r="CI627" s="408">
        <v>-1074.1869999999999</v>
      </c>
      <c r="CJ627" s="408">
        <v>349.90330000000017</v>
      </c>
      <c r="CK627" s="408"/>
      <c r="CL627" s="408"/>
      <c r="CM627" s="408"/>
      <c r="CN627" s="408"/>
      <c r="CO627" s="408">
        <v>392.58418000000006</v>
      </c>
      <c r="CP627" s="408">
        <v>-43.69377999999999</v>
      </c>
      <c r="CQ627" s="408">
        <v>31</v>
      </c>
      <c r="CR627" s="408">
        <v>-48.056722526884869</v>
      </c>
      <c r="CS627" s="408">
        <v>-1.1609020484717032</v>
      </c>
      <c r="CT627" s="408">
        <v>-3.8017972413039232</v>
      </c>
      <c r="CU627" s="408">
        <v>0</v>
      </c>
      <c r="CV627" s="408">
        <v>0</v>
      </c>
      <c r="CW627" s="408">
        <v>0</v>
      </c>
      <c r="CX627" s="408">
        <v>0</v>
      </c>
      <c r="CY627" s="408">
        <v>0</v>
      </c>
      <c r="CZ627" s="408">
        <v>1.3611324035657617</v>
      </c>
      <c r="DA627" s="408">
        <v>0</v>
      </c>
      <c r="DB627" s="408">
        <v>0</v>
      </c>
      <c r="DC627" s="408">
        <v>-42.592949579441608</v>
      </c>
      <c r="DD627" s="408">
        <v>-1.2719719407357726</v>
      </c>
      <c r="DE627" s="408">
        <v>-0.14684807496885388</v>
      </c>
      <c r="DF627" s="408">
        <v>0</v>
      </c>
      <c r="DG627" s="408">
        <v>-4.9173196771685568</v>
      </c>
      <c r="DH627" s="408">
        <v>0</v>
      </c>
      <c r="DI627" s="408">
        <v>3.6850491866158421</v>
      </c>
      <c r="DJ627" s="408"/>
      <c r="DK627" s="408">
        <v>0</v>
      </c>
      <c r="DL627" s="408">
        <v>0</v>
      </c>
      <c r="DM627" s="408">
        <v>0.18554406450572003</v>
      </c>
      <c r="DN627" s="408">
        <v>0</v>
      </c>
      <c r="DO627" s="408">
        <v>0.50475800859976871</v>
      </c>
      <c r="DP627" s="408">
        <v>9.8582371918581657E-2</v>
      </c>
      <c r="DQ627" s="408">
        <v>0</v>
      </c>
      <c r="DR627" s="408">
        <v>0</v>
      </c>
      <c r="DS627" s="408"/>
      <c r="DT627" s="408"/>
      <c r="DU627" s="408"/>
      <c r="DV627" s="408">
        <v>-749.77576963373326</v>
      </c>
      <c r="DW627" s="408">
        <v>0</v>
      </c>
      <c r="DX627" s="408">
        <v>0</v>
      </c>
      <c r="DY627" s="408">
        <v>392.58418000000006</v>
      </c>
      <c r="DZ627" s="408">
        <v>-43.693779999999947</v>
      </c>
      <c r="EA627" s="408">
        <v>0</v>
      </c>
      <c r="EB627" s="408">
        <v>0</v>
      </c>
      <c r="EC627" s="408">
        <v>396.96652030333064</v>
      </c>
      <c r="ED627" s="408">
        <v>0</v>
      </c>
      <c r="EE627" s="408">
        <v>0</v>
      </c>
      <c r="EF627" s="408">
        <v>0</v>
      </c>
      <c r="EG627" s="408">
        <v>0</v>
      </c>
      <c r="EH627" s="408">
        <v>0</v>
      </c>
      <c r="EI627" s="408">
        <v>0</v>
      </c>
      <c r="EJ627" s="408">
        <v>0</v>
      </c>
      <c r="EK627" s="408">
        <v>0</v>
      </c>
      <c r="EL627" s="408">
        <v>0</v>
      </c>
      <c r="EM627" s="408">
        <v>0</v>
      </c>
      <c r="EN627" s="408">
        <v>0</v>
      </c>
      <c r="EO627" s="408">
        <v>0</v>
      </c>
      <c r="EP627" s="408">
        <v>0</v>
      </c>
      <c r="EQ627" s="408">
        <v>0</v>
      </c>
      <c r="ER627" s="408">
        <v>0</v>
      </c>
      <c r="ES627" s="408">
        <v>0</v>
      </c>
      <c r="ET627" s="408">
        <v>0</v>
      </c>
      <c r="EU627" s="408">
        <v>0</v>
      </c>
      <c r="EV627" s="408">
        <v>239</v>
      </c>
      <c r="EW627" s="408">
        <v>0</v>
      </c>
      <c r="EX627" s="408">
        <v>0</v>
      </c>
      <c r="EY627" s="408">
        <v>0</v>
      </c>
      <c r="EZ627" s="408"/>
      <c r="FA627" s="408">
        <v>0</v>
      </c>
      <c r="FB627" s="408"/>
      <c r="FC627" s="408"/>
      <c r="FD627" s="408"/>
      <c r="FE627" s="408"/>
      <c r="FF627" s="408">
        <v>0</v>
      </c>
      <c r="FG627" s="408">
        <v>0</v>
      </c>
      <c r="FH627" s="408">
        <v>0</v>
      </c>
      <c r="FI627" s="408">
        <v>0</v>
      </c>
    </row>
    <row r="628" spans="1:165">
      <c r="A628" s="408">
        <v>633</v>
      </c>
      <c r="B628" s="408" t="s">
        <v>2236</v>
      </c>
      <c r="C628" s="408" t="s">
        <v>2233</v>
      </c>
      <c r="D628" s="408" t="s">
        <v>1953</v>
      </c>
      <c r="E628" s="408" t="s">
        <v>967</v>
      </c>
      <c r="F628" s="408" t="s">
        <v>967</v>
      </c>
      <c r="G628" s="408" t="s">
        <v>1320</v>
      </c>
      <c r="H628" s="408" t="s">
        <v>1320</v>
      </c>
      <c r="I628" s="408" t="s">
        <v>1320</v>
      </c>
      <c r="J628" s="408" t="s">
        <v>2234</v>
      </c>
      <c r="K628" s="827">
        <v>44682</v>
      </c>
      <c r="L628" s="408">
        <v>0</v>
      </c>
      <c r="M628" s="408">
        <v>0</v>
      </c>
      <c r="N628" s="408">
        <v>34.988999999999997</v>
      </c>
      <c r="O628" s="408">
        <v>34.988999999999997</v>
      </c>
      <c r="P628" s="408">
        <v>34.988999999999997</v>
      </c>
      <c r="Q628" s="408">
        <v>34.988999999999997</v>
      </c>
      <c r="R628" s="408"/>
      <c r="S628" s="408">
        <v>516.83000000000004</v>
      </c>
      <c r="T628" s="408">
        <v>173.82</v>
      </c>
      <c r="U628" s="408"/>
      <c r="V628" s="408">
        <v>24165.152849999999</v>
      </c>
      <c r="W628" s="408">
        <v>24165.152849999999</v>
      </c>
      <c r="X628" s="408">
        <v>18245.014049999998</v>
      </c>
      <c r="Y628" s="408">
        <v>0</v>
      </c>
      <c r="Z628" s="408">
        <v>2139.5583075174909</v>
      </c>
      <c r="AA628" s="408">
        <v>0</v>
      </c>
      <c r="AB628" s="408">
        <v>0</v>
      </c>
      <c r="AC628" s="408">
        <v>95.115639683873141</v>
      </c>
      <c r="AD628" s="408">
        <v>1204.5527105455672</v>
      </c>
      <c r="AE628" s="408">
        <v>12722.553057087631</v>
      </c>
      <c r="AF628" s="408">
        <v>5630.5046004594087</v>
      </c>
      <c r="AG628" s="408">
        <v>283.26623420302275</v>
      </c>
      <c r="AH628" s="408">
        <v>0</v>
      </c>
      <c r="AI628" s="408">
        <v>0</v>
      </c>
      <c r="AJ628" s="408">
        <v>0</v>
      </c>
      <c r="AK628" s="408">
        <v>0</v>
      </c>
      <c r="AL628" s="408">
        <v>330.69841655343953</v>
      </c>
      <c r="AM628" s="408"/>
      <c r="AN628" s="408">
        <v>54.286902158015799</v>
      </c>
      <c r="AO628" s="408">
        <v>202.88384872816988</v>
      </c>
      <c r="AP628" s="408">
        <v>664.41717233194379</v>
      </c>
      <c r="AQ628" s="408">
        <v>0</v>
      </c>
      <c r="AR628" s="408">
        <v>0</v>
      </c>
      <c r="AS628" s="408">
        <v>0</v>
      </c>
      <c r="AT628" s="408">
        <v>0</v>
      </c>
      <c r="AU628" s="408">
        <v>0</v>
      </c>
      <c r="AV628" s="408">
        <v>0</v>
      </c>
      <c r="AW628" s="408">
        <v>0</v>
      </c>
      <c r="AX628" s="408">
        <v>0</v>
      </c>
      <c r="AY628" s="408">
        <v>0</v>
      </c>
      <c r="AZ628" s="408">
        <v>0</v>
      </c>
      <c r="BA628" s="408"/>
      <c r="BB628" s="408">
        <v>0</v>
      </c>
      <c r="BC628" s="408">
        <v>0</v>
      </c>
      <c r="BD628" s="408">
        <v>0</v>
      </c>
      <c r="BE628" s="408">
        <v>19.412338658036138</v>
      </c>
      <c r="BF628" s="408">
        <v>168.14622923943094</v>
      </c>
      <c r="BG628" s="408">
        <v>650.03695065983186</v>
      </c>
      <c r="BH628" s="408">
        <v>0</v>
      </c>
      <c r="BI628" s="408">
        <v>138.19999999999999</v>
      </c>
      <c r="BJ628" s="408">
        <v>646.5</v>
      </c>
      <c r="BK628" s="408">
        <v>15877.24</v>
      </c>
      <c r="BL628" s="408">
        <v>360</v>
      </c>
      <c r="BM628" s="408"/>
      <c r="BN628" s="408"/>
      <c r="BO628" s="408"/>
      <c r="BP628" s="408"/>
      <c r="BQ628" s="408"/>
      <c r="BR628" s="408"/>
      <c r="BS628" s="408"/>
      <c r="BT628" s="408"/>
      <c r="BU628" s="408"/>
      <c r="BV628" s="408">
        <v>6468.1001190167071</v>
      </c>
      <c r="BW628" s="408"/>
      <c r="BX628" s="408"/>
      <c r="BY628" s="408"/>
      <c r="BZ628" s="408"/>
      <c r="CA628" s="408"/>
      <c r="CB628" s="408"/>
      <c r="CC628" s="408"/>
      <c r="CD628" s="408"/>
      <c r="CE628" s="408"/>
      <c r="CF628" s="408"/>
      <c r="CG628" s="408"/>
      <c r="CH628" s="408"/>
      <c r="CI628" s="408">
        <v>18245.535500000002</v>
      </c>
      <c r="CJ628" s="408">
        <v>-5919.647349999992</v>
      </c>
      <c r="CK628" s="408"/>
      <c r="CL628" s="408"/>
      <c r="CM628" s="408"/>
      <c r="CN628" s="408"/>
      <c r="CO628" s="408">
        <v>-6661.5557100000005</v>
      </c>
      <c r="CP628" s="408">
        <v>741.41690999999992</v>
      </c>
      <c r="CQ628" s="408">
        <v>31</v>
      </c>
      <c r="CR628" s="408">
        <v>815.44940082112771</v>
      </c>
      <c r="CS628" s="408">
        <v>19.698739948582158</v>
      </c>
      <c r="CT628" s="408">
        <v>64.510709833163446</v>
      </c>
      <c r="CU628" s="408">
        <v>0</v>
      </c>
      <c r="CV628" s="408">
        <v>0</v>
      </c>
      <c r="CW628" s="408">
        <v>0</v>
      </c>
      <c r="CX628" s="408">
        <v>0</v>
      </c>
      <c r="CY628" s="408">
        <v>0</v>
      </c>
      <c r="CZ628" s="408">
        <v>-23.096344165064238</v>
      </c>
      <c r="DA628" s="408">
        <v>0</v>
      </c>
      <c r="DB628" s="408">
        <v>0</v>
      </c>
      <c r="DC628" s="408">
        <v>722.73749410042728</v>
      </c>
      <c r="DD628" s="408">
        <v>21.583426883804037</v>
      </c>
      <c r="DE628" s="408">
        <v>2.4917882129414295</v>
      </c>
      <c r="DF628" s="408">
        <v>0</v>
      </c>
      <c r="DG628" s="408">
        <v>83.439426859578361</v>
      </c>
      <c r="DH628" s="408">
        <v>0</v>
      </c>
      <c r="DI628" s="408">
        <v>-62.529673128274226</v>
      </c>
      <c r="DJ628" s="408"/>
      <c r="DK628" s="408">
        <v>0</v>
      </c>
      <c r="DL628" s="408">
        <v>0</v>
      </c>
      <c r="DM628" s="408">
        <v>-3.1484002293844355</v>
      </c>
      <c r="DN628" s="408">
        <v>0</v>
      </c>
      <c r="DO628" s="408">
        <v>-8.5649747637717155</v>
      </c>
      <c r="DP628" s="408">
        <v>-1.6727927308725796</v>
      </c>
      <c r="DQ628" s="408">
        <v>0</v>
      </c>
      <c r="DR628" s="408">
        <v>0</v>
      </c>
      <c r="DS628" s="408"/>
      <c r="DT628" s="408"/>
      <c r="DU628" s="408"/>
      <c r="DV628" s="408">
        <v>12722.553057087631</v>
      </c>
      <c r="DW628" s="408">
        <v>0</v>
      </c>
      <c r="DX628" s="408">
        <v>0</v>
      </c>
      <c r="DY628" s="408">
        <v>-6661.5557100000024</v>
      </c>
      <c r="DZ628" s="408">
        <v>741.41690999999992</v>
      </c>
      <c r="EA628" s="408">
        <v>0</v>
      </c>
      <c r="EB628" s="408">
        <v>0</v>
      </c>
      <c r="EC628" s="408">
        <v>-6735.9173515486118</v>
      </c>
      <c r="ED628" s="408">
        <v>0</v>
      </c>
      <c r="EE628" s="408">
        <v>0</v>
      </c>
      <c r="EF628" s="408">
        <v>0</v>
      </c>
      <c r="EG628" s="408">
        <v>0</v>
      </c>
      <c r="EH628" s="408">
        <v>0</v>
      </c>
      <c r="EI628" s="408">
        <v>0</v>
      </c>
      <c r="EJ628" s="408">
        <v>0</v>
      </c>
      <c r="EK628" s="408">
        <v>0</v>
      </c>
      <c r="EL628" s="408">
        <v>0</v>
      </c>
      <c r="EM628" s="408">
        <v>0</v>
      </c>
      <c r="EN628" s="408">
        <v>0</v>
      </c>
      <c r="EO628" s="408">
        <v>0</v>
      </c>
      <c r="EP628" s="408">
        <v>0</v>
      </c>
      <c r="EQ628" s="408">
        <v>0</v>
      </c>
      <c r="ER628" s="408">
        <v>0</v>
      </c>
      <c r="ES628" s="408">
        <v>0</v>
      </c>
      <c r="ET628" s="408">
        <v>0</v>
      </c>
      <c r="EU628" s="408">
        <v>0</v>
      </c>
      <c r="EV628" s="408">
        <v>239</v>
      </c>
      <c r="EW628" s="408">
        <v>0</v>
      </c>
      <c r="EX628" s="408">
        <v>0</v>
      </c>
      <c r="EY628" s="408">
        <v>0</v>
      </c>
      <c r="EZ628" s="408"/>
      <c r="FA628" s="408">
        <v>0</v>
      </c>
      <c r="FB628" s="408"/>
      <c r="FC628" s="408"/>
      <c r="FD628" s="408"/>
      <c r="FE628" s="408"/>
      <c r="FF628" s="408">
        <v>0</v>
      </c>
      <c r="FG628" s="408">
        <v>0</v>
      </c>
      <c r="FH628" s="408">
        <v>0</v>
      </c>
      <c r="FI628" s="408">
        <v>0</v>
      </c>
    </row>
    <row r="629" spans="1:165">
      <c r="A629" s="408">
        <v>634</v>
      </c>
      <c r="B629" s="408" t="s">
        <v>1034</v>
      </c>
      <c r="C629" s="408" t="s">
        <v>2233</v>
      </c>
      <c r="D629" s="408" t="s">
        <v>1953</v>
      </c>
      <c r="E629" s="408" t="s">
        <v>967</v>
      </c>
      <c r="F629" s="408" t="s">
        <v>2237</v>
      </c>
      <c r="G629" s="408" t="s">
        <v>1320</v>
      </c>
      <c r="H629" s="408" t="s">
        <v>1320</v>
      </c>
      <c r="I629" s="408" t="s">
        <v>1320</v>
      </c>
      <c r="J629" s="408" t="s">
        <v>2234</v>
      </c>
      <c r="K629" s="827">
        <v>44682</v>
      </c>
      <c r="L629" s="408">
        <v>0</v>
      </c>
      <c r="M629" s="408">
        <v>0</v>
      </c>
      <c r="N629" s="408">
        <v>44.22</v>
      </c>
      <c r="O629" s="408">
        <v>44.22</v>
      </c>
      <c r="P629" s="408">
        <v>44.22</v>
      </c>
      <c r="Q629" s="408">
        <v>44.22</v>
      </c>
      <c r="R629" s="408"/>
      <c r="S629" s="408">
        <v>446.23</v>
      </c>
      <c r="T629" s="408">
        <v>173.82</v>
      </c>
      <c r="U629" s="408"/>
      <c r="V629" s="408">
        <v>27418.611000000001</v>
      </c>
      <c r="W629" s="408">
        <v>27418.611000000001</v>
      </c>
      <c r="X629" s="408">
        <v>20026.353599999999</v>
      </c>
      <c r="Y629" s="408">
        <v>0</v>
      </c>
      <c r="Z629" s="408">
        <v>0</v>
      </c>
      <c r="AA629" s="408">
        <v>0</v>
      </c>
      <c r="AB629" s="408">
        <v>0</v>
      </c>
      <c r="AC629" s="408">
        <v>120.20959692534427</v>
      </c>
      <c r="AD629" s="408">
        <v>1522.3447615057582</v>
      </c>
      <c r="AE629" s="408">
        <v>16079.09046227143</v>
      </c>
      <c r="AF629" s="408">
        <v>7115.9768336424322</v>
      </c>
      <c r="AG629" s="408">
        <v>357.99916763719074</v>
      </c>
      <c r="AH629" s="408">
        <v>0</v>
      </c>
      <c r="AI629" s="408">
        <v>0</v>
      </c>
      <c r="AJ629" s="408">
        <v>0</v>
      </c>
      <c r="AK629" s="408">
        <v>0</v>
      </c>
      <c r="AL629" s="408">
        <v>0</v>
      </c>
      <c r="AM629" s="408"/>
      <c r="AN629" s="408">
        <v>68.609186127853292</v>
      </c>
      <c r="AO629" s="408">
        <v>256.40983711336912</v>
      </c>
      <c r="AP629" s="408">
        <v>839.7075469581456</v>
      </c>
      <c r="AQ629" s="408">
        <v>0</v>
      </c>
      <c r="AR629" s="408">
        <v>0</v>
      </c>
      <c r="AS629" s="408">
        <v>0</v>
      </c>
      <c r="AT629" s="408">
        <v>0</v>
      </c>
      <c r="AU629" s="408">
        <v>0</v>
      </c>
      <c r="AV629" s="408">
        <v>0</v>
      </c>
      <c r="AW629" s="408">
        <v>0</v>
      </c>
      <c r="AX629" s="408">
        <v>0</v>
      </c>
      <c r="AY629" s="408">
        <v>0</v>
      </c>
      <c r="AZ629" s="408">
        <v>0</v>
      </c>
      <c r="BA629" s="408"/>
      <c r="BB629" s="408">
        <v>0</v>
      </c>
      <c r="BC629" s="408">
        <v>0</v>
      </c>
      <c r="BD629" s="408">
        <v>0</v>
      </c>
      <c r="BE629" s="408">
        <v>24.533813926044129</v>
      </c>
      <c r="BF629" s="408">
        <v>212.50753828253556</v>
      </c>
      <c r="BG629" s="408">
        <v>821.53345217576282</v>
      </c>
      <c r="BH629" s="408">
        <v>0</v>
      </c>
      <c r="BI629" s="408">
        <v>169.84</v>
      </c>
      <c r="BJ629" s="408">
        <v>788.34</v>
      </c>
      <c r="BK629" s="408">
        <v>2464.06</v>
      </c>
      <c r="BL629" s="408">
        <v>112</v>
      </c>
      <c r="BM629" s="408"/>
      <c r="BN629" s="408"/>
      <c r="BO629" s="408"/>
      <c r="BP629" s="408"/>
      <c r="BQ629" s="408"/>
      <c r="BR629" s="408"/>
      <c r="BS629" s="408"/>
      <c r="BT629" s="408">
        <v>13017.0414</v>
      </c>
      <c r="BU629" s="408"/>
      <c r="BV629" s="408">
        <v>8174.5516380267745</v>
      </c>
      <c r="BW629" s="408"/>
      <c r="BX629" s="408"/>
      <c r="BY629" s="408"/>
      <c r="BZ629" s="408"/>
      <c r="CA629" s="408"/>
      <c r="CB629" s="408"/>
      <c r="CC629" s="408"/>
      <c r="CD629" s="408"/>
      <c r="CE629" s="408"/>
      <c r="CF629" s="408"/>
      <c r="CG629" s="408"/>
      <c r="CH629" s="408"/>
      <c r="CI629" s="408">
        <v>7009.3122000000003</v>
      </c>
      <c r="CJ629" s="408">
        <v>-2587.342200000001</v>
      </c>
      <c r="CK629" s="408"/>
      <c r="CL629" s="408"/>
      <c r="CM629" s="408"/>
      <c r="CN629" s="408"/>
      <c r="CO629" s="408">
        <v>-8329.2792000000009</v>
      </c>
      <c r="CP629" s="408">
        <v>937.02179999999987</v>
      </c>
      <c r="CQ629" s="408">
        <v>31</v>
      </c>
      <c r="CR629" s="408">
        <v>1120.4372183856849</v>
      </c>
      <c r="CS629" s="408">
        <v>24.89577525868998</v>
      </c>
      <c r="CT629" s="408">
        <v>81.530297774228643</v>
      </c>
      <c r="CU629" s="408">
        <v>0</v>
      </c>
      <c r="CV629" s="408">
        <v>0</v>
      </c>
      <c r="CW629" s="408">
        <v>0</v>
      </c>
      <c r="CX629" s="408">
        <v>0</v>
      </c>
      <c r="CY629" s="408">
        <v>0</v>
      </c>
      <c r="CZ629" s="408">
        <v>-29.189755036700944</v>
      </c>
      <c r="DA629" s="408">
        <v>0</v>
      </c>
      <c r="DB629" s="408">
        <v>0</v>
      </c>
      <c r="DC629" s="408">
        <v>913.41427274631769</v>
      </c>
      <c r="DD629" s="408">
        <v>27.277691182995056</v>
      </c>
      <c r="DE629" s="408">
        <v>3.149186166402874</v>
      </c>
      <c r="DF629" s="408">
        <v>0</v>
      </c>
      <c r="DG629" s="408">
        <v>105.45289821745564</v>
      </c>
      <c r="DH629" s="408">
        <v>0</v>
      </c>
      <c r="DI629" s="408">
        <v>0</v>
      </c>
      <c r="DJ629" s="408"/>
      <c r="DK629" s="408">
        <v>0</v>
      </c>
      <c r="DL629" s="408">
        <v>0</v>
      </c>
      <c r="DM629" s="408">
        <v>-3.9790293561799217</v>
      </c>
      <c r="DN629" s="408">
        <v>0</v>
      </c>
      <c r="DO629" s="408">
        <v>0</v>
      </c>
      <c r="DP629" s="408">
        <v>-2.1141185675265177</v>
      </c>
      <c r="DQ629" s="408">
        <v>0</v>
      </c>
      <c r="DR629" s="408">
        <v>0</v>
      </c>
      <c r="DS629" s="408"/>
      <c r="DT629" s="408"/>
      <c r="DU629" s="408"/>
      <c r="DV629" s="408">
        <v>16079.09046227143</v>
      </c>
      <c r="DW629" s="408">
        <v>0</v>
      </c>
      <c r="DX629" s="408">
        <v>0</v>
      </c>
      <c r="DY629" s="408">
        <v>-8329.2792000000009</v>
      </c>
      <c r="DZ629" s="408">
        <v>937.02179999999953</v>
      </c>
      <c r="EA629" s="408">
        <v>0</v>
      </c>
      <c r="EB629" s="408">
        <v>0</v>
      </c>
      <c r="EC629" s="408">
        <v>-8513.0259591723006</v>
      </c>
      <c r="ED629" s="408">
        <v>0</v>
      </c>
      <c r="EE629" s="408">
        <v>0</v>
      </c>
      <c r="EF629" s="408">
        <v>0</v>
      </c>
      <c r="EG629" s="408">
        <v>0</v>
      </c>
      <c r="EH629" s="408">
        <v>0</v>
      </c>
      <c r="EI629" s="408">
        <v>0</v>
      </c>
      <c r="EJ629" s="408">
        <v>0</v>
      </c>
      <c r="EK629" s="408">
        <v>0</v>
      </c>
      <c r="EL629" s="408">
        <v>0</v>
      </c>
      <c r="EM629" s="408">
        <v>0</v>
      </c>
      <c r="EN629" s="408">
        <v>0</v>
      </c>
      <c r="EO629" s="408">
        <v>0</v>
      </c>
      <c r="EP629" s="408">
        <v>0</v>
      </c>
      <c r="EQ629" s="408">
        <v>0</v>
      </c>
      <c r="ER629" s="408">
        <v>0</v>
      </c>
      <c r="ES629" s="408">
        <v>0</v>
      </c>
      <c r="ET629" s="408">
        <v>0</v>
      </c>
      <c r="EU629" s="408">
        <v>0</v>
      </c>
      <c r="EV629" s="408">
        <v>239</v>
      </c>
      <c r="EW629" s="408">
        <v>0</v>
      </c>
      <c r="EX629" s="408">
        <v>0</v>
      </c>
      <c r="EY629" s="408">
        <v>0</v>
      </c>
      <c r="EZ629" s="408"/>
      <c r="FA629" s="408">
        <v>0</v>
      </c>
      <c r="FB629" s="408"/>
      <c r="FC629" s="408"/>
      <c r="FD629" s="408"/>
      <c r="FE629" s="408"/>
      <c r="FF629" s="408">
        <v>0</v>
      </c>
      <c r="FG629" s="408">
        <v>0</v>
      </c>
      <c r="FH629" s="408">
        <v>0</v>
      </c>
      <c r="FI629" s="408">
        <v>0</v>
      </c>
    </row>
    <row r="630" spans="1:165">
      <c r="A630" s="408">
        <v>635</v>
      </c>
      <c r="B630" s="408" t="s">
        <v>2236</v>
      </c>
      <c r="C630" s="408" t="s">
        <v>2233</v>
      </c>
      <c r="D630" s="408" t="s">
        <v>1953</v>
      </c>
      <c r="E630" s="408" t="s">
        <v>967</v>
      </c>
      <c r="F630" s="408" t="s">
        <v>2237</v>
      </c>
      <c r="G630" s="408" t="s">
        <v>1320</v>
      </c>
      <c r="H630" s="408" t="s">
        <v>1320</v>
      </c>
      <c r="I630" s="408" t="s">
        <v>1320</v>
      </c>
      <c r="J630" s="408" t="s">
        <v>2234</v>
      </c>
      <c r="K630" s="827">
        <v>44682</v>
      </c>
      <c r="L630" s="408">
        <v>0</v>
      </c>
      <c r="M630" s="408">
        <v>0</v>
      </c>
      <c r="N630" s="408">
        <v>8.5999999999999993E-2</v>
      </c>
      <c r="O630" s="408">
        <v>-0.30530000000000002</v>
      </c>
      <c r="P630" s="408">
        <v>8.5999999999999993E-2</v>
      </c>
      <c r="Q630" s="408">
        <v>-0.30530000000000002</v>
      </c>
      <c r="R630" s="408"/>
      <c r="S630" s="408">
        <v>446.23</v>
      </c>
      <c r="T630" s="408">
        <v>173.82</v>
      </c>
      <c r="U630" s="408"/>
      <c r="V630" s="408">
        <v>53.324299999999994</v>
      </c>
      <c r="W630" s="408">
        <v>53.324299999999994</v>
      </c>
      <c r="X630" s="408">
        <v>38.947679999999998</v>
      </c>
      <c r="Y630" s="408">
        <v>0</v>
      </c>
      <c r="Z630" s="408">
        <v>0</v>
      </c>
      <c r="AA630" s="408">
        <v>0</v>
      </c>
      <c r="AB630" s="408">
        <v>0</v>
      </c>
      <c r="AC630" s="408">
        <v>0.23378619031161482</v>
      </c>
      <c r="AD630" s="408">
        <v>2.9606885908976754</v>
      </c>
      <c r="AE630" s="408">
        <v>31.270958384336112</v>
      </c>
      <c r="AF630" s="408">
        <v>13.839303656563752</v>
      </c>
      <c r="AG630" s="408">
        <v>0.69624442371773865</v>
      </c>
      <c r="AH630" s="408">
        <v>0</v>
      </c>
      <c r="AI630" s="408">
        <v>0</v>
      </c>
      <c r="AJ630" s="408">
        <v>0</v>
      </c>
      <c r="AK630" s="408">
        <v>0</v>
      </c>
      <c r="AL630" s="408">
        <v>0</v>
      </c>
      <c r="AM630" s="408"/>
      <c r="AN630" s="408">
        <v>0.13343260983707333</v>
      </c>
      <c r="AO630" s="408">
        <v>0.49867132500564781</v>
      </c>
      <c r="AP630" s="408">
        <v>1.6330811632383653</v>
      </c>
      <c r="AQ630" s="408">
        <v>0</v>
      </c>
      <c r="AR630" s="408">
        <v>0</v>
      </c>
      <c r="AS630" s="408">
        <v>0</v>
      </c>
      <c r="AT630" s="408">
        <v>0</v>
      </c>
      <c r="AU630" s="408">
        <v>0</v>
      </c>
      <c r="AV630" s="408">
        <v>0</v>
      </c>
      <c r="AW630" s="408">
        <v>0</v>
      </c>
      <c r="AX630" s="408">
        <v>0</v>
      </c>
      <c r="AY630" s="408">
        <v>0</v>
      </c>
      <c r="AZ630" s="408">
        <v>0</v>
      </c>
      <c r="BA630" s="408"/>
      <c r="BB630" s="408">
        <v>0</v>
      </c>
      <c r="BC630" s="408">
        <v>0</v>
      </c>
      <c r="BD630" s="408">
        <v>0</v>
      </c>
      <c r="BE630" s="408">
        <v>4.7713885066481117E-2</v>
      </c>
      <c r="BF630" s="408">
        <v>0.41328919702166572</v>
      </c>
      <c r="BG630" s="408">
        <v>1.5977357957285301</v>
      </c>
      <c r="BH630" s="408">
        <v>0</v>
      </c>
      <c r="BI630" s="408">
        <v>0.32</v>
      </c>
      <c r="BJ630" s="408">
        <v>1.54</v>
      </c>
      <c r="BK630" s="408">
        <v>8.8699999999999992</v>
      </c>
      <c r="BL630" s="408">
        <v>0</v>
      </c>
      <c r="BM630" s="408"/>
      <c r="BN630" s="408"/>
      <c r="BO630" s="408"/>
      <c r="BP630" s="408"/>
      <c r="BQ630" s="408"/>
      <c r="BR630" s="408"/>
      <c r="BS630" s="408"/>
      <c r="BT630" s="408">
        <v>87.340783000000002</v>
      </c>
      <c r="BU630" s="408"/>
      <c r="BV630" s="408">
        <v>15.898042534380428</v>
      </c>
      <c r="BW630" s="408"/>
      <c r="BX630" s="408"/>
      <c r="BY630" s="408"/>
      <c r="BZ630" s="408"/>
      <c r="CA630" s="408"/>
      <c r="CB630" s="408"/>
      <c r="CC630" s="408"/>
      <c r="CD630" s="408"/>
      <c r="CE630" s="408"/>
      <c r="CF630" s="408"/>
      <c r="CG630" s="408"/>
      <c r="CH630" s="408"/>
      <c r="CI630" s="408">
        <v>-49.138100000000001</v>
      </c>
      <c r="CJ630" s="408">
        <v>17.088106000000003</v>
      </c>
      <c r="CK630" s="408"/>
      <c r="CL630" s="408"/>
      <c r="CM630" s="408"/>
      <c r="CN630" s="408"/>
      <c r="CO630" s="408">
        <v>-16.19896</v>
      </c>
      <c r="CP630" s="408">
        <v>1.8223399999999996</v>
      </c>
      <c r="CQ630" s="408">
        <v>31</v>
      </c>
      <c r="CR630" s="408">
        <v>2.1790502211933216</v>
      </c>
      <c r="CS630" s="408">
        <v>4.8417835193291126E-2</v>
      </c>
      <c r="CT630" s="408">
        <v>0.15856186360433444</v>
      </c>
      <c r="CU630" s="408">
        <v>0</v>
      </c>
      <c r="CV630" s="408">
        <v>0</v>
      </c>
      <c r="CW630" s="408">
        <v>0</v>
      </c>
      <c r="CX630" s="408">
        <v>0</v>
      </c>
      <c r="CY630" s="408">
        <v>0</v>
      </c>
      <c r="CZ630" s="408">
        <v>-5.6768858732616501E-2</v>
      </c>
      <c r="DA630" s="408">
        <v>0</v>
      </c>
      <c r="DB630" s="408">
        <v>0</v>
      </c>
      <c r="DC630" s="408">
        <v>1.7764275770281177</v>
      </c>
      <c r="DD630" s="408">
        <v>5.3050236131559791E-2</v>
      </c>
      <c r="DE630" s="408">
        <v>6.1246044846369752E-3</v>
      </c>
      <c r="DF630" s="408">
        <v>0</v>
      </c>
      <c r="DG630" s="408">
        <v>0.20508704764136554</v>
      </c>
      <c r="DH630" s="408">
        <v>0</v>
      </c>
      <c r="DI630" s="408">
        <v>0</v>
      </c>
      <c r="DJ630" s="408"/>
      <c r="DK630" s="408">
        <v>0</v>
      </c>
      <c r="DL630" s="408">
        <v>0</v>
      </c>
      <c r="DM630" s="408">
        <v>-7.7385012354471705E-3</v>
      </c>
      <c r="DN630" s="408">
        <v>0</v>
      </c>
      <c r="DO630" s="408">
        <v>0</v>
      </c>
      <c r="DP630" s="408">
        <v>-4.1115829219195155E-3</v>
      </c>
      <c r="DQ630" s="408">
        <v>0</v>
      </c>
      <c r="DR630" s="408">
        <v>0</v>
      </c>
      <c r="DS630" s="408"/>
      <c r="DT630" s="408"/>
      <c r="DU630" s="408"/>
      <c r="DV630" s="408">
        <v>31.270958384336112</v>
      </c>
      <c r="DW630" s="408">
        <v>0</v>
      </c>
      <c r="DX630" s="408">
        <v>0</v>
      </c>
      <c r="DY630" s="408">
        <v>-16.19896</v>
      </c>
      <c r="DZ630" s="408">
        <v>1.8223400000000005</v>
      </c>
      <c r="EA630" s="408">
        <v>0</v>
      </c>
      <c r="EB630" s="408">
        <v>0</v>
      </c>
      <c r="EC630" s="408">
        <v>-16.556314619828534</v>
      </c>
      <c r="ED630" s="408">
        <v>0</v>
      </c>
      <c r="EE630" s="408">
        <v>0</v>
      </c>
      <c r="EF630" s="408">
        <v>0</v>
      </c>
      <c r="EG630" s="408">
        <v>0</v>
      </c>
      <c r="EH630" s="408">
        <v>0</v>
      </c>
      <c r="EI630" s="408">
        <v>0</v>
      </c>
      <c r="EJ630" s="408">
        <v>0</v>
      </c>
      <c r="EK630" s="408">
        <v>0</v>
      </c>
      <c r="EL630" s="408">
        <v>0</v>
      </c>
      <c r="EM630" s="408">
        <v>0</v>
      </c>
      <c r="EN630" s="408">
        <v>0</v>
      </c>
      <c r="EO630" s="408">
        <v>0</v>
      </c>
      <c r="EP630" s="408">
        <v>0</v>
      </c>
      <c r="EQ630" s="408">
        <v>0</v>
      </c>
      <c r="ER630" s="408">
        <v>0</v>
      </c>
      <c r="ES630" s="408">
        <v>0</v>
      </c>
      <c r="ET630" s="408">
        <v>0</v>
      </c>
      <c r="EU630" s="408">
        <v>0</v>
      </c>
      <c r="EV630" s="408">
        <v>239</v>
      </c>
      <c r="EW630" s="408">
        <v>0</v>
      </c>
      <c r="EX630" s="408">
        <v>0</v>
      </c>
      <c r="EY630" s="408">
        <v>0</v>
      </c>
      <c r="EZ630" s="408"/>
      <c r="FA630" s="408">
        <v>0</v>
      </c>
      <c r="FB630" s="408"/>
      <c r="FC630" s="408"/>
      <c r="FD630" s="408"/>
      <c r="FE630" s="408"/>
      <c r="FF630" s="408">
        <v>0</v>
      </c>
      <c r="FG630" s="408">
        <v>0</v>
      </c>
      <c r="FH630" s="408">
        <v>0</v>
      </c>
      <c r="FI630" s="408">
        <v>0</v>
      </c>
    </row>
    <row r="631" spans="1:165">
      <c r="A631" s="408">
        <v>636</v>
      </c>
      <c r="B631" s="408" t="s">
        <v>1034</v>
      </c>
      <c r="C631" s="408" t="s">
        <v>2233</v>
      </c>
      <c r="D631" s="408" t="s">
        <v>1953</v>
      </c>
      <c r="E631" s="408" t="s">
        <v>967</v>
      </c>
      <c r="F631" s="408" t="s">
        <v>2238</v>
      </c>
      <c r="G631" s="408" t="s">
        <v>1320</v>
      </c>
      <c r="H631" s="408" t="s">
        <v>1320</v>
      </c>
      <c r="I631" s="408" t="s">
        <v>1320</v>
      </c>
      <c r="J631" s="408" t="s">
        <v>2234</v>
      </c>
      <c r="K631" s="827">
        <v>44682</v>
      </c>
      <c r="L631" s="408">
        <v>0</v>
      </c>
      <c r="M631" s="408">
        <v>0</v>
      </c>
      <c r="N631" s="408">
        <v>85.429000000000002</v>
      </c>
      <c r="O631" s="408">
        <v>85.429000000000002</v>
      </c>
      <c r="P631" s="408">
        <v>85.429000000000002</v>
      </c>
      <c r="Q631" s="408">
        <v>85.429000000000002</v>
      </c>
      <c r="R631" s="408"/>
      <c r="S631" s="408">
        <v>446.23</v>
      </c>
      <c r="T631" s="408">
        <v>173.82</v>
      </c>
      <c r="U631" s="408"/>
      <c r="V631" s="408">
        <v>52970.251450000003</v>
      </c>
      <c r="W631" s="408">
        <v>52970.251450000003</v>
      </c>
      <c r="X631" s="408">
        <v>38689.085520000001</v>
      </c>
      <c r="Y631" s="408">
        <v>0</v>
      </c>
      <c r="Z631" s="408">
        <v>0</v>
      </c>
      <c r="AA631" s="408">
        <v>0</v>
      </c>
      <c r="AB631" s="408">
        <v>0</v>
      </c>
      <c r="AC631" s="408">
        <v>232.23395874570866</v>
      </c>
      <c r="AD631" s="408">
        <v>2941.0309957185759</v>
      </c>
      <c r="AE631" s="408">
        <v>31063.333765295931</v>
      </c>
      <c r="AF631" s="408">
        <v>13747.417117169593</v>
      </c>
      <c r="AG631" s="408">
        <v>691.62168457886867</v>
      </c>
      <c r="AH631" s="408">
        <v>0</v>
      </c>
      <c r="AI631" s="408">
        <v>0</v>
      </c>
      <c r="AJ631" s="408">
        <v>0</v>
      </c>
      <c r="AK631" s="408">
        <v>0</v>
      </c>
      <c r="AL631" s="408">
        <v>0</v>
      </c>
      <c r="AM631" s="408"/>
      <c r="AN631" s="408">
        <v>132.54667936943417</v>
      </c>
      <c r="AO631" s="408">
        <v>495.36037934776152</v>
      </c>
      <c r="AP631" s="408">
        <v>1622.2382638870968</v>
      </c>
      <c r="AQ631" s="408">
        <v>0</v>
      </c>
      <c r="AR631" s="408">
        <v>0</v>
      </c>
      <c r="AS631" s="408">
        <v>0</v>
      </c>
      <c r="AT631" s="408">
        <v>0</v>
      </c>
      <c r="AU631" s="408">
        <v>0</v>
      </c>
      <c r="AV631" s="408">
        <v>0</v>
      </c>
      <c r="AW631" s="408">
        <v>0</v>
      </c>
      <c r="AX631" s="408">
        <v>0</v>
      </c>
      <c r="AY631" s="408">
        <v>0</v>
      </c>
      <c r="AZ631" s="408">
        <v>0</v>
      </c>
      <c r="BA631" s="408"/>
      <c r="BB631" s="408">
        <v>0</v>
      </c>
      <c r="BC631" s="408">
        <v>0</v>
      </c>
      <c r="BD631" s="408">
        <v>0</v>
      </c>
      <c r="BE631" s="408">
        <v>47.397087062144372</v>
      </c>
      <c r="BF631" s="408">
        <v>410.5451489809754</v>
      </c>
      <c r="BG631" s="408">
        <v>1587.1275731778212</v>
      </c>
      <c r="BH631" s="408">
        <v>0</v>
      </c>
      <c r="BI631" s="408">
        <v>330.39</v>
      </c>
      <c r="BJ631" s="408">
        <v>1550.46</v>
      </c>
      <c r="BK631" s="408">
        <v>8313.58</v>
      </c>
      <c r="BL631" s="408">
        <v>342</v>
      </c>
      <c r="BM631" s="408"/>
      <c r="BN631" s="408"/>
      <c r="BO631" s="408"/>
      <c r="BP631" s="408"/>
      <c r="BQ631" s="408"/>
      <c r="BR631" s="408"/>
      <c r="BS631" s="408"/>
      <c r="BT631" s="408">
        <v>15476.317640000001</v>
      </c>
      <c r="BU631" s="408"/>
      <c r="BV631" s="408">
        <v>15792.486926390533</v>
      </c>
      <c r="BW631" s="408"/>
      <c r="BX631" s="408"/>
      <c r="BY631" s="408"/>
      <c r="BZ631" s="408"/>
      <c r="CA631" s="408"/>
      <c r="CB631" s="408"/>
      <c r="CC631" s="408"/>
      <c r="CD631" s="408"/>
      <c r="CE631" s="408"/>
      <c r="CF631" s="408"/>
      <c r="CG631" s="408"/>
      <c r="CH631" s="408"/>
      <c r="CI631" s="408">
        <v>23213.039600000004</v>
      </c>
      <c r="CJ631" s="408">
        <v>-8569.1412699999928</v>
      </c>
      <c r="CK631" s="408"/>
      <c r="CL631" s="408"/>
      <c r="CM631" s="408"/>
      <c r="CN631" s="408"/>
      <c r="CO631" s="408">
        <v>-16091.406440000001</v>
      </c>
      <c r="CP631" s="408">
        <v>1810.2405099999999</v>
      </c>
      <c r="CQ631" s="408">
        <v>31</v>
      </c>
      <c r="CR631" s="408">
        <v>2164.5823412363243</v>
      </c>
      <c r="CS631" s="408">
        <v>48.096363287531062</v>
      </c>
      <c r="CT631" s="408">
        <v>157.50908657970581</v>
      </c>
      <c r="CU631" s="408">
        <v>0</v>
      </c>
      <c r="CV631" s="408">
        <v>0</v>
      </c>
      <c r="CW631" s="408">
        <v>0</v>
      </c>
      <c r="CX631" s="408">
        <v>0</v>
      </c>
      <c r="CY631" s="408">
        <v>0</v>
      </c>
      <c r="CZ631" s="408">
        <v>-56.391939914752129</v>
      </c>
      <c r="DA631" s="408">
        <v>0</v>
      </c>
      <c r="DB631" s="408">
        <v>0</v>
      </c>
      <c r="DC631" s="408">
        <v>1764.6329241620351</v>
      </c>
      <c r="DD631" s="408">
        <v>52.698007238174682</v>
      </c>
      <c r="DE631" s="408">
        <v>6.0839399595122288</v>
      </c>
      <c r="DF631" s="408">
        <v>0</v>
      </c>
      <c r="DG631" s="408">
        <v>203.72536503435117</v>
      </c>
      <c r="DH631" s="408">
        <v>0</v>
      </c>
      <c r="DI631" s="408">
        <v>0</v>
      </c>
      <c r="DJ631" s="408"/>
      <c r="DK631" s="408">
        <v>0</v>
      </c>
      <c r="DL631" s="408">
        <v>0</v>
      </c>
      <c r="DM631" s="408">
        <v>-7.687121186546733</v>
      </c>
      <c r="DN631" s="408">
        <v>0</v>
      </c>
      <c r="DO631" s="408">
        <v>0</v>
      </c>
      <c r="DP631" s="408">
        <v>-4.0842839236821078</v>
      </c>
      <c r="DQ631" s="408">
        <v>0</v>
      </c>
      <c r="DR631" s="408">
        <v>0</v>
      </c>
      <c r="DS631" s="408"/>
      <c r="DT631" s="408"/>
      <c r="DU631" s="408"/>
      <c r="DV631" s="408">
        <v>31063.333765295931</v>
      </c>
      <c r="DW631" s="408">
        <v>0</v>
      </c>
      <c r="DX631" s="408">
        <v>0</v>
      </c>
      <c r="DY631" s="408">
        <v>-16091.406440000002</v>
      </c>
      <c r="DZ631" s="408">
        <v>1810.2405099999978</v>
      </c>
      <c r="EA631" s="408">
        <v>0</v>
      </c>
      <c r="EB631" s="408">
        <v>0</v>
      </c>
      <c r="EC631" s="408">
        <v>-16446.388391364329</v>
      </c>
      <c r="ED631" s="408">
        <v>0</v>
      </c>
      <c r="EE631" s="408">
        <v>0</v>
      </c>
      <c r="EF631" s="408">
        <v>0</v>
      </c>
      <c r="EG631" s="408">
        <v>0</v>
      </c>
      <c r="EH631" s="408">
        <v>0</v>
      </c>
      <c r="EI631" s="408">
        <v>0</v>
      </c>
      <c r="EJ631" s="408">
        <v>0</v>
      </c>
      <c r="EK631" s="408">
        <v>0</v>
      </c>
      <c r="EL631" s="408">
        <v>0</v>
      </c>
      <c r="EM631" s="408">
        <v>0</v>
      </c>
      <c r="EN631" s="408">
        <v>0</v>
      </c>
      <c r="EO631" s="408">
        <v>0</v>
      </c>
      <c r="EP631" s="408">
        <v>0</v>
      </c>
      <c r="EQ631" s="408">
        <v>0</v>
      </c>
      <c r="ER631" s="408">
        <v>0</v>
      </c>
      <c r="ES631" s="408">
        <v>0</v>
      </c>
      <c r="ET631" s="408">
        <v>0</v>
      </c>
      <c r="EU631" s="408">
        <v>0</v>
      </c>
      <c r="EV631" s="408">
        <v>239</v>
      </c>
      <c r="EW631" s="408">
        <v>0</v>
      </c>
      <c r="EX631" s="408">
        <v>0</v>
      </c>
      <c r="EY631" s="408">
        <v>0</v>
      </c>
      <c r="EZ631" s="408"/>
      <c r="FA631" s="408">
        <v>0</v>
      </c>
      <c r="FB631" s="408"/>
      <c r="FC631" s="408"/>
      <c r="FD631" s="408"/>
      <c r="FE631" s="408"/>
      <c r="FF631" s="408">
        <v>0</v>
      </c>
      <c r="FG631" s="408">
        <v>0</v>
      </c>
      <c r="FH631" s="408">
        <v>0</v>
      </c>
      <c r="FI631" s="408">
        <v>0</v>
      </c>
    </row>
    <row r="632" spans="1:165">
      <c r="A632" s="408">
        <v>637</v>
      </c>
      <c r="B632" s="408" t="s">
        <v>2236</v>
      </c>
      <c r="C632" s="408" t="s">
        <v>2233</v>
      </c>
      <c r="D632" s="408" t="s">
        <v>1953</v>
      </c>
      <c r="E632" s="408" t="s">
        <v>967</v>
      </c>
      <c r="F632" s="408" t="s">
        <v>2238</v>
      </c>
      <c r="G632" s="408" t="s">
        <v>1320</v>
      </c>
      <c r="H632" s="408" t="s">
        <v>1320</v>
      </c>
      <c r="I632" s="408" t="s">
        <v>1320</v>
      </c>
      <c r="J632" s="408" t="s">
        <v>2234</v>
      </c>
      <c r="K632" s="827">
        <v>44682</v>
      </c>
      <c r="L632" s="408">
        <v>0</v>
      </c>
      <c r="M632" s="408">
        <v>0</v>
      </c>
      <c r="N632" s="408">
        <v>6.3E-2</v>
      </c>
      <c r="O632" s="408">
        <v>-0.1134</v>
      </c>
      <c r="P632" s="408">
        <v>6.3E-2</v>
      </c>
      <c r="Q632" s="408">
        <v>-0.1134</v>
      </c>
      <c r="R632" s="408"/>
      <c r="S632" s="408">
        <v>446.23</v>
      </c>
      <c r="T632" s="408">
        <v>173.82</v>
      </c>
      <c r="U632" s="408"/>
      <c r="V632" s="408">
        <v>39.06315</v>
      </c>
      <c r="W632" s="408">
        <v>39.06315</v>
      </c>
      <c r="X632" s="408">
        <v>28.531439999999996</v>
      </c>
      <c r="Y632" s="408">
        <v>0</v>
      </c>
      <c r="Z632" s="408">
        <v>0</v>
      </c>
      <c r="AA632" s="408">
        <v>0</v>
      </c>
      <c r="AB632" s="408">
        <v>0</v>
      </c>
      <c r="AC632" s="408">
        <v>0.17126197662362483</v>
      </c>
      <c r="AD632" s="408">
        <v>2.1688765258901577</v>
      </c>
      <c r="AE632" s="408">
        <v>22.907795095502038</v>
      </c>
      <c r="AF632" s="408">
        <v>10.138094539110657</v>
      </c>
      <c r="AG632" s="408">
        <v>0.51003951970020389</v>
      </c>
      <c r="AH632" s="408">
        <v>0</v>
      </c>
      <c r="AI632" s="408">
        <v>0</v>
      </c>
      <c r="AJ632" s="408">
        <v>0</v>
      </c>
      <c r="AK632" s="408">
        <v>0</v>
      </c>
      <c r="AL632" s="408">
        <v>0</v>
      </c>
      <c r="AM632" s="408"/>
      <c r="AN632" s="408">
        <v>9.7747144415530465E-2</v>
      </c>
      <c r="AO632" s="408">
        <v>0.36530573808553274</v>
      </c>
      <c r="AP632" s="408">
        <v>1.1963268986513607</v>
      </c>
      <c r="AQ632" s="408">
        <v>0</v>
      </c>
      <c r="AR632" s="408">
        <v>0</v>
      </c>
      <c r="AS632" s="408">
        <v>0</v>
      </c>
      <c r="AT632" s="408">
        <v>0</v>
      </c>
      <c r="AU632" s="408">
        <v>0</v>
      </c>
      <c r="AV632" s="408">
        <v>0</v>
      </c>
      <c r="AW632" s="408">
        <v>0</v>
      </c>
      <c r="AX632" s="408">
        <v>0</v>
      </c>
      <c r="AY632" s="408">
        <v>0</v>
      </c>
      <c r="AZ632" s="408">
        <v>0</v>
      </c>
      <c r="BA632" s="408"/>
      <c r="BB632" s="408">
        <v>0</v>
      </c>
      <c r="BC632" s="408">
        <v>0</v>
      </c>
      <c r="BD632" s="408">
        <v>0</v>
      </c>
      <c r="BE632" s="408">
        <v>3.4953194874282681E-2</v>
      </c>
      <c r="BF632" s="408">
        <v>0.30275836526005745</v>
      </c>
      <c r="BG632" s="408">
        <v>1.1704343619871791</v>
      </c>
      <c r="BH632" s="408">
        <v>0</v>
      </c>
      <c r="BI632" s="408">
        <v>0.25</v>
      </c>
      <c r="BJ632" s="408">
        <v>1.1399999999999999</v>
      </c>
      <c r="BK632" s="408">
        <v>27.53</v>
      </c>
      <c r="BL632" s="408">
        <v>0</v>
      </c>
      <c r="BM632" s="408"/>
      <c r="BN632" s="408"/>
      <c r="BO632" s="408"/>
      <c r="BP632" s="408"/>
      <c r="BQ632" s="408"/>
      <c r="BR632" s="408"/>
      <c r="BS632" s="408"/>
      <c r="BT632" s="408">
        <v>59.344488000000005</v>
      </c>
      <c r="BU632" s="408"/>
      <c r="BV632" s="408">
        <v>11.646240461232175</v>
      </c>
      <c r="BW632" s="408"/>
      <c r="BX632" s="408"/>
      <c r="BY632" s="408"/>
      <c r="BZ632" s="408"/>
      <c r="CA632" s="408"/>
      <c r="CB632" s="408"/>
      <c r="CC632" s="408"/>
      <c r="CD632" s="408"/>
      <c r="CE632" s="408"/>
      <c r="CF632" s="408"/>
      <c r="CG632" s="408"/>
      <c r="CH632" s="408"/>
      <c r="CI632" s="408">
        <v>-29.889200000000002</v>
      </c>
      <c r="CJ632" s="408">
        <v>12.269002</v>
      </c>
      <c r="CK632" s="408"/>
      <c r="CL632" s="408"/>
      <c r="CM632" s="408"/>
      <c r="CN632" s="408"/>
      <c r="CO632" s="408">
        <v>-11.866680000000001</v>
      </c>
      <c r="CP632" s="408">
        <v>1.3349699999999998</v>
      </c>
      <c r="CQ632" s="408">
        <v>31</v>
      </c>
      <c r="CR632" s="408">
        <v>1.5962809759904566</v>
      </c>
      <c r="CS632" s="408">
        <v>3.5468879269503983E-2</v>
      </c>
      <c r="CT632" s="408">
        <v>0.11615578380317526</v>
      </c>
      <c r="CU632" s="408">
        <v>0</v>
      </c>
      <c r="CV632" s="408">
        <v>0</v>
      </c>
      <c r="CW632" s="408">
        <v>0</v>
      </c>
      <c r="CX632" s="408">
        <v>0</v>
      </c>
      <c r="CY632" s="408">
        <v>0</v>
      </c>
      <c r="CZ632" s="408">
        <v>-4.1586489536684201E-2</v>
      </c>
      <c r="DA632" s="408">
        <v>0</v>
      </c>
      <c r="DB632" s="408">
        <v>0</v>
      </c>
      <c r="DC632" s="408">
        <v>1.301336480846178</v>
      </c>
      <c r="DD632" s="408">
        <v>3.8862382282421726E-2</v>
      </c>
      <c r="DE632" s="408">
        <v>4.4866288666526657E-3</v>
      </c>
      <c r="DF632" s="408">
        <v>0</v>
      </c>
      <c r="DG632" s="408">
        <v>0.15023818606286077</v>
      </c>
      <c r="DH632" s="408">
        <v>0</v>
      </c>
      <c r="DI632" s="408">
        <v>0</v>
      </c>
      <c r="DJ632" s="408"/>
      <c r="DK632" s="408">
        <v>0</v>
      </c>
      <c r="DL632" s="408">
        <v>0</v>
      </c>
      <c r="DM632" s="408">
        <v>-5.6689020678275526E-3</v>
      </c>
      <c r="DN632" s="408">
        <v>0</v>
      </c>
      <c r="DO632" s="408">
        <v>0</v>
      </c>
      <c r="DP632" s="408">
        <v>-3.0119735358247468E-3</v>
      </c>
      <c r="DQ632" s="408">
        <v>0</v>
      </c>
      <c r="DR632" s="408">
        <v>0</v>
      </c>
      <c r="DS632" s="408"/>
      <c r="DT632" s="408"/>
      <c r="DU632" s="408"/>
      <c r="DV632" s="408">
        <v>22.907795095502038</v>
      </c>
      <c r="DW632" s="408">
        <v>0</v>
      </c>
      <c r="DX632" s="408">
        <v>0</v>
      </c>
      <c r="DY632" s="408">
        <v>-11.866680000000002</v>
      </c>
      <c r="DZ632" s="408">
        <v>1.3349700000000002</v>
      </c>
      <c r="EA632" s="408">
        <v>0</v>
      </c>
      <c r="EB632" s="408">
        <v>0</v>
      </c>
      <c r="EC632" s="408">
        <v>-12.128463035455789</v>
      </c>
      <c r="ED632" s="408">
        <v>0</v>
      </c>
      <c r="EE632" s="408">
        <v>0</v>
      </c>
      <c r="EF632" s="408">
        <v>0</v>
      </c>
      <c r="EG632" s="408">
        <v>0</v>
      </c>
      <c r="EH632" s="408">
        <v>0</v>
      </c>
      <c r="EI632" s="408">
        <v>0</v>
      </c>
      <c r="EJ632" s="408">
        <v>0</v>
      </c>
      <c r="EK632" s="408">
        <v>0</v>
      </c>
      <c r="EL632" s="408">
        <v>0</v>
      </c>
      <c r="EM632" s="408">
        <v>0</v>
      </c>
      <c r="EN632" s="408">
        <v>0</v>
      </c>
      <c r="EO632" s="408">
        <v>0</v>
      </c>
      <c r="EP632" s="408">
        <v>0</v>
      </c>
      <c r="EQ632" s="408">
        <v>0</v>
      </c>
      <c r="ER632" s="408">
        <v>0</v>
      </c>
      <c r="ES632" s="408">
        <v>0</v>
      </c>
      <c r="ET632" s="408">
        <v>0</v>
      </c>
      <c r="EU632" s="408">
        <v>0</v>
      </c>
      <c r="EV632" s="408">
        <v>239</v>
      </c>
      <c r="EW632" s="408">
        <v>0</v>
      </c>
      <c r="EX632" s="408">
        <v>0</v>
      </c>
      <c r="EY632" s="408">
        <v>0</v>
      </c>
      <c r="EZ632" s="408"/>
      <c r="FA632" s="408">
        <v>0</v>
      </c>
      <c r="FB632" s="408"/>
      <c r="FC632" s="408"/>
      <c r="FD632" s="408"/>
      <c r="FE632" s="408"/>
      <c r="FF632" s="408">
        <v>0</v>
      </c>
      <c r="FG632" s="408">
        <v>0</v>
      </c>
      <c r="FH632" s="408">
        <v>0</v>
      </c>
      <c r="FI632" s="408">
        <v>0</v>
      </c>
    </row>
    <row r="633" spans="1:165">
      <c r="A633" s="408">
        <v>638</v>
      </c>
      <c r="B633" s="408" t="s">
        <v>1034</v>
      </c>
      <c r="C633" s="408" t="s">
        <v>2233</v>
      </c>
      <c r="D633" s="408" t="s">
        <v>1953</v>
      </c>
      <c r="E633" s="408" t="s">
        <v>967</v>
      </c>
      <c r="F633" s="408" t="s">
        <v>2239</v>
      </c>
      <c r="G633" s="408" t="s">
        <v>1320</v>
      </c>
      <c r="H633" s="408" t="s">
        <v>1320</v>
      </c>
      <c r="I633" s="408" t="s">
        <v>1320</v>
      </c>
      <c r="J633" s="408" t="s">
        <v>2234</v>
      </c>
      <c r="K633" s="827">
        <v>44682</v>
      </c>
      <c r="L633" s="408">
        <v>0</v>
      </c>
      <c r="M633" s="408">
        <v>0</v>
      </c>
      <c r="N633" s="408">
        <v>74.927000000000007</v>
      </c>
      <c r="O633" s="408">
        <v>74.927000000000007</v>
      </c>
      <c r="P633" s="408">
        <v>74.927000000000007</v>
      </c>
      <c r="Q633" s="408">
        <v>74.927000000000007</v>
      </c>
      <c r="R633" s="408"/>
      <c r="S633" s="408">
        <v>446.23</v>
      </c>
      <c r="T633" s="408">
        <v>173.82</v>
      </c>
      <c r="U633" s="408"/>
      <c r="V633" s="408">
        <v>46458.486349999999</v>
      </c>
      <c r="W633" s="408">
        <v>46458.486349999999</v>
      </c>
      <c r="X633" s="408">
        <v>33932.939760000001</v>
      </c>
      <c r="Y633" s="408">
        <v>0</v>
      </c>
      <c r="Z633" s="408">
        <v>0</v>
      </c>
      <c r="AA633" s="408">
        <v>0</v>
      </c>
      <c r="AB633" s="408">
        <v>0</v>
      </c>
      <c r="AC633" s="408">
        <v>203.68485908695774</v>
      </c>
      <c r="AD633" s="408">
        <v>2579.4827215138394</v>
      </c>
      <c r="AE633" s="408">
        <v>27244.640684455258</v>
      </c>
      <c r="AF633" s="408">
        <v>12057.412849713401</v>
      </c>
      <c r="AG633" s="408">
        <v>606.59890623138392</v>
      </c>
      <c r="AH633" s="408">
        <v>0</v>
      </c>
      <c r="AI633" s="408">
        <v>0</v>
      </c>
      <c r="AJ633" s="408">
        <v>0</v>
      </c>
      <c r="AK633" s="408">
        <v>0</v>
      </c>
      <c r="AL633" s="408">
        <v>0</v>
      </c>
      <c r="AM633" s="408"/>
      <c r="AN633" s="408">
        <v>116.25238554956273</v>
      </c>
      <c r="AO633" s="408">
        <v>434.46449265928112</v>
      </c>
      <c r="AP633" s="408">
        <v>1422.8124688135001</v>
      </c>
      <c r="AQ633" s="408">
        <v>0</v>
      </c>
      <c r="AR633" s="408">
        <v>0</v>
      </c>
      <c r="AS633" s="408">
        <v>0</v>
      </c>
      <c r="AT633" s="408">
        <v>0</v>
      </c>
      <c r="AU633" s="408">
        <v>0</v>
      </c>
      <c r="AV633" s="408">
        <v>0</v>
      </c>
      <c r="AW633" s="408">
        <v>0</v>
      </c>
      <c r="AX633" s="408">
        <v>0</v>
      </c>
      <c r="AY633" s="408">
        <v>0</v>
      </c>
      <c r="AZ633" s="408">
        <v>0</v>
      </c>
      <c r="BA633" s="408"/>
      <c r="BB633" s="408">
        <v>0</v>
      </c>
      <c r="BC633" s="408">
        <v>0</v>
      </c>
      <c r="BD633" s="408">
        <v>0</v>
      </c>
      <c r="BE633" s="408">
        <v>41.570444957863153</v>
      </c>
      <c r="BF633" s="408">
        <v>360.07581006095756</v>
      </c>
      <c r="BG633" s="408">
        <v>1392.0180228668789</v>
      </c>
      <c r="BH633" s="408">
        <v>0</v>
      </c>
      <c r="BI633" s="408">
        <v>294.69</v>
      </c>
      <c r="BJ633" s="408">
        <v>1356.59</v>
      </c>
      <c r="BK633" s="408">
        <v>10725.5</v>
      </c>
      <c r="BL633" s="408">
        <v>728</v>
      </c>
      <c r="BM633" s="408"/>
      <c r="BN633" s="408"/>
      <c r="BO633" s="408"/>
      <c r="BP633" s="408"/>
      <c r="BQ633" s="408"/>
      <c r="BR633" s="408"/>
      <c r="BS633" s="408"/>
      <c r="BT633" s="408">
        <v>3392.6945600000004</v>
      </c>
      <c r="BU633" s="408"/>
      <c r="BV633" s="408">
        <v>13851.077127599101</v>
      </c>
      <c r="BW633" s="408"/>
      <c r="BX633" s="408"/>
      <c r="BY633" s="408"/>
      <c r="BZ633" s="408"/>
      <c r="CA633" s="408"/>
      <c r="CB633" s="408"/>
      <c r="CC633" s="408"/>
      <c r="CD633" s="408"/>
      <c r="CE633" s="408"/>
      <c r="CF633" s="408"/>
      <c r="CG633" s="408"/>
      <c r="CH633" s="408"/>
      <c r="CI633" s="408">
        <v>30541.468000000001</v>
      </c>
      <c r="CJ633" s="408">
        <v>-11271.574350000003</v>
      </c>
      <c r="CK633" s="408"/>
      <c r="CL633" s="408"/>
      <c r="CM633" s="408"/>
      <c r="CN633" s="408"/>
      <c r="CO633" s="408">
        <v>-14113.249720000002</v>
      </c>
      <c r="CP633" s="408">
        <v>1587.7031299999999</v>
      </c>
      <c r="CQ633" s="408">
        <v>31</v>
      </c>
      <c r="CR633" s="408">
        <v>1898.4848363180427</v>
      </c>
      <c r="CS633" s="408">
        <v>42.183757413113142</v>
      </c>
      <c r="CT633" s="408">
        <v>138.14610179397641</v>
      </c>
      <c r="CU633" s="408">
        <v>0</v>
      </c>
      <c r="CV633" s="408">
        <v>0</v>
      </c>
      <c r="CW633" s="408">
        <v>0</v>
      </c>
      <c r="CX633" s="408">
        <v>0</v>
      </c>
      <c r="CY633" s="408">
        <v>0</v>
      </c>
      <c r="CZ633" s="408">
        <v>-49.459538119288027</v>
      </c>
      <c r="DA633" s="408">
        <v>0</v>
      </c>
      <c r="DB633" s="408">
        <v>0</v>
      </c>
      <c r="DC633" s="408">
        <v>1547.7021984184375</v>
      </c>
      <c r="DD633" s="408">
        <v>46.219709798016083</v>
      </c>
      <c r="DE633" s="408">
        <v>5.3360260490743556</v>
      </c>
      <c r="DF633" s="408">
        <v>0</v>
      </c>
      <c r="DG633" s="408">
        <v>178.68089789098372</v>
      </c>
      <c r="DH633" s="408">
        <v>0</v>
      </c>
      <c r="DI633" s="408">
        <v>0</v>
      </c>
      <c r="DJ633" s="408"/>
      <c r="DK633" s="408">
        <v>0</v>
      </c>
      <c r="DL633" s="408">
        <v>0</v>
      </c>
      <c r="DM633" s="408">
        <v>-6.7421242100971313</v>
      </c>
      <c r="DN633" s="408">
        <v>0</v>
      </c>
      <c r="DO633" s="408">
        <v>0</v>
      </c>
      <c r="DP633" s="408">
        <v>-3.5821927161704963</v>
      </c>
      <c r="DQ633" s="408">
        <v>0</v>
      </c>
      <c r="DR633" s="408">
        <v>0</v>
      </c>
      <c r="DS633" s="408"/>
      <c r="DT633" s="408"/>
      <c r="DU633" s="408"/>
      <c r="DV633" s="408">
        <v>27244.640684455258</v>
      </c>
      <c r="DW633" s="408">
        <v>0</v>
      </c>
      <c r="DX633" s="408">
        <v>0</v>
      </c>
      <c r="DY633" s="408">
        <v>-14113.24972</v>
      </c>
      <c r="DZ633" s="408">
        <v>1587.7031300000017</v>
      </c>
      <c r="EA633" s="408">
        <v>0</v>
      </c>
      <c r="EB633" s="408">
        <v>0</v>
      </c>
      <c r="EC633" s="408">
        <v>-14424.592854882474</v>
      </c>
      <c r="ED633" s="408">
        <v>0</v>
      </c>
      <c r="EE633" s="408">
        <v>0</v>
      </c>
      <c r="EF633" s="408">
        <v>0</v>
      </c>
      <c r="EG633" s="408">
        <v>0</v>
      </c>
      <c r="EH633" s="408">
        <v>0</v>
      </c>
      <c r="EI633" s="408">
        <v>0</v>
      </c>
      <c r="EJ633" s="408">
        <v>0</v>
      </c>
      <c r="EK633" s="408">
        <v>0</v>
      </c>
      <c r="EL633" s="408">
        <v>0</v>
      </c>
      <c r="EM633" s="408">
        <v>0</v>
      </c>
      <c r="EN633" s="408">
        <v>0</v>
      </c>
      <c r="EO633" s="408">
        <v>0</v>
      </c>
      <c r="EP633" s="408">
        <v>0</v>
      </c>
      <c r="EQ633" s="408">
        <v>0</v>
      </c>
      <c r="ER633" s="408">
        <v>0</v>
      </c>
      <c r="ES633" s="408">
        <v>0</v>
      </c>
      <c r="ET633" s="408">
        <v>0</v>
      </c>
      <c r="EU633" s="408">
        <v>0</v>
      </c>
      <c r="EV633" s="408">
        <v>239</v>
      </c>
      <c r="EW633" s="408">
        <v>0</v>
      </c>
      <c r="EX633" s="408">
        <v>0</v>
      </c>
      <c r="EY633" s="408">
        <v>0</v>
      </c>
      <c r="EZ633" s="408"/>
      <c r="FA633" s="408">
        <v>0</v>
      </c>
      <c r="FB633" s="408"/>
      <c r="FC633" s="408"/>
      <c r="FD633" s="408"/>
      <c r="FE633" s="408"/>
      <c r="FF633" s="408">
        <v>0</v>
      </c>
      <c r="FG633" s="408">
        <v>0</v>
      </c>
      <c r="FH633" s="408">
        <v>0</v>
      </c>
      <c r="FI633" s="408">
        <v>0</v>
      </c>
    </row>
    <row r="634" spans="1:165">
      <c r="A634" s="408">
        <v>639</v>
      </c>
      <c r="B634" s="408" t="s">
        <v>2236</v>
      </c>
      <c r="C634" s="408" t="s">
        <v>2233</v>
      </c>
      <c r="D634" s="408" t="s">
        <v>1953</v>
      </c>
      <c r="E634" s="408" t="s">
        <v>967</v>
      </c>
      <c r="F634" s="408" t="s">
        <v>2239</v>
      </c>
      <c r="G634" s="408" t="s">
        <v>1320</v>
      </c>
      <c r="H634" s="408" t="s">
        <v>1320</v>
      </c>
      <c r="I634" s="408" t="s">
        <v>1320</v>
      </c>
      <c r="J634" s="408" t="s">
        <v>2234</v>
      </c>
      <c r="K634" s="827">
        <v>44682</v>
      </c>
      <c r="L634" s="408">
        <v>0</v>
      </c>
      <c r="M634" s="408">
        <v>0</v>
      </c>
      <c r="N634" s="408">
        <v>0</v>
      </c>
      <c r="O634" s="408">
        <v>0</v>
      </c>
      <c r="P634" s="408">
        <v>0</v>
      </c>
      <c r="Q634" s="408">
        <v>0</v>
      </c>
      <c r="R634" s="408"/>
      <c r="S634" s="408"/>
      <c r="T634" s="408"/>
      <c r="U634" s="408"/>
      <c r="V634" s="408"/>
      <c r="W634" s="408"/>
      <c r="X634" s="408"/>
      <c r="Y634" s="408"/>
      <c r="Z634" s="408"/>
      <c r="AA634" s="408">
        <v>0</v>
      </c>
      <c r="AB634" s="408"/>
      <c r="AC634" s="408"/>
      <c r="AD634" s="408"/>
      <c r="AE634" s="408"/>
      <c r="AF634" s="408"/>
      <c r="AG634" s="408"/>
      <c r="AH634" s="408"/>
      <c r="AI634" s="408"/>
      <c r="AJ634" s="408"/>
      <c r="AK634" s="408"/>
      <c r="AL634" s="408"/>
      <c r="AM634" s="408"/>
      <c r="AN634" s="408"/>
      <c r="AO634" s="408"/>
      <c r="AP634" s="408"/>
      <c r="AQ634" s="408"/>
      <c r="AR634" s="408"/>
      <c r="AS634" s="408"/>
      <c r="AT634" s="408"/>
      <c r="AU634" s="408"/>
      <c r="AV634" s="408"/>
      <c r="AW634" s="408"/>
      <c r="AX634" s="408"/>
      <c r="AY634" s="408"/>
      <c r="AZ634" s="408">
        <v>0</v>
      </c>
      <c r="BA634" s="408"/>
      <c r="BB634" s="408"/>
      <c r="BC634" s="408"/>
      <c r="BD634" s="408"/>
      <c r="BE634" s="408"/>
      <c r="BF634" s="408"/>
      <c r="BG634" s="408"/>
      <c r="BH634" s="408"/>
      <c r="BI634" s="408">
        <v>0</v>
      </c>
      <c r="BJ634" s="408">
        <v>0</v>
      </c>
      <c r="BK634" s="408">
        <v>56.07</v>
      </c>
      <c r="BL634" s="408">
        <v>3</v>
      </c>
      <c r="BM634" s="408"/>
      <c r="BN634" s="408"/>
      <c r="BO634" s="408"/>
      <c r="BP634" s="408"/>
      <c r="BQ634" s="408"/>
      <c r="BR634" s="408"/>
      <c r="BS634" s="408"/>
      <c r="BT634" s="408"/>
      <c r="BU634" s="408"/>
      <c r="BV634" s="408"/>
      <c r="BW634" s="408"/>
      <c r="BX634" s="408"/>
      <c r="BY634" s="408"/>
      <c r="BZ634" s="408"/>
      <c r="CA634" s="408"/>
      <c r="CB634" s="408"/>
      <c r="CC634" s="408"/>
      <c r="CD634" s="408"/>
      <c r="CE634" s="408"/>
      <c r="CF634" s="408"/>
      <c r="CG634" s="408"/>
      <c r="CH634" s="408"/>
      <c r="CI634" s="408"/>
      <c r="CJ634" s="408">
        <v>-0.03</v>
      </c>
      <c r="CK634" s="408"/>
      <c r="CL634" s="408"/>
      <c r="CM634" s="408"/>
      <c r="CN634" s="408"/>
      <c r="CO634" s="408">
        <v>0</v>
      </c>
      <c r="CP634" s="408">
        <v>0</v>
      </c>
      <c r="CQ634" s="408">
        <v>31</v>
      </c>
      <c r="CR634" s="408"/>
      <c r="CS634" s="408"/>
      <c r="CT634" s="408"/>
      <c r="CU634" s="408"/>
      <c r="CV634" s="408"/>
      <c r="CW634" s="408"/>
      <c r="CX634" s="408"/>
      <c r="CY634" s="408"/>
      <c r="CZ634" s="408"/>
      <c r="DA634" s="408"/>
      <c r="DB634" s="408"/>
      <c r="DC634" s="408"/>
      <c r="DD634" s="408"/>
      <c r="DE634" s="408"/>
      <c r="DF634" s="408"/>
      <c r="DG634" s="408"/>
      <c r="DH634" s="408"/>
      <c r="DI634" s="408"/>
      <c r="DJ634" s="408"/>
      <c r="DK634" s="408">
        <v>0</v>
      </c>
      <c r="DL634" s="408"/>
      <c r="DM634" s="408"/>
      <c r="DN634" s="408"/>
      <c r="DO634" s="408"/>
      <c r="DP634" s="408"/>
      <c r="DQ634" s="408"/>
      <c r="DR634" s="408"/>
      <c r="DS634" s="408"/>
      <c r="DT634" s="408"/>
      <c r="DU634" s="408"/>
      <c r="DV634" s="408"/>
      <c r="DW634" s="408"/>
      <c r="DX634" s="408"/>
      <c r="DY634" s="408"/>
      <c r="DZ634" s="408"/>
      <c r="EA634" s="408"/>
      <c r="EB634" s="408"/>
      <c r="EC634" s="408"/>
      <c r="ED634" s="408"/>
      <c r="EE634" s="408"/>
      <c r="EF634" s="408"/>
      <c r="EG634" s="408"/>
      <c r="EH634" s="408"/>
      <c r="EI634" s="408"/>
      <c r="EJ634" s="408"/>
      <c r="EK634" s="408"/>
      <c r="EL634" s="408"/>
      <c r="EM634" s="408"/>
      <c r="EN634" s="408"/>
      <c r="EO634" s="408"/>
      <c r="EP634" s="408"/>
      <c r="EQ634" s="408"/>
      <c r="ER634" s="408"/>
      <c r="ES634" s="408"/>
      <c r="ET634" s="408"/>
      <c r="EU634" s="408"/>
      <c r="EV634" s="408">
        <v>239</v>
      </c>
      <c r="EW634" s="408"/>
      <c r="EX634" s="408"/>
      <c r="EY634" s="408"/>
      <c r="EZ634" s="408"/>
      <c r="FA634" s="408">
        <v>0</v>
      </c>
      <c r="FB634" s="408"/>
      <c r="FC634" s="408"/>
      <c r="FD634" s="408"/>
      <c r="FE634" s="408"/>
      <c r="FF634" s="408">
        <v>0</v>
      </c>
      <c r="FG634" s="408">
        <v>0</v>
      </c>
      <c r="FH634" s="408">
        <v>0</v>
      </c>
      <c r="FI634" s="408">
        <v>0</v>
      </c>
    </row>
    <row r="635" spans="1:165">
      <c r="A635" s="408">
        <v>640</v>
      </c>
      <c r="B635" s="408" t="s">
        <v>1034</v>
      </c>
      <c r="C635" s="408" t="s">
        <v>2233</v>
      </c>
      <c r="D635" s="408" t="s">
        <v>1953</v>
      </c>
      <c r="E635" s="408" t="s">
        <v>967</v>
      </c>
      <c r="F635" s="408" t="s">
        <v>2240</v>
      </c>
      <c r="G635" s="408" t="s">
        <v>1320</v>
      </c>
      <c r="H635" s="408" t="s">
        <v>1320</v>
      </c>
      <c r="I635" s="408" t="s">
        <v>1320</v>
      </c>
      <c r="J635" s="408" t="s">
        <v>2234</v>
      </c>
      <c r="K635" s="827">
        <v>44682</v>
      </c>
      <c r="L635" s="408">
        <v>0</v>
      </c>
      <c r="M635" s="408">
        <v>0</v>
      </c>
      <c r="N635" s="408">
        <v>22.484999999999999</v>
      </c>
      <c r="O635" s="408">
        <v>22.484999999999999</v>
      </c>
      <c r="P635" s="408">
        <v>22.484999999999999</v>
      </c>
      <c r="Q635" s="408">
        <v>22.484999999999999</v>
      </c>
      <c r="R635" s="408"/>
      <c r="S635" s="408">
        <v>446.23</v>
      </c>
      <c r="T635" s="408">
        <v>173.82</v>
      </c>
      <c r="U635" s="408"/>
      <c r="V635" s="408">
        <v>13941.82425</v>
      </c>
      <c r="W635" s="408">
        <v>13941.82425</v>
      </c>
      <c r="X635" s="408">
        <v>10183.006799999999</v>
      </c>
      <c r="Y635" s="408">
        <v>0</v>
      </c>
      <c r="Z635" s="408">
        <v>0</v>
      </c>
      <c r="AA635" s="408">
        <v>0</v>
      </c>
      <c r="AB635" s="408">
        <v>0</v>
      </c>
      <c r="AC635" s="408">
        <v>61.124214990193714</v>
      </c>
      <c r="AD635" s="408">
        <v>774.08236007365394</v>
      </c>
      <c r="AE635" s="408">
        <v>8175.9011543232273</v>
      </c>
      <c r="AF635" s="408">
        <v>3618.3342176492556</v>
      </c>
      <c r="AG635" s="408">
        <v>182.03553334062039</v>
      </c>
      <c r="AH635" s="408">
        <v>0</v>
      </c>
      <c r="AI635" s="408">
        <v>0</v>
      </c>
      <c r="AJ635" s="408">
        <v>0</v>
      </c>
      <c r="AK635" s="408">
        <v>0</v>
      </c>
      <c r="AL635" s="408">
        <v>0</v>
      </c>
      <c r="AM635" s="408"/>
      <c r="AN635" s="408">
        <v>34.886421304495279</v>
      </c>
      <c r="AO635" s="408">
        <v>130.37935747386035</v>
      </c>
      <c r="AP635" s="408">
        <v>426.9747669234261</v>
      </c>
      <c r="AQ635" s="408">
        <v>0</v>
      </c>
      <c r="AR635" s="408">
        <v>0</v>
      </c>
      <c r="AS635" s="408">
        <v>0</v>
      </c>
      <c r="AT635" s="408">
        <v>0</v>
      </c>
      <c r="AU635" s="408">
        <v>0</v>
      </c>
      <c r="AV635" s="408">
        <v>0</v>
      </c>
      <c r="AW635" s="408">
        <v>0</v>
      </c>
      <c r="AX635" s="408">
        <v>0</v>
      </c>
      <c r="AY635" s="408">
        <v>0</v>
      </c>
      <c r="AZ635" s="408">
        <v>0</v>
      </c>
      <c r="BA635" s="408"/>
      <c r="BB635" s="408">
        <v>0</v>
      </c>
      <c r="BC635" s="408">
        <v>0</v>
      </c>
      <c r="BD635" s="408">
        <v>0</v>
      </c>
      <c r="BE635" s="408">
        <v>12.474961694416605</v>
      </c>
      <c r="BF635" s="408">
        <v>108.05590226781574</v>
      </c>
      <c r="BG635" s="408">
        <v>417.73359729018608</v>
      </c>
      <c r="BH635" s="408">
        <v>0</v>
      </c>
      <c r="BI635" s="408">
        <v>87.77</v>
      </c>
      <c r="BJ635" s="408">
        <v>408.08</v>
      </c>
      <c r="BK635" s="408">
        <v>3559.29</v>
      </c>
      <c r="BL635" s="408">
        <v>284</v>
      </c>
      <c r="BM635" s="408"/>
      <c r="BN635" s="408"/>
      <c r="BO635" s="408"/>
      <c r="BP635" s="408"/>
      <c r="BQ635" s="408"/>
      <c r="BR635" s="408"/>
      <c r="BS635" s="408"/>
      <c r="BT635" s="408"/>
      <c r="BU635" s="408"/>
      <c r="BV635" s="408">
        <v>4156.5986789016742</v>
      </c>
      <c r="BW635" s="408"/>
      <c r="BX635" s="408"/>
      <c r="BY635" s="408"/>
      <c r="BZ635" s="408"/>
      <c r="CA635" s="408"/>
      <c r="CB635" s="408"/>
      <c r="CC635" s="408"/>
      <c r="CD635" s="408"/>
      <c r="CE635" s="408"/>
      <c r="CF635" s="408"/>
      <c r="CG635" s="408"/>
      <c r="CH635" s="408"/>
      <c r="CI635" s="408">
        <v>10185.271199999999</v>
      </c>
      <c r="CJ635" s="408">
        <v>-3756.5830500000011</v>
      </c>
      <c r="CK635" s="408"/>
      <c r="CL635" s="408"/>
      <c r="CM635" s="408"/>
      <c r="CN635" s="408"/>
      <c r="CO635" s="408">
        <v>-4235.2746000000006</v>
      </c>
      <c r="CP635" s="408">
        <v>476.45714999999996</v>
      </c>
      <c r="CQ635" s="408">
        <v>31</v>
      </c>
      <c r="CR635" s="408">
        <v>569.72028166897508</v>
      </c>
      <c r="CS635" s="408">
        <v>12.659011910711087</v>
      </c>
      <c r="CT635" s="408">
        <v>41.456552362133266</v>
      </c>
      <c r="CU635" s="408">
        <v>0</v>
      </c>
      <c r="CV635" s="408">
        <v>0</v>
      </c>
      <c r="CW635" s="408">
        <v>0</v>
      </c>
      <c r="CX635" s="408">
        <v>0</v>
      </c>
      <c r="CY635" s="408">
        <v>0</v>
      </c>
      <c r="CZ635" s="408">
        <v>-14.842416146545133</v>
      </c>
      <c r="DA635" s="408">
        <v>0</v>
      </c>
      <c r="DB635" s="408">
        <v>0</v>
      </c>
      <c r="DC635" s="408">
        <v>464.45318685438633</v>
      </c>
      <c r="DD635" s="408">
        <v>13.870169295559563</v>
      </c>
      <c r="DE635" s="408">
        <v>1.6012992074077008</v>
      </c>
      <c r="DF635" s="408">
        <v>0</v>
      </c>
      <c r="DG635" s="408">
        <v>53.620724025768595</v>
      </c>
      <c r="DH635" s="408">
        <v>0</v>
      </c>
      <c r="DI635" s="408">
        <v>0</v>
      </c>
      <c r="DJ635" s="408"/>
      <c r="DK635" s="408">
        <v>0</v>
      </c>
      <c r="DL635" s="408">
        <v>0</v>
      </c>
      <c r="DM635" s="408">
        <v>-2.0232581427794116</v>
      </c>
      <c r="DN635" s="408">
        <v>0</v>
      </c>
      <c r="DO635" s="408">
        <v>0</v>
      </c>
      <c r="DP635" s="408">
        <v>-1.0749876976669768</v>
      </c>
      <c r="DQ635" s="408">
        <v>0</v>
      </c>
      <c r="DR635" s="408">
        <v>0</v>
      </c>
      <c r="DS635" s="408"/>
      <c r="DT635" s="408"/>
      <c r="DU635" s="408"/>
      <c r="DV635" s="408">
        <v>8175.9011543232273</v>
      </c>
      <c r="DW635" s="408">
        <v>0</v>
      </c>
      <c r="DX635" s="408">
        <v>0</v>
      </c>
      <c r="DY635" s="408">
        <v>-4235.2746000000006</v>
      </c>
      <c r="DZ635" s="408">
        <v>476.45714999999973</v>
      </c>
      <c r="EA635" s="408">
        <v>0</v>
      </c>
      <c r="EB635" s="408">
        <v>0</v>
      </c>
      <c r="EC635" s="408">
        <v>-4328.7062119400543</v>
      </c>
      <c r="ED635" s="408">
        <v>0</v>
      </c>
      <c r="EE635" s="408">
        <v>0</v>
      </c>
      <c r="EF635" s="408">
        <v>0</v>
      </c>
      <c r="EG635" s="408">
        <v>0</v>
      </c>
      <c r="EH635" s="408">
        <v>0</v>
      </c>
      <c r="EI635" s="408">
        <v>0</v>
      </c>
      <c r="EJ635" s="408">
        <v>0</v>
      </c>
      <c r="EK635" s="408">
        <v>0</v>
      </c>
      <c r="EL635" s="408">
        <v>0</v>
      </c>
      <c r="EM635" s="408">
        <v>0</v>
      </c>
      <c r="EN635" s="408">
        <v>0</v>
      </c>
      <c r="EO635" s="408">
        <v>0</v>
      </c>
      <c r="EP635" s="408">
        <v>0</v>
      </c>
      <c r="EQ635" s="408">
        <v>0</v>
      </c>
      <c r="ER635" s="408">
        <v>0</v>
      </c>
      <c r="ES635" s="408">
        <v>0</v>
      </c>
      <c r="ET635" s="408">
        <v>0</v>
      </c>
      <c r="EU635" s="408">
        <v>0</v>
      </c>
      <c r="EV635" s="408">
        <v>239</v>
      </c>
      <c r="EW635" s="408">
        <v>0</v>
      </c>
      <c r="EX635" s="408">
        <v>0</v>
      </c>
      <c r="EY635" s="408">
        <v>0</v>
      </c>
      <c r="EZ635" s="408"/>
      <c r="FA635" s="408">
        <v>0</v>
      </c>
      <c r="FB635" s="408"/>
      <c r="FC635" s="408"/>
      <c r="FD635" s="408"/>
      <c r="FE635" s="408"/>
      <c r="FF635" s="408">
        <v>0</v>
      </c>
      <c r="FG635" s="408">
        <v>0</v>
      </c>
      <c r="FH635" s="408">
        <v>0</v>
      </c>
      <c r="FI635" s="408">
        <v>0</v>
      </c>
    </row>
    <row r="636" spans="1:165">
      <c r="A636" s="408">
        <v>641</v>
      </c>
      <c r="B636" s="408" t="s">
        <v>2236</v>
      </c>
      <c r="C636" s="408" t="s">
        <v>2233</v>
      </c>
      <c r="D636" s="408" t="s">
        <v>1953</v>
      </c>
      <c r="E636" s="408" t="s">
        <v>967</v>
      </c>
      <c r="F636" s="408" t="s">
        <v>2240</v>
      </c>
      <c r="G636" s="408" t="s">
        <v>1320</v>
      </c>
      <c r="H636" s="408" t="s">
        <v>1320</v>
      </c>
      <c r="I636" s="408" t="s">
        <v>1320</v>
      </c>
      <c r="J636" s="408" t="s">
        <v>2234</v>
      </c>
      <c r="K636" s="827">
        <v>44682</v>
      </c>
      <c r="L636" s="408">
        <v>0</v>
      </c>
      <c r="M636" s="408">
        <v>0</v>
      </c>
      <c r="N636" s="408">
        <v>0</v>
      </c>
      <c r="O636" s="408">
        <v>0</v>
      </c>
      <c r="P636" s="408">
        <v>0</v>
      </c>
      <c r="Q636" s="408">
        <v>0</v>
      </c>
      <c r="R636" s="408"/>
      <c r="S636" s="408"/>
      <c r="T636" s="408"/>
      <c r="U636" s="408"/>
      <c r="V636" s="408"/>
      <c r="W636" s="408"/>
      <c r="X636" s="408"/>
      <c r="Y636" s="408"/>
      <c r="Z636" s="408"/>
      <c r="AA636" s="408">
        <v>0</v>
      </c>
      <c r="AB636" s="408"/>
      <c r="AC636" s="408"/>
      <c r="AD636" s="408"/>
      <c r="AE636" s="408"/>
      <c r="AF636" s="408"/>
      <c r="AG636" s="408"/>
      <c r="AH636" s="408"/>
      <c r="AI636" s="408"/>
      <c r="AJ636" s="408"/>
      <c r="AK636" s="408"/>
      <c r="AL636" s="408"/>
      <c r="AM636" s="408"/>
      <c r="AN636" s="408"/>
      <c r="AO636" s="408"/>
      <c r="AP636" s="408"/>
      <c r="AQ636" s="408"/>
      <c r="AR636" s="408"/>
      <c r="AS636" s="408"/>
      <c r="AT636" s="408"/>
      <c r="AU636" s="408"/>
      <c r="AV636" s="408"/>
      <c r="AW636" s="408"/>
      <c r="AX636" s="408"/>
      <c r="AY636" s="408"/>
      <c r="AZ636" s="408">
        <v>0</v>
      </c>
      <c r="BA636" s="408"/>
      <c r="BB636" s="408"/>
      <c r="BC636" s="408"/>
      <c r="BD636" s="408"/>
      <c r="BE636" s="408"/>
      <c r="BF636" s="408"/>
      <c r="BG636" s="408"/>
      <c r="BH636" s="408"/>
      <c r="BI636" s="408">
        <v>0</v>
      </c>
      <c r="BJ636" s="408">
        <v>0</v>
      </c>
      <c r="BK636" s="408">
        <v>42.53</v>
      </c>
      <c r="BL636" s="408">
        <v>4</v>
      </c>
      <c r="BM636" s="408"/>
      <c r="BN636" s="408"/>
      <c r="BO636" s="408"/>
      <c r="BP636" s="408"/>
      <c r="BQ636" s="408"/>
      <c r="BR636" s="408"/>
      <c r="BS636" s="408"/>
      <c r="BT636" s="408"/>
      <c r="BU636" s="408"/>
      <c r="BV636" s="408"/>
      <c r="BW636" s="408"/>
      <c r="BX636" s="408"/>
      <c r="BY636" s="408"/>
      <c r="BZ636" s="408"/>
      <c r="CA636" s="408"/>
      <c r="CB636" s="408"/>
      <c r="CC636" s="408"/>
      <c r="CD636" s="408"/>
      <c r="CE636" s="408"/>
      <c r="CF636" s="408"/>
      <c r="CG636" s="408"/>
      <c r="CH636" s="408"/>
      <c r="CI636" s="408"/>
      <c r="CJ636" s="408">
        <v>-0.03</v>
      </c>
      <c r="CK636" s="408"/>
      <c r="CL636" s="408"/>
      <c r="CM636" s="408"/>
      <c r="CN636" s="408"/>
      <c r="CO636" s="408">
        <v>0</v>
      </c>
      <c r="CP636" s="408">
        <v>0</v>
      </c>
      <c r="CQ636" s="408">
        <v>31</v>
      </c>
      <c r="CR636" s="408"/>
      <c r="CS636" s="408"/>
      <c r="CT636" s="408"/>
      <c r="CU636" s="408"/>
      <c r="CV636" s="408"/>
      <c r="CW636" s="408"/>
      <c r="CX636" s="408"/>
      <c r="CY636" s="408"/>
      <c r="CZ636" s="408"/>
      <c r="DA636" s="408"/>
      <c r="DB636" s="408"/>
      <c r="DC636" s="408"/>
      <c r="DD636" s="408"/>
      <c r="DE636" s="408"/>
      <c r="DF636" s="408"/>
      <c r="DG636" s="408"/>
      <c r="DH636" s="408"/>
      <c r="DI636" s="408"/>
      <c r="DJ636" s="408"/>
      <c r="DK636" s="408">
        <v>0</v>
      </c>
      <c r="DL636" s="408"/>
      <c r="DM636" s="408"/>
      <c r="DN636" s="408"/>
      <c r="DO636" s="408"/>
      <c r="DP636" s="408"/>
      <c r="DQ636" s="408"/>
      <c r="DR636" s="408"/>
      <c r="DS636" s="408"/>
      <c r="DT636" s="408"/>
      <c r="DU636" s="408"/>
      <c r="DV636" s="408"/>
      <c r="DW636" s="408"/>
      <c r="DX636" s="408"/>
      <c r="DY636" s="408"/>
      <c r="DZ636" s="408"/>
      <c r="EA636" s="408"/>
      <c r="EB636" s="408"/>
      <c r="EC636" s="408"/>
      <c r="ED636" s="408"/>
      <c r="EE636" s="408"/>
      <c r="EF636" s="408"/>
      <c r="EG636" s="408"/>
      <c r="EH636" s="408"/>
      <c r="EI636" s="408"/>
      <c r="EJ636" s="408"/>
      <c r="EK636" s="408"/>
      <c r="EL636" s="408"/>
      <c r="EM636" s="408"/>
      <c r="EN636" s="408"/>
      <c r="EO636" s="408"/>
      <c r="EP636" s="408"/>
      <c r="EQ636" s="408"/>
      <c r="ER636" s="408"/>
      <c r="ES636" s="408"/>
      <c r="ET636" s="408"/>
      <c r="EU636" s="408"/>
      <c r="EV636" s="408">
        <v>239</v>
      </c>
      <c r="EW636" s="408"/>
      <c r="EX636" s="408"/>
      <c r="EY636" s="408"/>
      <c r="EZ636" s="408"/>
      <c r="FA636" s="408">
        <v>0</v>
      </c>
      <c r="FB636" s="408"/>
      <c r="FC636" s="408"/>
      <c r="FD636" s="408"/>
      <c r="FE636" s="408"/>
      <c r="FF636" s="408">
        <v>0</v>
      </c>
      <c r="FG636" s="408">
        <v>0</v>
      </c>
      <c r="FH636" s="408">
        <v>0</v>
      </c>
      <c r="FI636" s="408">
        <v>0</v>
      </c>
    </row>
    <row r="637" spans="1:165">
      <c r="A637" s="408">
        <v>642</v>
      </c>
      <c r="B637" s="408" t="s">
        <v>1034</v>
      </c>
      <c r="C637" s="408" t="s">
        <v>2233</v>
      </c>
      <c r="D637" s="408" t="s">
        <v>1956</v>
      </c>
      <c r="E637" s="408" t="s">
        <v>968</v>
      </c>
      <c r="F637" s="408" t="s">
        <v>1320</v>
      </c>
      <c r="G637" s="408" t="s">
        <v>1320</v>
      </c>
      <c r="H637" s="408" t="s">
        <v>1320</v>
      </c>
      <c r="I637" s="408" t="s">
        <v>1320</v>
      </c>
      <c r="J637" s="408" t="s">
        <v>2234</v>
      </c>
      <c r="K637" s="827">
        <v>44682</v>
      </c>
      <c r="L637" s="408">
        <v>0</v>
      </c>
      <c r="M637" s="408">
        <v>0</v>
      </c>
      <c r="N637" s="408">
        <v>53.314999999999998</v>
      </c>
      <c r="O637" s="408">
        <v>53.314999999999998</v>
      </c>
      <c r="P637" s="408">
        <v>53.314999999999998</v>
      </c>
      <c r="Q637" s="408">
        <v>53.314999999999998</v>
      </c>
      <c r="R637" s="408"/>
      <c r="S637" s="408">
        <v>516.83000000000004</v>
      </c>
      <c r="T637" s="408">
        <v>173.82</v>
      </c>
      <c r="U637" s="408"/>
      <c r="V637" s="408">
        <v>36822.00475</v>
      </c>
      <c r="W637" s="408">
        <v>36822.00475</v>
      </c>
      <c r="X637" s="408">
        <v>27801.106749999999</v>
      </c>
      <c r="Y637" s="408">
        <v>0</v>
      </c>
      <c r="Z637" s="408">
        <v>3260.1832337390333</v>
      </c>
      <c r="AA637" s="408">
        <v>0</v>
      </c>
      <c r="AB637" s="408">
        <v>0</v>
      </c>
      <c r="AC637" s="408">
        <v>144.93384577283425</v>
      </c>
      <c r="AD637" s="408">
        <v>1835.4547932989485</v>
      </c>
      <c r="AE637" s="408">
        <v>19386.176119312557</v>
      </c>
      <c r="AF637" s="408">
        <v>8579.5636563918197</v>
      </c>
      <c r="AG637" s="408">
        <v>431.63106337803765</v>
      </c>
      <c r="AH637" s="408">
        <v>0</v>
      </c>
      <c r="AI637" s="408">
        <v>0</v>
      </c>
      <c r="AJ637" s="408">
        <v>0</v>
      </c>
      <c r="AK637" s="408">
        <v>0</v>
      </c>
      <c r="AL637" s="408">
        <v>503.90654430096976</v>
      </c>
      <c r="AM637" s="408"/>
      <c r="AN637" s="408">
        <v>82.72046038911121</v>
      </c>
      <c r="AO637" s="408">
        <v>309.14722898460599</v>
      </c>
      <c r="AP637" s="408">
        <v>1012.4153746285285</v>
      </c>
      <c r="AQ637" s="408">
        <v>0</v>
      </c>
      <c r="AR637" s="408">
        <v>0</v>
      </c>
      <c r="AS637" s="408">
        <v>0</v>
      </c>
      <c r="AT637" s="408">
        <v>0</v>
      </c>
      <c r="AU637" s="408">
        <v>0</v>
      </c>
      <c r="AV637" s="408">
        <v>0</v>
      </c>
      <c r="AW637" s="408">
        <v>0</v>
      </c>
      <c r="AX637" s="408">
        <v>0</v>
      </c>
      <c r="AY637" s="408">
        <v>0</v>
      </c>
      <c r="AZ637" s="408">
        <v>0</v>
      </c>
      <c r="BA637" s="408"/>
      <c r="BB637" s="408">
        <v>0</v>
      </c>
      <c r="BC637" s="408">
        <v>0</v>
      </c>
      <c r="BD637" s="408">
        <v>0</v>
      </c>
      <c r="BE637" s="408">
        <v>29.579834678133032</v>
      </c>
      <c r="BF637" s="408">
        <v>256.21527371174545</v>
      </c>
      <c r="BG637" s="408">
        <v>990.50330173565794</v>
      </c>
      <c r="BH637" s="408">
        <v>0</v>
      </c>
      <c r="BI637" s="408">
        <v>209.64</v>
      </c>
      <c r="BJ637" s="408">
        <v>967.27</v>
      </c>
      <c r="BK637" s="408">
        <v>5955.97</v>
      </c>
      <c r="BL637" s="408">
        <v>35</v>
      </c>
      <c r="BM637" s="408"/>
      <c r="BN637" s="408"/>
      <c r="BO637" s="408"/>
      <c r="BP637" s="408"/>
      <c r="BQ637" s="408"/>
      <c r="BR637" s="408"/>
      <c r="BS637" s="408"/>
      <c r="BT637" s="408"/>
      <c r="BU637" s="408"/>
      <c r="BV637" s="408">
        <v>9855.8620665173567</v>
      </c>
      <c r="BW637" s="408"/>
      <c r="BX637" s="408"/>
      <c r="BY637" s="408"/>
      <c r="BZ637" s="408"/>
      <c r="CA637" s="408"/>
      <c r="CB637" s="408"/>
      <c r="CC637" s="408"/>
      <c r="CD637" s="408"/>
      <c r="CE637" s="408"/>
      <c r="CF637" s="408"/>
      <c r="CG637" s="408"/>
      <c r="CH637" s="408"/>
      <c r="CI637" s="408">
        <v>27803.714</v>
      </c>
      <c r="CJ637" s="408">
        <v>-9018.320749999999</v>
      </c>
      <c r="CK637" s="408"/>
      <c r="CL637" s="408"/>
      <c r="CM637" s="408"/>
      <c r="CN637" s="408"/>
      <c r="CO637" s="408">
        <v>-10150.642850000002</v>
      </c>
      <c r="CP637" s="408">
        <v>1129.7448499999998</v>
      </c>
      <c r="CQ637" s="408">
        <v>31</v>
      </c>
      <c r="CR637" s="408">
        <v>1242.5529396318379</v>
      </c>
      <c r="CS637" s="408">
        <v>30.016242829422254</v>
      </c>
      <c r="CT637" s="408">
        <v>98.299136721687091</v>
      </c>
      <c r="CU637" s="408">
        <v>0</v>
      </c>
      <c r="CV637" s="408">
        <v>0</v>
      </c>
      <c r="CW637" s="408">
        <v>0</v>
      </c>
      <c r="CX637" s="408">
        <v>0</v>
      </c>
      <c r="CY637" s="408">
        <v>0</v>
      </c>
      <c r="CZ637" s="408">
        <v>-35.19339189917946</v>
      </c>
      <c r="DA637" s="408">
        <v>0</v>
      </c>
      <c r="DB637" s="408">
        <v>0</v>
      </c>
      <c r="DC637" s="408">
        <v>1101.2818170843493</v>
      </c>
      <c r="DD637" s="408">
        <v>32.8880620855129</v>
      </c>
      <c r="DE637" s="408">
        <v>3.7968986988188433</v>
      </c>
      <c r="DF637" s="408">
        <v>0</v>
      </c>
      <c r="DG637" s="408">
        <v>127.1420458720861</v>
      </c>
      <c r="DH637" s="408">
        <v>0</v>
      </c>
      <c r="DI637" s="408">
        <v>-95.280503096228585</v>
      </c>
      <c r="DJ637" s="408"/>
      <c r="DK637" s="408">
        <v>0</v>
      </c>
      <c r="DL637" s="408">
        <v>0</v>
      </c>
      <c r="DM637" s="408">
        <v>-4.7974208531147156</v>
      </c>
      <c r="DN637" s="408">
        <v>0</v>
      </c>
      <c r="DO637" s="408">
        <v>-13.051005445439728</v>
      </c>
      <c r="DP637" s="408">
        <v>-2.5489423660713726</v>
      </c>
      <c r="DQ637" s="408">
        <v>0</v>
      </c>
      <c r="DR637" s="408">
        <v>0</v>
      </c>
      <c r="DS637" s="408"/>
      <c r="DT637" s="408"/>
      <c r="DU637" s="408"/>
      <c r="DV637" s="408">
        <v>19386.176119312557</v>
      </c>
      <c r="DW637" s="408">
        <v>0</v>
      </c>
      <c r="DX637" s="408">
        <v>0</v>
      </c>
      <c r="DY637" s="408">
        <v>-10150.64285</v>
      </c>
      <c r="DZ637" s="408">
        <v>1129.7448499999991</v>
      </c>
      <c r="EA637" s="408">
        <v>0</v>
      </c>
      <c r="EB637" s="408">
        <v>0</v>
      </c>
      <c r="EC637" s="408">
        <v>-10263.952487862307</v>
      </c>
      <c r="ED637" s="408">
        <v>0</v>
      </c>
      <c r="EE637" s="408">
        <v>0</v>
      </c>
      <c r="EF637" s="408">
        <v>0</v>
      </c>
      <c r="EG637" s="408">
        <v>0</v>
      </c>
      <c r="EH637" s="408">
        <v>0</v>
      </c>
      <c r="EI637" s="408">
        <v>0</v>
      </c>
      <c r="EJ637" s="408">
        <v>0</v>
      </c>
      <c r="EK637" s="408">
        <v>0</v>
      </c>
      <c r="EL637" s="408">
        <v>0</v>
      </c>
      <c r="EM637" s="408">
        <v>0</v>
      </c>
      <c r="EN637" s="408">
        <v>0</v>
      </c>
      <c r="EO637" s="408">
        <v>0</v>
      </c>
      <c r="EP637" s="408">
        <v>0</v>
      </c>
      <c r="EQ637" s="408">
        <v>0</v>
      </c>
      <c r="ER637" s="408">
        <v>0</v>
      </c>
      <c r="ES637" s="408">
        <v>0</v>
      </c>
      <c r="ET637" s="408">
        <v>0</v>
      </c>
      <c r="EU637" s="408">
        <v>0</v>
      </c>
      <c r="EV637" s="408">
        <v>239</v>
      </c>
      <c r="EW637" s="408">
        <v>0</v>
      </c>
      <c r="EX637" s="408">
        <v>0</v>
      </c>
      <c r="EY637" s="408">
        <v>0</v>
      </c>
      <c r="EZ637" s="408"/>
      <c r="FA637" s="408">
        <v>0</v>
      </c>
      <c r="FB637" s="408"/>
      <c r="FC637" s="408"/>
      <c r="FD637" s="408"/>
      <c r="FE637" s="408"/>
      <c r="FF637" s="408">
        <v>0</v>
      </c>
      <c r="FG637" s="408">
        <v>0</v>
      </c>
      <c r="FH637" s="408">
        <v>0</v>
      </c>
      <c r="FI637" s="408">
        <v>0</v>
      </c>
    </row>
    <row r="638" spans="1:165">
      <c r="A638" s="408">
        <v>643</v>
      </c>
      <c r="B638" s="408" t="s">
        <v>2236</v>
      </c>
      <c r="C638" s="408" t="s">
        <v>2233</v>
      </c>
      <c r="D638" s="408" t="s">
        <v>1956</v>
      </c>
      <c r="E638" s="408" t="s">
        <v>968</v>
      </c>
      <c r="F638" s="408" t="s">
        <v>1320</v>
      </c>
      <c r="G638" s="408" t="s">
        <v>1320</v>
      </c>
      <c r="H638" s="408" t="s">
        <v>1320</v>
      </c>
      <c r="I638" s="408" t="s">
        <v>1320</v>
      </c>
      <c r="J638" s="408" t="s">
        <v>2234</v>
      </c>
      <c r="K638" s="827">
        <v>44682</v>
      </c>
      <c r="L638" s="408">
        <v>0</v>
      </c>
      <c r="M638" s="408">
        <v>0</v>
      </c>
      <c r="N638" s="408">
        <v>2.5499999999999998</v>
      </c>
      <c r="O638" s="408">
        <v>2.5499999999999998</v>
      </c>
      <c r="P638" s="408">
        <v>2.5499999999999998</v>
      </c>
      <c r="Q638" s="408">
        <v>2.5499999999999998</v>
      </c>
      <c r="R638" s="408"/>
      <c r="S638" s="408">
        <v>516.83000000000004</v>
      </c>
      <c r="T638" s="408">
        <v>173.82</v>
      </c>
      <c r="U638" s="408"/>
      <c r="V638" s="408">
        <v>1761.1575</v>
      </c>
      <c r="W638" s="408">
        <v>1761.1575</v>
      </c>
      <c r="X638" s="408">
        <v>1329.6974999999998</v>
      </c>
      <c r="Y638" s="408">
        <v>0</v>
      </c>
      <c r="Z638" s="408">
        <v>155.93111218296042</v>
      </c>
      <c r="AA638" s="408">
        <v>0</v>
      </c>
      <c r="AB638" s="408">
        <v>0</v>
      </c>
      <c r="AC638" s="408">
        <v>6.9320323871467187</v>
      </c>
      <c r="AD638" s="408">
        <v>87.787859381268291</v>
      </c>
      <c r="AE638" s="408">
        <v>927.22027767508234</v>
      </c>
      <c r="AF638" s="408">
        <v>410.35144563066939</v>
      </c>
      <c r="AG638" s="408">
        <v>20.644456749770157</v>
      </c>
      <c r="AH638" s="408">
        <v>0</v>
      </c>
      <c r="AI638" s="408">
        <v>0</v>
      </c>
      <c r="AJ638" s="408">
        <v>0</v>
      </c>
      <c r="AK638" s="408">
        <v>0</v>
      </c>
      <c r="AL638" s="408">
        <v>24.10131647692906</v>
      </c>
      <c r="AM638" s="408"/>
      <c r="AN638" s="408">
        <v>3.9564320358667091</v>
      </c>
      <c r="AO638" s="408">
        <v>14.786184636795371</v>
      </c>
      <c r="AP638" s="408">
        <v>48.422755421602695</v>
      </c>
      <c r="AQ638" s="408">
        <v>0</v>
      </c>
      <c r="AR638" s="408">
        <v>0</v>
      </c>
      <c r="AS638" s="408">
        <v>0</v>
      </c>
      <c r="AT638" s="408">
        <v>0</v>
      </c>
      <c r="AU638" s="408">
        <v>0</v>
      </c>
      <c r="AV638" s="408">
        <v>0</v>
      </c>
      <c r="AW638" s="408">
        <v>0</v>
      </c>
      <c r="AX638" s="408">
        <v>0</v>
      </c>
      <c r="AY638" s="408">
        <v>0</v>
      </c>
      <c r="AZ638" s="408">
        <v>0</v>
      </c>
      <c r="BA638" s="408"/>
      <c r="BB638" s="408">
        <v>0</v>
      </c>
      <c r="BC638" s="408">
        <v>0</v>
      </c>
      <c r="BD638" s="408">
        <v>0</v>
      </c>
      <c r="BE638" s="408">
        <v>1.4147721734828704</v>
      </c>
      <c r="BF638" s="408">
        <v>12.254505260526134</v>
      </c>
      <c r="BG638" s="408">
        <v>47.374724175671531</v>
      </c>
      <c r="BH638" s="408">
        <v>0</v>
      </c>
      <c r="BI638" s="408">
        <v>10.07</v>
      </c>
      <c r="BJ638" s="408">
        <v>46.59</v>
      </c>
      <c r="BK638" s="408">
        <v>665.51</v>
      </c>
      <c r="BL638" s="408">
        <v>8</v>
      </c>
      <c r="BM638" s="408"/>
      <c r="BN638" s="408"/>
      <c r="BO638" s="408"/>
      <c r="BP638" s="408"/>
      <c r="BQ638" s="408"/>
      <c r="BR638" s="408"/>
      <c r="BS638" s="408"/>
      <c r="BT638" s="408"/>
      <c r="BU638" s="408"/>
      <c r="BV638" s="408">
        <v>471.39544724034988</v>
      </c>
      <c r="BW638" s="408"/>
      <c r="BX638" s="408"/>
      <c r="BY638" s="408"/>
      <c r="BZ638" s="408"/>
      <c r="CA638" s="408"/>
      <c r="CB638" s="408"/>
      <c r="CC638" s="408"/>
      <c r="CD638" s="408"/>
      <c r="CE638" s="408"/>
      <c r="CF638" s="408"/>
      <c r="CG638" s="408"/>
      <c r="CH638" s="408"/>
      <c r="CI638" s="408">
        <v>1329.6974999999998</v>
      </c>
      <c r="CJ638" s="408">
        <v>-431.49000000000024</v>
      </c>
      <c r="CK638" s="408"/>
      <c r="CL638" s="408"/>
      <c r="CM638" s="408"/>
      <c r="CN638" s="408"/>
      <c r="CO638" s="408">
        <v>-485.49450000000007</v>
      </c>
      <c r="CP638" s="408">
        <v>54.034499999999987</v>
      </c>
      <c r="CQ638" s="408">
        <v>31</v>
      </c>
      <c r="CR638" s="408">
        <v>59.42999148572062</v>
      </c>
      <c r="CS638" s="408">
        <v>1.4356451132894481</v>
      </c>
      <c r="CT638" s="408">
        <v>4.7015436301285192</v>
      </c>
      <c r="CU638" s="408">
        <v>0</v>
      </c>
      <c r="CV638" s="408">
        <v>0</v>
      </c>
      <c r="CW638" s="408">
        <v>0</v>
      </c>
      <c r="CX638" s="408">
        <v>0</v>
      </c>
      <c r="CY638" s="408">
        <v>0</v>
      </c>
      <c r="CZ638" s="408">
        <v>-1.6832626717229289</v>
      </c>
      <c r="DA638" s="408">
        <v>0</v>
      </c>
      <c r="DB638" s="408">
        <v>0</v>
      </c>
      <c r="DC638" s="408">
        <v>52.673143272345328</v>
      </c>
      <c r="DD638" s="408">
        <v>1.5730011876218324</v>
      </c>
      <c r="DE638" s="408">
        <v>0.18160164460260786</v>
      </c>
      <c r="DF638" s="408">
        <v>0</v>
      </c>
      <c r="DG638" s="408">
        <v>6.0810694358777013</v>
      </c>
      <c r="DH638" s="408">
        <v>0</v>
      </c>
      <c r="DI638" s="408">
        <v>-4.5571655799565463</v>
      </c>
      <c r="DJ638" s="408"/>
      <c r="DK638" s="408">
        <v>0</v>
      </c>
      <c r="DL638" s="408">
        <v>0</v>
      </c>
      <c r="DM638" s="408">
        <v>-0.22945555988825816</v>
      </c>
      <c r="DN638" s="408">
        <v>0</v>
      </c>
      <c r="DO638" s="408">
        <v>-0.62421577203172518</v>
      </c>
      <c r="DP638" s="408">
        <v>-0.12191321454528747</v>
      </c>
      <c r="DQ638" s="408">
        <v>0</v>
      </c>
      <c r="DR638" s="408">
        <v>0</v>
      </c>
      <c r="DS638" s="408"/>
      <c r="DT638" s="408"/>
      <c r="DU638" s="408"/>
      <c r="DV638" s="408">
        <v>927.22027767508234</v>
      </c>
      <c r="DW638" s="408">
        <v>0</v>
      </c>
      <c r="DX638" s="408">
        <v>0</v>
      </c>
      <c r="DY638" s="408">
        <v>-485.49450000000013</v>
      </c>
      <c r="DZ638" s="408">
        <v>54.034500000000037</v>
      </c>
      <c r="EA638" s="408">
        <v>0</v>
      </c>
      <c r="EB638" s="408">
        <v>0</v>
      </c>
      <c r="EC638" s="408">
        <v>-490.91398000654374</v>
      </c>
      <c r="ED638" s="408">
        <v>0</v>
      </c>
      <c r="EE638" s="408">
        <v>0</v>
      </c>
      <c r="EF638" s="408">
        <v>0</v>
      </c>
      <c r="EG638" s="408">
        <v>0</v>
      </c>
      <c r="EH638" s="408">
        <v>0</v>
      </c>
      <c r="EI638" s="408">
        <v>0</v>
      </c>
      <c r="EJ638" s="408">
        <v>0</v>
      </c>
      <c r="EK638" s="408">
        <v>0</v>
      </c>
      <c r="EL638" s="408">
        <v>0</v>
      </c>
      <c r="EM638" s="408">
        <v>0</v>
      </c>
      <c r="EN638" s="408">
        <v>0</v>
      </c>
      <c r="EO638" s="408">
        <v>0</v>
      </c>
      <c r="EP638" s="408">
        <v>0</v>
      </c>
      <c r="EQ638" s="408">
        <v>0</v>
      </c>
      <c r="ER638" s="408">
        <v>0</v>
      </c>
      <c r="ES638" s="408">
        <v>0</v>
      </c>
      <c r="ET638" s="408">
        <v>0</v>
      </c>
      <c r="EU638" s="408">
        <v>0</v>
      </c>
      <c r="EV638" s="408">
        <v>239</v>
      </c>
      <c r="EW638" s="408">
        <v>0</v>
      </c>
      <c r="EX638" s="408">
        <v>0</v>
      </c>
      <c r="EY638" s="408">
        <v>0</v>
      </c>
      <c r="EZ638" s="408"/>
      <c r="FA638" s="408">
        <v>0</v>
      </c>
      <c r="FB638" s="408"/>
      <c r="FC638" s="408"/>
      <c r="FD638" s="408"/>
      <c r="FE638" s="408"/>
      <c r="FF638" s="408">
        <v>0</v>
      </c>
      <c r="FG638" s="408">
        <v>0</v>
      </c>
      <c r="FH638" s="408">
        <v>0</v>
      </c>
      <c r="FI638" s="408">
        <v>0</v>
      </c>
    </row>
    <row r="639" spans="1:165">
      <c r="A639" s="408">
        <v>644</v>
      </c>
      <c r="B639" s="408" t="s">
        <v>1034</v>
      </c>
      <c r="C639" s="408" t="s">
        <v>2245</v>
      </c>
      <c r="D639" s="408" t="s">
        <v>596</v>
      </c>
      <c r="E639" s="408" t="s">
        <v>968</v>
      </c>
      <c r="F639" s="408" t="s">
        <v>1320</v>
      </c>
      <c r="G639" s="408" t="s">
        <v>1320</v>
      </c>
      <c r="H639" s="408" t="s">
        <v>1320</v>
      </c>
      <c r="I639" s="408" t="s">
        <v>971</v>
      </c>
      <c r="J639" s="408" t="s">
        <v>2234</v>
      </c>
      <c r="K639" s="827">
        <v>44682</v>
      </c>
      <c r="L639" s="408">
        <v>1200</v>
      </c>
      <c r="M639" s="408">
        <v>1200</v>
      </c>
      <c r="N639" s="408">
        <v>40.884999999999998</v>
      </c>
      <c r="O639" s="408">
        <v>40.884999999999998</v>
      </c>
      <c r="P639" s="408">
        <v>40.884999999999998</v>
      </c>
      <c r="Q639" s="408">
        <v>40.884999999999998</v>
      </c>
      <c r="R639" s="408">
        <v>67.099999999999994</v>
      </c>
      <c r="S639" s="408">
        <v>70.33</v>
      </c>
      <c r="T639" s="408">
        <v>173.82</v>
      </c>
      <c r="U639" s="408">
        <v>80520</v>
      </c>
      <c r="V639" s="408">
        <v>9982.0727499999994</v>
      </c>
      <c r="W639" s="408">
        <v>90502.072749999992</v>
      </c>
      <c r="X639" s="408">
        <v>61255.132049999993</v>
      </c>
      <c r="Y639" s="408">
        <v>0</v>
      </c>
      <c r="Z639" s="408">
        <v>2175.0830838401184</v>
      </c>
      <c r="AA639" s="408">
        <v>0</v>
      </c>
      <c r="AB639" s="408">
        <v>0</v>
      </c>
      <c r="AC639" s="408">
        <v>898.10170336085525</v>
      </c>
      <c r="AD639" s="408">
        <v>13700.67976876248</v>
      </c>
      <c r="AE639" s="408">
        <v>57794.157302940846</v>
      </c>
      <c r="AF639" s="408">
        <v>6579.3015116117331</v>
      </c>
      <c r="AG639" s="408">
        <v>330.99945655464819</v>
      </c>
      <c r="AH639" s="408">
        <v>0</v>
      </c>
      <c r="AI639" s="408">
        <v>0</v>
      </c>
      <c r="AJ639" s="408">
        <v>0</v>
      </c>
      <c r="AK639" s="408">
        <v>0</v>
      </c>
      <c r="AL639" s="408">
        <v>386.42444084676259</v>
      </c>
      <c r="AM639" s="408"/>
      <c r="AN639" s="408">
        <v>50.809043266276099</v>
      </c>
      <c r="AO639" s="408">
        <v>1928.760364929756</v>
      </c>
      <c r="AP639" s="408">
        <v>6201.9566025339363</v>
      </c>
      <c r="AQ639" s="408">
        <v>0</v>
      </c>
      <c r="AR639" s="408">
        <v>0</v>
      </c>
      <c r="AS639" s="408">
        <v>0</v>
      </c>
      <c r="AT639" s="408">
        <v>0</v>
      </c>
      <c r="AU639" s="408">
        <v>0</v>
      </c>
      <c r="AV639" s="408">
        <v>0</v>
      </c>
      <c r="AW639" s="408">
        <v>0</v>
      </c>
      <c r="AX639" s="408">
        <v>0</v>
      </c>
      <c r="AY639" s="408">
        <v>0</v>
      </c>
      <c r="AZ639" s="408">
        <v>0</v>
      </c>
      <c r="BA639" s="408"/>
      <c r="BB639" s="408">
        <v>0</v>
      </c>
      <c r="BC639" s="408">
        <v>0</v>
      </c>
      <c r="BD639" s="408">
        <v>0</v>
      </c>
      <c r="BE639" s="408">
        <v>7.6288803457101055</v>
      </c>
      <c r="BF639" s="408">
        <v>196.48056767710236</v>
      </c>
      <c r="BG639" s="408">
        <v>255.458870990859</v>
      </c>
      <c r="BH639" s="408">
        <v>0</v>
      </c>
      <c r="BI639" s="408">
        <v>0</v>
      </c>
      <c r="BJ639" s="408">
        <v>0</v>
      </c>
      <c r="BK639" s="408">
        <v>0</v>
      </c>
      <c r="BL639" s="408">
        <v>0</v>
      </c>
      <c r="BM639" s="408"/>
      <c r="BN639" s="408"/>
      <c r="BO639" s="408"/>
      <c r="BP639" s="408"/>
      <c r="BQ639" s="408"/>
      <c r="BR639" s="408"/>
      <c r="BS639" s="408"/>
      <c r="BT639" s="408"/>
      <c r="BU639" s="408"/>
      <c r="BV639" s="408">
        <v>7038.8698306254046</v>
      </c>
      <c r="BW639" s="408"/>
      <c r="BX639" s="408"/>
      <c r="BY639" s="408"/>
      <c r="BZ639" s="408"/>
      <c r="CA639" s="408"/>
      <c r="CB639" s="408"/>
      <c r="CC639" s="408"/>
      <c r="CD639" s="408"/>
      <c r="CE639" s="408"/>
      <c r="CF639" s="408"/>
      <c r="CG639" s="408"/>
      <c r="CH639" s="408"/>
      <c r="CI639" s="408">
        <v>61256.453699999998</v>
      </c>
      <c r="CJ639" s="408">
        <v>-29245.649049999978</v>
      </c>
      <c r="CK639" s="408"/>
      <c r="CL639" s="408"/>
      <c r="CM639" s="408"/>
      <c r="CN639" s="408"/>
      <c r="CO639" s="408">
        <v>-30113.293849999995</v>
      </c>
      <c r="CP639" s="408">
        <v>866.35314999999991</v>
      </c>
      <c r="CQ639" s="408">
        <v>31</v>
      </c>
      <c r="CR639" s="408">
        <v>1351.4375777368405</v>
      </c>
      <c r="CS639" s="408">
        <v>187.27044607078801</v>
      </c>
      <c r="CT639" s="408">
        <v>602.17080389378407</v>
      </c>
      <c r="CU639" s="408">
        <v>0</v>
      </c>
      <c r="CV639" s="408">
        <v>0</v>
      </c>
      <c r="CW639" s="408">
        <v>0</v>
      </c>
      <c r="CX639" s="408">
        <v>0</v>
      </c>
      <c r="CY639" s="408">
        <v>0</v>
      </c>
      <c r="CZ639" s="408">
        <v>-262.69968301452172</v>
      </c>
      <c r="DA639" s="408">
        <v>0</v>
      </c>
      <c r="DB639" s="408">
        <v>0</v>
      </c>
      <c r="DC639" s="408">
        <v>844.52606379993631</v>
      </c>
      <c r="DD639" s="408">
        <v>25.220452374870035</v>
      </c>
      <c r="DE639" s="408">
        <v>0.97925110715662722</v>
      </c>
      <c r="DF639" s="408">
        <v>0</v>
      </c>
      <c r="DG639" s="408">
        <v>32.790969436484659</v>
      </c>
      <c r="DH639" s="408">
        <v>0</v>
      </c>
      <c r="DI639" s="408">
        <v>-63.567902674815286</v>
      </c>
      <c r="DJ639" s="408"/>
      <c r="DK639" s="408">
        <v>0</v>
      </c>
      <c r="DL639" s="408">
        <v>0</v>
      </c>
      <c r="DM639" s="408">
        <v>-3.6789374768750918</v>
      </c>
      <c r="DN639" s="408">
        <v>0</v>
      </c>
      <c r="DO639" s="408">
        <v>-10.00825954490864</v>
      </c>
      <c r="DP639" s="408">
        <v>-1.5656262350545234</v>
      </c>
      <c r="DQ639" s="408">
        <v>0</v>
      </c>
      <c r="DR639" s="408">
        <v>0</v>
      </c>
      <c r="DS639" s="408"/>
      <c r="DT639" s="408"/>
      <c r="DU639" s="408">
        <v>57794.157302940846</v>
      </c>
      <c r="DV639" s="408">
        <v>0</v>
      </c>
      <c r="DW639" s="408">
        <v>0</v>
      </c>
      <c r="DX639" s="408">
        <v>0</v>
      </c>
      <c r="DY639" s="408">
        <v>-30113.293850000002</v>
      </c>
      <c r="DZ639" s="408">
        <v>866.35314999999991</v>
      </c>
      <c r="EA639" s="408">
        <v>0</v>
      </c>
      <c r="EB639" s="408">
        <v>0</v>
      </c>
      <c r="EC639" s="408">
        <v>-30598.942307270285</v>
      </c>
      <c r="ED639" s="408">
        <v>0</v>
      </c>
      <c r="EE639" s="408">
        <v>0</v>
      </c>
      <c r="EF639" s="408">
        <v>0</v>
      </c>
      <c r="EG639" s="408">
        <v>0</v>
      </c>
      <c r="EH639" s="408">
        <v>0</v>
      </c>
      <c r="EI639" s="408">
        <v>0</v>
      </c>
      <c r="EJ639" s="408">
        <v>0</v>
      </c>
      <c r="EK639" s="408">
        <v>0</v>
      </c>
      <c r="EL639" s="408">
        <v>0</v>
      </c>
      <c r="EM639" s="408">
        <v>0</v>
      </c>
      <c r="EN639" s="408">
        <v>0</v>
      </c>
      <c r="EO639" s="408">
        <v>0</v>
      </c>
      <c r="EP639" s="408">
        <v>0</v>
      </c>
      <c r="EQ639" s="408">
        <v>0</v>
      </c>
      <c r="ER639" s="408">
        <v>0</v>
      </c>
      <c r="ES639" s="408">
        <v>0</v>
      </c>
      <c r="ET639" s="408">
        <v>0</v>
      </c>
      <c r="EU639" s="408">
        <v>0</v>
      </c>
      <c r="EV639" s="408">
        <v>239</v>
      </c>
      <c r="EW639" s="408">
        <v>0</v>
      </c>
      <c r="EX639" s="408">
        <v>0</v>
      </c>
      <c r="EY639" s="408">
        <v>0</v>
      </c>
      <c r="EZ639" s="408"/>
      <c r="FA639" s="408">
        <v>0</v>
      </c>
      <c r="FB639" s="408"/>
      <c r="FC639" s="408"/>
      <c r="FD639" s="408"/>
      <c r="FE639" s="408"/>
      <c r="FF639" s="408">
        <v>0</v>
      </c>
      <c r="FG639" s="408">
        <v>0</v>
      </c>
      <c r="FH639" s="408">
        <v>0</v>
      </c>
      <c r="FI639" s="408">
        <v>0</v>
      </c>
    </row>
    <row r="640" spans="1:165">
      <c r="A640" s="408">
        <v>645</v>
      </c>
      <c r="B640" s="408" t="s">
        <v>1034</v>
      </c>
      <c r="C640" s="408" t="s">
        <v>2245</v>
      </c>
      <c r="D640" s="408" t="s">
        <v>596</v>
      </c>
      <c r="E640" s="408" t="s">
        <v>968</v>
      </c>
      <c r="F640" s="408" t="s">
        <v>1320</v>
      </c>
      <c r="G640" s="408" t="s">
        <v>1320</v>
      </c>
      <c r="H640" s="408" t="s">
        <v>1320</v>
      </c>
      <c r="I640" s="408" t="s">
        <v>2242</v>
      </c>
      <c r="J640" s="408" t="s">
        <v>2234</v>
      </c>
      <c r="K640" s="827">
        <v>44682</v>
      </c>
      <c r="L640" s="408">
        <v>1200</v>
      </c>
      <c r="M640" s="408">
        <v>1200</v>
      </c>
      <c r="N640" s="408">
        <v>410.74700000000001</v>
      </c>
      <c r="O640" s="408">
        <v>410.74700000000001</v>
      </c>
      <c r="P640" s="408">
        <v>410.74700000000001</v>
      </c>
      <c r="Q640" s="408">
        <v>410.74700000000001</v>
      </c>
      <c r="R640" s="408">
        <v>59.12</v>
      </c>
      <c r="S640" s="408">
        <v>70.33</v>
      </c>
      <c r="T640" s="408">
        <v>173.82</v>
      </c>
      <c r="U640" s="408">
        <v>70944</v>
      </c>
      <c r="V640" s="408">
        <v>100283.88005000001</v>
      </c>
      <c r="W640" s="408">
        <v>171227.88004999998</v>
      </c>
      <c r="X640" s="408">
        <v>149408.75451</v>
      </c>
      <c r="Y640" s="408">
        <v>0</v>
      </c>
      <c r="Z640" s="408">
        <v>21851.751288689669</v>
      </c>
      <c r="AA640" s="408">
        <v>0</v>
      </c>
      <c r="AB640" s="408">
        <v>0</v>
      </c>
      <c r="AC640" s="408">
        <v>686.4724360004185</v>
      </c>
      <c r="AD640" s="408">
        <v>6140.4271808585163</v>
      </c>
      <c r="AE640" s="408">
        <v>57794.157302940846</v>
      </c>
      <c r="AF640" s="408">
        <v>66098.284407239436</v>
      </c>
      <c r="AG640" s="408">
        <v>3325.352422195233</v>
      </c>
      <c r="AH640" s="408">
        <v>0</v>
      </c>
      <c r="AI640" s="408">
        <v>0</v>
      </c>
      <c r="AJ640" s="408">
        <v>0</v>
      </c>
      <c r="AK640" s="408">
        <v>0</v>
      </c>
      <c r="AL640" s="408">
        <v>3882.1738976271299</v>
      </c>
      <c r="AM640" s="408"/>
      <c r="AN640" s="408">
        <v>510.44789273555364</v>
      </c>
      <c r="AO640" s="408">
        <v>1449.6865388280721</v>
      </c>
      <c r="AP640" s="408">
        <v>4873.1854368239283</v>
      </c>
      <c r="AQ640" s="408">
        <v>0</v>
      </c>
      <c r="AR640" s="408">
        <v>0</v>
      </c>
      <c r="AS640" s="408">
        <v>0</v>
      </c>
      <c r="AT640" s="408">
        <v>0</v>
      </c>
      <c r="AU640" s="408">
        <v>0</v>
      </c>
      <c r="AV640" s="408">
        <v>0</v>
      </c>
      <c r="AW640" s="408">
        <v>0</v>
      </c>
      <c r="AX640" s="408">
        <v>0</v>
      </c>
      <c r="AY640" s="408">
        <v>0</v>
      </c>
      <c r="AZ640" s="408">
        <v>0</v>
      </c>
      <c r="BA640" s="408"/>
      <c r="BB640" s="408">
        <v>0</v>
      </c>
      <c r="BC640" s="408">
        <v>0</v>
      </c>
      <c r="BD640" s="408">
        <v>0</v>
      </c>
      <c r="BE640" s="408">
        <v>76.642771563150035</v>
      </c>
      <c r="BF640" s="408">
        <v>1973.9220675471877</v>
      </c>
      <c r="BG640" s="408">
        <v>2566.4416016358659</v>
      </c>
      <c r="BH640" s="408">
        <v>0</v>
      </c>
      <c r="BI640" s="408">
        <v>0</v>
      </c>
      <c r="BJ640" s="408">
        <v>0</v>
      </c>
      <c r="BK640" s="408">
        <v>0</v>
      </c>
      <c r="BL640" s="408">
        <v>0</v>
      </c>
      <c r="BM640" s="408"/>
      <c r="BN640" s="408"/>
      <c r="BO640" s="408"/>
      <c r="BP640" s="408"/>
      <c r="BQ640" s="408"/>
      <c r="BR640" s="408"/>
      <c r="BS640" s="408"/>
      <c r="BT640" s="408"/>
      <c r="BU640" s="408"/>
      <c r="BV640" s="408">
        <v>70715.290847985627</v>
      </c>
      <c r="BW640" s="408"/>
      <c r="BX640" s="408"/>
      <c r="BY640" s="408"/>
      <c r="BZ640" s="408"/>
      <c r="CA640" s="408"/>
      <c r="CB640" s="408"/>
      <c r="CC640" s="408"/>
      <c r="CD640" s="408"/>
      <c r="CE640" s="408"/>
      <c r="CF640" s="408"/>
      <c r="CG640" s="408"/>
      <c r="CH640" s="408"/>
      <c r="CI640" s="408">
        <v>149409.54749999999</v>
      </c>
      <c r="CJ640" s="408">
        <v>-21818.36255000002</v>
      </c>
      <c r="CK640" s="408"/>
      <c r="CL640" s="408"/>
      <c r="CM640" s="408"/>
      <c r="CN640" s="408"/>
      <c r="CO640" s="408">
        <v>-30522.854469999998</v>
      </c>
      <c r="CP640" s="408">
        <v>8703.7289299999993</v>
      </c>
      <c r="CQ640" s="408">
        <v>31</v>
      </c>
      <c r="CR640" s="408">
        <v>8781.3978068315773</v>
      </c>
      <c r="CS640" s="408">
        <v>140.75540420960397</v>
      </c>
      <c r="CT640" s="408">
        <v>473.15551850471911</v>
      </c>
      <c r="CU640" s="408">
        <v>0</v>
      </c>
      <c r="CV640" s="408">
        <v>0</v>
      </c>
      <c r="CW640" s="408">
        <v>0</v>
      </c>
      <c r="CX640" s="408">
        <v>0</v>
      </c>
      <c r="CY640" s="408">
        <v>0</v>
      </c>
      <c r="CZ640" s="408">
        <v>-117.73782769987247</v>
      </c>
      <c r="DA640" s="408">
        <v>0</v>
      </c>
      <c r="DB640" s="408">
        <v>0</v>
      </c>
      <c r="DC640" s="408">
        <v>8484.4453253670799</v>
      </c>
      <c r="DD640" s="408">
        <v>253.37471325964884</v>
      </c>
      <c r="DE640" s="408">
        <v>9.8379467900516886</v>
      </c>
      <c r="DF640" s="408">
        <v>0</v>
      </c>
      <c r="DG640" s="408">
        <v>329.43114401682169</v>
      </c>
      <c r="DH640" s="408">
        <v>0</v>
      </c>
      <c r="DI640" s="408">
        <v>-638.62847792521279</v>
      </c>
      <c r="DJ640" s="408"/>
      <c r="DK640" s="408">
        <v>0</v>
      </c>
      <c r="DL640" s="408">
        <v>0</v>
      </c>
      <c r="DM640" s="408">
        <v>-36.960071708793294</v>
      </c>
      <c r="DN640" s="408">
        <v>0</v>
      </c>
      <c r="DO640" s="408">
        <v>-100.54696302537832</v>
      </c>
      <c r="DP640" s="408">
        <v>-15.728904957073269</v>
      </c>
      <c r="DQ640" s="408">
        <v>0</v>
      </c>
      <c r="DR640" s="408">
        <v>0</v>
      </c>
      <c r="DS640" s="408"/>
      <c r="DT640" s="408"/>
      <c r="DU640" s="408">
        <v>57794.157302940846</v>
      </c>
      <c r="DV640" s="408">
        <v>0</v>
      </c>
      <c r="DW640" s="408">
        <v>0</v>
      </c>
      <c r="DX640" s="408">
        <v>0</v>
      </c>
      <c r="DY640" s="408">
        <v>-30522.854469999991</v>
      </c>
      <c r="DZ640" s="408">
        <v>8703.7289299999975</v>
      </c>
      <c r="EA640" s="408">
        <v>0</v>
      </c>
      <c r="EB640" s="408">
        <v>0</v>
      </c>
      <c r="EC640" s="408">
        <v>-30598.942307270285</v>
      </c>
      <c r="ED640" s="408">
        <v>0</v>
      </c>
      <c r="EE640" s="408">
        <v>0</v>
      </c>
      <c r="EF640" s="408">
        <v>0</v>
      </c>
      <c r="EG640" s="408">
        <v>0</v>
      </c>
      <c r="EH640" s="408">
        <v>0</v>
      </c>
      <c r="EI640" s="408">
        <v>0</v>
      </c>
      <c r="EJ640" s="408">
        <v>0</v>
      </c>
      <c r="EK640" s="408">
        <v>0</v>
      </c>
      <c r="EL640" s="408">
        <v>0</v>
      </c>
      <c r="EM640" s="408">
        <v>0</v>
      </c>
      <c r="EN640" s="408">
        <v>0</v>
      </c>
      <c r="EO640" s="408">
        <v>0</v>
      </c>
      <c r="EP640" s="408">
        <v>0</v>
      </c>
      <c r="EQ640" s="408">
        <v>0</v>
      </c>
      <c r="ER640" s="408">
        <v>0</v>
      </c>
      <c r="ES640" s="408">
        <v>0</v>
      </c>
      <c r="ET640" s="408">
        <v>0</v>
      </c>
      <c r="EU640" s="408">
        <v>0</v>
      </c>
      <c r="EV640" s="408">
        <v>239</v>
      </c>
      <c r="EW640" s="408">
        <v>0</v>
      </c>
      <c r="EX640" s="408">
        <v>0</v>
      </c>
      <c r="EY640" s="408">
        <v>0</v>
      </c>
      <c r="EZ640" s="408"/>
      <c r="FA640" s="408">
        <v>0</v>
      </c>
      <c r="FB640" s="408"/>
      <c r="FC640" s="408"/>
      <c r="FD640" s="408"/>
      <c r="FE640" s="408"/>
      <c r="FF640" s="408">
        <v>0</v>
      </c>
      <c r="FG640" s="408">
        <v>0</v>
      </c>
      <c r="FH640" s="408">
        <v>0</v>
      </c>
      <c r="FI640" s="408">
        <v>0</v>
      </c>
    </row>
    <row r="641" spans="1:165">
      <c r="A641" s="408">
        <v>646</v>
      </c>
      <c r="B641" s="408" t="s">
        <v>1034</v>
      </c>
      <c r="C641" s="408" t="s">
        <v>2245</v>
      </c>
      <c r="D641" s="408" t="s">
        <v>596</v>
      </c>
      <c r="E641" s="408" t="s">
        <v>968</v>
      </c>
      <c r="F641" s="408" t="s">
        <v>1320</v>
      </c>
      <c r="G641" s="408" t="s">
        <v>1320</v>
      </c>
      <c r="H641" s="408" t="s">
        <v>1320</v>
      </c>
      <c r="I641" s="408" t="s">
        <v>1320</v>
      </c>
      <c r="J641" s="408" t="s">
        <v>2234</v>
      </c>
      <c r="K641" s="827">
        <v>44682</v>
      </c>
      <c r="L641" s="408">
        <v>0</v>
      </c>
      <c r="M641" s="408">
        <v>0</v>
      </c>
      <c r="N641" s="408">
        <v>0</v>
      </c>
      <c r="O641" s="408">
        <v>0</v>
      </c>
      <c r="P641" s="408">
        <v>0</v>
      </c>
      <c r="Q641" s="408">
        <v>0</v>
      </c>
      <c r="R641" s="408"/>
      <c r="S641" s="408"/>
      <c r="T641" s="408"/>
      <c r="U641" s="408"/>
      <c r="V641" s="408"/>
      <c r="W641" s="408"/>
      <c r="X641" s="408"/>
      <c r="Y641" s="408"/>
      <c r="Z641" s="408"/>
      <c r="AA641" s="408">
        <v>0</v>
      </c>
      <c r="AB641" s="408"/>
      <c r="AC641" s="408"/>
      <c r="AD641" s="408"/>
      <c r="AE641" s="408"/>
      <c r="AF641" s="408"/>
      <c r="AG641" s="408"/>
      <c r="AH641" s="408"/>
      <c r="AI641" s="408"/>
      <c r="AJ641" s="408"/>
      <c r="AK641" s="408"/>
      <c r="AL641" s="408"/>
      <c r="AM641" s="408"/>
      <c r="AN641" s="408"/>
      <c r="AO641" s="408"/>
      <c r="AP641" s="408"/>
      <c r="AQ641" s="408"/>
      <c r="AR641" s="408"/>
      <c r="AS641" s="408"/>
      <c r="AT641" s="408"/>
      <c r="AU641" s="408"/>
      <c r="AV641" s="408"/>
      <c r="AW641" s="408"/>
      <c r="AX641" s="408"/>
      <c r="AY641" s="408"/>
      <c r="AZ641" s="408">
        <v>0</v>
      </c>
      <c r="BA641" s="408"/>
      <c r="BB641" s="408"/>
      <c r="BC641" s="408"/>
      <c r="BD641" s="408"/>
      <c r="BE641" s="408"/>
      <c r="BF641" s="408"/>
      <c r="BG641" s="408"/>
      <c r="BH641" s="408"/>
      <c r="BI641" s="408">
        <v>1584.28</v>
      </c>
      <c r="BJ641" s="408">
        <v>7304.52</v>
      </c>
      <c r="BK641" s="408">
        <v>39745.47</v>
      </c>
      <c r="BL641" s="408">
        <v>1</v>
      </c>
      <c r="BM641" s="408"/>
      <c r="BN641" s="408"/>
      <c r="BO641" s="408"/>
      <c r="BP641" s="408"/>
      <c r="BQ641" s="408"/>
      <c r="BR641" s="408"/>
      <c r="BS641" s="408"/>
      <c r="BT641" s="408"/>
      <c r="BU641" s="408"/>
      <c r="BV641" s="408"/>
      <c r="BW641" s="408"/>
      <c r="BX641" s="408"/>
      <c r="BY641" s="408"/>
      <c r="BZ641" s="408"/>
      <c r="CA641" s="408"/>
      <c r="CB641" s="408"/>
      <c r="CC641" s="408"/>
      <c r="CD641" s="408"/>
      <c r="CE641" s="408"/>
      <c r="CF641" s="408"/>
      <c r="CG641" s="408"/>
      <c r="CH641" s="408"/>
      <c r="CI641" s="408"/>
      <c r="CJ641" s="408">
        <v>-0.03</v>
      </c>
      <c r="CK641" s="408"/>
      <c r="CL641" s="408"/>
      <c r="CM641" s="408"/>
      <c r="CN641" s="408"/>
      <c r="CO641" s="408">
        <v>0</v>
      </c>
      <c r="CP641" s="408">
        <v>0</v>
      </c>
      <c r="CQ641" s="408">
        <v>31</v>
      </c>
      <c r="CR641" s="408"/>
      <c r="CS641" s="408"/>
      <c r="CT641" s="408"/>
      <c r="CU641" s="408"/>
      <c r="CV641" s="408"/>
      <c r="CW641" s="408"/>
      <c r="CX641" s="408"/>
      <c r="CY641" s="408"/>
      <c r="CZ641" s="408"/>
      <c r="DA641" s="408"/>
      <c r="DB641" s="408"/>
      <c r="DC641" s="408"/>
      <c r="DD641" s="408"/>
      <c r="DE641" s="408"/>
      <c r="DF641" s="408"/>
      <c r="DG641" s="408"/>
      <c r="DH641" s="408"/>
      <c r="DI641" s="408"/>
      <c r="DJ641" s="408"/>
      <c r="DK641" s="408">
        <v>0</v>
      </c>
      <c r="DL641" s="408"/>
      <c r="DM641" s="408"/>
      <c r="DN641" s="408"/>
      <c r="DO641" s="408"/>
      <c r="DP641" s="408"/>
      <c r="DQ641" s="408"/>
      <c r="DR641" s="408"/>
      <c r="DS641" s="408"/>
      <c r="DT641" s="408"/>
      <c r="DU641" s="408"/>
      <c r="DV641" s="408"/>
      <c r="DW641" s="408"/>
      <c r="DX641" s="408"/>
      <c r="DY641" s="408"/>
      <c r="DZ641" s="408"/>
      <c r="EA641" s="408"/>
      <c r="EB641" s="408"/>
      <c r="EC641" s="408"/>
      <c r="ED641" s="408"/>
      <c r="EE641" s="408"/>
      <c r="EF641" s="408"/>
      <c r="EG641" s="408"/>
      <c r="EH641" s="408"/>
      <c r="EI641" s="408"/>
      <c r="EJ641" s="408"/>
      <c r="EK641" s="408"/>
      <c r="EL641" s="408"/>
      <c r="EM641" s="408"/>
      <c r="EN641" s="408"/>
      <c r="EO641" s="408"/>
      <c r="EP641" s="408"/>
      <c r="EQ641" s="408"/>
      <c r="ER641" s="408"/>
      <c r="ES641" s="408"/>
      <c r="ET641" s="408"/>
      <c r="EU641" s="408"/>
      <c r="EV641" s="408">
        <v>239</v>
      </c>
      <c r="EW641" s="408"/>
      <c r="EX641" s="408"/>
      <c r="EY641" s="408"/>
      <c r="EZ641" s="408"/>
      <c r="FA641" s="408">
        <v>0</v>
      </c>
      <c r="FB641" s="408"/>
      <c r="FC641" s="408"/>
      <c r="FD641" s="408"/>
      <c r="FE641" s="408"/>
      <c r="FF641" s="408">
        <v>0</v>
      </c>
      <c r="FG641" s="408">
        <v>0</v>
      </c>
      <c r="FH641" s="408">
        <v>0</v>
      </c>
      <c r="FI641" s="408">
        <v>0</v>
      </c>
    </row>
    <row r="642" spans="1:165">
      <c r="A642" s="408">
        <v>647</v>
      </c>
      <c r="B642" s="408" t="s">
        <v>1034</v>
      </c>
      <c r="C642" s="408" t="s">
        <v>2241</v>
      </c>
      <c r="D642" s="408" t="s">
        <v>596</v>
      </c>
      <c r="E642" s="408" t="s">
        <v>968</v>
      </c>
      <c r="F642" s="408" t="s">
        <v>1320</v>
      </c>
      <c r="G642" s="408" t="s">
        <v>1320</v>
      </c>
      <c r="H642" s="408" t="s">
        <v>1320</v>
      </c>
      <c r="I642" s="408" t="s">
        <v>971</v>
      </c>
      <c r="J642" s="408" t="s">
        <v>2234</v>
      </c>
      <c r="K642" s="827">
        <v>44682</v>
      </c>
      <c r="L642" s="408">
        <v>0</v>
      </c>
      <c r="M642" s="408">
        <v>0</v>
      </c>
      <c r="N642" s="408">
        <v>39.780999999999999</v>
      </c>
      <c r="O642" s="408">
        <v>39.780999999999999</v>
      </c>
      <c r="P642" s="408">
        <v>39.780999999999999</v>
      </c>
      <c r="Q642" s="408">
        <v>39.780999999999999</v>
      </c>
      <c r="R642" s="408"/>
      <c r="S642" s="408">
        <v>1684.16</v>
      </c>
      <c r="T642" s="408">
        <v>173.82</v>
      </c>
      <c r="U642" s="408"/>
      <c r="V642" s="408">
        <v>73912.302380000008</v>
      </c>
      <c r="W642" s="408">
        <v>73912.302380000008</v>
      </c>
      <c r="X642" s="408">
        <v>50739.074260000001</v>
      </c>
      <c r="Y642" s="408">
        <v>0</v>
      </c>
      <c r="Z642" s="408">
        <v>2116.3502545736519</v>
      </c>
      <c r="AA642" s="408">
        <v>0</v>
      </c>
      <c r="AB642" s="408">
        <v>0</v>
      </c>
      <c r="AC642" s="408">
        <v>716.03412582013402</v>
      </c>
      <c r="AD642" s="408">
        <v>10923.302848710811</v>
      </c>
      <c r="AE642" s="408">
        <v>46078.032172072453</v>
      </c>
      <c r="AF642" s="408">
        <v>6401.6434739739843</v>
      </c>
      <c r="AG642" s="408">
        <v>322.06162116180656</v>
      </c>
      <c r="AH642" s="408">
        <v>0</v>
      </c>
      <c r="AI642" s="408">
        <v>0</v>
      </c>
      <c r="AJ642" s="408">
        <v>0</v>
      </c>
      <c r="AK642" s="408">
        <v>0</v>
      </c>
      <c r="AL642" s="408">
        <v>375.98998853675096</v>
      </c>
      <c r="AM642" s="408"/>
      <c r="AN642" s="408">
        <v>49.437068611366747</v>
      </c>
      <c r="AO642" s="408">
        <v>1537.7800497082087</v>
      </c>
      <c r="AP642" s="408">
        <v>4944.7254313999592</v>
      </c>
      <c r="AQ642" s="408">
        <v>0</v>
      </c>
      <c r="AR642" s="408">
        <v>0</v>
      </c>
      <c r="AS642" s="408">
        <v>0</v>
      </c>
      <c r="AT642" s="408">
        <v>0</v>
      </c>
      <c r="AU642" s="408">
        <v>0</v>
      </c>
      <c r="AV642" s="408">
        <v>0</v>
      </c>
      <c r="AW642" s="408">
        <v>0</v>
      </c>
      <c r="AX642" s="408">
        <v>0</v>
      </c>
      <c r="AY642" s="408">
        <v>0</v>
      </c>
      <c r="AZ642" s="408">
        <v>0</v>
      </c>
      <c r="BA642" s="408"/>
      <c r="BB642" s="408">
        <v>0</v>
      </c>
      <c r="BC642" s="408">
        <v>0</v>
      </c>
      <c r="BD642" s="408">
        <v>0</v>
      </c>
      <c r="BE642" s="408">
        <v>7.4228809840453396</v>
      </c>
      <c r="BF642" s="408">
        <v>191.17508775254518</v>
      </c>
      <c r="BG642" s="408">
        <v>248.56082540998807</v>
      </c>
      <c r="BH642" s="408">
        <v>0</v>
      </c>
      <c r="BI642" s="408">
        <v>0</v>
      </c>
      <c r="BJ642" s="408">
        <v>0</v>
      </c>
      <c r="BK642" s="408">
        <v>0</v>
      </c>
      <c r="BL642" s="408">
        <v>0</v>
      </c>
      <c r="BM642" s="408"/>
      <c r="BN642" s="408"/>
      <c r="BO642" s="408"/>
      <c r="BP642" s="408"/>
      <c r="BQ642" s="408"/>
      <c r="BR642" s="408"/>
      <c r="BS642" s="408"/>
      <c r="BT642" s="408"/>
      <c r="BU642" s="408"/>
      <c r="BV642" s="408">
        <v>6848.802268120563</v>
      </c>
      <c r="BW642" s="408"/>
      <c r="BX642" s="408"/>
      <c r="BY642" s="408"/>
      <c r="BZ642" s="408"/>
      <c r="CA642" s="408"/>
      <c r="CB642" s="408"/>
      <c r="CC642" s="408"/>
      <c r="CD642" s="408"/>
      <c r="CE642" s="408"/>
      <c r="CF642" s="408"/>
      <c r="CG642" s="408"/>
      <c r="CH642" s="408"/>
      <c r="CI642" s="408">
        <v>50737.798799999997</v>
      </c>
      <c r="CJ642" s="408">
        <v>-23174.533579999996</v>
      </c>
      <c r="CK642" s="408"/>
      <c r="CL642" s="408"/>
      <c r="CM642" s="408"/>
      <c r="CN642" s="408"/>
      <c r="CO642" s="408">
        <v>-24016.18751</v>
      </c>
      <c r="CP642" s="408">
        <v>842.95938999999987</v>
      </c>
      <c r="CQ642" s="408">
        <v>31</v>
      </c>
      <c r="CR642" s="408">
        <v>1222.3917477237701</v>
      </c>
      <c r="CS642" s="408">
        <v>149.3087275661137</v>
      </c>
      <c r="CT642" s="408">
        <v>480.10160000852829</v>
      </c>
      <c r="CU642" s="408">
        <v>0</v>
      </c>
      <c r="CV642" s="408">
        <v>0</v>
      </c>
      <c r="CW642" s="408">
        <v>0</v>
      </c>
      <c r="CX642" s="408">
        <v>0</v>
      </c>
      <c r="CY642" s="408">
        <v>0</v>
      </c>
      <c r="CZ642" s="408">
        <v>-209.44568037941463</v>
      </c>
      <c r="DA642" s="408">
        <v>0</v>
      </c>
      <c r="DB642" s="408">
        <v>0</v>
      </c>
      <c r="DC642" s="408">
        <v>821.7216911832038</v>
      </c>
      <c r="DD642" s="408">
        <v>24.539435390111379</v>
      </c>
      <c r="DE642" s="408">
        <v>0.95280881237123172</v>
      </c>
      <c r="DF642" s="408">
        <v>0</v>
      </c>
      <c r="DG642" s="408">
        <v>31.905529048619201</v>
      </c>
      <c r="DH642" s="408">
        <v>0</v>
      </c>
      <c r="DI642" s="408">
        <v>-61.851406048840545</v>
      </c>
      <c r="DJ642" s="408"/>
      <c r="DK642" s="408">
        <v>0</v>
      </c>
      <c r="DL642" s="408">
        <v>0</v>
      </c>
      <c r="DM642" s="408">
        <v>-3.5795967168293714</v>
      </c>
      <c r="DN642" s="408">
        <v>0</v>
      </c>
      <c r="DO642" s="408">
        <v>-9.7380108341936875</v>
      </c>
      <c r="DP642" s="408">
        <v>-1.5233503058995694</v>
      </c>
      <c r="DQ642" s="408">
        <v>0</v>
      </c>
      <c r="DR642" s="408">
        <v>0</v>
      </c>
      <c r="DS642" s="408"/>
      <c r="DT642" s="408"/>
      <c r="DU642" s="408"/>
      <c r="DV642" s="408">
        <v>46078.032172072453</v>
      </c>
      <c r="DW642" s="408">
        <v>0</v>
      </c>
      <c r="DX642" s="408">
        <v>0</v>
      </c>
      <c r="DY642" s="408">
        <v>-24016.187510000003</v>
      </c>
      <c r="DZ642" s="408">
        <v>842.95938999999998</v>
      </c>
      <c r="EA642" s="408">
        <v>0</v>
      </c>
      <c r="EB642" s="408">
        <v>0</v>
      </c>
      <c r="EC642" s="408">
        <v>-24395.875186401267</v>
      </c>
      <c r="ED642" s="408">
        <v>0</v>
      </c>
      <c r="EE642" s="408">
        <v>0</v>
      </c>
      <c r="EF642" s="408">
        <v>0</v>
      </c>
      <c r="EG642" s="408">
        <v>0</v>
      </c>
      <c r="EH642" s="408">
        <v>0</v>
      </c>
      <c r="EI642" s="408">
        <v>0</v>
      </c>
      <c r="EJ642" s="408">
        <v>0</v>
      </c>
      <c r="EK642" s="408">
        <v>0</v>
      </c>
      <c r="EL642" s="408">
        <v>0</v>
      </c>
      <c r="EM642" s="408">
        <v>0</v>
      </c>
      <c r="EN642" s="408">
        <v>0</v>
      </c>
      <c r="EO642" s="408">
        <v>0</v>
      </c>
      <c r="EP642" s="408">
        <v>0</v>
      </c>
      <c r="EQ642" s="408">
        <v>0</v>
      </c>
      <c r="ER642" s="408">
        <v>0</v>
      </c>
      <c r="ES642" s="408">
        <v>0</v>
      </c>
      <c r="ET642" s="408">
        <v>0</v>
      </c>
      <c r="EU642" s="408">
        <v>0</v>
      </c>
      <c r="EV642" s="408">
        <v>239</v>
      </c>
      <c r="EW642" s="408">
        <v>0</v>
      </c>
      <c r="EX642" s="408">
        <v>0</v>
      </c>
      <c r="EY642" s="408">
        <v>0</v>
      </c>
      <c r="EZ642" s="408"/>
      <c r="FA642" s="408">
        <v>0</v>
      </c>
      <c r="FB642" s="408"/>
      <c r="FC642" s="408"/>
      <c r="FD642" s="408"/>
      <c r="FE642" s="408"/>
      <c r="FF642" s="408">
        <v>0</v>
      </c>
      <c r="FG642" s="408">
        <v>0</v>
      </c>
      <c r="FH642" s="408">
        <v>0</v>
      </c>
      <c r="FI642" s="408">
        <v>0</v>
      </c>
    </row>
    <row r="643" spans="1:165">
      <c r="A643" s="408">
        <v>648</v>
      </c>
      <c r="B643" s="408" t="s">
        <v>2236</v>
      </c>
      <c r="C643" s="408" t="s">
        <v>2241</v>
      </c>
      <c r="D643" s="408" t="s">
        <v>596</v>
      </c>
      <c r="E643" s="408" t="s">
        <v>968</v>
      </c>
      <c r="F643" s="408" t="s">
        <v>1320</v>
      </c>
      <c r="G643" s="408" t="s">
        <v>1320</v>
      </c>
      <c r="H643" s="408" t="s">
        <v>1320</v>
      </c>
      <c r="I643" s="408" t="s">
        <v>971</v>
      </c>
      <c r="J643" s="408" t="s">
        <v>2234</v>
      </c>
      <c r="K643" s="827">
        <v>44682</v>
      </c>
      <c r="L643" s="408">
        <v>0</v>
      </c>
      <c r="M643" s="408">
        <v>0</v>
      </c>
      <c r="N643" s="408">
        <v>2.9340000000000002</v>
      </c>
      <c r="O643" s="408">
        <v>2.9340000000000002</v>
      </c>
      <c r="P643" s="408">
        <v>2.9340000000000002</v>
      </c>
      <c r="Q643" s="408">
        <v>2.9340000000000002</v>
      </c>
      <c r="R643" s="408"/>
      <c r="S643" s="408">
        <v>1684.16</v>
      </c>
      <c r="T643" s="408">
        <v>173.82</v>
      </c>
      <c r="U643" s="408"/>
      <c r="V643" s="408">
        <v>5451.3133200000002</v>
      </c>
      <c r="W643" s="408">
        <v>5451.3133200000002</v>
      </c>
      <c r="X643" s="408">
        <v>3742.1996400000003</v>
      </c>
      <c r="Y643" s="408">
        <v>0</v>
      </c>
      <c r="Z643" s="408">
        <v>156.0888777788164</v>
      </c>
      <c r="AA643" s="408">
        <v>0</v>
      </c>
      <c r="AB643" s="408">
        <v>0</v>
      </c>
      <c r="AC643" s="408">
        <v>52.810239188463669</v>
      </c>
      <c r="AD643" s="408">
        <v>805.63511621421094</v>
      </c>
      <c r="AE643" s="408">
        <v>3398.4300644242376</v>
      </c>
      <c r="AF643" s="408">
        <v>472.14554567858204</v>
      </c>
      <c r="AG643" s="408">
        <v>23.753269060323785</v>
      </c>
      <c r="AH643" s="408">
        <v>0</v>
      </c>
      <c r="AI643" s="408">
        <v>0</v>
      </c>
      <c r="AJ643" s="408">
        <v>0</v>
      </c>
      <c r="AK643" s="408">
        <v>0</v>
      </c>
      <c r="AL643" s="408">
        <v>27.730691193454852</v>
      </c>
      <c r="AM643" s="408"/>
      <c r="AN643" s="408">
        <v>3.6461717731014822</v>
      </c>
      <c r="AO643" s="408">
        <v>113.41712540770429</v>
      </c>
      <c r="AP643" s="408">
        <v>364.69230073973711</v>
      </c>
      <c r="AQ643" s="408">
        <v>0</v>
      </c>
      <c r="AR643" s="408">
        <v>0</v>
      </c>
      <c r="AS643" s="408">
        <v>0</v>
      </c>
      <c r="AT643" s="408">
        <v>0</v>
      </c>
      <c r="AU643" s="408">
        <v>0</v>
      </c>
      <c r="AV643" s="408">
        <v>0</v>
      </c>
      <c r="AW643" s="408">
        <v>0</v>
      </c>
      <c r="AX643" s="408">
        <v>0</v>
      </c>
      <c r="AY643" s="408">
        <v>0</v>
      </c>
      <c r="AZ643" s="408">
        <v>0</v>
      </c>
      <c r="BA643" s="408"/>
      <c r="BB643" s="408">
        <v>0</v>
      </c>
      <c r="BC643" s="408">
        <v>0</v>
      </c>
      <c r="BD643" s="408">
        <v>0</v>
      </c>
      <c r="BE643" s="408">
        <v>0.54746569485907914</v>
      </c>
      <c r="BF643" s="408">
        <v>14.099889582111249</v>
      </c>
      <c r="BG643" s="408">
        <v>18.332305918727659</v>
      </c>
      <c r="BH643" s="408">
        <v>0</v>
      </c>
      <c r="BI643" s="408">
        <v>0</v>
      </c>
      <c r="BJ643" s="408">
        <v>0</v>
      </c>
      <c r="BK643" s="408">
        <v>0</v>
      </c>
      <c r="BL643" s="408">
        <v>0</v>
      </c>
      <c r="BM643" s="408"/>
      <c r="BN643" s="408"/>
      <c r="BO643" s="408"/>
      <c r="BP643" s="408"/>
      <c r="BQ643" s="408"/>
      <c r="BR643" s="408"/>
      <c r="BS643" s="408"/>
      <c r="BT643" s="408"/>
      <c r="BU643" s="408"/>
      <c r="BV643" s="408">
        <v>505.12520687428002</v>
      </c>
      <c r="BW643" s="408"/>
      <c r="BX643" s="408"/>
      <c r="BY643" s="408"/>
      <c r="BZ643" s="408"/>
      <c r="CA643" s="408"/>
      <c r="CB643" s="408"/>
      <c r="CC643" s="408"/>
      <c r="CD643" s="408"/>
      <c r="CE643" s="408"/>
      <c r="CF643" s="408"/>
      <c r="CG643" s="408"/>
      <c r="CH643" s="408"/>
      <c r="CI643" s="408">
        <v>3737.0978000000005</v>
      </c>
      <c r="CJ643" s="408">
        <v>-1714.2455200000004</v>
      </c>
      <c r="CK643" s="408"/>
      <c r="CL643" s="408"/>
      <c r="CM643" s="408"/>
      <c r="CN643" s="408"/>
      <c r="CO643" s="408">
        <v>-1771.2851400000002</v>
      </c>
      <c r="CP643" s="408">
        <v>62.171459999999996</v>
      </c>
      <c r="CQ643" s="408">
        <v>31</v>
      </c>
      <c r="CR643" s="408">
        <v>90.156039009113101</v>
      </c>
      <c r="CS643" s="408">
        <v>11.012086339684217</v>
      </c>
      <c r="CT643" s="408">
        <v>35.409318378749163</v>
      </c>
      <c r="CU643" s="408">
        <v>0</v>
      </c>
      <c r="CV643" s="408">
        <v>0</v>
      </c>
      <c r="CW643" s="408">
        <v>0</v>
      </c>
      <c r="CX643" s="408">
        <v>0</v>
      </c>
      <c r="CY643" s="408">
        <v>0</v>
      </c>
      <c r="CZ643" s="408">
        <v>-15.447415254347675</v>
      </c>
      <c r="DA643" s="408">
        <v>0</v>
      </c>
      <c r="DB643" s="408">
        <v>0</v>
      </c>
      <c r="DC643" s="408">
        <v>60.605098965122011</v>
      </c>
      <c r="DD643" s="408">
        <v>1.8098766605813541</v>
      </c>
      <c r="DE643" s="408">
        <v>7.0273272554666644E-2</v>
      </c>
      <c r="DF643" s="408">
        <v>0</v>
      </c>
      <c r="DG643" s="408">
        <v>2.3531540742728652</v>
      </c>
      <c r="DH643" s="408">
        <v>0</v>
      </c>
      <c r="DI643" s="408">
        <v>-4.5617763592493361</v>
      </c>
      <c r="DJ643" s="408"/>
      <c r="DK643" s="408">
        <v>0</v>
      </c>
      <c r="DL643" s="408">
        <v>0</v>
      </c>
      <c r="DM643" s="408">
        <v>-0.26400886773025434</v>
      </c>
      <c r="DN643" s="408">
        <v>0</v>
      </c>
      <c r="DO643" s="408">
        <v>-0.71821532358473661</v>
      </c>
      <c r="DP643" s="408">
        <v>-0.11235287693897478</v>
      </c>
      <c r="DQ643" s="408">
        <v>0</v>
      </c>
      <c r="DR643" s="408">
        <v>0</v>
      </c>
      <c r="DS643" s="408"/>
      <c r="DT643" s="408"/>
      <c r="DU643" s="408"/>
      <c r="DV643" s="408">
        <v>3398.4300644242376</v>
      </c>
      <c r="DW643" s="408">
        <v>0</v>
      </c>
      <c r="DX643" s="408">
        <v>0</v>
      </c>
      <c r="DY643" s="408">
        <v>-1771.2851400000004</v>
      </c>
      <c r="DZ643" s="408">
        <v>62.171460000000025</v>
      </c>
      <c r="EA643" s="408">
        <v>0</v>
      </c>
      <c r="EB643" s="408">
        <v>0</v>
      </c>
      <c r="EC643" s="408">
        <v>-1799.2885497323177</v>
      </c>
      <c r="ED643" s="408">
        <v>0</v>
      </c>
      <c r="EE643" s="408">
        <v>0</v>
      </c>
      <c r="EF643" s="408">
        <v>0</v>
      </c>
      <c r="EG643" s="408">
        <v>0</v>
      </c>
      <c r="EH643" s="408">
        <v>0</v>
      </c>
      <c r="EI643" s="408">
        <v>0</v>
      </c>
      <c r="EJ643" s="408">
        <v>0</v>
      </c>
      <c r="EK643" s="408">
        <v>0</v>
      </c>
      <c r="EL643" s="408">
        <v>0</v>
      </c>
      <c r="EM643" s="408">
        <v>0</v>
      </c>
      <c r="EN643" s="408">
        <v>0</v>
      </c>
      <c r="EO643" s="408">
        <v>0</v>
      </c>
      <c r="EP643" s="408">
        <v>0</v>
      </c>
      <c r="EQ643" s="408">
        <v>0</v>
      </c>
      <c r="ER643" s="408">
        <v>0</v>
      </c>
      <c r="ES643" s="408">
        <v>0</v>
      </c>
      <c r="ET643" s="408">
        <v>0</v>
      </c>
      <c r="EU643" s="408">
        <v>0</v>
      </c>
      <c r="EV643" s="408">
        <v>239</v>
      </c>
      <c r="EW643" s="408">
        <v>0</v>
      </c>
      <c r="EX643" s="408">
        <v>0</v>
      </c>
      <c r="EY643" s="408">
        <v>0</v>
      </c>
      <c r="EZ643" s="408"/>
      <c r="FA643" s="408">
        <v>0</v>
      </c>
      <c r="FB643" s="408"/>
      <c r="FC643" s="408"/>
      <c r="FD643" s="408"/>
      <c r="FE643" s="408"/>
      <c r="FF643" s="408">
        <v>0</v>
      </c>
      <c r="FG643" s="408">
        <v>0</v>
      </c>
      <c r="FH643" s="408">
        <v>0</v>
      </c>
      <c r="FI643" s="408">
        <v>0</v>
      </c>
    </row>
    <row r="644" spans="1:165">
      <c r="A644" s="408">
        <v>649</v>
      </c>
      <c r="B644" s="408" t="s">
        <v>1034</v>
      </c>
      <c r="C644" s="408" t="s">
        <v>2241</v>
      </c>
      <c r="D644" s="408" t="s">
        <v>596</v>
      </c>
      <c r="E644" s="408" t="s">
        <v>968</v>
      </c>
      <c r="F644" s="408" t="s">
        <v>1320</v>
      </c>
      <c r="G644" s="408" t="s">
        <v>1320</v>
      </c>
      <c r="H644" s="408" t="s">
        <v>1320</v>
      </c>
      <c r="I644" s="408" t="s">
        <v>2242</v>
      </c>
      <c r="J644" s="408" t="s">
        <v>2234</v>
      </c>
      <c r="K644" s="827">
        <v>44682</v>
      </c>
      <c r="L644" s="408">
        <v>0</v>
      </c>
      <c r="M644" s="408">
        <v>0</v>
      </c>
      <c r="N644" s="408">
        <v>1075.5219999999999</v>
      </c>
      <c r="O644" s="408">
        <v>1075.5219999999999</v>
      </c>
      <c r="P644" s="408">
        <v>1075.5219999999999</v>
      </c>
      <c r="Q644" s="408">
        <v>1075.5219999999999</v>
      </c>
      <c r="R644" s="408"/>
      <c r="S644" s="408">
        <v>70.33</v>
      </c>
      <c r="T644" s="408">
        <v>173.82</v>
      </c>
      <c r="U644" s="408"/>
      <c r="V644" s="408">
        <v>262588.69629999995</v>
      </c>
      <c r="W644" s="408">
        <v>262588.69629999995</v>
      </c>
      <c r="X644" s="408">
        <v>284292.73025999998</v>
      </c>
      <c r="Y644" s="408">
        <v>0</v>
      </c>
      <c r="Z644" s="408">
        <v>57217.798911529695</v>
      </c>
      <c r="AA644" s="408">
        <v>0</v>
      </c>
      <c r="AB644" s="408">
        <v>0</v>
      </c>
      <c r="AC644" s="408">
        <v>0</v>
      </c>
      <c r="AD644" s="408">
        <v>0</v>
      </c>
      <c r="AE644" s="408">
        <v>0</v>
      </c>
      <c r="AF644" s="408">
        <v>173075.29706179953</v>
      </c>
      <c r="AG644" s="408">
        <v>8707.2813382063923</v>
      </c>
      <c r="AH644" s="408">
        <v>0</v>
      </c>
      <c r="AI644" s="408">
        <v>0</v>
      </c>
      <c r="AJ644" s="408">
        <v>0</v>
      </c>
      <c r="AK644" s="408">
        <v>0</v>
      </c>
      <c r="AL644" s="408">
        <v>10165.29258819596</v>
      </c>
      <c r="AM644" s="408"/>
      <c r="AN644" s="408">
        <v>1336.5841710121513</v>
      </c>
      <c r="AO644" s="408">
        <v>0</v>
      </c>
      <c r="AP644" s="408">
        <v>0</v>
      </c>
      <c r="AQ644" s="408">
        <v>0</v>
      </c>
      <c r="AR644" s="408">
        <v>0</v>
      </c>
      <c r="AS644" s="408">
        <v>0</v>
      </c>
      <c r="AT644" s="408">
        <v>0</v>
      </c>
      <c r="AU644" s="408">
        <v>0</v>
      </c>
      <c r="AV644" s="408">
        <v>0</v>
      </c>
      <c r="AW644" s="408">
        <v>0</v>
      </c>
      <c r="AX644" s="408">
        <v>0</v>
      </c>
      <c r="AY644" s="408">
        <v>0</v>
      </c>
      <c r="AZ644" s="408">
        <v>0</v>
      </c>
      <c r="BA644" s="408"/>
      <c r="BB644" s="408">
        <v>0</v>
      </c>
      <c r="BC644" s="408">
        <v>0</v>
      </c>
      <c r="BD644" s="408">
        <v>0</v>
      </c>
      <c r="BE644" s="408">
        <v>200.68554842066342</v>
      </c>
      <c r="BF644" s="408">
        <v>5168.6235320829765</v>
      </c>
      <c r="BG644" s="408">
        <v>6720.1084956788709</v>
      </c>
      <c r="BH644" s="408">
        <v>0</v>
      </c>
      <c r="BI644" s="408">
        <v>0</v>
      </c>
      <c r="BJ644" s="408">
        <v>0</v>
      </c>
      <c r="BK644" s="408">
        <v>0</v>
      </c>
      <c r="BL644" s="408">
        <v>0</v>
      </c>
      <c r="BM644" s="408"/>
      <c r="BN644" s="408"/>
      <c r="BO644" s="408"/>
      <c r="BP644" s="408"/>
      <c r="BQ644" s="408"/>
      <c r="BR644" s="408"/>
      <c r="BS644" s="408"/>
      <c r="BT644" s="408"/>
      <c r="BU644" s="408"/>
      <c r="BV644" s="408">
        <v>185164.71463798205</v>
      </c>
      <c r="BW644" s="408"/>
      <c r="BX644" s="408"/>
      <c r="BY644" s="408"/>
      <c r="BZ644" s="408"/>
      <c r="CA644" s="408"/>
      <c r="CB644" s="408"/>
      <c r="CC644" s="408"/>
      <c r="CD644" s="408"/>
      <c r="CE644" s="408"/>
      <c r="CF644" s="408"/>
      <c r="CG644" s="408"/>
      <c r="CH644" s="408"/>
      <c r="CI644" s="408">
        <v>284292.20159999997</v>
      </c>
      <c r="CJ644" s="408">
        <v>21703.475299999991</v>
      </c>
      <c r="CK644" s="408"/>
      <c r="CL644" s="408"/>
      <c r="CM644" s="408"/>
      <c r="CN644" s="408"/>
      <c r="CO644" s="408">
        <v>-1086.2772200000054</v>
      </c>
      <c r="CP644" s="408">
        <v>22790.311179999997</v>
      </c>
      <c r="CQ644" s="408">
        <v>31</v>
      </c>
      <c r="CR644" s="408">
        <v>21694.477263383509</v>
      </c>
      <c r="CS644" s="408">
        <v>0</v>
      </c>
      <c r="CT644" s="408">
        <v>0</v>
      </c>
      <c r="CU644" s="408">
        <v>0</v>
      </c>
      <c r="CV644" s="408">
        <v>0</v>
      </c>
      <c r="CW644" s="408">
        <v>0</v>
      </c>
      <c r="CX644" s="408">
        <v>0</v>
      </c>
      <c r="CY644" s="408">
        <v>0</v>
      </c>
      <c r="CZ644" s="408">
        <v>0</v>
      </c>
      <c r="DA644" s="408">
        <v>0</v>
      </c>
      <c r="DB644" s="408">
        <v>0</v>
      </c>
      <c r="DC644" s="408">
        <v>22216.12721512132</v>
      </c>
      <c r="DD644" s="408">
        <v>663.44995424055196</v>
      </c>
      <c r="DE644" s="408">
        <v>25.760208126973481</v>
      </c>
      <c r="DF644" s="408">
        <v>0</v>
      </c>
      <c r="DG644" s="408">
        <v>862.60019641107647</v>
      </c>
      <c r="DH644" s="408">
        <v>0</v>
      </c>
      <c r="DI644" s="408">
        <v>-1672.219097972913</v>
      </c>
      <c r="DJ644" s="408"/>
      <c r="DK644" s="408">
        <v>0</v>
      </c>
      <c r="DL644" s="408">
        <v>0</v>
      </c>
      <c r="DM644" s="408">
        <v>-96.77823634593733</v>
      </c>
      <c r="DN644" s="408">
        <v>0</v>
      </c>
      <c r="DO644" s="408">
        <v>-263.27756688906084</v>
      </c>
      <c r="DP644" s="408">
        <v>-41.185409308507133</v>
      </c>
      <c r="DQ644" s="408">
        <v>0</v>
      </c>
      <c r="DR644" s="408">
        <v>0</v>
      </c>
      <c r="DS644" s="408"/>
      <c r="DT644" s="408"/>
      <c r="DU644" s="408"/>
      <c r="DV644" s="408">
        <v>0</v>
      </c>
      <c r="DW644" s="408">
        <v>0</v>
      </c>
      <c r="DX644" s="408">
        <v>0</v>
      </c>
      <c r="DY644" s="408">
        <v>-1086.2772200000181</v>
      </c>
      <c r="DZ644" s="408">
        <v>22790.31117999999</v>
      </c>
      <c r="EA644" s="408">
        <v>0</v>
      </c>
      <c r="EB644" s="408">
        <v>0</v>
      </c>
      <c r="EC644" s="408">
        <v>0</v>
      </c>
      <c r="ED644" s="408">
        <v>0</v>
      </c>
      <c r="EE644" s="408">
        <v>0</v>
      </c>
      <c r="EF644" s="408">
        <v>0</v>
      </c>
      <c r="EG644" s="408">
        <v>0</v>
      </c>
      <c r="EH644" s="408">
        <v>0</v>
      </c>
      <c r="EI644" s="408">
        <v>0</v>
      </c>
      <c r="EJ644" s="408">
        <v>0</v>
      </c>
      <c r="EK644" s="408">
        <v>0</v>
      </c>
      <c r="EL644" s="408">
        <v>0</v>
      </c>
      <c r="EM644" s="408">
        <v>0</v>
      </c>
      <c r="EN644" s="408">
        <v>0</v>
      </c>
      <c r="EO644" s="408">
        <v>0</v>
      </c>
      <c r="EP644" s="408">
        <v>0</v>
      </c>
      <c r="EQ644" s="408">
        <v>0</v>
      </c>
      <c r="ER644" s="408">
        <v>0</v>
      </c>
      <c r="ES644" s="408">
        <v>0</v>
      </c>
      <c r="ET644" s="408">
        <v>0</v>
      </c>
      <c r="EU644" s="408">
        <v>0</v>
      </c>
      <c r="EV644" s="408">
        <v>239</v>
      </c>
      <c r="EW644" s="408">
        <v>0</v>
      </c>
      <c r="EX644" s="408">
        <v>0</v>
      </c>
      <c r="EY644" s="408">
        <v>0</v>
      </c>
      <c r="EZ644" s="408"/>
      <c r="FA644" s="408">
        <v>0</v>
      </c>
      <c r="FB644" s="408"/>
      <c r="FC644" s="408"/>
      <c r="FD644" s="408"/>
      <c r="FE644" s="408"/>
      <c r="FF644" s="408">
        <v>0</v>
      </c>
      <c r="FG644" s="408">
        <v>0</v>
      </c>
      <c r="FH644" s="408">
        <v>0</v>
      </c>
      <c r="FI644" s="408">
        <v>0</v>
      </c>
    </row>
    <row r="645" spans="1:165">
      <c r="A645" s="408">
        <v>650</v>
      </c>
      <c r="B645" s="408" t="s">
        <v>2236</v>
      </c>
      <c r="C645" s="408" t="s">
        <v>2241</v>
      </c>
      <c r="D645" s="408" t="s">
        <v>596</v>
      </c>
      <c r="E645" s="408" t="s">
        <v>968</v>
      </c>
      <c r="F645" s="408" t="s">
        <v>1320</v>
      </c>
      <c r="G645" s="408" t="s">
        <v>1320</v>
      </c>
      <c r="H645" s="408" t="s">
        <v>1320</v>
      </c>
      <c r="I645" s="408" t="s">
        <v>2242</v>
      </c>
      <c r="J645" s="408" t="s">
        <v>2234</v>
      </c>
      <c r="K645" s="827">
        <v>44682</v>
      </c>
      <c r="L645" s="408">
        <v>0</v>
      </c>
      <c r="M645" s="408">
        <v>0</v>
      </c>
      <c r="N645" s="408">
        <v>64.662000000000006</v>
      </c>
      <c r="O645" s="408">
        <v>64.662000000000006</v>
      </c>
      <c r="P645" s="408">
        <v>64.662000000000006</v>
      </c>
      <c r="Q645" s="408">
        <v>64.662000000000006</v>
      </c>
      <c r="R645" s="408"/>
      <c r="S645" s="408">
        <v>70.33</v>
      </c>
      <c r="T645" s="408">
        <v>173.82</v>
      </c>
      <c r="U645" s="408"/>
      <c r="V645" s="408">
        <v>15787.227300000002</v>
      </c>
      <c r="W645" s="408">
        <v>15787.227300000002</v>
      </c>
      <c r="X645" s="408">
        <v>17092.106460000003</v>
      </c>
      <c r="Y645" s="408">
        <v>0</v>
      </c>
      <c r="Z645" s="408">
        <v>3440.0201141560415</v>
      </c>
      <c r="AA645" s="408">
        <v>0</v>
      </c>
      <c r="AB645" s="408">
        <v>0</v>
      </c>
      <c r="AC645" s="408">
        <v>0</v>
      </c>
      <c r="AD645" s="408">
        <v>0</v>
      </c>
      <c r="AE645" s="408">
        <v>0</v>
      </c>
      <c r="AF645" s="408">
        <v>10405.547128380529</v>
      </c>
      <c r="AG645" s="408">
        <v>523.49484798181891</v>
      </c>
      <c r="AH645" s="408">
        <v>0</v>
      </c>
      <c r="AI645" s="408">
        <v>0</v>
      </c>
      <c r="AJ645" s="408">
        <v>0</v>
      </c>
      <c r="AK645" s="408">
        <v>0</v>
      </c>
      <c r="AL645" s="408">
        <v>611.15267687497533</v>
      </c>
      <c r="AM645" s="408"/>
      <c r="AN645" s="408">
        <v>80.357450304119993</v>
      </c>
      <c r="AO645" s="408">
        <v>0</v>
      </c>
      <c r="AP645" s="408">
        <v>0</v>
      </c>
      <c r="AQ645" s="408">
        <v>0</v>
      </c>
      <c r="AR645" s="408">
        <v>0</v>
      </c>
      <c r="AS645" s="408">
        <v>0</v>
      </c>
      <c r="AT645" s="408">
        <v>0</v>
      </c>
      <c r="AU645" s="408">
        <v>0</v>
      </c>
      <c r="AV645" s="408">
        <v>0</v>
      </c>
      <c r="AW645" s="408">
        <v>0</v>
      </c>
      <c r="AX645" s="408">
        <v>0</v>
      </c>
      <c r="AY645" s="408">
        <v>0</v>
      </c>
      <c r="AZ645" s="408">
        <v>0</v>
      </c>
      <c r="BA645" s="408"/>
      <c r="BB645" s="408">
        <v>0</v>
      </c>
      <c r="BC645" s="408">
        <v>0</v>
      </c>
      <c r="BD645" s="408">
        <v>0</v>
      </c>
      <c r="BE645" s="408">
        <v>12.065516960115126</v>
      </c>
      <c r="BF645" s="408">
        <v>310.74541927691808</v>
      </c>
      <c r="BG645" s="408">
        <v>404.02302839698979</v>
      </c>
      <c r="BH645" s="408">
        <v>0</v>
      </c>
      <c r="BI645" s="408">
        <v>0</v>
      </c>
      <c r="BJ645" s="408">
        <v>0</v>
      </c>
      <c r="BK645" s="408">
        <v>0</v>
      </c>
      <c r="BL645" s="408">
        <v>0</v>
      </c>
      <c r="BM645" s="408"/>
      <c r="BN645" s="408"/>
      <c r="BO645" s="408"/>
      <c r="BP645" s="408"/>
      <c r="BQ645" s="408"/>
      <c r="BR645" s="408"/>
      <c r="BS645" s="408"/>
      <c r="BT645" s="408"/>
      <c r="BU645" s="408"/>
      <c r="BV645" s="408">
        <v>11132.381093014554</v>
      </c>
      <c r="BW645" s="408"/>
      <c r="BX645" s="408"/>
      <c r="BY645" s="408"/>
      <c r="BZ645" s="408"/>
      <c r="CA645" s="408"/>
      <c r="CB645" s="408"/>
      <c r="CC645" s="408"/>
      <c r="CD645" s="408"/>
      <c r="CE645" s="408"/>
      <c r="CF645" s="408"/>
      <c r="CG645" s="408"/>
      <c r="CH645" s="408"/>
      <c r="CI645" s="408">
        <v>17091.577799999999</v>
      </c>
      <c r="CJ645" s="408">
        <v>1304.3204999999962</v>
      </c>
      <c r="CK645" s="408"/>
      <c r="CL645" s="408"/>
      <c r="CM645" s="408"/>
      <c r="CN645" s="408"/>
      <c r="CO645" s="408">
        <v>-65.308620000000332</v>
      </c>
      <c r="CP645" s="408">
        <v>1370.18778</v>
      </c>
      <c r="CQ645" s="408">
        <v>31</v>
      </c>
      <c r="CR645" s="408">
        <v>1304.3045970281455</v>
      </c>
      <c r="CS645" s="408">
        <v>0</v>
      </c>
      <c r="CT645" s="408">
        <v>0</v>
      </c>
      <c r="CU645" s="408">
        <v>0</v>
      </c>
      <c r="CV645" s="408">
        <v>0</v>
      </c>
      <c r="CW645" s="408">
        <v>0</v>
      </c>
      <c r="CX645" s="408">
        <v>0</v>
      </c>
      <c r="CY645" s="408">
        <v>0</v>
      </c>
      <c r="CZ645" s="408">
        <v>0</v>
      </c>
      <c r="DA645" s="408">
        <v>0</v>
      </c>
      <c r="DB645" s="408">
        <v>0</v>
      </c>
      <c r="DC645" s="408">
        <v>1335.6669765789775</v>
      </c>
      <c r="DD645" s="408">
        <v>39.887608938824656</v>
      </c>
      <c r="DE645" s="408">
        <v>1.5487424505555065</v>
      </c>
      <c r="DF645" s="408">
        <v>0</v>
      </c>
      <c r="DG645" s="408">
        <v>51.86082097840216</v>
      </c>
      <c r="DH645" s="408">
        <v>0</v>
      </c>
      <c r="DI645" s="408">
        <v>-100.5363268376891</v>
      </c>
      <c r="DJ645" s="408"/>
      <c r="DK645" s="408">
        <v>0</v>
      </c>
      <c r="DL645" s="408">
        <v>0</v>
      </c>
      <c r="DM645" s="408">
        <v>-5.8184531033311941</v>
      </c>
      <c r="DN645" s="408">
        <v>0</v>
      </c>
      <c r="DO645" s="408">
        <v>-15.828643235731533</v>
      </c>
      <c r="DP645" s="408">
        <v>-2.4761287418636613</v>
      </c>
      <c r="DQ645" s="408">
        <v>0</v>
      </c>
      <c r="DR645" s="408">
        <v>0</v>
      </c>
      <c r="DS645" s="408"/>
      <c r="DT645" s="408"/>
      <c r="DU645" s="408"/>
      <c r="DV645" s="408">
        <v>0</v>
      </c>
      <c r="DW645" s="408">
        <v>0</v>
      </c>
      <c r="DX645" s="408">
        <v>0</v>
      </c>
      <c r="DY645" s="408">
        <v>-65.308619999999792</v>
      </c>
      <c r="DZ645" s="408">
        <v>1370.1877800000002</v>
      </c>
      <c r="EA645" s="408">
        <v>0</v>
      </c>
      <c r="EB645" s="408">
        <v>0</v>
      </c>
      <c r="EC645" s="408">
        <v>0</v>
      </c>
      <c r="ED645" s="408">
        <v>0</v>
      </c>
      <c r="EE645" s="408">
        <v>0</v>
      </c>
      <c r="EF645" s="408">
        <v>0</v>
      </c>
      <c r="EG645" s="408">
        <v>0</v>
      </c>
      <c r="EH645" s="408">
        <v>0</v>
      </c>
      <c r="EI645" s="408">
        <v>0</v>
      </c>
      <c r="EJ645" s="408">
        <v>0</v>
      </c>
      <c r="EK645" s="408">
        <v>0</v>
      </c>
      <c r="EL645" s="408">
        <v>0</v>
      </c>
      <c r="EM645" s="408">
        <v>0</v>
      </c>
      <c r="EN645" s="408">
        <v>0</v>
      </c>
      <c r="EO645" s="408">
        <v>0</v>
      </c>
      <c r="EP645" s="408">
        <v>0</v>
      </c>
      <c r="EQ645" s="408">
        <v>0</v>
      </c>
      <c r="ER645" s="408">
        <v>0</v>
      </c>
      <c r="ES645" s="408">
        <v>0</v>
      </c>
      <c r="ET645" s="408">
        <v>0</v>
      </c>
      <c r="EU645" s="408">
        <v>0</v>
      </c>
      <c r="EV645" s="408">
        <v>239</v>
      </c>
      <c r="EW645" s="408">
        <v>0</v>
      </c>
      <c r="EX645" s="408">
        <v>0</v>
      </c>
      <c r="EY645" s="408">
        <v>0</v>
      </c>
      <c r="EZ645" s="408"/>
      <c r="FA645" s="408">
        <v>0</v>
      </c>
      <c r="FB645" s="408"/>
      <c r="FC645" s="408"/>
      <c r="FD645" s="408"/>
      <c r="FE645" s="408"/>
      <c r="FF645" s="408">
        <v>0</v>
      </c>
      <c r="FG645" s="408">
        <v>0</v>
      </c>
      <c r="FH645" s="408">
        <v>0</v>
      </c>
      <c r="FI645" s="408">
        <v>0</v>
      </c>
    </row>
    <row r="646" spans="1:165">
      <c r="A646" s="408">
        <v>651</v>
      </c>
      <c r="B646" s="408" t="s">
        <v>1034</v>
      </c>
      <c r="C646" s="408" t="s">
        <v>2241</v>
      </c>
      <c r="D646" s="408" t="s">
        <v>596</v>
      </c>
      <c r="E646" s="408" t="s">
        <v>968</v>
      </c>
      <c r="F646" s="408" t="s">
        <v>1320</v>
      </c>
      <c r="G646" s="408" t="s">
        <v>1320</v>
      </c>
      <c r="H646" s="408" t="s">
        <v>1320</v>
      </c>
      <c r="I646" s="408" t="s">
        <v>1320</v>
      </c>
      <c r="J646" s="408" t="s">
        <v>2234</v>
      </c>
      <c r="K646" s="827">
        <v>44682</v>
      </c>
      <c r="L646" s="408">
        <v>5019</v>
      </c>
      <c r="M646" s="408">
        <v>5019</v>
      </c>
      <c r="N646" s="408">
        <v>0</v>
      </c>
      <c r="O646" s="408">
        <v>0</v>
      </c>
      <c r="P646" s="408">
        <v>0</v>
      </c>
      <c r="Q646" s="408">
        <v>0</v>
      </c>
      <c r="R646" s="408">
        <v>59.12</v>
      </c>
      <c r="S646" s="408"/>
      <c r="T646" s="408"/>
      <c r="U646" s="408">
        <v>296723.27999999997</v>
      </c>
      <c r="V646" s="408"/>
      <c r="W646" s="408">
        <v>296723.27999999997</v>
      </c>
      <c r="X646" s="408">
        <v>170796.57</v>
      </c>
      <c r="Y646" s="408">
        <v>0</v>
      </c>
      <c r="Z646" s="408">
        <v>0</v>
      </c>
      <c r="AA646" s="408">
        <v>0</v>
      </c>
      <c r="AB646" s="408">
        <v>0</v>
      </c>
      <c r="AC646" s="408">
        <v>2871.1709635717502</v>
      </c>
      <c r="AD646" s="408">
        <v>25682.336683940746</v>
      </c>
      <c r="AE646" s="408">
        <v>241724.06291955008</v>
      </c>
      <c r="AF646" s="408"/>
      <c r="AG646" s="408"/>
      <c r="AH646" s="408"/>
      <c r="AI646" s="408">
        <v>0</v>
      </c>
      <c r="AJ646" s="408">
        <v>0</v>
      </c>
      <c r="AK646" s="408">
        <v>0</v>
      </c>
      <c r="AL646" s="408">
        <v>0</v>
      </c>
      <c r="AM646" s="408"/>
      <c r="AN646" s="408">
        <v>0</v>
      </c>
      <c r="AO646" s="408">
        <v>6063.3139486484115</v>
      </c>
      <c r="AP646" s="408">
        <v>20382.098089516079</v>
      </c>
      <c r="AQ646" s="408">
        <v>0</v>
      </c>
      <c r="AR646" s="408">
        <v>0</v>
      </c>
      <c r="AS646" s="408"/>
      <c r="AT646" s="408"/>
      <c r="AU646" s="408">
        <v>0</v>
      </c>
      <c r="AV646" s="408">
        <v>0</v>
      </c>
      <c r="AW646" s="408">
        <v>0</v>
      </c>
      <c r="AX646" s="408"/>
      <c r="AY646" s="408"/>
      <c r="AZ646" s="408">
        <v>0</v>
      </c>
      <c r="BA646" s="408"/>
      <c r="BB646" s="408">
        <v>0</v>
      </c>
      <c r="BC646" s="408">
        <v>0</v>
      </c>
      <c r="BD646" s="408">
        <v>0</v>
      </c>
      <c r="BE646" s="408">
        <v>0</v>
      </c>
      <c r="BF646" s="408"/>
      <c r="BG646" s="408">
        <v>0</v>
      </c>
      <c r="BH646" s="408">
        <v>0</v>
      </c>
      <c r="BI646" s="408">
        <v>3968.78</v>
      </c>
      <c r="BJ646" s="408">
        <v>18298.810000000001</v>
      </c>
      <c r="BK646" s="408">
        <v>110931.1</v>
      </c>
      <c r="BL646" s="408">
        <v>24</v>
      </c>
      <c r="BM646" s="408"/>
      <c r="BN646" s="408"/>
      <c r="BO646" s="408"/>
      <c r="BP646" s="408"/>
      <c r="BQ646" s="408"/>
      <c r="BR646" s="408"/>
      <c r="BS646" s="408"/>
      <c r="BT646" s="408"/>
      <c r="BU646" s="408"/>
      <c r="BV646" s="408">
        <v>0</v>
      </c>
      <c r="BW646" s="408"/>
      <c r="BX646" s="408"/>
      <c r="BY646" s="408"/>
      <c r="BZ646" s="408"/>
      <c r="CA646" s="408"/>
      <c r="CB646" s="408"/>
      <c r="CC646" s="408"/>
      <c r="CD646" s="408"/>
      <c r="CE646" s="408"/>
      <c r="CF646" s="408"/>
      <c r="CG646" s="408"/>
      <c r="CH646" s="408"/>
      <c r="CI646" s="408">
        <v>170796.57</v>
      </c>
      <c r="CJ646" s="408">
        <v>-125926.73999999999</v>
      </c>
      <c r="CK646" s="408"/>
      <c r="CL646" s="408"/>
      <c r="CM646" s="408"/>
      <c r="CN646" s="408"/>
      <c r="CO646" s="408">
        <v>-125926.70999999998</v>
      </c>
      <c r="CP646" s="408">
        <v>0</v>
      </c>
      <c r="CQ646" s="408">
        <v>31</v>
      </c>
      <c r="CR646" s="408">
        <v>2075.2439698979433</v>
      </c>
      <c r="CS646" s="408">
        <v>588.70947810666803</v>
      </c>
      <c r="CT646" s="408">
        <v>1978.9729561459899</v>
      </c>
      <c r="CU646" s="408">
        <v>0</v>
      </c>
      <c r="CV646" s="408">
        <v>0</v>
      </c>
      <c r="CW646" s="408"/>
      <c r="CX646" s="408"/>
      <c r="CY646" s="408"/>
      <c r="CZ646" s="408">
        <v>-492.43846435472005</v>
      </c>
      <c r="DA646" s="408">
        <v>0</v>
      </c>
      <c r="DB646" s="408">
        <v>0</v>
      </c>
      <c r="DC646" s="408"/>
      <c r="DD646" s="408"/>
      <c r="DE646" s="408">
        <v>0</v>
      </c>
      <c r="DF646" s="408">
        <v>0</v>
      </c>
      <c r="DG646" s="408">
        <v>0</v>
      </c>
      <c r="DH646" s="408">
        <v>0</v>
      </c>
      <c r="DI646" s="408">
        <v>0</v>
      </c>
      <c r="DJ646" s="408"/>
      <c r="DK646" s="408">
        <v>0</v>
      </c>
      <c r="DL646" s="408">
        <v>0</v>
      </c>
      <c r="DM646" s="408"/>
      <c r="DN646" s="408">
        <v>0</v>
      </c>
      <c r="DO646" s="408">
        <v>0</v>
      </c>
      <c r="DP646" s="408">
        <v>0</v>
      </c>
      <c r="DQ646" s="408">
        <v>0</v>
      </c>
      <c r="DR646" s="408">
        <v>0</v>
      </c>
      <c r="DS646" s="408"/>
      <c r="DT646" s="408"/>
      <c r="DU646" s="408">
        <v>241724.06291955008</v>
      </c>
      <c r="DV646" s="408"/>
      <c r="DW646" s="408">
        <v>0</v>
      </c>
      <c r="DX646" s="408">
        <v>0</v>
      </c>
      <c r="DY646" s="408">
        <v>-125926.70999999996</v>
      </c>
      <c r="DZ646" s="408"/>
      <c r="EA646" s="408">
        <v>0</v>
      </c>
      <c r="EB646" s="408"/>
      <c r="EC646" s="408">
        <v>-127980.07620015796</v>
      </c>
      <c r="ED646" s="408"/>
      <c r="EE646" s="408">
        <v>0</v>
      </c>
      <c r="EF646" s="408">
        <v>0</v>
      </c>
      <c r="EG646" s="408"/>
      <c r="EH646" s="408">
        <v>0</v>
      </c>
      <c r="EI646" s="408">
        <v>0</v>
      </c>
      <c r="EJ646" s="408">
        <v>0</v>
      </c>
      <c r="EK646" s="408">
        <v>0</v>
      </c>
      <c r="EL646" s="408">
        <v>0</v>
      </c>
      <c r="EM646" s="408"/>
      <c r="EN646" s="408"/>
      <c r="EO646" s="408">
        <v>0</v>
      </c>
      <c r="EP646" s="408">
        <v>0</v>
      </c>
      <c r="EQ646" s="408"/>
      <c r="ER646" s="408">
        <v>0</v>
      </c>
      <c r="ES646" s="408"/>
      <c r="ET646" s="408">
        <v>0</v>
      </c>
      <c r="EU646" s="408"/>
      <c r="EV646" s="408">
        <v>239</v>
      </c>
      <c r="EW646" s="408"/>
      <c r="EX646" s="408"/>
      <c r="EY646" s="408"/>
      <c r="EZ646" s="408"/>
      <c r="FA646" s="408">
        <v>0</v>
      </c>
      <c r="FB646" s="408"/>
      <c r="FC646" s="408"/>
      <c r="FD646" s="408"/>
      <c r="FE646" s="408"/>
      <c r="FF646" s="408">
        <v>0</v>
      </c>
      <c r="FG646" s="408">
        <v>0</v>
      </c>
      <c r="FH646" s="408">
        <v>0</v>
      </c>
      <c r="FI646" s="408">
        <v>0</v>
      </c>
    </row>
    <row r="647" spans="1:165">
      <c r="A647" s="408">
        <v>652</v>
      </c>
      <c r="B647" s="408" t="s">
        <v>2236</v>
      </c>
      <c r="C647" s="408" t="s">
        <v>2241</v>
      </c>
      <c r="D647" s="408" t="s">
        <v>596</v>
      </c>
      <c r="E647" s="408" t="s">
        <v>968</v>
      </c>
      <c r="F647" s="408" t="s">
        <v>1320</v>
      </c>
      <c r="G647" s="408" t="s">
        <v>1320</v>
      </c>
      <c r="H647" s="408" t="s">
        <v>1320</v>
      </c>
      <c r="I647" s="408" t="s">
        <v>1320</v>
      </c>
      <c r="J647" s="408" t="s">
        <v>2234</v>
      </c>
      <c r="K647" s="827">
        <v>44682</v>
      </c>
      <c r="L647" s="408">
        <v>435</v>
      </c>
      <c r="M647" s="408">
        <v>435</v>
      </c>
      <c r="N647" s="408">
        <v>0</v>
      </c>
      <c r="O647" s="408">
        <v>0</v>
      </c>
      <c r="P647" s="408">
        <v>0</v>
      </c>
      <c r="Q647" s="408">
        <v>0</v>
      </c>
      <c r="R647" s="408">
        <v>59.12</v>
      </c>
      <c r="S647" s="408"/>
      <c r="T647" s="408"/>
      <c r="U647" s="408">
        <v>25717.199999999997</v>
      </c>
      <c r="V647" s="408"/>
      <c r="W647" s="408">
        <v>25717.199999999997</v>
      </c>
      <c r="X647" s="408">
        <v>14803.050000000001</v>
      </c>
      <c r="Y647" s="408">
        <v>0</v>
      </c>
      <c r="Z647" s="408">
        <v>0</v>
      </c>
      <c r="AA647" s="408">
        <v>0</v>
      </c>
      <c r="AB647" s="408">
        <v>0</v>
      </c>
      <c r="AC647" s="408">
        <v>248.84625805015168</v>
      </c>
      <c r="AD647" s="408">
        <v>2225.9048530612122</v>
      </c>
      <c r="AE647" s="408">
        <v>20950.382022316055</v>
      </c>
      <c r="AF647" s="408"/>
      <c r="AG647" s="408"/>
      <c r="AH647" s="408"/>
      <c r="AI647" s="408">
        <v>0</v>
      </c>
      <c r="AJ647" s="408">
        <v>0</v>
      </c>
      <c r="AK647" s="408">
        <v>0</v>
      </c>
      <c r="AL647" s="408">
        <v>0</v>
      </c>
      <c r="AM647" s="408"/>
      <c r="AN647" s="408">
        <v>0</v>
      </c>
      <c r="AO647" s="408">
        <v>525.51137032517613</v>
      </c>
      <c r="AP647" s="408">
        <v>1766.5297208486738</v>
      </c>
      <c r="AQ647" s="408">
        <v>0</v>
      </c>
      <c r="AR647" s="408">
        <v>0</v>
      </c>
      <c r="AS647" s="408"/>
      <c r="AT647" s="408"/>
      <c r="AU647" s="408">
        <v>0</v>
      </c>
      <c r="AV647" s="408">
        <v>0</v>
      </c>
      <c r="AW647" s="408">
        <v>0</v>
      </c>
      <c r="AX647" s="408"/>
      <c r="AY647" s="408"/>
      <c r="AZ647" s="408">
        <v>0</v>
      </c>
      <c r="BA647" s="408"/>
      <c r="BB647" s="408">
        <v>0</v>
      </c>
      <c r="BC647" s="408">
        <v>0</v>
      </c>
      <c r="BD647" s="408">
        <v>0</v>
      </c>
      <c r="BE647" s="408">
        <v>0</v>
      </c>
      <c r="BF647" s="408"/>
      <c r="BG647" s="408">
        <v>0</v>
      </c>
      <c r="BH647" s="408">
        <v>0</v>
      </c>
      <c r="BI647" s="408">
        <v>278.39</v>
      </c>
      <c r="BJ647" s="408">
        <v>1283.57</v>
      </c>
      <c r="BK647" s="408">
        <v>7079.61</v>
      </c>
      <c r="BL647" s="408">
        <v>2</v>
      </c>
      <c r="BM647" s="408"/>
      <c r="BN647" s="408"/>
      <c r="BO647" s="408"/>
      <c r="BP647" s="408"/>
      <c r="BQ647" s="408"/>
      <c r="BR647" s="408"/>
      <c r="BS647" s="408"/>
      <c r="BT647" s="408"/>
      <c r="BU647" s="408"/>
      <c r="BV647" s="408">
        <v>0</v>
      </c>
      <c r="BW647" s="408"/>
      <c r="BX647" s="408"/>
      <c r="BY647" s="408"/>
      <c r="BZ647" s="408"/>
      <c r="CA647" s="408"/>
      <c r="CB647" s="408"/>
      <c r="CC647" s="408"/>
      <c r="CD647" s="408"/>
      <c r="CE647" s="408"/>
      <c r="CF647" s="408"/>
      <c r="CG647" s="408"/>
      <c r="CH647" s="408"/>
      <c r="CI647" s="408">
        <v>14803.050000000001</v>
      </c>
      <c r="CJ647" s="408">
        <v>-10914.179999999991</v>
      </c>
      <c r="CK647" s="408"/>
      <c r="CL647" s="408"/>
      <c r="CM647" s="408"/>
      <c r="CN647" s="408"/>
      <c r="CO647" s="408">
        <v>-10914.149999999998</v>
      </c>
      <c r="CP647" s="408">
        <v>0</v>
      </c>
      <c r="CQ647" s="408">
        <v>31</v>
      </c>
      <c r="CR647" s="408">
        <v>179.86274694273925</v>
      </c>
      <c r="CS647" s="408">
        <v>51.023834025981387</v>
      </c>
      <c r="CT647" s="408">
        <v>171.51887545796103</v>
      </c>
      <c r="CU647" s="408">
        <v>0</v>
      </c>
      <c r="CV647" s="408">
        <v>0</v>
      </c>
      <c r="CW647" s="408"/>
      <c r="CX647" s="408"/>
      <c r="CY647" s="408"/>
      <c r="CZ647" s="408">
        <v>-42.679962541203622</v>
      </c>
      <c r="DA647" s="408">
        <v>0</v>
      </c>
      <c r="DB647" s="408">
        <v>0</v>
      </c>
      <c r="DC647" s="408"/>
      <c r="DD647" s="408"/>
      <c r="DE647" s="408">
        <v>0</v>
      </c>
      <c r="DF647" s="408">
        <v>0</v>
      </c>
      <c r="DG647" s="408">
        <v>0</v>
      </c>
      <c r="DH647" s="408">
        <v>0</v>
      </c>
      <c r="DI647" s="408">
        <v>0</v>
      </c>
      <c r="DJ647" s="408"/>
      <c r="DK647" s="408">
        <v>0</v>
      </c>
      <c r="DL647" s="408">
        <v>0</v>
      </c>
      <c r="DM647" s="408"/>
      <c r="DN647" s="408">
        <v>0</v>
      </c>
      <c r="DO647" s="408">
        <v>0</v>
      </c>
      <c r="DP647" s="408">
        <v>0</v>
      </c>
      <c r="DQ647" s="408">
        <v>0</v>
      </c>
      <c r="DR647" s="408">
        <v>0</v>
      </c>
      <c r="DS647" s="408"/>
      <c r="DT647" s="408"/>
      <c r="DU647" s="408">
        <v>20950.382022316055</v>
      </c>
      <c r="DV647" s="408"/>
      <c r="DW647" s="408">
        <v>0</v>
      </c>
      <c r="DX647" s="408">
        <v>0</v>
      </c>
      <c r="DY647" s="408">
        <v>-10914.149999999996</v>
      </c>
      <c r="DZ647" s="408"/>
      <c r="EA647" s="408">
        <v>0</v>
      </c>
      <c r="EB647" s="408"/>
      <c r="EC647" s="408">
        <v>-11092.116586385477</v>
      </c>
      <c r="ED647" s="408"/>
      <c r="EE647" s="408">
        <v>0</v>
      </c>
      <c r="EF647" s="408">
        <v>0</v>
      </c>
      <c r="EG647" s="408"/>
      <c r="EH647" s="408">
        <v>0</v>
      </c>
      <c r="EI647" s="408">
        <v>0</v>
      </c>
      <c r="EJ647" s="408">
        <v>0</v>
      </c>
      <c r="EK647" s="408">
        <v>0</v>
      </c>
      <c r="EL647" s="408">
        <v>0</v>
      </c>
      <c r="EM647" s="408"/>
      <c r="EN647" s="408"/>
      <c r="EO647" s="408">
        <v>0</v>
      </c>
      <c r="EP647" s="408">
        <v>0</v>
      </c>
      <c r="EQ647" s="408"/>
      <c r="ER647" s="408">
        <v>0</v>
      </c>
      <c r="ES647" s="408"/>
      <c r="ET647" s="408">
        <v>0</v>
      </c>
      <c r="EU647" s="408"/>
      <c r="EV647" s="408">
        <v>239</v>
      </c>
      <c r="EW647" s="408"/>
      <c r="EX647" s="408"/>
      <c r="EY647" s="408"/>
      <c r="EZ647" s="408"/>
      <c r="FA647" s="408">
        <v>0</v>
      </c>
      <c r="FB647" s="408"/>
      <c r="FC647" s="408"/>
      <c r="FD647" s="408"/>
      <c r="FE647" s="408"/>
      <c r="FF647" s="408">
        <v>0</v>
      </c>
      <c r="FG647" s="408">
        <v>0</v>
      </c>
      <c r="FH647" s="408">
        <v>0</v>
      </c>
      <c r="FI647" s="408">
        <v>0</v>
      </c>
    </row>
    <row r="648" spans="1:165">
      <c r="A648" s="408">
        <v>653</v>
      </c>
      <c r="B648" s="408" t="s">
        <v>1034</v>
      </c>
      <c r="C648" s="408" t="s">
        <v>2233</v>
      </c>
      <c r="D648" s="408" t="s">
        <v>1956</v>
      </c>
      <c r="E648" s="408" t="s">
        <v>996</v>
      </c>
      <c r="F648" s="408" t="s">
        <v>1320</v>
      </c>
      <c r="G648" s="408" t="s">
        <v>1320</v>
      </c>
      <c r="H648" s="408" t="s">
        <v>1320</v>
      </c>
      <c r="I648" s="408" t="s">
        <v>1320</v>
      </c>
      <c r="J648" s="408" t="s">
        <v>2234</v>
      </c>
      <c r="K648" s="827">
        <v>44682</v>
      </c>
      <c r="L648" s="408">
        <v>0</v>
      </c>
      <c r="M648" s="408">
        <v>0</v>
      </c>
      <c r="N648" s="408">
        <v>369.22399999999999</v>
      </c>
      <c r="O648" s="408">
        <v>369.22399999999999</v>
      </c>
      <c r="P648" s="408">
        <v>369.22399999999999</v>
      </c>
      <c r="Q648" s="408">
        <v>369.22399999999999</v>
      </c>
      <c r="R648" s="408"/>
      <c r="S648" s="408">
        <v>516.83000000000004</v>
      </c>
      <c r="T648" s="408">
        <v>173.82</v>
      </c>
      <c r="U648" s="408"/>
      <c r="V648" s="408">
        <v>255004.55560000002</v>
      </c>
      <c r="W648" s="408">
        <v>255004.55560000002</v>
      </c>
      <c r="X648" s="408">
        <v>192531.85479999997</v>
      </c>
      <c r="Y648" s="408">
        <v>0</v>
      </c>
      <c r="Z648" s="408">
        <v>22577.846652800541</v>
      </c>
      <c r="AA648" s="408">
        <v>0</v>
      </c>
      <c r="AB648" s="408">
        <v>0</v>
      </c>
      <c r="AC648" s="408">
        <v>1003.7147945536706</v>
      </c>
      <c r="AD648" s="408">
        <v>12711.131212623295</v>
      </c>
      <c r="AE648" s="408">
        <v>134255.67835462926</v>
      </c>
      <c r="AF648" s="408">
        <v>59416.314573152267</v>
      </c>
      <c r="AG648" s="408">
        <v>2989.1878035204459</v>
      </c>
      <c r="AH648" s="408">
        <v>0</v>
      </c>
      <c r="AI648" s="408">
        <v>0</v>
      </c>
      <c r="AJ648" s="408">
        <v>0</v>
      </c>
      <c r="AK648" s="408">
        <v>0</v>
      </c>
      <c r="AL648" s="408">
        <v>3489.719401912806</v>
      </c>
      <c r="AM648" s="408"/>
      <c r="AN648" s="408">
        <v>572.86653412190185</v>
      </c>
      <c r="AO648" s="408">
        <v>2140.9467593475038</v>
      </c>
      <c r="AP648" s="408">
        <v>7011.3111559944446</v>
      </c>
      <c r="AQ648" s="408">
        <v>0</v>
      </c>
      <c r="AR648" s="408">
        <v>0</v>
      </c>
      <c r="AS648" s="408">
        <v>0</v>
      </c>
      <c r="AT648" s="408">
        <v>0</v>
      </c>
      <c r="AU648" s="408">
        <v>0</v>
      </c>
      <c r="AV648" s="408">
        <v>0</v>
      </c>
      <c r="AW648" s="408">
        <v>0</v>
      </c>
      <c r="AX648" s="408">
        <v>0</v>
      </c>
      <c r="AY648" s="408">
        <v>0</v>
      </c>
      <c r="AZ648" s="408">
        <v>0</v>
      </c>
      <c r="BA648" s="408"/>
      <c r="BB648" s="408">
        <v>0</v>
      </c>
      <c r="BC648" s="408">
        <v>0</v>
      </c>
      <c r="BD648" s="408">
        <v>0</v>
      </c>
      <c r="BE648" s="408">
        <v>204.85013371844678</v>
      </c>
      <c r="BF648" s="408">
        <v>1774.3754707107851</v>
      </c>
      <c r="BG648" s="408">
        <v>6859.5628074659398</v>
      </c>
      <c r="BH648" s="408">
        <v>0</v>
      </c>
      <c r="BI648" s="408">
        <v>1467.76</v>
      </c>
      <c r="BJ648" s="408">
        <v>6780.72</v>
      </c>
      <c r="BK648" s="408">
        <v>68102.42</v>
      </c>
      <c r="BL648" s="408">
        <v>540</v>
      </c>
      <c r="BM648" s="408"/>
      <c r="BN648" s="408"/>
      <c r="BO648" s="408"/>
      <c r="BP648" s="408"/>
      <c r="BQ648" s="408"/>
      <c r="BR648" s="408"/>
      <c r="BS648" s="408"/>
      <c r="BT648" s="408"/>
      <c r="BU648" s="408"/>
      <c r="BV648" s="408">
        <v>68255.102985047444</v>
      </c>
      <c r="BW648" s="408"/>
      <c r="BX648" s="408"/>
      <c r="BY648" s="408"/>
      <c r="BZ648" s="408"/>
      <c r="CA648" s="408"/>
      <c r="CB648" s="408"/>
      <c r="CC648" s="408"/>
      <c r="CD648" s="408"/>
      <c r="CE648" s="408"/>
      <c r="CF648" s="408"/>
      <c r="CG648" s="408"/>
      <c r="CH648" s="408"/>
      <c r="CI648" s="408">
        <v>192529.769</v>
      </c>
      <c r="CJ648" s="408">
        <v>-62474.816600000049</v>
      </c>
      <c r="CK648" s="408"/>
      <c r="CL648" s="408"/>
      <c r="CM648" s="408"/>
      <c r="CN648" s="408"/>
      <c r="CO648" s="408">
        <v>-70296.557360000021</v>
      </c>
      <c r="CP648" s="408">
        <v>7823.8565599999993</v>
      </c>
      <c r="CQ648" s="408">
        <v>31</v>
      </c>
      <c r="CR648" s="408">
        <v>8605.0898730681656</v>
      </c>
      <c r="CS648" s="408">
        <v>207.8724044349733</v>
      </c>
      <c r="CT648" s="408">
        <v>680.75401776100898</v>
      </c>
      <c r="CU648" s="408">
        <v>0</v>
      </c>
      <c r="CV648" s="408">
        <v>0</v>
      </c>
      <c r="CW648" s="408">
        <v>0</v>
      </c>
      <c r="CX648" s="408">
        <v>0</v>
      </c>
      <c r="CY648" s="408">
        <v>0</v>
      </c>
      <c r="CZ648" s="408">
        <v>-243.72587321734318</v>
      </c>
      <c r="DA648" s="408">
        <v>0</v>
      </c>
      <c r="DB648" s="408">
        <v>0</v>
      </c>
      <c r="DC648" s="408">
        <v>7626.7406476817414</v>
      </c>
      <c r="DD648" s="408">
        <v>227.76070215626783</v>
      </c>
      <c r="DE648" s="408">
        <v>26.294778677158178</v>
      </c>
      <c r="DF648" s="408">
        <v>0</v>
      </c>
      <c r="DG648" s="408">
        <v>880.50069858529696</v>
      </c>
      <c r="DH648" s="408">
        <v>0</v>
      </c>
      <c r="DI648" s="408">
        <v>-659.84898199759846</v>
      </c>
      <c r="DJ648" s="408"/>
      <c r="DK648" s="408">
        <v>0</v>
      </c>
      <c r="DL648" s="408">
        <v>0</v>
      </c>
      <c r="DM648" s="408">
        <v>-33.223725350659606</v>
      </c>
      <c r="DN648" s="408">
        <v>0</v>
      </c>
      <c r="DO648" s="408">
        <v>-90.382527142211984</v>
      </c>
      <c r="DP648" s="408">
        <v>-17.652268520497728</v>
      </c>
      <c r="DQ648" s="408">
        <v>0</v>
      </c>
      <c r="DR648" s="408">
        <v>0</v>
      </c>
      <c r="DS648" s="408"/>
      <c r="DT648" s="408"/>
      <c r="DU648" s="408"/>
      <c r="DV648" s="408">
        <v>134255.67835462926</v>
      </c>
      <c r="DW648" s="408">
        <v>0</v>
      </c>
      <c r="DX648" s="408">
        <v>0</v>
      </c>
      <c r="DY648" s="408">
        <v>-70296.557360000021</v>
      </c>
      <c r="DZ648" s="408">
        <v>7823.8565600000002</v>
      </c>
      <c r="EA648" s="408">
        <v>0</v>
      </c>
      <c r="EB648" s="408">
        <v>0</v>
      </c>
      <c r="EC648" s="408">
        <v>-71081.264060367103</v>
      </c>
      <c r="ED648" s="408">
        <v>0</v>
      </c>
      <c r="EE648" s="408">
        <v>0</v>
      </c>
      <c r="EF648" s="408">
        <v>0</v>
      </c>
      <c r="EG648" s="408">
        <v>0</v>
      </c>
      <c r="EH648" s="408">
        <v>0</v>
      </c>
      <c r="EI648" s="408">
        <v>0</v>
      </c>
      <c r="EJ648" s="408">
        <v>0</v>
      </c>
      <c r="EK648" s="408">
        <v>0</v>
      </c>
      <c r="EL648" s="408">
        <v>0</v>
      </c>
      <c r="EM648" s="408">
        <v>0</v>
      </c>
      <c r="EN648" s="408">
        <v>0</v>
      </c>
      <c r="EO648" s="408">
        <v>0</v>
      </c>
      <c r="EP648" s="408">
        <v>0</v>
      </c>
      <c r="EQ648" s="408">
        <v>0</v>
      </c>
      <c r="ER648" s="408">
        <v>0</v>
      </c>
      <c r="ES648" s="408">
        <v>0</v>
      </c>
      <c r="ET648" s="408">
        <v>0</v>
      </c>
      <c r="EU648" s="408">
        <v>0</v>
      </c>
      <c r="EV648" s="408">
        <v>239</v>
      </c>
      <c r="EW648" s="408">
        <v>0</v>
      </c>
      <c r="EX648" s="408">
        <v>0</v>
      </c>
      <c r="EY648" s="408">
        <v>0</v>
      </c>
      <c r="EZ648" s="408"/>
      <c r="FA648" s="408">
        <v>0</v>
      </c>
      <c r="FB648" s="408"/>
      <c r="FC648" s="408"/>
      <c r="FD648" s="408"/>
      <c r="FE648" s="408"/>
      <c r="FF648" s="408">
        <v>0</v>
      </c>
      <c r="FG648" s="408">
        <v>0</v>
      </c>
      <c r="FH648" s="408">
        <v>0</v>
      </c>
      <c r="FI648" s="408">
        <v>0</v>
      </c>
    </row>
    <row r="649" spans="1:165">
      <c r="A649" s="408">
        <v>654</v>
      </c>
      <c r="B649" s="408" t="s">
        <v>2236</v>
      </c>
      <c r="C649" s="408" t="s">
        <v>2233</v>
      </c>
      <c r="D649" s="408" t="s">
        <v>1956</v>
      </c>
      <c r="E649" s="408" t="s">
        <v>996</v>
      </c>
      <c r="F649" s="408" t="s">
        <v>1320</v>
      </c>
      <c r="G649" s="408" t="s">
        <v>1320</v>
      </c>
      <c r="H649" s="408" t="s">
        <v>1320</v>
      </c>
      <c r="I649" s="408" t="s">
        <v>1320</v>
      </c>
      <c r="J649" s="408" t="s">
        <v>2234</v>
      </c>
      <c r="K649" s="827">
        <v>44682</v>
      </c>
      <c r="L649" s="408">
        <v>0</v>
      </c>
      <c r="M649" s="408">
        <v>0</v>
      </c>
      <c r="N649" s="408">
        <v>41.85</v>
      </c>
      <c r="O649" s="408">
        <v>41.85</v>
      </c>
      <c r="P649" s="408">
        <v>41.85</v>
      </c>
      <c r="Q649" s="408">
        <v>41.85</v>
      </c>
      <c r="R649" s="408"/>
      <c r="S649" s="408">
        <v>516.83000000000004</v>
      </c>
      <c r="T649" s="408">
        <v>173.82</v>
      </c>
      <c r="U649" s="408"/>
      <c r="V649" s="408">
        <v>28903.702499999999</v>
      </c>
      <c r="W649" s="408">
        <v>28903.702499999999</v>
      </c>
      <c r="X649" s="408">
        <v>21822.682500000003</v>
      </c>
      <c r="Y649" s="408">
        <v>0</v>
      </c>
      <c r="Z649" s="408">
        <v>2559.1047234732919</v>
      </c>
      <c r="AA649" s="408">
        <v>0</v>
      </c>
      <c r="AB649" s="408">
        <v>0</v>
      </c>
      <c r="AC649" s="408">
        <v>113.76688447140792</v>
      </c>
      <c r="AD649" s="408">
        <v>1440.753692198462</v>
      </c>
      <c r="AE649" s="408">
        <v>15217.321027726353</v>
      </c>
      <c r="AF649" s="408">
        <v>6734.5913724092215</v>
      </c>
      <c r="AG649" s="408">
        <v>338.81196665799263</v>
      </c>
      <c r="AH649" s="408">
        <v>0</v>
      </c>
      <c r="AI649" s="408">
        <v>0</v>
      </c>
      <c r="AJ649" s="408">
        <v>0</v>
      </c>
      <c r="AK649" s="408">
        <v>0</v>
      </c>
      <c r="AL649" s="408">
        <v>395.54513512136521</v>
      </c>
      <c r="AM649" s="408"/>
      <c r="AN649" s="408">
        <v>64.932031647459524</v>
      </c>
      <c r="AO649" s="408">
        <v>242.66738315681818</v>
      </c>
      <c r="AP649" s="408">
        <v>794.70286838983247</v>
      </c>
      <c r="AQ649" s="408">
        <v>0</v>
      </c>
      <c r="AR649" s="408">
        <v>0</v>
      </c>
      <c r="AS649" s="408">
        <v>0</v>
      </c>
      <c r="AT649" s="408">
        <v>0</v>
      </c>
      <c r="AU649" s="408">
        <v>0</v>
      </c>
      <c r="AV649" s="408">
        <v>0</v>
      </c>
      <c r="AW649" s="408">
        <v>0</v>
      </c>
      <c r="AX649" s="408">
        <v>0</v>
      </c>
      <c r="AY649" s="408">
        <v>0</v>
      </c>
      <c r="AZ649" s="408">
        <v>0</v>
      </c>
      <c r="BA649" s="408"/>
      <c r="BB649" s="408">
        <v>0</v>
      </c>
      <c r="BC649" s="408">
        <v>0</v>
      </c>
      <c r="BD649" s="408">
        <v>0</v>
      </c>
      <c r="BE649" s="408">
        <v>23.21890802363064</v>
      </c>
      <c r="BF649" s="408">
        <v>201.11805692275246</v>
      </c>
      <c r="BG649" s="408">
        <v>777.50282617719756</v>
      </c>
      <c r="BH649" s="408">
        <v>0</v>
      </c>
      <c r="BI649" s="408">
        <v>166.54</v>
      </c>
      <c r="BJ649" s="408">
        <v>768.88</v>
      </c>
      <c r="BK649" s="408">
        <v>12540.53</v>
      </c>
      <c r="BL649" s="408">
        <v>53</v>
      </c>
      <c r="BM649" s="408"/>
      <c r="BN649" s="408"/>
      <c r="BO649" s="408"/>
      <c r="BP649" s="408"/>
      <c r="BQ649" s="408"/>
      <c r="BR649" s="408"/>
      <c r="BS649" s="408"/>
      <c r="BT649" s="408"/>
      <c r="BU649" s="408"/>
      <c r="BV649" s="408">
        <v>7736.4311635328022</v>
      </c>
      <c r="BW649" s="408"/>
      <c r="BX649" s="408"/>
      <c r="BY649" s="408"/>
      <c r="BZ649" s="408"/>
      <c r="CA649" s="408"/>
      <c r="CB649" s="408"/>
      <c r="CC649" s="408"/>
      <c r="CD649" s="408"/>
      <c r="CE649" s="408"/>
      <c r="CF649" s="408"/>
      <c r="CG649" s="408"/>
      <c r="CH649" s="408"/>
      <c r="CI649" s="408">
        <v>21822.682500000003</v>
      </c>
      <c r="CJ649" s="408">
        <v>-7081.049999999992</v>
      </c>
      <c r="CK649" s="408"/>
      <c r="CL649" s="408"/>
      <c r="CM649" s="408"/>
      <c r="CN649" s="408"/>
      <c r="CO649" s="408">
        <v>-7967.8215000000018</v>
      </c>
      <c r="CP649" s="408">
        <v>886.80149999999992</v>
      </c>
      <c r="CQ649" s="408">
        <v>31</v>
      </c>
      <c r="CR649" s="408">
        <v>975.35103673623598</v>
      </c>
      <c r="CS649" s="408">
        <v>23.561469800456223</v>
      </c>
      <c r="CT649" s="408">
        <v>77.160627812109283</v>
      </c>
      <c r="CU649" s="408">
        <v>0</v>
      </c>
      <c r="CV649" s="408">
        <v>0</v>
      </c>
      <c r="CW649" s="408">
        <v>0</v>
      </c>
      <c r="CX649" s="408">
        <v>0</v>
      </c>
      <c r="CY649" s="408">
        <v>0</v>
      </c>
      <c r="CZ649" s="408">
        <v>-27.625310906511459</v>
      </c>
      <c r="DA649" s="408">
        <v>0</v>
      </c>
      <c r="DB649" s="408">
        <v>0</v>
      </c>
      <c r="DC649" s="408">
        <v>864.45923370496166</v>
      </c>
      <c r="DD649" s="408">
        <v>25.815725373323005</v>
      </c>
      <c r="DE649" s="408">
        <v>2.9804034614192716</v>
      </c>
      <c r="DF649" s="408">
        <v>0</v>
      </c>
      <c r="DG649" s="408">
        <v>99.801080741757573</v>
      </c>
      <c r="DH649" s="408">
        <v>0</v>
      </c>
      <c r="DI649" s="408">
        <v>-74.791129223992812</v>
      </c>
      <c r="DJ649" s="408"/>
      <c r="DK649" s="408">
        <v>0</v>
      </c>
      <c r="DL649" s="408">
        <v>0</v>
      </c>
      <c r="DM649" s="408">
        <v>-3.7657706593425928</v>
      </c>
      <c r="DN649" s="408">
        <v>0</v>
      </c>
      <c r="DO649" s="408">
        <v>-10.244482376285362</v>
      </c>
      <c r="DP649" s="408">
        <v>-2.0008109916550083</v>
      </c>
      <c r="DQ649" s="408">
        <v>0</v>
      </c>
      <c r="DR649" s="408">
        <v>0</v>
      </c>
      <c r="DS649" s="408"/>
      <c r="DT649" s="408"/>
      <c r="DU649" s="408"/>
      <c r="DV649" s="408">
        <v>15217.321027726353</v>
      </c>
      <c r="DW649" s="408">
        <v>0</v>
      </c>
      <c r="DX649" s="408">
        <v>0</v>
      </c>
      <c r="DY649" s="408">
        <v>-7967.8215</v>
      </c>
      <c r="DZ649" s="408">
        <v>886.80149999999958</v>
      </c>
      <c r="EA649" s="408">
        <v>0</v>
      </c>
      <c r="EB649" s="408">
        <v>0</v>
      </c>
      <c r="EC649" s="408">
        <v>-8056.7647306956305</v>
      </c>
      <c r="ED649" s="408">
        <v>0</v>
      </c>
      <c r="EE649" s="408">
        <v>0</v>
      </c>
      <c r="EF649" s="408">
        <v>0</v>
      </c>
      <c r="EG649" s="408">
        <v>0</v>
      </c>
      <c r="EH649" s="408">
        <v>0</v>
      </c>
      <c r="EI649" s="408">
        <v>0</v>
      </c>
      <c r="EJ649" s="408">
        <v>0</v>
      </c>
      <c r="EK649" s="408">
        <v>0</v>
      </c>
      <c r="EL649" s="408">
        <v>0</v>
      </c>
      <c r="EM649" s="408">
        <v>0</v>
      </c>
      <c r="EN649" s="408">
        <v>0</v>
      </c>
      <c r="EO649" s="408">
        <v>0</v>
      </c>
      <c r="EP649" s="408">
        <v>0</v>
      </c>
      <c r="EQ649" s="408">
        <v>0</v>
      </c>
      <c r="ER649" s="408">
        <v>0</v>
      </c>
      <c r="ES649" s="408">
        <v>0</v>
      </c>
      <c r="ET649" s="408">
        <v>0</v>
      </c>
      <c r="EU649" s="408">
        <v>0</v>
      </c>
      <c r="EV649" s="408">
        <v>239</v>
      </c>
      <c r="EW649" s="408">
        <v>0</v>
      </c>
      <c r="EX649" s="408">
        <v>0</v>
      </c>
      <c r="EY649" s="408">
        <v>0</v>
      </c>
      <c r="EZ649" s="408"/>
      <c r="FA649" s="408">
        <v>0</v>
      </c>
      <c r="FB649" s="408"/>
      <c r="FC649" s="408"/>
      <c r="FD649" s="408"/>
      <c r="FE649" s="408"/>
      <c r="FF649" s="408">
        <v>0</v>
      </c>
      <c r="FG649" s="408">
        <v>0</v>
      </c>
      <c r="FH649" s="408">
        <v>0</v>
      </c>
      <c r="FI649" s="408">
        <v>0</v>
      </c>
    </row>
    <row r="650" spans="1:165">
      <c r="A650" s="408">
        <v>655</v>
      </c>
      <c r="B650" s="408" t="s">
        <v>1034</v>
      </c>
      <c r="C650" s="408" t="s">
        <v>2241</v>
      </c>
      <c r="D650" s="408" t="s">
        <v>596</v>
      </c>
      <c r="E650" s="408" t="s">
        <v>996</v>
      </c>
      <c r="F650" s="408" t="s">
        <v>1320</v>
      </c>
      <c r="G650" s="408" t="s">
        <v>1320</v>
      </c>
      <c r="H650" s="408" t="s">
        <v>1320</v>
      </c>
      <c r="I650" s="408" t="s">
        <v>971</v>
      </c>
      <c r="J650" s="408" t="s">
        <v>2234</v>
      </c>
      <c r="K650" s="827">
        <v>44682</v>
      </c>
      <c r="L650" s="408">
        <v>0</v>
      </c>
      <c r="M650" s="408">
        <v>0</v>
      </c>
      <c r="N650" s="408">
        <v>10.164</v>
      </c>
      <c r="O650" s="408">
        <v>10.164</v>
      </c>
      <c r="P650" s="408">
        <v>10.164</v>
      </c>
      <c r="Q650" s="408">
        <v>10.164</v>
      </c>
      <c r="R650" s="408"/>
      <c r="S650" s="408">
        <v>1684.16</v>
      </c>
      <c r="T650" s="408">
        <v>173.82</v>
      </c>
      <c r="U650" s="408"/>
      <c r="V650" s="408">
        <v>18884.508720000002</v>
      </c>
      <c r="W650" s="408">
        <v>18884.508720000002</v>
      </c>
      <c r="X650" s="408">
        <v>12963.775440000001</v>
      </c>
      <c r="Y650" s="408">
        <v>0</v>
      </c>
      <c r="Z650" s="408">
        <v>540.72506944236181</v>
      </c>
      <c r="AA650" s="408">
        <v>0</v>
      </c>
      <c r="AB650" s="408">
        <v>0</v>
      </c>
      <c r="AC650" s="408">
        <v>182.94590017435061</v>
      </c>
      <c r="AD650" s="408">
        <v>2790.8913841858348</v>
      </c>
      <c r="AE650" s="408">
        <v>11772.884517657787</v>
      </c>
      <c r="AF650" s="408">
        <v>1635.6125856431859</v>
      </c>
      <c r="AG650" s="408">
        <v>82.28637584496623</v>
      </c>
      <c r="AH650" s="408">
        <v>0</v>
      </c>
      <c r="AI650" s="408">
        <v>0</v>
      </c>
      <c r="AJ650" s="408">
        <v>0</v>
      </c>
      <c r="AK650" s="408">
        <v>0</v>
      </c>
      <c r="AL650" s="408">
        <v>96.065012028041949</v>
      </c>
      <c r="AM650" s="408"/>
      <c r="AN650" s="408">
        <v>12.631114485958916</v>
      </c>
      <c r="AO650" s="408">
        <v>392.90104384591217</v>
      </c>
      <c r="AP650" s="408">
        <v>1263.3716921331586</v>
      </c>
      <c r="AQ650" s="408">
        <v>0</v>
      </c>
      <c r="AR650" s="408">
        <v>0</v>
      </c>
      <c r="AS650" s="408">
        <v>0</v>
      </c>
      <c r="AT650" s="408">
        <v>0</v>
      </c>
      <c r="AU650" s="408">
        <v>0</v>
      </c>
      <c r="AV650" s="408">
        <v>0</v>
      </c>
      <c r="AW650" s="408">
        <v>0</v>
      </c>
      <c r="AX650" s="408">
        <v>0</v>
      </c>
      <c r="AY650" s="408">
        <v>0</v>
      </c>
      <c r="AZ650" s="408">
        <v>0</v>
      </c>
      <c r="BA650" s="408"/>
      <c r="BB650" s="408">
        <v>0</v>
      </c>
      <c r="BC650" s="408">
        <v>0</v>
      </c>
      <c r="BD650" s="408">
        <v>0</v>
      </c>
      <c r="BE650" s="408">
        <v>1.8965376014136606</v>
      </c>
      <c r="BF650" s="408">
        <v>48.845016261955934</v>
      </c>
      <c r="BG650" s="408">
        <v>63.507006597800931</v>
      </c>
      <c r="BH650" s="408">
        <v>0</v>
      </c>
      <c r="BI650" s="408">
        <v>0</v>
      </c>
      <c r="BJ650" s="408">
        <v>0</v>
      </c>
      <c r="BK650" s="408">
        <v>0</v>
      </c>
      <c r="BL650" s="408">
        <v>0</v>
      </c>
      <c r="BM650" s="408"/>
      <c r="BN650" s="408"/>
      <c r="BO650" s="408"/>
      <c r="BP650" s="408"/>
      <c r="BQ650" s="408"/>
      <c r="BR650" s="408"/>
      <c r="BS650" s="408"/>
      <c r="BT650" s="408"/>
      <c r="BU650" s="408"/>
      <c r="BV650" s="408">
        <v>1749.8611461043563</v>
      </c>
      <c r="BW650" s="408"/>
      <c r="BX650" s="408"/>
      <c r="BY650" s="408"/>
      <c r="BZ650" s="408"/>
      <c r="CA650" s="408"/>
      <c r="CB650" s="408"/>
      <c r="CC650" s="408"/>
      <c r="CD650" s="408"/>
      <c r="CE650" s="408"/>
      <c r="CF650" s="408"/>
      <c r="CG650" s="408"/>
      <c r="CH650" s="408"/>
      <c r="CI650" s="408">
        <v>12958.673600000002</v>
      </c>
      <c r="CJ650" s="408">
        <v>-5925.8651199999949</v>
      </c>
      <c r="CK650" s="408"/>
      <c r="CL650" s="408"/>
      <c r="CM650" s="408"/>
      <c r="CN650" s="408"/>
      <c r="CO650" s="408">
        <v>-6136.10844</v>
      </c>
      <c r="CP650" s="408">
        <v>215.37515999999997</v>
      </c>
      <c r="CQ650" s="408">
        <v>31</v>
      </c>
      <c r="CR650" s="408">
        <v>312.31969341807326</v>
      </c>
      <c r="CS650" s="408">
        <v>38.148209119478679</v>
      </c>
      <c r="CT650" s="408">
        <v>122.66540968016602</v>
      </c>
      <c r="CU650" s="408">
        <v>0</v>
      </c>
      <c r="CV650" s="408">
        <v>0</v>
      </c>
      <c r="CW650" s="408">
        <v>0</v>
      </c>
      <c r="CX650" s="408">
        <v>0</v>
      </c>
      <c r="CY650" s="408">
        <v>0</v>
      </c>
      <c r="CZ650" s="408">
        <v>-53.513131780910044</v>
      </c>
      <c r="DA650" s="408">
        <v>0</v>
      </c>
      <c r="DB650" s="408">
        <v>0</v>
      </c>
      <c r="DC650" s="408">
        <v>209.94895224318338</v>
      </c>
      <c r="DD650" s="408">
        <v>6.2697976748973758</v>
      </c>
      <c r="DE650" s="408">
        <v>0.24344156177424381</v>
      </c>
      <c r="DF650" s="408">
        <v>0</v>
      </c>
      <c r="DG650" s="408">
        <v>8.1518261795873812</v>
      </c>
      <c r="DH650" s="408">
        <v>0</v>
      </c>
      <c r="DI650" s="408">
        <v>-15.802963502184753</v>
      </c>
      <c r="DJ650" s="408"/>
      <c r="DK650" s="408">
        <v>0</v>
      </c>
      <c r="DL650" s="408">
        <v>0</v>
      </c>
      <c r="DM650" s="408">
        <v>-0.91458286694285107</v>
      </c>
      <c r="DN650" s="408">
        <v>0</v>
      </c>
      <c r="DO650" s="408">
        <v>-2.4880506301688001</v>
      </c>
      <c r="DP650" s="408">
        <v>-0.38921426080699995</v>
      </c>
      <c r="DQ650" s="408">
        <v>0</v>
      </c>
      <c r="DR650" s="408">
        <v>0</v>
      </c>
      <c r="DS650" s="408"/>
      <c r="DT650" s="408"/>
      <c r="DU650" s="408"/>
      <c r="DV650" s="408">
        <v>11772.884517657787</v>
      </c>
      <c r="DW650" s="408">
        <v>0</v>
      </c>
      <c r="DX650" s="408">
        <v>0</v>
      </c>
      <c r="DY650" s="408">
        <v>-6136.10844</v>
      </c>
      <c r="DZ650" s="408">
        <v>215.37516000000005</v>
      </c>
      <c r="EA650" s="408">
        <v>0</v>
      </c>
      <c r="EB650" s="408">
        <v>0</v>
      </c>
      <c r="EC650" s="408">
        <v>-6233.1182070481509</v>
      </c>
      <c r="ED650" s="408">
        <v>0</v>
      </c>
      <c r="EE650" s="408">
        <v>0</v>
      </c>
      <c r="EF650" s="408">
        <v>0</v>
      </c>
      <c r="EG650" s="408">
        <v>0</v>
      </c>
      <c r="EH650" s="408">
        <v>0</v>
      </c>
      <c r="EI650" s="408">
        <v>0</v>
      </c>
      <c r="EJ650" s="408">
        <v>0</v>
      </c>
      <c r="EK650" s="408">
        <v>0</v>
      </c>
      <c r="EL650" s="408">
        <v>0</v>
      </c>
      <c r="EM650" s="408">
        <v>0</v>
      </c>
      <c r="EN650" s="408">
        <v>0</v>
      </c>
      <c r="EO650" s="408">
        <v>0</v>
      </c>
      <c r="EP650" s="408">
        <v>0</v>
      </c>
      <c r="EQ650" s="408">
        <v>0</v>
      </c>
      <c r="ER650" s="408">
        <v>0</v>
      </c>
      <c r="ES650" s="408">
        <v>0</v>
      </c>
      <c r="ET650" s="408">
        <v>0</v>
      </c>
      <c r="EU650" s="408">
        <v>0</v>
      </c>
      <c r="EV650" s="408">
        <v>239</v>
      </c>
      <c r="EW650" s="408">
        <v>0</v>
      </c>
      <c r="EX650" s="408">
        <v>0</v>
      </c>
      <c r="EY650" s="408">
        <v>0</v>
      </c>
      <c r="EZ650" s="408"/>
      <c r="FA650" s="408">
        <v>0</v>
      </c>
      <c r="FB650" s="408"/>
      <c r="FC650" s="408"/>
      <c r="FD650" s="408"/>
      <c r="FE650" s="408"/>
      <c r="FF650" s="408">
        <v>0</v>
      </c>
      <c r="FG650" s="408">
        <v>0</v>
      </c>
      <c r="FH650" s="408">
        <v>0</v>
      </c>
      <c r="FI650" s="408">
        <v>0</v>
      </c>
    </row>
    <row r="651" spans="1:165">
      <c r="A651" s="408">
        <v>656</v>
      </c>
      <c r="B651" s="408" t="s">
        <v>2236</v>
      </c>
      <c r="C651" s="408" t="s">
        <v>2241</v>
      </c>
      <c r="D651" s="408" t="s">
        <v>596</v>
      </c>
      <c r="E651" s="408" t="s">
        <v>996</v>
      </c>
      <c r="F651" s="408" t="s">
        <v>1320</v>
      </c>
      <c r="G651" s="408" t="s">
        <v>1320</v>
      </c>
      <c r="H651" s="408" t="s">
        <v>1320</v>
      </c>
      <c r="I651" s="408" t="s">
        <v>971</v>
      </c>
      <c r="J651" s="408" t="s">
        <v>2234</v>
      </c>
      <c r="K651" s="827">
        <v>44682</v>
      </c>
      <c r="L651" s="408">
        <v>0</v>
      </c>
      <c r="M651" s="408">
        <v>0</v>
      </c>
      <c r="N651" s="408">
        <v>9.1950000000000003</v>
      </c>
      <c r="O651" s="408">
        <v>9.1950000000000003</v>
      </c>
      <c r="P651" s="408">
        <v>9.1950000000000003</v>
      </c>
      <c r="Q651" s="408">
        <v>9.1950000000000003</v>
      </c>
      <c r="R651" s="408"/>
      <c r="S651" s="408">
        <v>1684.16</v>
      </c>
      <c r="T651" s="408">
        <v>173.82</v>
      </c>
      <c r="U651" s="408"/>
      <c r="V651" s="408">
        <v>17084.126100000001</v>
      </c>
      <c r="W651" s="408">
        <v>17084.126100000001</v>
      </c>
      <c r="X651" s="408">
        <v>11727.8547</v>
      </c>
      <c r="Y651" s="408">
        <v>0</v>
      </c>
      <c r="Z651" s="408">
        <v>489.17424375467505</v>
      </c>
      <c r="AA651" s="408">
        <v>0</v>
      </c>
      <c r="AB651" s="408">
        <v>0</v>
      </c>
      <c r="AC651" s="408">
        <v>165.50448171026702</v>
      </c>
      <c r="AD651" s="408">
        <v>2524.8176188103848</v>
      </c>
      <c r="AE651" s="408">
        <v>10650.499128282503</v>
      </c>
      <c r="AF651" s="408">
        <v>1479.6790363035316</v>
      </c>
      <c r="AG651" s="408">
        <v>74.441482280053577</v>
      </c>
      <c r="AH651" s="408">
        <v>0</v>
      </c>
      <c r="AI651" s="408">
        <v>0</v>
      </c>
      <c r="AJ651" s="408">
        <v>0</v>
      </c>
      <c r="AK651" s="408">
        <v>0</v>
      </c>
      <c r="AL651" s="408">
        <v>86.906511766808904</v>
      </c>
      <c r="AM651" s="408"/>
      <c r="AN651" s="408">
        <v>11.426908470916199</v>
      </c>
      <c r="AO651" s="408">
        <v>355.4432406693391</v>
      </c>
      <c r="AP651" s="408">
        <v>1142.9262799256587</v>
      </c>
      <c r="AQ651" s="408">
        <v>0</v>
      </c>
      <c r="AR651" s="408">
        <v>0</v>
      </c>
      <c r="AS651" s="408">
        <v>0</v>
      </c>
      <c r="AT651" s="408">
        <v>0</v>
      </c>
      <c r="AU651" s="408">
        <v>0</v>
      </c>
      <c r="AV651" s="408">
        <v>0</v>
      </c>
      <c r="AW651" s="408">
        <v>0</v>
      </c>
      <c r="AX651" s="408">
        <v>0</v>
      </c>
      <c r="AY651" s="408">
        <v>0</v>
      </c>
      <c r="AZ651" s="408">
        <v>0</v>
      </c>
      <c r="BA651" s="408"/>
      <c r="BB651" s="408">
        <v>0</v>
      </c>
      <c r="BC651" s="408">
        <v>0</v>
      </c>
      <c r="BD651" s="408">
        <v>0</v>
      </c>
      <c r="BE651" s="408">
        <v>1.7157283790829014</v>
      </c>
      <c r="BF651" s="408">
        <v>44.188304262956009</v>
      </c>
      <c r="BG651" s="408">
        <v>57.452472025460409</v>
      </c>
      <c r="BH651" s="408">
        <v>0</v>
      </c>
      <c r="BI651" s="408">
        <v>0</v>
      </c>
      <c r="BJ651" s="408">
        <v>0</v>
      </c>
      <c r="BK651" s="408">
        <v>0</v>
      </c>
      <c r="BL651" s="408">
        <v>0</v>
      </c>
      <c r="BM651" s="408"/>
      <c r="BN651" s="408"/>
      <c r="BO651" s="408"/>
      <c r="BP651" s="408"/>
      <c r="BQ651" s="408"/>
      <c r="BR651" s="408"/>
      <c r="BS651" s="408"/>
      <c r="BT651" s="408"/>
      <c r="BU651" s="408"/>
      <c r="BV651" s="408">
        <v>1583.035540971031</v>
      </c>
      <c r="BW651" s="408"/>
      <c r="BX651" s="408"/>
      <c r="BY651" s="408"/>
      <c r="BZ651" s="408"/>
      <c r="CA651" s="408"/>
      <c r="CB651" s="408"/>
      <c r="CC651" s="408"/>
      <c r="CD651" s="408"/>
      <c r="CE651" s="408"/>
      <c r="CF651" s="408"/>
      <c r="CG651" s="408"/>
      <c r="CH651" s="408"/>
      <c r="CI651" s="408">
        <v>11734.232</v>
      </c>
      <c r="CJ651" s="408">
        <v>-5349.9241000000002</v>
      </c>
      <c r="CK651" s="408"/>
      <c r="CL651" s="408"/>
      <c r="CM651" s="408"/>
      <c r="CN651" s="408"/>
      <c r="CO651" s="408">
        <v>-5551.1134500000007</v>
      </c>
      <c r="CP651" s="408">
        <v>194.84204999999997</v>
      </c>
      <c r="CQ651" s="408">
        <v>31</v>
      </c>
      <c r="CR651" s="408">
        <v>282.54423268193386</v>
      </c>
      <c r="CS651" s="408">
        <v>34.511293078867197</v>
      </c>
      <c r="CT651" s="408">
        <v>110.9709210949552</v>
      </c>
      <c r="CU651" s="408">
        <v>0</v>
      </c>
      <c r="CV651" s="408">
        <v>0</v>
      </c>
      <c r="CW651" s="408">
        <v>0</v>
      </c>
      <c r="CX651" s="408">
        <v>0</v>
      </c>
      <c r="CY651" s="408">
        <v>0</v>
      </c>
      <c r="CZ651" s="408">
        <v>-48.411378072163188</v>
      </c>
      <c r="DA651" s="408">
        <v>0</v>
      </c>
      <c r="DB651" s="408">
        <v>0</v>
      </c>
      <c r="DC651" s="408">
        <v>189.93315779969225</v>
      </c>
      <c r="DD651" s="408">
        <v>5.6720572236010725</v>
      </c>
      <c r="DE651" s="408">
        <v>0.22023269977510562</v>
      </c>
      <c r="DF651" s="408">
        <v>0</v>
      </c>
      <c r="DG651" s="408">
        <v>7.3746597521946029</v>
      </c>
      <c r="DH651" s="408">
        <v>0</v>
      </c>
      <c r="DI651" s="408">
        <v>-14.296364561451071</v>
      </c>
      <c r="DJ651" s="408"/>
      <c r="DK651" s="408">
        <v>0</v>
      </c>
      <c r="DL651" s="408">
        <v>0</v>
      </c>
      <c r="DM651" s="408">
        <v>-0.82738975418530458</v>
      </c>
      <c r="DN651" s="408">
        <v>0</v>
      </c>
      <c r="DO651" s="408">
        <v>-2.2508486367967322</v>
      </c>
      <c r="DP651" s="408">
        <v>-0.35210794255414868</v>
      </c>
      <c r="DQ651" s="408">
        <v>0</v>
      </c>
      <c r="DR651" s="408">
        <v>0</v>
      </c>
      <c r="DS651" s="408"/>
      <c r="DT651" s="408"/>
      <c r="DU651" s="408"/>
      <c r="DV651" s="408">
        <v>10650.499128282503</v>
      </c>
      <c r="DW651" s="408">
        <v>0</v>
      </c>
      <c r="DX651" s="408">
        <v>0</v>
      </c>
      <c r="DY651" s="408">
        <v>-5551.1134500000007</v>
      </c>
      <c r="DZ651" s="408">
        <v>194.84204999999997</v>
      </c>
      <c r="EA651" s="408">
        <v>0</v>
      </c>
      <c r="EB651" s="408">
        <v>0</v>
      </c>
      <c r="EC651" s="408">
        <v>-5638.874647167233</v>
      </c>
      <c r="ED651" s="408">
        <v>0</v>
      </c>
      <c r="EE651" s="408">
        <v>0</v>
      </c>
      <c r="EF651" s="408">
        <v>0</v>
      </c>
      <c r="EG651" s="408">
        <v>0</v>
      </c>
      <c r="EH651" s="408">
        <v>0</v>
      </c>
      <c r="EI651" s="408">
        <v>0</v>
      </c>
      <c r="EJ651" s="408">
        <v>0</v>
      </c>
      <c r="EK651" s="408">
        <v>0</v>
      </c>
      <c r="EL651" s="408">
        <v>0</v>
      </c>
      <c r="EM651" s="408">
        <v>0</v>
      </c>
      <c r="EN651" s="408">
        <v>0</v>
      </c>
      <c r="EO651" s="408">
        <v>0</v>
      </c>
      <c r="EP651" s="408">
        <v>0</v>
      </c>
      <c r="EQ651" s="408">
        <v>0</v>
      </c>
      <c r="ER651" s="408">
        <v>0</v>
      </c>
      <c r="ES651" s="408">
        <v>0</v>
      </c>
      <c r="ET651" s="408">
        <v>0</v>
      </c>
      <c r="EU651" s="408">
        <v>0</v>
      </c>
      <c r="EV651" s="408">
        <v>239</v>
      </c>
      <c r="EW651" s="408">
        <v>0</v>
      </c>
      <c r="EX651" s="408">
        <v>0</v>
      </c>
      <c r="EY651" s="408">
        <v>0</v>
      </c>
      <c r="EZ651" s="408"/>
      <c r="FA651" s="408">
        <v>0</v>
      </c>
      <c r="FB651" s="408"/>
      <c r="FC651" s="408"/>
      <c r="FD651" s="408"/>
      <c r="FE651" s="408"/>
      <c r="FF651" s="408">
        <v>0</v>
      </c>
      <c r="FG651" s="408">
        <v>0</v>
      </c>
      <c r="FH651" s="408">
        <v>0</v>
      </c>
      <c r="FI651" s="408">
        <v>0</v>
      </c>
    </row>
    <row r="652" spans="1:165">
      <c r="A652" s="408">
        <v>657</v>
      </c>
      <c r="B652" s="408" t="s">
        <v>1034</v>
      </c>
      <c r="C652" s="408" t="s">
        <v>2241</v>
      </c>
      <c r="D652" s="408" t="s">
        <v>596</v>
      </c>
      <c r="E652" s="408" t="s">
        <v>996</v>
      </c>
      <c r="F652" s="408" t="s">
        <v>1320</v>
      </c>
      <c r="G652" s="408" t="s">
        <v>1320</v>
      </c>
      <c r="H652" s="408" t="s">
        <v>1320</v>
      </c>
      <c r="I652" s="408" t="s">
        <v>2242</v>
      </c>
      <c r="J652" s="408" t="s">
        <v>2234</v>
      </c>
      <c r="K652" s="827">
        <v>44682</v>
      </c>
      <c r="L652" s="408">
        <v>0</v>
      </c>
      <c r="M652" s="408">
        <v>0</v>
      </c>
      <c r="N652" s="408">
        <v>237.08699999999999</v>
      </c>
      <c r="O652" s="408">
        <v>237.08699999999999</v>
      </c>
      <c r="P652" s="408">
        <v>237.08699999999999</v>
      </c>
      <c r="Q652" s="408">
        <v>237.08699999999999</v>
      </c>
      <c r="R652" s="408"/>
      <c r="S652" s="408">
        <v>70.33</v>
      </c>
      <c r="T652" s="408">
        <v>173.82</v>
      </c>
      <c r="U652" s="408"/>
      <c r="V652" s="408">
        <v>57884.79105</v>
      </c>
      <c r="W652" s="408">
        <v>57884.79105</v>
      </c>
      <c r="X652" s="408">
        <v>62669.206709999991</v>
      </c>
      <c r="Y652" s="408">
        <v>0</v>
      </c>
      <c r="Z652" s="408">
        <v>12613.03468505325</v>
      </c>
      <c r="AA652" s="408">
        <v>0</v>
      </c>
      <c r="AB652" s="408">
        <v>0</v>
      </c>
      <c r="AC652" s="408">
        <v>0</v>
      </c>
      <c r="AD652" s="408">
        <v>0</v>
      </c>
      <c r="AE652" s="408">
        <v>0</v>
      </c>
      <c r="AF652" s="408">
        <v>38152.546349113145</v>
      </c>
      <c r="AG652" s="408">
        <v>1919.4244382089246</v>
      </c>
      <c r="AH652" s="408">
        <v>0</v>
      </c>
      <c r="AI652" s="408">
        <v>0</v>
      </c>
      <c r="AJ652" s="408">
        <v>0</v>
      </c>
      <c r="AK652" s="408">
        <v>0</v>
      </c>
      <c r="AL652" s="408">
        <v>2240.8269880649727</v>
      </c>
      <c r="AM652" s="408"/>
      <c r="AN652" s="408">
        <v>294.63528533378013</v>
      </c>
      <c r="AO652" s="408">
        <v>0</v>
      </c>
      <c r="AP652" s="408">
        <v>0</v>
      </c>
      <c r="AQ652" s="408">
        <v>0</v>
      </c>
      <c r="AR652" s="408">
        <v>0</v>
      </c>
      <c r="AS652" s="408">
        <v>0</v>
      </c>
      <c r="AT652" s="408">
        <v>0</v>
      </c>
      <c r="AU652" s="408">
        <v>0</v>
      </c>
      <c r="AV652" s="408">
        <v>0</v>
      </c>
      <c r="AW652" s="408">
        <v>0</v>
      </c>
      <c r="AX652" s="408">
        <v>0</v>
      </c>
      <c r="AY652" s="408">
        <v>0</v>
      </c>
      <c r="AZ652" s="408">
        <v>0</v>
      </c>
      <c r="BA652" s="408"/>
      <c r="BB652" s="408">
        <v>0</v>
      </c>
      <c r="BC652" s="408">
        <v>0</v>
      </c>
      <c r="BD652" s="408">
        <v>0</v>
      </c>
      <c r="BE652" s="408">
        <v>44.238922698382581</v>
      </c>
      <c r="BF652" s="408">
        <v>1139.3662308636706</v>
      </c>
      <c r="BG652" s="408">
        <v>1481.3740331811125</v>
      </c>
      <c r="BH652" s="408">
        <v>0</v>
      </c>
      <c r="BI652" s="408">
        <v>0</v>
      </c>
      <c r="BJ652" s="408">
        <v>0</v>
      </c>
      <c r="BK652" s="408">
        <v>0</v>
      </c>
      <c r="BL652" s="408">
        <v>0</v>
      </c>
      <c r="BM652" s="408"/>
      <c r="BN652" s="408"/>
      <c r="BO652" s="408"/>
      <c r="BP652" s="408"/>
      <c r="BQ652" s="408"/>
      <c r="BR652" s="408"/>
      <c r="BS652" s="408"/>
      <c r="BT652" s="408"/>
      <c r="BU652" s="408"/>
      <c r="BV652" s="408">
        <v>40817.525535856308</v>
      </c>
      <c r="BW652" s="408"/>
      <c r="BX652" s="408"/>
      <c r="BY652" s="408"/>
      <c r="BZ652" s="408"/>
      <c r="CA652" s="408"/>
      <c r="CB652" s="408"/>
      <c r="CC652" s="408"/>
      <c r="CD652" s="408"/>
      <c r="CE652" s="408"/>
      <c r="CF652" s="408"/>
      <c r="CG652" s="408"/>
      <c r="CH652" s="408"/>
      <c r="CI652" s="408">
        <v>62669.9997</v>
      </c>
      <c r="CJ652" s="408">
        <v>4785.1786500000089</v>
      </c>
      <c r="CK652" s="408"/>
      <c r="CL652" s="408"/>
      <c r="CM652" s="408"/>
      <c r="CN652" s="408"/>
      <c r="CO652" s="408">
        <v>-239.45787000000121</v>
      </c>
      <c r="CP652" s="408">
        <v>5023.8735299999989</v>
      </c>
      <c r="CQ652" s="408">
        <v>31</v>
      </c>
      <c r="CR652" s="408">
        <v>4782.3089913026415</v>
      </c>
      <c r="CS652" s="408">
        <v>0</v>
      </c>
      <c r="CT652" s="408">
        <v>0</v>
      </c>
      <c r="CU652" s="408">
        <v>0</v>
      </c>
      <c r="CV652" s="408">
        <v>0</v>
      </c>
      <c r="CW652" s="408">
        <v>0</v>
      </c>
      <c r="CX652" s="408">
        <v>0</v>
      </c>
      <c r="CY652" s="408">
        <v>0</v>
      </c>
      <c r="CZ652" s="408">
        <v>0</v>
      </c>
      <c r="DA652" s="408">
        <v>0</v>
      </c>
      <c r="DB652" s="408">
        <v>0</v>
      </c>
      <c r="DC652" s="408">
        <v>4897.3009878472658</v>
      </c>
      <c r="DD652" s="408">
        <v>146.25024806654778</v>
      </c>
      <c r="DE652" s="408">
        <v>5.6785546592257177</v>
      </c>
      <c r="DF652" s="408">
        <v>0</v>
      </c>
      <c r="DG652" s="408">
        <v>190.15072938211665</v>
      </c>
      <c r="DH652" s="408">
        <v>0</v>
      </c>
      <c r="DI652" s="408">
        <v>-368.62231482117932</v>
      </c>
      <c r="DJ652" s="408"/>
      <c r="DK652" s="408">
        <v>0</v>
      </c>
      <c r="DL652" s="408">
        <v>0</v>
      </c>
      <c r="DM652" s="408">
        <v>-21.333698167540433</v>
      </c>
      <c r="DN652" s="408">
        <v>0</v>
      </c>
      <c r="DO652" s="408">
        <v>-58.036644997523581</v>
      </c>
      <c r="DP652" s="408">
        <v>-9.0788706662680738</v>
      </c>
      <c r="DQ652" s="408">
        <v>0</v>
      </c>
      <c r="DR652" s="408">
        <v>0</v>
      </c>
      <c r="DS652" s="408"/>
      <c r="DT652" s="408"/>
      <c r="DU652" s="408"/>
      <c r="DV652" s="408">
        <v>0</v>
      </c>
      <c r="DW652" s="408">
        <v>0</v>
      </c>
      <c r="DX652" s="408">
        <v>0</v>
      </c>
      <c r="DY652" s="408">
        <v>-239.457870000002</v>
      </c>
      <c r="DZ652" s="408">
        <v>5023.8735299999971</v>
      </c>
      <c r="EA652" s="408">
        <v>0</v>
      </c>
      <c r="EB652" s="408">
        <v>0</v>
      </c>
      <c r="EC652" s="408">
        <v>0</v>
      </c>
      <c r="ED652" s="408">
        <v>0</v>
      </c>
      <c r="EE652" s="408">
        <v>0</v>
      </c>
      <c r="EF652" s="408">
        <v>0</v>
      </c>
      <c r="EG652" s="408">
        <v>0</v>
      </c>
      <c r="EH652" s="408">
        <v>0</v>
      </c>
      <c r="EI652" s="408">
        <v>0</v>
      </c>
      <c r="EJ652" s="408">
        <v>0</v>
      </c>
      <c r="EK652" s="408">
        <v>0</v>
      </c>
      <c r="EL652" s="408">
        <v>0</v>
      </c>
      <c r="EM652" s="408">
        <v>0</v>
      </c>
      <c r="EN652" s="408">
        <v>0</v>
      </c>
      <c r="EO652" s="408">
        <v>0</v>
      </c>
      <c r="EP652" s="408">
        <v>0</v>
      </c>
      <c r="EQ652" s="408">
        <v>0</v>
      </c>
      <c r="ER652" s="408">
        <v>0</v>
      </c>
      <c r="ES652" s="408">
        <v>0</v>
      </c>
      <c r="ET652" s="408">
        <v>0</v>
      </c>
      <c r="EU652" s="408">
        <v>0</v>
      </c>
      <c r="EV652" s="408">
        <v>239</v>
      </c>
      <c r="EW652" s="408">
        <v>0</v>
      </c>
      <c r="EX652" s="408">
        <v>0</v>
      </c>
      <c r="EY652" s="408">
        <v>0</v>
      </c>
      <c r="EZ652" s="408"/>
      <c r="FA652" s="408">
        <v>0</v>
      </c>
      <c r="FB652" s="408"/>
      <c r="FC652" s="408"/>
      <c r="FD652" s="408"/>
      <c r="FE652" s="408"/>
      <c r="FF652" s="408">
        <v>0</v>
      </c>
      <c r="FG652" s="408">
        <v>0</v>
      </c>
      <c r="FH652" s="408">
        <v>0</v>
      </c>
      <c r="FI652" s="408">
        <v>0</v>
      </c>
    </row>
    <row r="653" spans="1:165">
      <c r="A653" s="408">
        <v>658</v>
      </c>
      <c r="B653" s="408" t="s">
        <v>2236</v>
      </c>
      <c r="C653" s="408" t="s">
        <v>2241</v>
      </c>
      <c r="D653" s="408" t="s">
        <v>596</v>
      </c>
      <c r="E653" s="408" t="s">
        <v>996</v>
      </c>
      <c r="F653" s="408" t="s">
        <v>1320</v>
      </c>
      <c r="G653" s="408" t="s">
        <v>1320</v>
      </c>
      <c r="H653" s="408" t="s">
        <v>1320</v>
      </c>
      <c r="I653" s="408" t="s">
        <v>2242</v>
      </c>
      <c r="J653" s="408" t="s">
        <v>2234</v>
      </c>
      <c r="K653" s="827">
        <v>44682</v>
      </c>
      <c r="L653" s="408">
        <v>0</v>
      </c>
      <c r="M653" s="408">
        <v>0</v>
      </c>
      <c r="N653" s="408">
        <v>52.8</v>
      </c>
      <c r="O653" s="408">
        <v>52.8</v>
      </c>
      <c r="P653" s="408">
        <v>52.8</v>
      </c>
      <c r="Q653" s="408">
        <v>52.8</v>
      </c>
      <c r="R653" s="408"/>
      <c r="S653" s="408">
        <v>70.33</v>
      </c>
      <c r="T653" s="408">
        <v>173.82</v>
      </c>
      <c r="U653" s="408"/>
      <c r="V653" s="408">
        <v>12891.119999999999</v>
      </c>
      <c r="W653" s="408">
        <v>12891.119999999999</v>
      </c>
      <c r="X653" s="408">
        <v>13956.623999999998</v>
      </c>
      <c r="Y653" s="408">
        <v>0</v>
      </c>
      <c r="Z653" s="408">
        <v>2808.9613997005808</v>
      </c>
      <c r="AA653" s="408">
        <v>0</v>
      </c>
      <c r="AB653" s="408">
        <v>0</v>
      </c>
      <c r="AC653" s="408">
        <v>0</v>
      </c>
      <c r="AD653" s="408">
        <v>0</v>
      </c>
      <c r="AE653" s="408">
        <v>0</v>
      </c>
      <c r="AF653" s="408">
        <v>8496.6887565879788</v>
      </c>
      <c r="AG653" s="408">
        <v>427.4616927011233</v>
      </c>
      <c r="AH653" s="408">
        <v>0</v>
      </c>
      <c r="AI653" s="408">
        <v>0</v>
      </c>
      <c r="AJ653" s="408">
        <v>0</v>
      </c>
      <c r="AK653" s="408">
        <v>0</v>
      </c>
      <c r="AL653" s="408">
        <v>499.03902352229585</v>
      </c>
      <c r="AM653" s="408"/>
      <c r="AN653" s="408">
        <v>65.616179147838523</v>
      </c>
      <c r="AO653" s="408">
        <v>0</v>
      </c>
      <c r="AP653" s="408">
        <v>0</v>
      </c>
      <c r="AQ653" s="408">
        <v>0</v>
      </c>
      <c r="AR653" s="408">
        <v>0</v>
      </c>
      <c r="AS653" s="408">
        <v>0</v>
      </c>
      <c r="AT653" s="408">
        <v>0</v>
      </c>
      <c r="AU653" s="408">
        <v>0</v>
      </c>
      <c r="AV653" s="408">
        <v>0</v>
      </c>
      <c r="AW653" s="408">
        <v>0</v>
      </c>
      <c r="AX653" s="408">
        <v>0</v>
      </c>
      <c r="AY653" s="408">
        <v>0</v>
      </c>
      <c r="AZ653" s="408">
        <v>0</v>
      </c>
      <c r="BA653" s="408"/>
      <c r="BB653" s="408">
        <v>0</v>
      </c>
      <c r="BC653" s="408">
        <v>0</v>
      </c>
      <c r="BD653" s="408">
        <v>0</v>
      </c>
      <c r="BE653" s="408">
        <v>9.8521433839670678</v>
      </c>
      <c r="BF653" s="408">
        <v>253.7403442179529</v>
      </c>
      <c r="BG653" s="408">
        <v>329.90652778078402</v>
      </c>
      <c r="BH653" s="408">
        <v>0</v>
      </c>
      <c r="BI653" s="408">
        <v>0</v>
      </c>
      <c r="BJ653" s="408">
        <v>0</v>
      </c>
      <c r="BK653" s="408">
        <v>0</v>
      </c>
      <c r="BL653" s="408">
        <v>0</v>
      </c>
      <c r="BM653" s="408"/>
      <c r="BN653" s="408"/>
      <c r="BO653" s="408"/>
      <c r="BP653" s="408"/>
      <c r="BQ653" s="408"/>
      <c r="BR653" s="408"/>
      <c r="BS653" s="408"/>
      <c r="BT653" s="408"/>
      <c r="BU653" s="408"/>
      <c r="BV653" s="408">
        <v>9090.1877719706827</v>
      </c>
      <c r="BW653" s="408"/>
      <c r="BX653" s="408"/>
      <c r="BY653" s="408"/>
      <c r="BZ653" s="408"/>
      <c r="CA653" s="408"/>
      <c r="CB653" s="408"/>
      <c r="CC653" s="408"/>
      <c r="CD653" s="408"/>
      <c r="CE653" s="408"/>
      <c r="CF653" s="408"/>
      <c r="CG653" s="408"/>
      <c r="CH653" s="408"/>
      <c r="CI653" s="408">
        <v>13956.623999999998</v>
      </c>
      <c r="CJ653" s="408">
        <v>1065.4739999999983</v>
      </c>
      <c r="CK653" s="408"/>
      <c r="CL653" s="408"/>
      <c r="CM653" s="408"/>
      <c r="CN653" s="408"/>
      <c r="CO653" s="408">
        <v>-53.328000000000266</v>
      </c>
      <c r="CP653" s="408">
        <v>1118.8319999999999</v>
      </c>
      <c r="CQ653" s="408">
        <v>31</v>
      </c>
      <c r="CR653" s="408">
        <v>1065.0348384381232</v>
      </c>
      <c r="CS653" s="408">
        <v>0</v>
      </c>
      <c r="CT653" s="408">
        <v>0</v>
      </c>
      <c r="CU653" s="408">
        <v>0</v>
      </c>
      <c r="CV653" s="408">
        <v>0</v>
      </c>
      <c r="CW653" s="408">
        <v>0</v>
      </c>
      <c r="CX653" s="408">
        <v>0</v>
      </c>
      <c r="CY653" s="408">
        <v>0</v>
      </c>
      <c r="CZ653" s="408">
        <v>0</v>
      </c>
      <c r="DA653" s="408">
        <v>0</v>
      </c>
      <c r="DB653" s="408">
        <v>0</v>
      </c>
      <c r="DC653" s="408">
        <v>1090.6439077567975</v>
      </c>
      <c r="DD653" s="408">
        <v>32.570377531934412</v>
      </c>
      <c r="DE653" s="408">
        <v>1.2646314897363329</v>
      </c>
      <c r="DF653" s="408">
        <v>0</v>
      </c>
      <c r="DG653" s="408">
        <v>42.347148984869534</v>
      </c>
      <c r="DH653" s="408">
        <v>0</v>
      </c>
      <c r="DI653" s="408">
        <v>-82.09331689446617</v>
      </c>
      <c r="DJ653" s="408"/>
      <c r="DK653" s="408">
        <v>0</v>
      </c>
      <c r="DL653" s="408">
        <v>0</v>
      </c>
      <c r="DM653" s="408">
        <v>-4.7510798282745554</v>
      </c>
      <c r="DN653" s="408">
        <v>0</v>
      </c>
      <c r="DO653" s="408">
        <v>-12.924938338539221</v>
      </c>
      <c r="DP653" s="408">
        <v>-2.0218922639324646</v>
      </c>
      <c r="DQ653" s="408">
        <v>0</v>
      </c>
      <c r="DR653" s="408">
        <v>0</v>
      </c>
      <c r="DS653" s="408"/>
      <c r="DT653" s="408"/>
      <c r="DU653" s="408"/>
      <c r="DV653" s="408">
        <v>0</v>
      </c>
      <c r="DW653" s="408">
        <v>0</v>
      </c>
      <c r="DX653" s="408">
        <v>0</v>
      </c>
      <c r="DY653" s="408">
        <v>-53.327999999999975</v>
      </c>
      <c r="DZ653" s="408">
        <v>1118.8319999999985</v>
      </c>
      <c r="EA653" s="408">
        <v>0</v>
      </c>
      <c r="EB653" s="408">
        <v>0</v>
      </c>
      <c r="EC653" s="408">
        <v>0</v>
      </c>
      <c r="ED653" s="408">
        <v>0</v>
      </c>
      <c r="EE653" s="408">
        <v>0</v>
      </c>
      <c r="EF653" s="408">
        <v>0</v>
      </c>
      <c r="EG653" s="408">
        <v>0</v>
      </c>
      <c r="EH653" s="408">
        <v>0</v>
      </c>
      <c r="EI653" s="408">
        <v>0</v>
      </c>
      <c r="EJ653" s="408">
        <v>0</v>
      </c>
      <c r="EK653" s="408">
        <v>0</v>
      </c>
      <c r="EL653" s="408">
        <v>0</v>
      </c>
      <c r="EM653" s="408">
        <v>0</v>
      </c>
      <c r="EN653" s="408">
        <v>0</v>
      </c>
      <c r="EO653" s="408">
        <v>0</v>
      </c>
      <c r="EP653" s="408">
        <v>0</v>
      </c>
      <c r="EQ653" s="408">
        <v>0</v>
      </c>
      <c r="ER653" s="408">
        <v>0</v>
      </c>
      <c r="ES653" s="408">
        <v>0</v>
      </c>
      <c r="ET653" s="408">
        <v>0</v>
      </c>
      <c r="EU653" s="408">
        <v>0</v>
      </c>
      <c r="EV653" s="408">
        <v>239</v>
      </c>
      <c r="EW653" s="408">
        <v>0</v>
      </c>
      <c r="EX653" s="408">
        <v>0</v>
      </c>
      <c r="EY653" s="408">
        <v>0</v>
      </c>
      <c r="EZ653" s="408"/>
      <c r="FA653" s="408">
        <v>0</v>
      </c>
      <c r="FB653" s="408"/>
      <c r="FC653" s="408"/>
      <c r="FD653" s="408"/>
      <c r="FE653" s="408"/>
      <c r="FF653" s="408">
        <v>0</v>
      </c>
      <c r="FG653" s="408">
        <v>0</v>
      </c>
      <c r="FH653" s="408">
        <v>0</v>
      </c>
      <c r="FI653" s="408">
        <v>0</v>
      </c>
    </row>
    <row r="654" spans="1:165">
      <c r="A654" s="408">
        <v>659</v>
      </c>
      <c r="B654" s="408" t="s">
        <v>1034</v>
      </c>
      <c r="C654" s="408" t="s">
        <v>2241</v>
      </c>
      <c r="D654" s="408" t="s">
        <v>596</v>
      </c>
      <c r="E654" s="408" t="s">
        <v>996</v>
      </c>
      <c r="F654" s="408" t="s">
        <v>1320</v>
      </c>
      <c r="G654" s="408" t="s">
        <v>1320</v>
      </c>
      <c r="H654" s="408" t="s">
        <v>1320</v>
      </c>
      <c r="I654" s="408" t="s">
        <v>1320</v>
      </c>
      <c r="J654" s="408" t="s">
        <v>2234</v>
      </c>
      <c r="K654" s="827">
        <v>44682</v>
      </c>
      <c r="L654" s="408">
        <v>2369</v>
      </c>
      <c r="M654" s="408">
        <v>2369</v>
      </c>
      <c r="N654" s="408">
        <v>0</v>
      </c>
      <c r="O654" s="408">
        <v>0</v>
      </c>
      <c r="P654" s="408">
        <v>0</v>
      </c>
      <c r="Q654" s="408">
        <v>0</v>
      </c>
      <c r="R654" s="408">
        <v>59.12</v>
      </c>
      <c r="S654" s="408"/>
      <c r="T654" s="408"/>
      <c r="U654" s="408">
        <v>140055.28</v>
      </c>
      <c r="V654" s="408"/>
      <c r="W654" s="408">
        <v>140055.28</v>
      </c>
      <c r="X654" s="408">
        <v>80617.070000000007</v>
      </c>
      <c r="Y654" s="408">
        <v>0</v>
      </c>
      <c r="Z654" s="408">
        <v>0</v>
      </c>
      <c r="AA654" s="408">
        <v>0</v>
      </c>
      <c r="AB654" s="408">
        <v>0</v>
      </c>
      <c r="AC654" s="408">
        <v>1355.2110007374927</v>
      </c>
      <c r="AD654" s="408">
        <v>12122.226659544855</v>
      </c>
      <c r="AE654" s="408">
        <v>114095.29887555572</v>
      </c>
      <c r="AF654" s="408"/>
      <c r="AG654" s="408"/>
      <c r="AH654" s="408"/>
      <c r="AI654" s="408">
        <v>0</v>
      </c>
      <c r="AJ654" s="408">
        <v>0</v>
      </c>
      <c r="AK654" s="408">
        <v>0</v>
      </c>
      <c r="AL654" s="408">
        <v>0</v>
      </c>
      <c r="AM654" s="408"/>
      <c r="AN654" s="408">
        <v>0</v>
      </c>
      <c r="AO654" s="408">
        <v>2861.9228420697523</v>
      </c>
      <c r="AP654" s="408">
        <v>9620.480249863238</v>
      </c>
      <c r="AQ654" s="408">
        <v>0</v>
      </c>
      <c r="AR654" s="408">
        <v>0</v>
      </c>
      <c r="AS654" s="408"/>
      <c r="AT654" s="408"/>
      <c r="AU654" s="408">
        <v>0</v>
      </c>
      <c r="AV654" s="408">
        <v>0</v>
      </c>
      <c r="AW654" s="408">
        <v>0</v>
      </c>
      <c r="AX654" s="408"/>
      <c r="AY654" s="408"/>
      <c r="AZ654" s="408">
        <v>0</v>
      </c>
      <c r="BA654" s="408"/>
      <c r="BB654" s="408">
        <v>0</v>
      </c>
      <c r="BC654" s="408">
        <v>0</v>
      </c>
      <c r="BD654" s="408">
        <v>0</v>
      </c>
      <c r="BE654" s="408">
        <v>0</v>
      </c>
      <c r="BF654" s="408"/>
      <c r="BG654" s="408">
        <v>0</v>
      </c>
      <c r="BH654" s="408">
        <v>0</v>
      </c>
      <c r="BI654" s="408">
        <v>1174.99</v>
      </c>
      <c r="BJ654" s="408">
        <v>5417.81</v>
      </c>
      <c r="BK654" s="408">
        <v>49800.31</v>
      </c>
      <c r="BL654" s="408">
        <v>13</v>
      </c>
      <c r="BM654" s="408"/>
      <c r="BN654" s="408"/>
      <c r="BO654" s="408"/>
      <c r="BP654" s="408"/>
      <c r="BQ654" s="408"/>
      <c r="BR654" s="408"/>
      <c r="BS654" s="408"/>
      <c r="BT654" s="408"/>
      <c r="BU654" s="408"/>
      <c r="BV654" s="408">
        <v>0</v>
      </c>
      <c r="BW654" s="408"/>
      <c r="BX654" s="408"/>
      <c r="BY654" s="408"/>
      <c r="BZ654" s="408"/>
      <c r="CA654" s="408"/>
      <c r="CB654" s="408"/>
      <c r="CC654" s="408"/>
      <c r="CD654" s="408"/>
      <c r="CE654" s="408"/>
      <c r="CF654" s="408"/>
      <c r="CG654" s="408"/>
      <c r="CH654" s="408"/>
      <c r="CI654" s="408">
        <v>80617.070000000007</v>
      </c>
      <c r="CJ654" s="408">
        <v>-59438.24000000002</v>
      </c>
      <c r="CK654" s="408"/>
      <c r="CL654" s="408"/>
      <c r="CM654" s="408"/>
      <c r="CN654" s="408"/>
      <c r="CO654" s="408">
        <v>-59438.209999999992</v>
      </c>
      <c r="CP654" s="408">
        <v>0</v>
      </c>
      <c r="CQ654" s="408">
        <v>31</v>
      </c>
      <c r="CR654" s="408">
        <v>979.52838507436536</v>
      </c>
      <c r="CS654" s="408">
        <v>277.87462714379308</v>
      </c>
      <c r="CT654" s="408">
        <v>934.08785278140022</v>
      </c>
      <c r="CU654" s="408">
        <v>0</v>
      </c>
      <c r="CV654" s="408">
        <v>0</v>
      </c>
      <c r="CW654" s="408"/>
      <c r="CX654" s="408"/>
      <c r="CY654" s="408"/>
      <c r="CZ654" s="408">
        <v>-232.43409485083248</v>
      </c>
      <c r="DA654" s="408">
        <v>0</v>
      </c>
      <c r="DB654" s="408">
        <v>0</v>
      </c>
      <c r="DC654" s="408"/>
      <c r="DD654" s="408"/>
      <c r="DE654" s="408">
        <v>0</v>
      </c>
      <c r="DF654" s="408">
        <v>0</v>
      </c>
      <c r="DG654" s="408">
        <v>0</v>
      </c>
      <c r="DH654" s="408">
        <v>0</v>
      </c>
      <c r="DI654" s="408">
        <v>0</v>
      </c>
      <c r="DJ654" s="408"/>
      <c r="DK654" s="408">
        <v>0</v>
      </c>
      <c r="DL654" s="408">
        <v>0</v>
      </c>
      <c r="DM654" s="408"/>
      <c r="DN654" s="408">
        <v>0</v>
      </c>
      <c r="DO654" s="408">
        <v>0</v>
      </c>
      <c r="DP654" s="408">
        <v>0</v>
      </c>
      <c r="DQ654" s="408">
        <v>0</v>
      </c>
      <c r="DR654" s="408">
        <v>0</v>
      </c>
      <c r="DS654" s="408"/>
      <c r="DT654" s="408"/>
      <c r="DU654" s="408">
        <v>114095.29887555572</v>
      </c>
      <c r="DV654" s="408"/>
      <c r="DW654" s="408">
        <v>0</v>
      </c>
      <c r="DX654" s="408">
        <v>0</v>
      </c>
      <c r="DY654" s="408">
        <v>-59438.209999999992</v>
      </c>
      <c r="DZ654" s="408"/>
      <c r="EA654" s="408">
        <v>0</v>
      </c>
      <c r="EB654" s="408"/>
      <c r="EC654" s="408">
        <v>-60407.411938269419</v>
      </c>
      <c r="ED654" s="408"/>
      <c r="EE654" s="408">
        <v>0</v>
      </c>
      <c r="EF654" s="408">
        <v>0</v>
      </c>
      <c r="EG654" s="408"/>
      <c r="EH654" s="408">
        <v>0</v>
      </c>
      <c r="EI654" s="408">
        <v>0</v>
      </c>
      <c r="EJ654" s="408">
        <v>0</v>
      </c>
      <c r="EK654" s="408">
        <v>0</v>
      </c>
      <c r="EL654" s="408">
        <v>0</v>
      </c>
      <c r="EM654" s="408"/>
      <c r="EN654" s="408"/>
      <c r="EO654" s="408">
        <v>0</v>
      </c>
      <c r="EP654" s="408">
        <v>0</v>
      </c>
      <c r="EQ654" s="408"/>
      <c r="ER654" s="408">
        <v>0</v>
      </c>
      <c r="ES654" s="408"/>
      <c r="ET654" s="408">
        <v>0</v>
      </c>
      <c r="EU654" s="408"/>
      <c r="EV654" s="408">
        <v>239</v>
      </c>
      <c r="EW654" s="408"/>
      <c r="EX654" s="408"/>
      <c r="EY654" s="408"/>
      <c r="EZ654" s="408"/>
      <c r="FA654" s="408">
        <v>0</v>
      </c>
      <c r="FB654" s="408"/>
      <c r="FC654" s="408"/>
      <c r="FD654" s="408"/>
      <c r="FE654" s="408"/>
      <c r="FF654" s="408">
        <v>0</v>
      </c>
      <c r="FG654" s="408">
        <v>0</v>
      </c>
      <c r="FH654" s="408">
        <v>0</v>
      </c>
      <c r="FI654" s="408">
        <v>0</v>
      </c>
    </row>
    <row r="655" spans="1:165">
      <c r="A655" s="408">
        <v>660</v>
      </c>
      <c r="B655" s="408" t="s">
        <v>2236</v>
      </c>
      <c r="C655" s="408" t="s">
        <v>2241</v>
      </c>
      <c r="D655" s="408" t="s">
        <v>596</v>
      </c>
      <c r="E655" s="408" t="s">
        <v>996</v>
      </c>
      <c r="F655" s="408" t="s">
        <v>1320</v>
      </c>
      <c r="G655" s="408" t="s">
        <v>1320</v>
      </c>
      <c r="H655" s="408" t="s">
        <v>1320</v>
      </c>
      <c r="I655" s="408" t="s">
        <v>1320</v>
      </c>
      <c r="J655" s="408" t="s">
        <v>2234</v>
      </c>
      <c r="K655" s="827">
        <v>44682</v>
      </c>
      <c r="L655" s="408">
        <v>285</v>
      </c>
      <c r="M655" s="408">
        <v>285</v>
      </c>
      <c r="N655" s="408">
        <v>0</v>
      </c>
      <c r="O655" s="408">
        <v>0</v>
      </c>
      <c r="P655" s="408">
        <v>0</v>
      </c>
      <c r="Q655" s="408">
        <v>0</v>
      </c>
      <c r="R655" s="408">
        <v>59.12</v>
      </c>
      <c r="S655" s="408"/>
      <c r="T655" s="408"/>
      <c r="U655" s="408">
        <v>16849.2</v>
      </c>
      <c r="V655" s="408"/>
      <c r="W655" s="408">
        <v>16849.2</v>
      </c>
      <c r="X655" s="408">
        <v>9698.5500000000011</v>
      </c>
      <c r="Y655" s="408">
        <v>0</v>
      </c>
      <c r="Z655" s="408">
        <v>0</v>
      </c>
      <c r="AA655" s="408">
        <v>0</v>
      </c>
      <c r="AB655" s="408">
        <v>0</v>
      </c>
      <c r="AC655" s="408">
        <v>163.03720355009938</v>
      </c>
      <c r="AD655" s="408">
        <v>1458.3514554538976</v>
      </c>
      <c r="AE655" s="408">
        <v>13726.112359448451</v>
      </c>
      <c r="AF655" s="408"/>
      <c r="AG655" s="408"/>
      <c r="AH655" s="408"/>
      <c r="AI655" s="408">
        <v>0</v>
      </c>
      <c r="AJ655" s="408">
        <v>0</v>
      </c>
      <c r="AK655" s="408">
        <v>0</v>
      </c>
      <c r="AL655" s="408">
        <v>0</v>
      </c>
      <c r="AM655" s="408"/>
      <c r="AN655" s="408">
        <v>0</v>
      </c>
      <c r="AO655" s="408">
        <v>344.30055297166712</v>
      </c>
      <c r="AP655" s="408">
        <v>1157.3815412456829</v>
      </c>
      <c r="AQ655" s="408">
        <v>0</v>
      </c>
      <c r="AR655" s="408">
        <v>0</v>
      </c>
      <c r="AS655" s="408"/>
      <c r="AT655" s="408"/>
      <c r="AU655" s="408">
        <v>0</v>
      </c>
      <c r="AV655" s="408">
        <v>0</v>
      </c>
      <c r="AW655" s="408">
        <v>0</v>
      </c>
      <c r="AX655" s="408"/>
      <c r="AY655" s="408"/>
      <c r="AZ655" s="408">
        <v>0</v>
      </c>
      <c r="BA655" s="408"/>
      <c r="BB655" s="408">
        <v>0</v>
      </c>
      <c r="BC655" s="408">
        <v>0</v>
      </c>
      <c r="BD655" s="408">
        <v>0</v>
      </c>
      <c r="BE655" s="408">
        <v>0</v>
      </c>
      <c r="BF655" s="408"/>
      <c r="BG655" s="408">
        <v>0</v>
      </c>
      <c r="BH655" s="408">
        <v>0</v>
      </c>
      <c r="BI655" s="408">
        <v>270.63</v>
      </c>
      <c r="BJ655" s="408">
        <v>1247.76</v>
      </c>
      <c r="BK655" s="408">
        <v>12042.51</v>
      </c>
      <c r="BL655" s="408">
        <v>3</v>
      </c>
      <c r="BM655" s="408"/>
      <c r="BN655" s="408"/>
      <c r="BO655" s="408"/>
      <c r="BP655" s="408"/>
      <c r="BQ655" s="408"/>
      <c r="BR655" s="408"/>
      <c r="BS655" s="408"/>
      <c r="BT655" s="408"/>
      <c r="BU655" s="408"/>
      <c r="BV655" s="408">
        <v>0</v>
      </c>
      <c r="BW655" s="408"/>
      <c r="BX655" s="408"/>
      <c r="BY655" s="408"/>
      <c r="BZ655" s="408"/>
      <c r="CA655" s="408"/>
      <c r="CB655" s="408"/>
      <c r="CC655" s="408"/>
      <c r="CD655" s="408"/>
      <c r="CE655" s="408"/>
      <c r="CF655" s="408"/>
      <c r="CG655" s="408"/>
      <c r="CH655" s="408"/>
      <c r="CI655" s="408">
        <v>9698.5500000000011</v>
      </c>
      <c r="CJ655" s="408">
        <v>-7150.6799999999948</v>
      </c>
      <c r="CK655" s="408"/>
      <c r="CL655" s="408"/>
      <c r="CM655" s="408"/>
      <c r="CN655" s="408"/>
      <c r="CO655" s="408">
        <v>-7150.6499999999987</v>
      </c>
      <c r="CP655" s="408">
        <v>0</v>
      </c>
      <c r="CQ655" s="408">
        <v>31</v>
      </c>
      <c r="CR655" s="408">
        <v>117.8411100659323</v>
      </c>
      <c r="CS655" s="408">
        <v>33.429408499780948</v>
      </c>
      <c r="CT655" s="408">
        <v>112.37443564487103</v>
      </c>
      <c r="CU655" s="408">
        <v>0</v>
      </c>
      <c r="CV655" s="408">
        <v>0</v>
      </c>
      <c r="CW655" s="408"/>
      <c r="CX655" s="408"/>
      <c r="CY655" s="408"/>
      <c r="CZ655" s="408">
        <v>-27.962734078719677</v>
      </c>
      <c r="DA655" s="408">
        <v>0</v>
      </c>
      <c r="DB655" s="408">
        <v>0</v>
      </c>
      <c r="DC655" s="408"/>
      <c r="DD655" s="408"/>
      <c r="DE655" s="408">
        <v>0</v>
      </c>
      <c r="DF655" s="408">
        <v>0</v>
      </c>
      <c r="DG655" s="408">
        <v>0</v>
      </c>
      <c r="DH655" s="408">
        <v>0</v>
      </c>
      <c r="DI655" s="408">
        <v>0</v>
      </c>
      <c r="DJ655" s="408"/>
      <c r="DK655" s="408">
        <v>0</v>
      </c>
      <c r="DL655" s="408">
        <v>0</v>
      </c>
      <c r="DM655" s="408"/>
      <c r="DN655" s="408">
        <v>0</v>
      </c>
      <c r="DO655" s="408">
        <v>0</v>
      </c>
      <c r="DP655" s="408">
        <v>0</v>
      </c>
      <c r="DQ655" s="408">
        <v>0</v>
      </c>
      <c r="DR655" s="408">
        <v>0</v>
      </c>
      <c r="DS655" s="408"/>
      <c r="DT655" s="408"/>
      <c r="DU655" s="408">
        <v>13726.112359448451</v>
      </c>
      <c r="DV655" s="408"/>
      <c r="DW655" s="408">
        <v>0</v>
      </c>
      <c r="DX655" s="408">
        <v>0</v>
      </c>
      <c r="DY655" s="408">
        <v>-7150.65</v>
      </c>
      <c r="DZ655" s="408"/>
      <c r="EA655" s="408">
        <v>0</v>
      </c>
      <c r="EB655" s="408"/>
      <c r="EC655" s="408">
        <v>-7267.248797976692</v>
      </c>
      <c r="ED655" s="408"/>
      <c r="EE655" s="408">
        <v>0</v>
      </c>
      <c r="EF655" s="408">
        <v>0</v>
      </c>
      <c r="EG655" s="408"/>
      <c r="EH655" s="408">
        <v>0</v>
      </c>
      <c r="EI655" s="408">
        <v>0</v>
      </c>
      <c r="EJ655" s="408">
        <v>0</v>
      </c>
      <c r="EK655" s="408">
        <v>0</v>
      </c>
      <c r="EL655" s="408">
        <v>0</v>
      </c>
      <c r="EM655" s="408"/>
      <c r="EN655" s="408"/>
      <c r="EO655" s="408">
        <v>0</v>
      </c>
      <c r="EP655" s="408">
        <v>0</v>
      </c>
      <c r="EQ655" s="408"/>
      <c r="ER655" s="408">
        <v>0</v>
      </c>
      <c r="ES655" s="408"/>
      <c r="ET655" s="408">
        <v>0</v>
      </c>
      <c r="EU655" s="408"/>
      <c r="EV655" s="408">
        <v>239</v>
      </c>
      <c r="EW655" s="408"/>
      <c r="EX655" s="408"/>
      <c r="EY655" s="408"/>
      <c r="EZ655" s="408"/>
      <c r="FA655" s="408">
        <v>0</v>
      </c>
      <c r="FB655" s="408"/>
      <c r="FC655" s="408"/>
      <c r="FD655" s="408"/>
      <c r="FE655" s="408"/>
      <c r="FF655" s="408">
        <v>0</v>
      </c>
      <c r="FG655" s="408">
        <v>0</v>
      </c>
      <c r="FH655" s="408">
        <v>0</v>
      </c>
      <c r="FI655" s="408">
        <v>0</v>
      </c>
    </row>
    <row r="656" spans="1:165">
      <c r="A656" s="408">
        <v>661</v>
      </c>
      <c r="B656" s="408" t="s">
        <v>1034</v>
      </c>
      <c r="C656" s="408" t="s">
        <v>2233</v>
      </c>
      <c r="D656" s="408" t="s">
        <v>2243</v>
      </c>
      <c r="E656" s="408" t="s">
        <v>972</v>
      </c>
      <c r="F656" s="408" t="s">
        <v>1320</v>
      </c>
      <c r="G656" s="408" t="s">
        <v>1320</v>
      </c>
      <c r="H656" s="408" t="s">
        <v>1320</v>
      </c>
      <c r="I656" s="408" t="s">
        <v>1320</v>
      </c>
      <c r="J656" s="408" t="s">
        <v>2234</v>
      </c>
      <c r="K656" s="827">
        <v>44682</v>
      </c>
      <c r="L656" s="408">
        <v>0</v>
      </c>
      <c r="M656" s="408">
        <v>0</v>
      </c>
      <c r="N656" s="408">
        <v>2301.9630000000002</v>
      </c>
      <c r="O656" s="408">
        <v>2301.9630000000002</v>
      </c>
      <c r="P656" s="408">
        <v>2301.9630000000002</v>
      </c>
      <c r="Q656" s="408">
        <v>2301.9630000000002</v>
      </c>
      <c r="R656" s="408"/>
      <c r="S656" s="408">
        <v>516.83000000000004</v>
      </c>
      <c r="T656" s="408">
        <v>173.82</v>
      </c>
      <c r="U656" s="408"/>
      <c r="V656" s="408">
        <v>1589850.7459500001</v>
      </c>
      <c r="W656" s="408">
        <v>1589850.7459500001</v>
      </c>
      <c r="X656" s="408">
        <v>1200358.60635</v>
      </c>
      <c r="Y656" s="408">
        <v>0</v>
      </c>
      <c r="Z656" s="408">
        <v>140763.78462510751</v>
      </c>
      <c r="AA656" s="408">
        <v>0</v>
      </c>
      <c r="AB656" s="408">
        <v>0</v>
      </c>
      <c r="AC656" s="408">
        <v>6257.7576745150682</v>
      </c>
      <c r="AD656" s="408">
        <v>79248.785939169611</v>
      </c>
      <c r="AE656" s="408">
        <v>837030.10668931995</v>
      </c>
      <c r="AF656" s="408">
        <v>370436.80189737753</v>
      </c>
      <c r="AG656" s="408">
        <v>18636.382585518106</v>
      </c>
      <c r="AH656" s="408">
        <v>0</v>
      </c>
      <c r="AI656" s="408">
        <v>0</v>
      </c>
      <c r="AJ656" s="408">
        <v>0</v>
      </c>
      <c r="AK656" s="408">
        <v>0</v>
      </c>
      <c r="AL656" s="408">
        <v>21756.99560046316</v>
      </c>
      <c r="AM656" s="408"/>
      <c r="AN656" s="408">
        <v>3571.5922190509173</v>
      </c>
      <c r="AO656" s="408">
        <v>13347.941154929957</v>
      </c>
      <c r="AP656" s="408">
        <v>43712.702485717185</v>
      </c>
      <c r="AQ656" s="408">
        <v>0</v>
      </c>
      <c r="AR656" s="408">
        <v>0</v>
      </c>
      <c r="AS656" s="408">
        <v>0</v>
      </c>
      <c r="AT656" s="408">
        <v>0</v>
      </c>
      <c r="AU656" s="408">
        <v>0</v>
      </c>
      <c r="AV656" s="408">
        <v>0</v>
      </c>
      <c r="AW656" s="408">
        <v>0</v>
      </c>
      <c r="AX656" s="408">
        <v>0</v>
      </c>
      <c r="AY656" s="408">
        <v>0</v>
      </c>
      <c r="AZ656" s="408">
        <v>0</v>
      </c>
      <c r="BA656" s="408"/>
      <c r="BB656" s="408">
        <v>0</v>
      </c>
      <c r="BC656" s="408">
        <v>0</v>
      </c>
      <c r="BD656" s="408">
        <v>0</v>
      </c>
      <c r="BE656" s="408">
        <v>1277.1581163871174</v>
      </c>
      <c r="BF656" s="408">
        <v>11062.516742367265</v>
      </c>
      <c r="BG656" s="408">
        <v>42766.612622588778</v>
      </c>
      <c r="BH656" s="408">
        <v>0</v>
      </c>
      <c r="BI656" s="408">
        <v>9238.16</v>
      </c>
      <c r="BJ656" s="408">
        <v>42833.98</v>
      </c>
      <c r="BK656" s="408">
        <v>77617.119999999995</v>
      </c>
      <c r="BL656" s="408">
        <v>10194</v>
      </c>
      <c r="BM656" s="408"/>
      <c r="BN656" s="408"/>
      <c r="BO656" s="408"/>
      <c r="BP656" s="408"/>
      <c r="BQ656" s="408"/>
      <c r="BR656" s="408">
        <v>144033.82491</v>
      </c>
      <c r="BS656" s="408"/>
      <c r="BT656" s="408"/>
      <c r="BU656" s="408"/>
      <c r="BV656" s="408">
        <v>425543.08937872067</v>
      </c>
      <c r="BW656" s="408"/>
      <c r="BX656" s="408"/>
      <c r="BY656" s="408"/>
      <c r="BZ656" s="408"/>
      <c r="CA656" s="408"/>
      <c r="CB656" s="408"/>
      <c r="CC656" s="408"/>
      <c r="CD656" s="408"/>
      <c r="CE656" s="408"/>
      <c r="CF656" s="408"/>
      <c r="CG656" s="408"/>
      <c r="CH656" s="408"/>
      <c r="CI656" s="408">
        <v>1056323.4048000001</v>
      </c>
      <c r="CJ656" s="408">
        <v>-342740.67771000019</v>
      </c>
      <c r="CK656" s="408"/>
      <c r="CL656" s="408"/>
      <c r="CM656" s="408"/>
      <c r="CN656" s="408"/>
      <c r="CO656" s="408">
        <v>-438270.73557000014</v>
      </c>
      <c r="CP656" s="408">
        <v>48778.595970000002</v>
      </c>
      <c r="CQ656" s="408">
        <v>31</v>
      </c>
      <c r="CR656" s="408">
        <v>53649.271172723384</v>
      </c>
      <c r="CS656" s="408">
        <v>1296.0007576169082</v>
      </c>
      <c r="CT656" s="408">
        <v>4244.2272468398223</v>
      </c>
      <c r="CU656" s="408">
        <v>0</v>
      </c>
      <c r="CV656" s="408">
        <v>0</v>
      </c>
      <c r="CW656" s="408">
        <v>0</v>
      </c>
      <c r="CX656" s="408">
        <v>0</v>
      </c>
      <c r="CY656" s="408">
        <v>0</v>
      </c>
      <c r="CZ656" s="408">
        <v>-1519.5327017989475</v>
      </c>
      <c r="DA656" s="408">
        <v>0</v>
      </c>
      <c r="DB656" s="408">
        <v>0</v>
      </c>
      <c r="DC656" s="408">
        <v>47549.657610446273</v>
      </c>
      <c r="DD656" s="408">
        <v>1419.9962873966724</v>
      </c>
      <c r="DE656" s="408">
        <v>163.9373594566091</v>
      </c>
      <c r="DF656" s="408">
        <v>0</v>
      </c>
      <c r="DG656" s="408">
        <v>5489.5673889495447</v>
      </c>
      <c r="DH656" s="408">
        <v>0</v>
      </c>
      <c r="DI656" s="408">
        <v>-4113.8927646797965</v>
      </c>
      <c r="DJ656" s="408"/>
      <c r="DK656" s="408">
        <v>0</v>
      </c>
      <c r="DL656" s="408">
        <v>0</v>
      </c>
      <c r="DM656" s="408">
        <v>-207.13655255178674</v>
      </c>
      <c r="DN656" s="408">
        <v>0</v>
      </c>
      <c r="DO656" s="408">
        <v>-563.49867107194586</v>
      </c>
      <c r="DP656" s="408">
        <v>-110.05478788012306</v>
      </c>
      <c r="DQ656" s="408">
        <v>0</v>
      </c>
      <c r="DR656" s="408">
        <v>0</v>
      </c>
      <c r="DS656" s="408"/>
      <c r="DT656" s="408"/>
      <c r="DU656" s="408"/>
      <c r="DV656" s="408">
        <v>837030.10668931995</v>
      </c>
      <c r="DW656" s="408">
        <v>0</v>
      </c>
      <c r="DX656" s="408">
        <v>0</v>
      </c>
      <c r="DY656" s="408">
        <v>-438270.73557000002</v>
      </c>
      <c r="DZ656" s="408">
        <v>48778.595970000024</v>
      </c>
      <c r="EA656" s="408">
        <v>0</v>
      </c>
      <c r="EB656" s="408">
        <v>0</v>
      </c>
      <c r="EC656" s="408">
        <v>-443163.0659442367</v>
      </c>
      <c r="ED656" s="408">
        <v>0</v>
      </c>
      <c r="EE656" s="408">
        <v>0</v>
      </c>
      <c r="EF656" s="408">
        <v>0</v>
      </c>
      <c r="EG656" s="408">
        <v>0</v>
      </c>
      <c r="EH656" s="408">
        <v>0</v>
      </c>
      <c r="EI656" s="408">
        <v>0</v>
      </c>
      <c r="EJ656" s="408">
        <v>0</v>
      </c>
      <c r="EK656" s="408">
        <v>0</v>
      </c>
      <c r="EL656" s="408">
        <v>0</v>
      </c>
      <c r="EM656" s="408">
        <v>0</v>
      </c>
      <c r="EN656" s="408">
        <v>0</v>
      </c>
      <c r="EO656" s="408">
        <v>0</v>
      </c>
      <c r="EP656" s="408">
        <v>0</v>
      </c>
      <c r="EQ656" s="408">
        <v>0</v>
      </c>
      <c r="ER656" s="408">
        <v>0</v>
      </c>
      <c r="ES656" s="408">
        <v>0</v>
      </c>
      <c r="ET656" s="408">
        <v>0</v>
      </c>
      <c r="EU656" s="408">
        <v>0</v>
      </c>
      <c r="EV656" s="408">
        <v>239</v>
      </c>
      <c r="EW656" s="408">
        <v>0</v>
      </c>
      <c r="EX656" s="408">
        <v>0</v>
      </c>
      <c r="EY656" s="408">
        <v>0</v>
      </c>
      <c r="EZ656" s="408"/>
      <c r="FA656" s="408">
        <v>0</v>
      </c>
      <c r="FB656" s="408"/>
      <c r="FC656" s="408"/>
      <c r="FD656" s="408"/>
      <c r="FE656" s="408"/>
      <c r="FF656" s="408">
        <v>0</v>
      </c>
      <c r="FG656" s="408">
        <v>0</v>
      </c>
      <c r="FH656" s="408">
        <v>0</v>
      </c>
      <c r="FI656" s="408">
        <v>0</v>
      </c>
    </row>
    <row r="657" spans="1:165">
      <c r="A657" s="408">
        <v>662</v>
      </c>
      <c r="B657" s="408" t="s">
        <v>2235</v>
      </c>
      <c r="C657" s="408" t="s">
        <v>2233</v>
      </c>
      <c r="D657" s="408" t="s">
        <v>2243</v>
      </c>
      <c r="E657" s="408" t="s">
        <v>972</v>
      </c>
      <c r="F657" s="408" t="s">
        <v>1320</v>
      </c>
      <c r="G657" s="408" t="s">
        <v>1320</v>
      </c>
      <c r="H657" s="408" t="s">
        <v>1320</v>
      </c>
      <c r="I657" s="408" t="s">
        <v>1320</v>
      </c>
      <c r="J657" s="408" t="s">
        <v>2234</v>
      </c>
      <c r="K657" s="827">
        <v>44682</v>
      </c>
      <c r="L657" s="408">
        <v>0</v>
      </c>
      <c r="M657" s="408">
        <v>0</v>
      </c>
      <c r="N657" s="408">
        <v>-8.77</v>
      </c>
      <c r="O657" s="408">
        <v>-8.77</v>
      </c>
      <c r="P657" s="408">
        <v>-8.77</v>
      </c>
      <c r="Q657" s="408">
        <v>-8.77</v>
      </c>
      <c r="R657" s="408"/>
      <c r="S657" s="408">
        <v>516.83000000000004</v>
      </c>
      <c r="T657" s="408">
        <v>173.82</v>
      </c>
      <c r="U657" s="408"/>
      <c r="V657" s="408">
        <v>-6057.0005000000001</v>
      </c>
      <c r="W657" s="408">
        <v>-6057.0005000000001</v>
      </c>
      <c r="X657" s="408">
        <v>-4573.1165000000001</v>
      </c>
      <c r="Y657" s="408">
        <v>0</v>
      </c>
      <c r="Z657" s="408">
        <v>-536.28072699786776</v>
      </c>
      <c r="AA657" s="408">
        <v>0</v>
      </c>
      <c r="AB657" s="408">
        <v>0</v>
      </c>
      <c r="AC657" s="408">
        <v>-23.84075452363793</v>
      </c>
      <c r="AD657" s="408">
        <v>-301.92138304851881</v>
      </c>
      <c r="AE657" s="408">
        <v>-3188.9105236119499</v>
      </c>
      <c r="AF657" s="408">
        <v>-1411.2871286984198</v>
      </c>
      <c r="AG657" s="408">
        <v>-71.000739488425211</v>
      </c>
      <c r="AH657" s="408">
        <v>0</v>
      </c>
      <c r="AI657" s="408">
        <v>0</v>
      </c>
      <c r="AJ657" s="408">
        <v>0</v>
      </c>
      <c r="AK657" s="408">
        <v>0</v>
      </c>
      <c r="AL657" s="408">
        <v>-82.889625687320731</v>
      </c>
      <c r="AM657" s="408"/>
      <c r="AN657" s="408">
        <v>-13.60702311943178</v>
      </c>
      <c r="AO657" s="408">
        <v>-50.852878143017804</v>
      </c>
      <c r="AP657" s="408">
        <v>-166.53630001861004</v>
      </c>
      <c r="AQ657" s="408">
        <v>0</v>
      </c>
      <c r="AR657" s="408">
        <v>0</v>
      </c>
      <c r="AS657" s="408">
        <v>0</v>
      </c>
      <c r="AT657" s="408">
        <v>0</v>
      </c>
      <c r="AU657" s="408">
        <v>0</v>
      </c>
      <c r="AV657" s="408">
        <v>0</v>
      </c>
      <c r="AW657" s="408">
        <v>0</v>
      </c>
      <c r="AX657" s="408">
        <v>0</v>
      </c>
      <c r="AY657" s="408">
        <v>0</v>
      </c>
      <c r="AZ657" s="408">
        <v>0</v>
      </c>
      <c r="BA657" s="408"/>
      <c r="BB657" s="408">
        <v>0</v>
      </c>
      <c r="BC657" s="408">
        <v>0</v>
      </c>
      <c r="BD657" s="408">
        <v>0</v>
      </c>
      <c r="BE657" s="408">
        <v>-4.8657066515469696</v>
      </c>
      <c r="BF657" s="408">
        <v>-42.145886719534978</v>
      </c>
      <c r="BG657" s="408">
        <v>-162.93189451789777</v>
      </c>
      <c r="BH657" s="408">
        <v>0</v>
      </c>
      <c r="BI657" s="408">
        <v>-6.12</v>
      </c>
      <c r="BJ657" s="408">
        <v>-28.02</v>
      </c>
      <c r="BK657" s="408">
        <v>-51.02</v>
      </c>
      <c r="BL657" s="408">
        <v>0</v>
      </c>
      <c r="BM657" s="408"/>
      <c r="BN657" s="408"/>
      <c r="BO657" s="408"/>
      <c r="BP657" s="408"/>
      <c r="BQ657" s="408"/>
      <c r="BR657" s="408">
        <v>-548.73889999999983</v>
      </c>
      <c r="BS657" s="408"/>
      <c r="BT657" s="408"/>
      <c r="BU657" s="408"/>
      <c r="BV657" s="408">
        <v>-1621.2306165873995</v>
      </c>
      <c r="BW657" s="408"/>
      <c r="BX657" s="408"/>
      <c r="BY657" s="408"/>
      <c r="BZ657" s="408"/>
      <c r="CA657" s="408"/>
      <c r="CB657" s="408"/>
      <c r="CC657" s="408"/>
      <c r="CD657" s="408"/>
      <c r="CE657" s="408"/>
      <c r="CF657" s="408"/>
      <c r="CG657" s="408"/>
      <c r="CH657" s="408"/>
      <c r="CI657" s="408">
        <v>-4024.3775999999998</v>
      </c>
      <c r="CJ657" s="408">
        <v>1305.7352999999994</v>
      </c>
      <c r="CK657" s="408"/>
      <c r="CL657" s="408"/>
      <c r="CM657" s="408"/>
      <c r="CN657" s="408"/>
      <c r="CO657" s="408">
        <v>1669.7203000000004</v>
      </c>
      <c r="CP657" s="408">
        <v>-185.83629999999997</v>
      </c>
      <c r="CQ657" s="408">
        <v>31</v>
      </c>
      <c r="CR657" s="408">
        <v>-204.3925589528526</v>
      </c>
      <c r="CS657" s="408">
        <v>-4.9374931935484128</v>
      </c>
      <c r="CT657" s="408">
        <v>-16.169622602442018</v>
      </c>
      <c r="CU657" s="408">
        <v>0</v>
      </c>
      <c r="CV657" s="408">
        <v>0</v>
      </c>
      <c r="CW657" s="408">
        <v>0</v>
      </c>
      <c r="CX657" s="408">
        <v>0</v>
      </c>
      <c r="CY657" s="408">
        <v>0</v>
      </c>
      <c r="CZ657" s="408">
        <v>5.789103384709847</v>
      </c>
      <c r="DA657" s="408">
        <v>0</v>
      </c>
      <c r="DB657" s="408">
        <v>0</v>
      </c>
      <c r="DC657" s="408">
        <v>-181.15430058763468</v>
      </c>
      <c r="DD657" s="408">
        <v>-5.409890358997437</v>
      </c>
      <c r="DE657" s="408">
        <v>-0.62456722477053805</v>
      </c>
      <c r="DF657" s="408">
        <v>0</v>
      </c>
      <c r="DG657" s="408">
        <v>-20.914109393195076</v>
      </c>
      <c r="DH657" s="408">
        <v>0</v>
      </c>
      <c r="DI657" s="408">
        <v>15.673075347536724</v>
      </c>
      <c r="DJ657" s="408"/>
      <c r="DK657" s="408">
        <v>0</v>
      </c>
      <c r="DL657" s="408">
        <v>0</v>
      </c>
      <c r="DM657" s="408">
        <v>0.78914716087059844</v>
      </c>
      <c r="DN657" s="408">
        <v>0</v>
      </c>
      <c r="DO657" s="408">
        <v>2.1468126747914624</v>
      </c>
      <c r="DP657" s="408">
        <v>0.41928583982830148</v>
      </c>
      <c r="DQ657" s="408">
        <v>0</v>
      </c>
      <c r="DR657" s="408">
        <v>0</v>
      </c>
      <c r="DS657" s="408"/>
      <c r="DT657" s="408"/>
      <c r="DU657" s="408"/>
      <c r="DV657" s="408">
        <v>-3188.9105236119499</v>
      </c>
      <c r="DW657" s="408">
        <v>0</v>
      </c>
      <c r="DX657" s="408">
        <v>0</v>
      </c>
      <c r="DY657" s="408">
        <v>1669.7203000000004</v>
      </c>
      <c r="DZ657" s="408">
        <v>-185.83629999999994</v>
      </c>
      <c r="EA657" s="408">
        <v>0</v>
      </c>
      <c r="EB657" s="408">
        <v>0</v>
      </c>
      <c r="EC657" s="408">
        <v>1688.3590606499563</v>
      </c>
      <c r="ED657" s="408">
        <v>0</v>
      </c>
      <c r="EE657" s="408">
        <v>0</v>
      </c>
      <c r="EF657" s="408">
        <v>0</v>
      </c>
      <c r="EG657" s="408">
        <v>0</v>
      </c>
      <c r="EH657" s="408">
        <v>0</v>
      </c>
      <c r="EI657" s="408">
        <v>0</v>
      </c>
      <c r="EJ657" s="408">
        <v>0</v>
      </c>
      <c r="EK657" s="408">
        <v>0</v>
      </c>
      <c r="EL657" s="408">
        <v>0</v>
      </c>
      <c r="EM657" s="408">
        <v>0</v>
      </c>
      <c r="EN657" s="408">
        <v>0</v>
      </c>
      <c r="EO657" s="408">
        <v>0</v>
      </c>
      <c r="EP657" s="408">
        <v>0</v>
      </c>
      <c r="EQ657" s="408">
        <v>0</v>
      </c>
      <c r="ER657" s="408">
        <v>0</v>
      </c>
      <c r="ES657" s="408">
        <v>0</v>
      </c>
      <c r="ET657" s="408">
        <v>0</v>
      </c>
      <c r="EU657" s="408">
        <v>0</v>
      </c>
      <c r="EV657" s="408">
        <v>239</v>
      </c>
      <c r="EW657" s="408">
        <v>0</v>
      </c>
      <c r="EX657" s="408">
        <v>0</v>
      </c>
      <c r="EY657" s="408">
        <v>0</v>
      </c>
      <c r="EZ657" s="408"/>
      <c r="FA657" s="408">
        <v>0</v>
      </c>
      <c r="FB657" s="408"/>
      <c r="FC657" s="408"/>
      <c r="FD657" s="408"/>
      <c r="FE657" s="408"/>
      <c r="FF657" s="408">
        <v>0</v>
      </c>
      <c r="FG657" s="408">
        <v>0</v>
      </c>
      <c r="FH657" s="408">
        <v>0</v>
      </c>
      <c r="FI657" s="408">
        <v>0</v>
      </c>
    </row>
    <row r="658" spans="1:165">
      <c r="A658" s="408">
        <v>663</v>
      </c>
      <c r="B658" s="408" t="s">
        <v>2236</v>
      </c>
      <c r="C658" s="408" t="s">
        <v>2233</v>
      </c>
      <c r="D658" s="408" t="s">
        <v>2243</v>
      </c>
      <c r="E658" s="408" t="s">
        <v>972</v>
      </c>
      <c r="F658" s="408" t="s">
        <v>1320</v>
      </c>
      <c r="G658" s="408" t="s">
        <v>1320</v>
      </c>
      <c r="H658" s="408" t="s">
        <v>1320</v>
      </c>
      <c r="I658" s="408" t="s">
        <v>1320</v>
      </c>
      <c r="J658" s="408" t="s">
        <v>2234</v>
      </c>
      <c r="K658" s="827">
        <v>44682</v>
      </c>
      <c r="L658" s="408">
        <v>0</v>
      </c>
      <c r="M658" s="408">
        <v>0</v>
      </c>
      <c r="N658" s="408">
        <v>46.863</v>
      </c>
      <c r="O658" s="408">
        <v>46.863</v>
      </c>
      <c r="P658" s="408">
        <v>46.863</v>
      </c>
      <c r="Q658" s="408">
        <v>46.863</v>
      </c>
      <c r="R658" s="408"/>
      <c r="S658" s="408">
        <v>516.83000000000004</v>
      </c>
      <c r="T658" s="408">
        <v>173.82</v>
      </c>
      <c r="U658" s="408"/>
      <c r="V658" s="408">
        <v>32365.930950000002</v>
      </c>
      <c r="W658" s="408">
        <v>32365.930950000002</v>
      </c>
      <c r="X658" s="408">
        <v>24436.711349999998</v>
      </c>
      <c r="Y658" s="408">
        <v>0</v>
      </c>
      <c r="Z658" s="408">
        <v>2865.6469451882645</v>
      </c>
      <c r="AA658" s="408">
        <v>0</v>
      </c>
      <c r="AB658" s="408">
        <v>0</v>
      </c>
      <c r="AC658" s="408">
        <v>127.39444461131635</v>
      </c>
      <c r="AD658" s="408">
        <v>1613.3342957585787</v>
      </c>
      <c r="AE658" s="408">
        <v>17040.127008897016</v>
      </c>
      <c r="AF658" s="408">
        <v>7541.2940378784551</v>
      </c>
      <c r="AG658" s="408">
        <v>379.39653986842313</v>
      </c>
      <c r="AH658" s="408">
        <v>0</v>
      </c>
      <c r="AI658" s="408">
        <v>0</v>
      </c>
      <c r="AJ658" s="408">
        <v>0</v>
      </c>
      <c r="AK658" s="408">
        <v>0</v>
      </c>
      <c r="AL658" s="408">
        <v>442.92548786601043</v>
      </c>
      <c r="AM658" s="408"/>
      <c r="AN658" s="408">
        <v>72.709911567381013</v>
      </c>
      <c r="AO658" s="408">
        <v>271.73528260162414</v>
      </c>
      <c r="AP658" s="408">
        <v>889.89630875394789</v>
      </c>
      <c r="AQ658" s="408">
        <v>0</v>
      </c>
      <c r="AR658" s="408">
        <v>0</v>
      </c>
      <c r="AS658" s="408">
        <v>0</v>
      </c>
      <c r="AT658" s="408">
        <v>0</v>
      </c>
      <c r="AU658" s="408">
        <v>0</v>
      </c>
      <c r="AV658" s="408">
        <v>0</v>
      </c>
      <c r="AW658" s="408">
        <v>0</v>
      </c>
      <c r="AX658" s="408">
        <v>0</v>
      </c>
      <c r="AY658" s="408">
        <v>0</v>
      </c>
      <c r="AZ658" s="408">
        <v>0</v>
      </c>
      <c r="BA658" s="408"/>
      <c r="BB658" s="408">
        <v>0</v>
      </c>
      <c r="BC658" s="408">
        <v>0</v>
      </c>
      <c r="BD658" s="408">
        <v>0</v>
      </c>
      <c r="BE658" s="408">
        <v>26.000183672912847</v>
      </c>
      <c r="BF658" s="408">
        <v>225.20897255844559</v>
      </c>
      <c r="BG658" s="408">
        <v>870.63596040960601</v>
      </c>
      <c r="BH658" s="408">
        <v>0</v>
      </c>
      <c r="BI658" s="408">
        <v>204.49</v>
      </c>
      <c r="BJ658" s="408">
        <v>951.05</v>
      </c>
      <c r="BK658" s="408">
        <v>2160.41</v>
      </c>
      <c r="BL658" s="408">
        <v>314</v>
      </c>
      <c r="BM658" s="408"/>
      <c r="BN658" s="408"/>
      <c r="BO658" s="408"/>
      <c r="BP658" s="408"/>
      <c r="BQ658" s="408"/>
      <c r="BR658" s="408">
        <v>2932.2179099999994</v>
      </c>
      <c r="BS658" s="408"/>
      <c r="BT658" s="408"/>
      <c r="BU658" s="408"/>
      <c r="BV658" s="408">
        <v>8663.1391545194201</v>
      </c>
      <c r="BW658" s="408"/>
      <c r="BX658" s="408"/>
      <c r="BY658" s="408"/>
      <c r="BZ658" s="408"/>
      <c r="CA658" s="408"/>
      <c r="CB658" s="408"/>
      <c r="CC658" s="408"/>
      <c r="CD658" s="408"/>
      <c r="CE658" s="408"/>
      <c r="CF658" s="408"/>
      <c r="CG658" s="408"/>
      <c r="CH658" s="408"/>
      <c r="CI658" s="408">
        <v>21503.1168</v>
      </c>
      <c r="CJ658" s="408">
        <v>-6978.8387099999964</v>
      </c>
      <c r="CK658" s="408"/>
      <c r="CL658" s="408"/>
      <c r="CM658" s="408"/>
      <c r="CN658" s="408"/>
      <c r="CO658" s="408">
        <v>-8922.2465700000012</v>
      </c>
      <c r="CP658" s="408">
        <v>993.02696999999989</v>
      </c>
      <c r="CQ658" s="408">
        <v>31</v>
      </c>
      <c r="CR658" s="408">
        <v>1092.183408233459</v>
      </c>
      <c r="CS658" s="408">
        <v>26.383779193758187</v>
      </c>
      <c r="CT658" s="408">
        <v>86.403309466161886</v>
      </c>
      <c r="CU658" s="408">
        <v>0</v>
      </c>
      <c r="CV658" s="408">
        <v>0</v>
      </c>
      <c r="CW658" s="408">
        <v>0</v>
      </c>
      <c r="CX658" s="408">
        <v>0</v>
      </c>
      <c r="CY658" s="408">
        <v>0</v>
      </c>
      <c r="CZ658" s="408">
        <v>-30.934407288216335</v>
      </c>
      <c r="DA658" s="408">
        <v>0</v>
      </c>
      <c r="DB658" s="408">
        <v>0</v>
      </c>
      <c r="DC658" s="408">
        <v>968.00843653800803</v>
      </c>
      <c r="DD658" s="408">
        <v>28.908060649224268</v>
      </c>
      <c r="DE658" s="408">
        <v>3.3374109298086339</v>
      </c>
      <c r="DF658" s="408">
        <v>0</v>
      </c>
      <c r="DG658" s="408">
        <v>111.75574783275931</v>
      </c>
      <c r="DH658" s="408">
        <v>0</v>
      </c>
      <c r="DI658" s="408">
        <v>-83.749980617059919</v>
      </c>
      <c r="DJ658" s="408"/>
      <c r="DK658" s="408">
        <v>0</v>
      </c>
      <c r="DL658" s="408">
        <v>0</v>
      </c>
      <c r="DM658" s="408">
        <v>-4.2168532953111821</v>
      </c>
      <c r="DN658" s="408">
        <v>0</v>
      </c>
      <c r="DO658" s="408">
        <v>-11.471617146950052</v>
      </c>
      <c r="DP658" s="408">
        <v>-2.2404780287199202</v>
      </c>
      <c r="DQ658" s="408">
        <v>0</v>
      </c>
      <c r="DR658" s="408">
        <v>0</v>
      </c>
      <c r="DS658" s="408"/>
      <c r="DT658" s="408"/>
      <c r="DU658" s="408"/>
      <c r="DV658" s="408">
        <v>17040.127008897016</v>
      </c>
      <c r="DW658" s="408">
        <v>0</v>
      </c>
      <c r="DX658" s="408">
        <v>0</v>
      </c>
      <c r="DY658" s="408">
        <v>-8922.2465700000012</v>
      </c>
      <c r="DZ658" s="408">
        <v>993.02696999999989</v>
      </c>
      <c r="EA658" s="408">
        <v>0</v>
      </c>
      <c r="EB658" s="408">
        <v>0</v>
      </c>
      <c r="EC658" s="408">
        <v>-9021.8438608026136</v>
      </c>
      <c r="ED658" s="408">
        <v>0</v>
      </c>
      <c r="EE658" s="408">
        <v>0</v>
      </c>
      <c r="EF658" s="408">
        <v>0</v>
      </c>
      <c r="EG658" s="408">
        <v>0</v>
      </c>
      <c r="EH658" s="408">
        <v>0</v>
      </c>
      <c r="EI658" s="408">
        <v>0</v>
      </c>
      <c r="EJ658" s="408">
        <v>0</v>
      </c>
      <c r="EK658" s="408">
        <v>0</v>
      </c>
      <c r="EL658" s="408">
        <v>0</v>
      </c>
      <c r="EM658" s="408">
        <v>0</v>
      </c>
      <c r="EN658" s="408">
        <v>0</v>
      </c>
      <c r="EO658" s="408">
        <v>0</v>
      </c>
      <c r="EP658" s="408">
        <v>0</v>
      </c>
      <c r="EQ658" s="408">
        <v>0</v>
      </c>
      <c r="ER658" s="408">
        <v>0</v>
      </c>
      <c r="ES658" s="408">
        <v>0</v>
      </c>
      <c r="ET658" s="408">
        <v>0</v>
      </c>
      <c r="EU658" s="408">
        <v>0</v>
      </c>
      <c r="EV658" s="408">
        <v>239</v>
      </c>
      <c r="EW658" s="408">
        <v>0</v>
      </c>
      <c r="EX658" s="408">
        <v>0</v>
      </c>
      <c r="EY658" s="408">
        <v>0</v>
      </c>
      <c r="EZ658" s="408"/>
      <c r="FA658" s="408">
        <v>0</v>
      </c>
      <c r="FB658" s="408"/>
      <c r="FC658" s="408"/>
      <c r="FD658" s="408"/>
      <c r="FE658" s="408"/>
      <c r="FF658" s="408">
        <v>0</v>
      </c>
      <c r="FG658" s="408">
        <v>0</v>
      </c>
      <c r="FH658" s="408">
        <v>0</v>
      </c>
      <c r="FI658" s="408">
        <v>0</v>
      </c>
    </row>
    <row r="659" spans="1:165">
      <c r="A659" s="408">
        <v>664</v>
      </c>
      <c r="B659" s="408" t="s">
        <v>2236</v>
      </c>
      <c r="C659" s="408" t="s">
        <v>2233</v>
      </c>
      <c r="D659" s="408" t="s">
        <v>2243</v>
      </c>
      <c r="E659" s="408" t="s">
        <v>972</v>
      </c>
      <c r="F659" s="408" t="s">
        <v>1320</v>
      </c>
      <c r="G659" s="408" t="s">
        <v>1320</v>
      </c>
      <c r="H659" s="408" t="s">
        <v>1320</v>
      </c>
      <c r="I659" s="408" t="s">
        <v>1320</v>
      </c>
      <c r="J659" s="408" t="s">
        <v>2234</v>
      </c>
      <c r="K659" s="827">
        <v>44682</v>
      </c>
      <c r="L659" s="408">
        <v>0</v>
      </c>
      <c r="M659" s="408">
        <v>0</v>
      </c>
      <c r="N659" s="408">
        <v>0.17199999999999999</v>
      </c>
      <c r="O659" s="408">
        <v>0.17199999999999999</v>
      </c>
      <c r="P659" s="408">
        <v>0.17199999999999999</v>
      </c>
      <c r="Q659" s="408">
        <v>0.17199999999999999</v>
      </c>
      <c r="R659" s="408"/>
      <c r="S659" s="408">
        <v>516.83000000000004</v>
      </c>
      <c r="T659" s="408">
        <v>173.82</v>
      </c>
      <c r="U659" s="408"/>
      <c r="V659" s="408">
        <v>118.79179999999999</v>
      </c>
      <c r="W659" s="408">
        <v>118.79179999999999</v>
      </c>
      <c r="X659" s="408">
        <v>89.689399999999992</v>
      </c>
      <c r="Y659" s="408">
        <v>0</v>
      </c>
      <c r="Z659" s="408">
        <v>10.517706390380075</v>
      </c>
      <c r="AA659" s="408">
        <v>0</v>
      </c>
      <c r="AB659" s="408">
        <v>0</v>
      </c>
      <c r="AC659" s="408">
        <v>0.46757238062322964</v>
      </c>
      <c r="AD659" s="408">
        <v>5.9213771817953509</v>
      </c>
      <c r="AE659" s="408">
        <v>62.541916768672223</v>
      </c>
      <c r="AF659" s="408">
        <v>27.678607313127504</v>
      </c>
      <c r="AG659" s="408">
        <v>1.3924888474354773</v>
      </c>
      <c r="AH659" s="408">
        <v>0</v>
      </c>
      <c r="AI659" s="408">
        <v>0</v>
      </c>
      <c r="AJ659" s="408">
        <v>0</v>
      </c>
      <c r="AK659" s="408">
        <v>0</v>
      </c>
      <c r="AL659" s="408">
        <v>1.6256574251105091</v>
      </c>
      <c r="AM659" s="408"/>
      <c r="AN659" s="408">
        <v>0.26686521967414667</v>
      </c>
      <c r="AO659" s="408">
        <v>0.99734265001129563</v>
      </c>
      <c r="AP659" s="408">
        <v>3.2661623264767305</v>
      </c>
      <c r="AQ659" s="408">
        <v>0</v>
      </c>
      <c r="AR659" s="408">
        <v>0</v>
      </c>
      <c r="AS659" s="408">
        <v>0</v>
      </c>
      <c r="AT659" s="408">
        <v>0</v>
      </c>
      <c r="AU659" s="408">
        <v>0</v>
      </c>
      <c r="AV659" s="408">
        <v>0</v>
      </c>
      <c r="AW659" s="408">
        <v>0</v>
      </c>
      <c r="AX659" s="408">
        <v>0</v>
      </c>
      <c r="AY659" s="408">
        <v>0</v>
      </c>
      <c r="AZ659" s="408">
        <v>0</v>
      </c>
      <c r="BA659" s="408"/>
      <c r="BB659" s="408">
        <v>0</v>
      </c>
      <c r="BC659" s="408">
        <v>0</v>
      </c>
      <c r="BD659" s="408">
        <v>0</v>
      </c>
      <c r="BE659" s="408">
        <v>9.5427770132962234E-2</v>
      </c>
      <c r="BF659" s="408">
        <v>0.82657839404333144</v>
      </c>
      <c r="BG659" s="408">
        <v>3.1954715914570602</v>
      </c>
      <c r="BH659" s="408">
        <v>0</v>
      </c>
      <c r="BI659" s="408">
        <v>0.21</v>
      </c>
      <c r="BJ659" s="408">
        <v>0.99</v>
      </c>
      <c r="BK659" s="408">
        <v>9.1300000000000008</v>
      </c>
      <c r="BL659" s="408">
        <v>1</v>
      </c>
      <c r="BM659" s="408"/>
      <c r="BN659" s="408"/>
      <c r="BO659" s="408"/>
      <c r="BP659" s="408"/>
      <c r="BQ659" s="408"/>
      <c r="BR659" s="408">
        <v>10.762039999999999</v>
      </c>
      <c r="BS659" s="408"/>
      <c r="BT659" s="408"/>
      <c r="BU659" s="408"/>
      <c r="BV659" s="408">
        <v>31.796085068760856</v>
      </c>
      <c r="BW659" s="408"/>
      <c r="BX659" s="408"/>
      <c r="BY659" s="408"/>
      <c r="BZ659" s="408"/>
      <c r="CA659" s="408"/>
      <c r="CB659" s="408"/>
      <c r="CC659" s="408"/>
      <c r="CD659" s="408"/>
      <c r="CE659" s="408"/>
      <c r="CF659" s="408"/>
      <c r="CG659" s="408"/>
      <c r="CH659" s="408"/>
      <c r="CI659" s="408">
        <v>78.009600000000006</v>
      </c>
      <c r="CJ659" s="408">
        <v>-26.556840000000008</v>
      </c>
      <c r="CK659" s="408"/>
      <c r="CL659" s="408"/>
      <c r="CM659" s="408"/>
      <c r="CN659" s="408"/>
      <c r="CO659" s="408">
        <v>-32.747080000000004</v>
      </c>
      <c r="CP659" s="408">
        <v>3.6446799999999993</v>
      </c>
      <c r="CQ659" s="408">
        <v>31</v>
      </c>
      <c r="CR659" s="408">
        <v>4.0086111904093968</v>
      </c>
      <c r="CS659" s="408">
        <v>9.6835670386582251E-2</v>
      </c>
      <c r="CT659" s="408">
        <v>0.31712372720866888</v>
      </c>
      <c r="CU659" s="408">
        <v>0</v>
      </c>
      <c r="CV659" s="408">
        <v>0</v>
      </c>
      <c r="CW659" s="408">
        <v>0</v>
      </c>
      <c r="CX659" s="408">
        <v>0</v>
      </c>
      <c r="CY659" s="408">
        <v>0</v>
      </c>
      <c r="CZ659" s="408">
        <v>-0.113537717465233</v>
      </c>
      <c r="DA659" s="408">
        <v>0</v>
      </c>
      <c r="DB659" s="408">
        <v>0</v>
      </c>
      <c r="DC659" s="408">
        <v>3.5528551540562354</v>
      </c>
      <c r="DD659" s="408">
        <v>0.10610047226311958</v>
      </c>
      <c r="DE659" s="408">
        <v>1.224920896927395E-2</v>
      </c>
      <c r="DF659" s="408">
        <v>0</v>
      </c>
      <c r="DG659" s="408">
        <v>0.41017409528273108</v>
      </c>
      <c r="DH659" s="408">
        <v>0</v>
      </c>
      <c r="DI659" s="408">
        <v>-0.30738528617746042</v>
      </c>
      <c r="DJ659" s="408"/>
      <c r="DK659" s="408">
        <v>0</v>
      </c>
      <c r="DL659" s="408">
        <v>0</v>
      </c>
      <c r="DM659" s="408">
        <v>-1.5477002470894341E-2</v>
      </c>
      <c r="DN659" s="408">
        <v>0</v>
      </c>
      <c r="DO659" s="408">
        <v>-4.2103965799786813E-2</v>
      </c>
      <c r="DP659" s="408">
        <v>-8.2231658438390309E-3</v>
      </c>
      <c r="DQ659" s="408">
        <v>0</v>
      </c>
      <c r="DR659" s="408">
        <v>0</v>
      </c>
      <c r="DS659" s="408"/>
      <c r="DT659" s="408"/>
      <c r="DU659" s="408"/>
      <c r="DV659" s="408">
        <v>62.541916768672223</v>
      </c>
      <c r="DW659" s="408">
        <v>0</v>
      </c>
      <c r="DX659" s="408">
        <v>0</v>
      </c>
      <c r="DY659" s="408">
        <v>-32.747080000000011</v>
      </c>
      <c r="DZ659" s="408">
        <v>3.644680000000001</v>
      </c>
      <c r="EA659" s="408">
        <v>0</v>
      </c>
      <c r="EB659" s="408">
        <v>0</v>
      </c>
      <c r="EC659" s="408">
        <v>-33.112629239657068</v>
      </c>
      <c r="ED659" s="408">
        <v>0</v>
      </c>
      <c r="EE659" s="408">
        <v>0</v>
      </c>
      <c r="EF659" s="408">
        <v>0</v>
      </c>
      <c r="EG659" s="408">
        <v>0</v>
      </c>
      <c r="EH659" s="408">
        <v>0</v>
      </c>
      <c r="EI659" s="408">
        <v>0</v>
      </c>
      <c r="EJ659" s="408">
        <v>0</v>
      </c>
      <c r="EK659" s="408">
        <v>0</v>
      </c>
      <c r="EL659" s="408">
        <v>0</v>
      </c>
      <c r="EM659" s="408">
        <v>0</v>
      </c>
      <c r="EN659" s="408">
        <v>0</v>
      </c>
      <c r="EO659" s="408">
        <v>0</v>
      </c>
      <c r="EP659" s="408">
        <v>0</v>
      </c>
      <c r="EQ659" s="408">
        <v>0</v>
      </c>
      <c r="ER659" s="408">
        <v>0</v>
      </c>
      <c r="ES659" s="408">
        <v>0</v>
      </c>
      <c r="ET659" s="408">
        <v>0</v>
      </c>
      <c r="EU659" s="408">
        <v>0</v>
      </c>
      <c r="EV659" s="408">
        <v>239</v>
      </c>
      <c r="EW659" s="408">
        <v>0</v>
      </c>
      <c r="EX659" s="408">
        <v>0</v>
      </c>
      <c r="EY659" s="408">
        <v>0</v>
      </c>
      <c r="EZ659" s="408"/>
      <c r="FA659" s="408">
        <v>0</v>
      </c>
      <c r="FB659" s="408"/>
      <c r="FC659" s="408"/>
      <c r="FD659" s="408"/>
      <c r="FE659" s="408"/>
      <c r="FF659" s="408">
        <v>0</v>
      </c>
      <c r="FG659" s="408">
        <v>0</v>
      </c>
      <c r="FH659" s="408">
        <v>0</v>
      </c>
      <c r="FI659" s="408">
        <v>0</v>
      </c>
    </row>
    <row r="660" spans="1:165">
      <c r="A660" s="408">
        <v>665</v>
      </c>
      <c r="B660" s="408" t="s">
        <v>1034</v>
      </c>
      <c r="C660" s="408" t="s">
        <v>2241</v>
      </c>
      <c r="D660" s="408" t="s">
        <v>596</v>
      </c>
      <c r="E660" s="408" t="s">
        <v>972</v>
      </c>
      <c r="F660" s="408" t="s">
        <v>1320</v>
      </c>
      <c r="G660" s="408" t="s">
        <v>1320</v>
      </c>
      <c r="H660" s="408" t="s">
        <v>1320</v>
      </c>
      <c r="I660" s="408" t="s">
        <v>971</v>
      </c>
      <c r="J660" s="408" t="s">
        <v>2234</v>
      </c>
      <c r="K660" s="827">
        <v>44682</v>
      </c>
      <c r="L660" s="408">
        <v>0</v>
      </c>
      <c r="M660" s="408">
        <v>0</v>
      </c>
      <c r="N660" s="408">
        <v>38.116999999999997</v>
      </c>
      <c r="O660" s="408">
        <v>36.592320000000001</v>
      </c>
      <c r="P660" s="408">
        <v>38.116999999999997</v>
      </c>
      <c r="Q660" s="408">
        <v>36.592320000000001</v>
      </c>
      <c r="R660" s="408"/>
      <c r="S660" s="408">
        <v>1684.16</v>
      </c>
      <c r="T660" s="408">
        <v>173.82</v>
      </c>
      <c r="U660" s="408"/>
      <c r="V660" s="408">
        <v>70820.623659999997</v>
      </c>
      <c r="W660" s="408">
        <v>70820.623659999997</v>
      </c>
      <c r="X660" s="408">
        <v>48616.70882</v>
      </c>
      <c r="Y660" s="408">
        <v>0</v>
      </c>
      <c r="Z660" s="408">
        <v>2027.8254104618757</v>
      </c>
      <c r="AA660" s="408">
        <v>0</v>
      </c>
      <c r="AB660" s="408">
        <v>0</v>
      </c>
      <c r="AC660" s="408">
        <v>686.0831244535342</v>
      </c>
      <c r="AD660" s="408">
        <v>10466.39186255524</v>
      </c>
      <c r="AE660" s="408">
        <v>44150.633526127691</v>
      </c>
      <c r="AF660" s="408">
        <v>6133.86904043303</v>
      </c>
      <c r="AG660" s="408">
        <v>308.59010114940747</v>
      </c>
      <c r="AH660" s="408">
        <v>0</v>
      </c>
      <c r="AI660" s="408">
        <v>0</v>
      </c>
      <c r="AJ660" s="408">
        <v>0</v>
      </c>
      <c r="AK660" s="408">
        <v>0</v>
      </c>
      <c r="AL660" s="408">
        <v>360.26269809847253</v>
      </c>
      <c r="AM660" s="408"/>
      <c r="AN660" s="408">
        <v>47.369164783677292</v>
      </c>
      <c r="AO660" s="408">
        <v>1473.4562267094288</v>
      </c>
      <c r="AP660" s="408">
        <v>4737.892442841362</v>
      </c>
      <c r="AQ660" s="408">
        <v>0</v>
      </c>
      <c r="AR660" s="408">
        <v>0</v>
      </c>
      <c r="AS660" s="408">
        <v>0</v>
      </c>
      <c r="AT660" s="408">
        <v>0</v>
      </c>
      <c r="AU660" s="408">
        <v>0</v>
      </c>
      <c r="AV660" s="408">
        <v>0</v>
      </c>
      <c r="AW660" s="408">
        <v>0</v>
      </c>
      <c r="AX660" s="408">
        <v>0</v>
      </c>
      <c r="AY660" s="408">
        <v>0</v>
      </c>
      <c r="AZ660" s="408">
        <v>0</v>
      </c>
      <c r="BA660" s="408"/>
      <c r="BB660" s="408">
        <v>0</v>
      </c>
      <c r="BC660" s="408">
        <v>0</v>
      </c>
      <c r="BD660" s="408">
        <v>0</v>
      </c>
      <c r="BE660" s="408">
        <v>7.1123891925506202</v>
      </c>
      <c r="BF660" s="408">
        <v>183.17842235900969</v>
      </c>
      <c r="BG660" s="408">
        <v>238.1637712011391</v>
      </c>
      <c r="BH660" s="408">
        <v>0</v>
      </c>
      <c r="BI660" s="408">
        <v>0</v>
      </c>
      <c r="BJ660" s="408">
        <v>0</v>
      </c>
      <c r="BK660" s="408">
        <v>0</v>
      </c>
      <c r="BL660" s="408">
        <v>0</v>
      </c>
      <c r="BM660" s="408"/>
      <c r="BN660" s="408"/>
      <c r="BO660" s="408"/>
      <c r="BP660" s="408"/>
      <c r="BQ660" s="408"/>
      <c r="BR660" s="408">
        <v>1944.6683527999958</v>
      </c>
      <c r="BS660" s="408"/>
      <c r="BT660" s="408"/>
      <c r="BU660" s="408"/>
      <c r="BV660" s="408">
        <v>6562.323623185729</v>
      </c>
      <c r="BW660" s="408"/>
      <c r="BX660" s="408"/>
      <c r="BY660" s="408"/>
      <c r="BZ660" s="408"/>
      <c r="CA660" s="408"/>
      <c r="CB660" s="408"/>
      <c r="CC660" s="408"/>
      <c r="CD660" s="408"/>
      <c r="CE660" s="408"/>
      <c r="CF660" s="408"/>
      <c r="CG660" s="408"/>
      <c r="CH660" s="408"/>
      <c r="CI660" s="408">
        <v>46669.081400000003</v>
      </c>
      <c r="CJ660" s="408">
        <v>-21318.747313599997</v>
      </c>
      <c r="CK660" s="408"/>
      <c r="CL660" s="408"/>
      <c r="CM660" s="408"/>
      <c r="CN660" s="408"/>
      <c r="CO660" s="408">
        <v>-23011.61407</v>
      </c>
      <c r="CP660" s="408">
        <v>807.69922999999983</v>
      </c>
      <c r="CQ660" s="408">
        <v>31</v>
      </c>
      <c r="CR660" s="408">
        <v>1171.2603063770839</v>
      </c>
      <c r="CS660" s="408">
        <v>143.06329073270035</v>
      </c>
      <c r="CT660" s="408">
        <v>460.01942353196409</v>
      </c>
      <c r="CU660" s="408">
        <v>0</v>
      </c>
      <c r="CV660" s="408">
        <v>0</v>
      </c>
      <c r="CW660" s="408">
        <v>0</v>
      </c>
      <c r="CX660" s="408">
        <v>0</v>
      </c>
      <c r="CY660" s="408">
        <v>0</v>
      </c>
      <c r="CZ660" s="408">
        <v>-200.68477411382628</v>
      </c>
      <c r="DA660" s="408">
        <v>0</v>
      </c>
      <c r="DB660" s="408">
        <v>0</v>
      </c>
      <c r="DC660" s="408">
        <v>787.34988318117121</v>
      </c>
      <c r="DD660" s="408">
        <v>23.512975007286798</v>
      </c>
      <c r="DE660" s="408">
        <v>0.91295375936135859</v>
      </c>
      <c r="DF660" s="408">
        <v>0</v>
      </c>
      <c r="DG660" s="408">
        <v>30.570952232126359</v>
      </c>
      <c r="DH660" s="408">
        <v>0</v>
      </c>
      <c r="DI660" s="408">
        <v>-59.264222728529603</v>
      </c>
      <c r="DJ660" s="408"/>
      <c r="DK660" s="408">
        <v>0</v>
      </c>
      <c r="DL660" s="408">
        <v>0</v>
      </c>
      <c r="DM660" s="408">
        <v>-3.4298657161807</v>
      </c>
      <c r="DN660" s="408">
        <v>0</v>
      </c>
      <c r="DO660" s="408">
        <v>-9.3306794441306806</v>
      </c>
      <c r="DP660" s="408">
        <v>-1.45963006485443</v>
      </c>
      <c r="DQ660" s="408">
        <v>0</v>
      </c>
      <c r="DR660" s="408">
        <v>0</v>
      </c>
      <c r="DS660" s="408"/>
      <c r="DT660" s="408"/>
      <c r="DU660" s="408"/>
      <c r="DV660" s="408">
        <v>44150.633526127691</v>
      </c>
      <c r="DW660" s="408">
        <v>0</v>
      </c>
      <c r="DX660" s="408">
        <v>0</v>
      </c>
      <c r="DY660" s="408">
        <v>-23011.614070000003</v>
      </c>
      <c r="DZ660" s="408">
        <v>807.69923000000017</v>
      </c>
      <c r="EA660" s="408">
        <v>0</v>
      </c>
      <c r="EB660" s="408">
        <v>0</v>
      </c>
      <c r="EC660" s="408">
        <v>-23375.419785326088</v>
      </c>
      <c r="ED660" s="408">
        <v>0</v>
      </c>
      <c r="EE660" s="408">
        <v>0</v>
      </c>
      <c r="EF660" s="408">
        <v>0</v>
      </c>
      <c r="EG660" s="408">
        <v>0</v>
      </c>
      <c r="EH660" s="408">
        <v>0</v>
      </c>
      <c r="EI660" s="408">
        <v>0</v>
      </c>
      <c r="EJ660" s="408">
        <v>0</v>
      </c>
      <c r="EK660" s="408">
        <v>0</v>
      </c>
      <c r="EL660" s="408">
        <v>0</v>
      </c>
      <c r="EM660" s="408">
        <v>0</v>
      </c>
      <c r="EN660" s="408">
        <v>0</v>
      </c>
      <c r="EO660" s="408">
        <v>0</v>
      </c>
      <c r="EP660" s="408">
        <v>0</v>
      </c>
      <c r="EQ660" s="408">
        <v>0</v>
      </c>
      <c r="ER660" s="408">
        <v>0</v>
      </c>
      <c r="ES660" s="408">
        <v>0</v>
      </c>
      <c r="ET660" s="408">
        <v>0</v>
      </c>
      <c r="EU660" s="408">
        <v>0</v>
      </c>
      <c r="EV660" s="408">
        <v>239</v>
      </c>
      <c r="EW660" s="408">
        <v>0</v>
      </c>
      <c r="EX660" s="408">
        <v>0</v>
      </c>
      <c r="EY660" s="408">
        <v>0</v>
      </c>
      <c r="EZ660" s="408"/>
      <c r="FA660" s="408">
        <v>0</v>
      </c>
      <c r="FB660" s="408"/>
      <c r="FC660" s="408"/>
      <c r="FD660" s="408"/>
      <c r="FE660" s="408"/>
      <c r="FF660" s="408">
        <v>0</v>
      </c>
      <c r="FG660" s="408">
        <v>0</v>
      </c>
      <c r="FH660" s="408">
        <v>0</v>
      </c>
      <c r="FI660" s="408">
        <v>0</v>
      </c>
    </row>
    <row r="661" spans="1:165">
      <c r="A661" s="408">
        <v>666</v>
      </c>
      <c r="B661" s="408" t="s">
        <v>2236</v>
      </c>
      <c r="C661" s="408" t="s">
        <v>2241</v>
      </c>
      <c r="D661" s="408" t="s">
        <v>596</v>
      </c>
      <c r="E661" s="408" t="s">
        <v>972</v>
      </c>
      <c r="F661" s="408" t="s">
        <v>1320</v>
      </c>
      <c r="G661" s="408" t="s">
        <v>1320</v>
      </c>
      <c r="H661" s="408" t="s">
        <v>1320</v>
      </c>
      <c r="I661" s="408" t="s">
        <v>971</v>
      </c>
      <c r="J661" s="408" t="s">
        <v>2234</v>
      </c>
      <c r="K661" s="827">
        <v>44682</v>
      </c>
      <c r="L661" s="408">
        <v>0</v>
      </c>
      <c r="M661" s="408">
        <v>0</v>
      </c>
      <c r="N661" s="408">
        <v>4.5049999999999999</v>
      </c>
      <c r="O661" s="408">
        <v>4.3247999999999998</v>
      </c>
      <c r="P661" s="408">
        <v>4.5049999999999999</v>
      </c>
      <c r="Q661" s="408">
        <v>4.3247999999999998</v>
      </c>
      <c r="R661" s="408"/>
      <c r="S661" s="408">
        <v>1684.16</v>
      </c>
      <c r="T661" s="408">
        <v>173.82</v>
      </c>
      <c r="U661" s="408"/>
      <c r="V661" s="408">
        <v>8370.1998999999996</v>
      </c>
      <c r="W661" s="408">
        <v>8370.1998999999996</v>
      </c>
      <c r="X661" s="408">
        <v>5745.9472999999998</v>
      </c>
      <c r="Y661" s="408">
        <v>0</v>
      </c>
      <c r="Z661" s="408">
        <v>239.66611942521055</v>
      </c>
      <c r="AA661" s="408">
        <v>0</v>
      </c>
      <c r="AB661" s="408">
        <v>0</v>
      </c>
      <c r="AC661" s="408">
        <v>81.087296368107985</v>
      </c>
      <c r="AD661" s="408">
        <v>1237.0096109560395</v>
      </c>
      <c r="AE661" s="408">
        <v>5218.1075120079031</v>
      </c>
      <c r="AF661" s="408">
        <v>724.95422061418265</v>
      </c>
      <c r="AG661" s="408">
        <v>36.471873591260611</v>
      </c>
      <c r="AH661" s="408">
        <v>0</v>
      </c>
      <c r="AI661" s="408">
        <v>0</v>
      </c>
      <c r="AJ661" s="408">
        <v>0</v>
      </c>
      <c r="AK661" s="408">
        <v>0</v>
      </c>
      <c r="AL661" s="408">
        <v>42.578992442574673</v>
      </c>
      <c r="AM661" s="408"/>
      <c r="AN661" s="408">
        <v>5.5985016488828139</v>
      </c>
      <c r="AO661" s="408">
        <v>174.14592704898016</v>
      </c>
      <c r="AP661" s="408">
        <v>559.96551289451781</v>
      </c>
      <c r="AQ661" s="408">
        <v>0</v>
      </c>
      <c r="AR661" s="408">
        <v>0</v>
      </c>
      <c r="AS661" s="408">
        <v>0</v>
      </c>
      <c r="AT661" s="408">
        <v>0</v>
      </c>
      <c r="AU661" s="408">
        <v>0</v>
      </c>
      <c r="AV661" s="408">
        <v>0</v>
      </c>
      <c r="AW661" s="408">
        <v>0</v>
      </c>
      <c r="AX661" s="408">
        <v>0</v>
      </c>
      <c r="AY661" s="408">
        <v>0</v>
      </c>
      <c r="AZ661" s="408">
        <v>0</v>
      </c>
      <c r="BA661" s="408"/>
      <c r="BB661" s="408">
        <v>0</v>
      </c>
      <c r="BC661" s="408">
        <v>0</v>
      </c>
      <c r="BD661" s="408">
        <v>0</v>
      </c>
      <c r="BE661" s="408">
        <v>0.84060427925703873</v>
      </c>
      <c r="BF661" s="408">
        <v>21.649625960262838</v>
      </c>
      <c r="BG661" s="408">
        <v>28.148274766144549</v>
      </c>
      <c r="BH661" s="408">
        <v>0</v>
      </c>
      <c r="BI661" s="408">
        <v>0</v>
      </c>
      <c r="BJ661" s="408">
        <v>0</v>
      </c>
      <c r="BK661" s="408">
        <v>0</v>
      </c>
      <c r="BL661" s="408">
        <v>0</v>
      </c>
      <c r="BM661" s="408"/>
      <c r="BN661" s="408"/>
      <c r="BO661" s="408"/>
      <c r="BP661" s="408"/>
      <c r="BQ661" s="408"/>
      <c r="BR661" s="408">
        <v>229.83789200000018</v>
      </c>
      <c r="BS661" s="408"/>
      <c r="BT661" s="408"/>
      <c r="BU661" s="408"/>
      <c r="BV661" s="408">
        <v>775.5927256198471</v>
      </c>
      <c r="BW661" s="408"/>
      <c r="BX661" s="408"/>
      <c r="BY661" s="408"/>
      <c r="BZ661" s="408"/>
      <c r="CA661" s="408"/>
      <c r="CB661" s="408"/>
      <c r="CC661" s="408"/>
      <c r="CD661" s="408"/>
      <c r="CE661" s="408"/>
      <c r="CF661" s="408"/>
      <c r="CG661" s="408"/>
      <c r="CH661" s="408"/>
      <c r="CI661" s="408">
        <v>5509.9872000000005</v>
      </c>
      <c r="CJ661" s="408">
        <v>-2525.4347040000002</v>
      </c>
      <c r="CK661" s="408"/>
      <c r="CL661" s="408"/>
      <c r="CM661" s="408"/>
      <c r="CN661" s="408"/>
      <c r="CO661" s="408">
        <v>-2719.7135499999999</v>
      </c>
      <c r="CP661" s="408">
        <v>95.460949999999983</v>
      </c>
      <c r="CQ661" s="408">
        <v>31</v>
      </c>
      <c r="CR661" s="408">
        <v>138.42977359783663</v>
      </c>
      <c r="CS661" s="408">
        <v>16.908469311614681</v>
      </c>
      <c r="CT661" s="408">
        <v>54.369113597909063</v>
      </c>
      <c r="CU661" s="408">
        <v>0</v>
      </c>
      <c r="CV661" s="408">
        <v>0</v>
      </c>
      <c r="CW661" s="408">
        <v>0</v>
      </c>
      <c r="CX661" s="408">
        <v>0</v>
      </c>
      <c r="CY661" s="408">
        <v>0</v>
      </c>
      <c r="CZ661" s="408">
        <v>-23.718679523120727</v>
      </c>
      <c r="DA661" s="408">
        <v>0</v>
      </c>
      <c r="DB661" s="408">
        <v>0</v>
      </c>
      <c r="DC661" s="408">
        <v>93.055886447810053</v>
      </c>
      <c r="DD661" s="408">
        <v>2.7789687647985701</v>
      </c>
      <c r="DE661" s="408">
        <v>0.10790084964511693</v>
      </c>
      <c r="DF661" s="408">
        <v>0</v>
      </c>
      <c r="DG661" s="408">
        <v>3.613142162440095</v>
      </c>
      <c r="DH661" s="408">
        <v>0</v>
      </c>
      <c r="DI661" s="408">
        <v>-7.0043634963933812</v>
      </c>
      <c r="DJ661" s="408"/>
      <c r="DK661" s="408">
        <v>0</v>
      </c>
      <c r="DL661" s="408">
        <v>0</v>
      </c>
      <c r="DM661" s="408">
        <v>-0.40537148913592347</v>
      </c>
      <c r="DN661" s="408">
        <v>0</v>
      </c>
      <c r="DO661" s="408">
        <v>-1.1027811972560428</v>
      </c>
      <c r="DP661" s="408">
        <v>-0.17251183047378316</v>
      </c>
      <c r="DQ661" s="408">
        <v>0</v>
      </c>
      <c r="DR661" s="408">
        <v>0</v>
      </c>
      <c r="DS661" s="408"/>
      <c r="DT661" s="408"/>
      <c r="DU661" s="408"/>
      <c r="DV661" s="408">
        <v>5218.1075120079031</v>
      </c>
      <c r="DW661" s="408">
        <v>0</v>
      </c>
      <c r="DX661" s="408">
        <v>0</v>
      </c>
      <c r="DY661" s="408">
        <v>-2719.7135500000004</v>
      </c>
      <c r="DZ661" s="408">
        <v>95.460950000000025</v>
      </c>
      <c r="EA661" s="408">
        <v>0</v>
      </c>
      <c r="EB661" s="408">
        <v>0</v>
      </c>
      <c r="EC661" s="408">
        <v>-2762.7112871656745</v>
      </c>
      <c r="ED661" s="408">
        <v>0</v>
      </c>
      <c r="EE661" s="408">
        <v>0</v>
      </c>
      <c r="EF661" s="408">
        <v>0</v>
      </c>
      <c r="EG661" s="408">
        <v>0</v>
      </c>
      <c r="EH661" s="408">
        <v>0</v>
      </c>
      <c r="EI661" s="408">
        <v>0</v>
      </c>
      <c r="EJ661" s="408">
        <v>0</v>
      </c>
      <c r="EK661" s="408">
        <v>0</v>
      </c>
      <c r="EL661" s="408">
        <v>0</v>
      </c>
      <c r="EM661" s="408">
        <v>0</v>
      </c>
      <c r="EN661" s="408">
        <v>0</v>
      </c>
      <c r="EO661" s="408">
        <v>0</v>
      </c>
      <c r="EP661" s="408">
        <v>0</v>
      </c>
      <c r="EQ661" s="408">
        <v>0</v>
      </c>
      <c r="ER661" s="408">
        <v>0</v>
      </c>
      <c r="ES661" s="408">
        <v>0</v>
      </c>
      <c r="ET661" s="408">
        <v>0</v>
      </c>
      <c r="EU661" s="408">
        <v>0</v>
      </c>
      <c r="EV661" s="408">
        <v>239</v>
      </c>
      <c r="EW661" s="408">
        <v>0</v>
      </c>
      <c r="EX661" s="408">
        <v>0</v>
      </c>
      <c r="EY661" s="408">
        <v>0</v>
      </c>
      <c r="EZ661" s="408"/>
      <c r="FA661" s="408">
        <v>0</v>
      </c>
      <c r="FB661" s="408"/>
      <c r="FC661" s="408"/>
      <c r="FD661" s="408"/>
      <c r="FE661" s="408"/>
      <c r="FF661" s="408">
        <v>0</v>
      </c>
      <c r="FG661" s="408">
        <v>0</v>
      </c>
      <c r="FH661" s="408">
        <v>0</v>
      </c>
      <c r="FI661" s="408">
        <v>0</v>
      </c>
    </row>
    <row r="662" spans="1:165">
      <c r="A662" s="408">
        <v>667</v>
      </c>
      <c r="B662" s="408" t="s">
        <v>1034</v>
      </c>
      <c r="C662" s="408" t="s">
        <v>2241</v>
      </c>
      <c r="D662" s="408" t="s">
        <v>596</v>
      </c>
      <c r="E662" s="408" t="s">
        <v>972</v>
      </c>
      <c r="F662" s="408" t="s">
        <v>1320</v>
      </c>
      <c r="G662" s="408" t="s">
        <v>1320</v>
      </c>
      <c r="H662" s="408" t="s">
        <v>1320</v>
      </c>
      <c r="I662" s="408" t="s">
        <v>2242</v>
      </c>
      <c r="J662" s="408" t="s">
        <v>2234</v>
      </c>
      <c r="K662" s="827">
        <v>44682</v>
      </c>
      <c r="L662" s="408">
        <v>0</v>
      </c>
      <c r="M662" s="408">
        <v>0</v>
      </c>
      <c r="N662" s="408">
        <v>432.37900000000002</v>
      </c>
      <c r="O662" s="408">
        <v>415.08384000000001</v>
      </c>
      <c r="P662" s="408">
        <v>432.37900000000002</v>
      </c>
      <c r="Q662" s="408">
        <v>415.08384000000001</v>
      </c>
      <c r="R662" s="408"/>
      <c r="S662" s="408">
        <v>70.33</v>
      </c>
      <c r="T662" s="408">
        <v>173.82</v>
      </c>
      <c r="U662" s="408"/>
      <c r="V662" s="408">
        <v>105565.33285000001</v>
      </c>
      <c r="W662" s="408">
        <v>105565.33285000001</v>
      </c>
      <c r="X662" s="408">
        <v>114290.74106999999</v>
      </c>
      <c r="Y662" s="408">
        <v>0</v>
      </c>
      <c r="Z662" s="408">
        <v>23002.574262142756</v>
      </c>
      <c r="AA662" s="408">
        <v>0</v>
      </c>
      <c r="AB662" s="408">
        <v>0</v>
      </c>
      <c r="AC662" s="408">
        <v>0</v>
      </c>
      <c r="AD662" s="408">
        <v>0</v>
      </c>
      <c r="AE662" s="408">
        <v>0</v>
      </c>
      <c r="AF662" s="408">
        <v>69579.352043271851</v>
      </c>
      <c r="AG662" s="408">
        <v>3500.4821823564203</v>
      </c>
      <c r="AH662" s="408">
        <v>0</v>
      </c>
      <c r="AI662" s="408">
        <v>0</v>
      </c>
      <c r="AJ662" s="408">
        <v>0</v>
      </c>
      <c r="AK662" s="408">
        <v>0</v>
      </c>
      <c r="AL662" s="408">
        <v>4086.6286733247493</v>
      </c>
      <c r="AM662" s="408"/>
      <c r="AN662" s="408">
        <v>537.3306424955166</v>
      </c>
      <c r="AO662" s="408">
        <v>0</v>
      </c>
      <c r="AP662" s="408">
        <v>0</v>
      </c>
      <c r="AQ662" s="408">
        <v>0</v>
      </c>
      <c r="AR662" s="408">
        <v>0</v>
      </c>
      <c r="AS662" s="408">
        <v>0</v>
      </c>
      <c r="AT662" s="408">
        <v>0</v>
      </c>
      <c r="AU662" s="408">
        <v>0</v>
      </c>
      <c r="AV662" s="408">
        <v>0</v>
      </c>
      <c r="AW662" s="408">
        <v>0</v>
      </c>
      <c r="AX662" s="408">
        <v>0</v>
      </c>
      <c r="AY662" s="408">
        <v>0</v>
      </c>
      <c r="AZ662" s="408">
        <v>0</v>
      </c>
      <c r="BA662" s="408"/>
      <c r="BB662" s="408">
        <v>0</v>
      </c>
      <c r="BC662" s="408">
        <v>0</v>
      </c>
      <c r="BD662" s="408">
        <v>0</v>
      </c>
      <c r="BE662" s="408">
        <v>80.679164852581394</v>
      </c>
      <c r="BF662" s="408">
        <v>2077.878717663149</v>
      </c>
      <c r="BG662" s="408">
        <v>2701.6033063509021</v>
      </c>
      <c r="BH662" s="408">
        <v>0</v>
      </c>
      <c r="BI662" s="408">
        <v>0</v>
      </c>
      <c r="BJ662" s="408">
        <v>0</v>
      </c>
      <c r="BK662" s="408">
        <v>0</v>
      </c>
      <c r="BL662" s="408">
        <v>0</v>
      </c>
      <c r="BM662" s="408"/>
      <c r="BN662" s="408"/>
      <c r="BO662" s="408"/>
      <c r="BP662" s="408"/>
      <c r="BQ662" s="408"/>
      <c r="BR662" s="408">
        <v>4571.6296428000023</v>
      </c>
      <c r="BS662" s="408"/>
      <c r="BT662" s="408"/>
      <c r="BU662" s="408"/>
      <c r="BV662" s="408">
        <v>74439.513232138474</v>
      </c>
      <c r="BW662" s="408"/>
      <c r="BX662" s="408"/>
      <c r="BY662" s="408"/>
      <c r="BZ662" s="408"/>
      <c r="CA662" s="408"/>
      <c r="CB662" s="408"/>
      <c r="CC662" s="408"/>
      <c r="CD662" s="408"/>
      <c r="CE662" s="408"/>
      <c r="CF662" s="408"/>
      <c r="CG662" s="408"/>
      <c r="CH662" s="408"/>
      <c r="CI662" s="408">
        <v>109718.09639999999</v>
      </c>
      <c r="CJ662" s="408">
        <v>8375.3468640000065</v>
      </c>
      <c r="CK662" s="408"/>
      <c r="CL662" s="408"/>
      <c r="CM662" s="408"/>
      <c r="CN662" s="408"/>
      <c r="CO662" s="408">
        <v>-436.70279000000221</v>
      </c>
      <c r="CP662" s="408">
        <v>9162.1110099999987</v>
      </c>
      <c r="CQ662" s="408">
        <v>31</v>
      </c>
      <c r="CR662" s="408">
        <v>8721.5662577469193</v>
      </c>
      <c r="CS662" s="408">
        <v>0</v>
      </c>
      <c r="CT662" s="408">
        <v>0</v>
      </c>
      <c r="CU662" s="408">
        <v>0</v>
      </c>
      <c r="CV662" s="408">
        <v>0</v>
      </c>
      <c r="CW662" s="408">
        <v>0</v>
      </c>
      <c r="CX662" s="408">
        <v>0</v>
      </c>
      <c r="CY662" s="408">
        <v>0</v>
      </c>
      <c r="CZ662" s="408">
        <v>0</v>
      </c>
      <c r="DA662" s="408">
        <v>0</v>
      </c>
      <c r="DB662" s="408">
        <v>0</v>
      </c>
      <c r="DC662" s="408">
        <v>8931.2788293934864</v>
      </c>
      <c r="DD662" s="408">
        <v>266.71869823636871</v>
      </c>
      <c r="DE662" s="408">
        <v>10.356062479180025</v>
      </c>
      <c r="DF662" s="408">
        <v>0</v>
      </c>
      <c r="DG662" s="408">
        <v>346.78064263122906</v>
      </c>
      <c r="DH662" s="408">
        <v>0</v>
      </c>
      <c r="DI662" s="408">
        <v>-672.26186108924958</v>
      </c>
      <c r="DJ662" s="408"/>
      <c r="DK662" s="408">
        <v>0</v>
      </c>
      <c r="DL662" s="408">
        <v>0</v>
      </c>
      <c r="DM662" s="408">
        <v>-38.90657471722534</v>
      </c>
      <c r="DN662" s="408">
        <v>0</v>
      </c>
      <c r="DO662" s="408">
        <v>-105.84227109619769</v>
      </c>
      <c r="DP662" s="408">
        <v>-16.557268090660159</v>
      </c>
      <c r="DQ662" s="408">
        <v>0</v>
      </c>
      <c r="DR662" s="408">
        <v>0</v>
      </c>
      <c r="DS662" s="408"/>
      <c r="DT662" s="408"/>
      <c r="DU662" s="408"/>
      <c r="DV662" s="408">
        <v>0</v>
      </c>
      <c r="DW662" s="408">
        <v>0</v>
      </c>
      <c r="DX662" s="408">
        <v>0</v>
      </c>
      <c r="DY662" s="408">
        <v>-436.70279000000301</v>
      </c>
      <c r="DZ662" s="408">
        <v>9162.1110099999933</v>
      </c>
      <c r="EA662" s="408">
        <v>0</v>
      </c>
      <c r="EB662" s="408">
        <v>0</v>
      </c>
      <c r="EC662" s="408">
        <v>0</v>
      </c>
      <c r="ED662" s="408">
        <v>0</v>
      </c>
      <c r="EE662" s="408">
        <v>0</v>
      </c>
      <c r="EF662" s="408">
        <v>0</v>
      </c>
      <c r="EG662" s="408">
        <v>0</v>
      </c>
      <c r="EH662" s="408">
        <v>0</v>
      </c>
      <c r="EI662" s="408">
        <v>0</v>
      </c>
      <c r="EJ662" s="408">
        <v>0</v>
      </c>
      <c r="EK662" s="408">
        <v>0</v>
      </c>
      <c r="EL662" s="408">
        <v>0</v>
      </c>
      <c r="EM662" s="408">
        <v>0</v>
      </c>
      <c r="EN662" s="408">
        <v>0</v>
      </c>
      <c r="EO662" s="408">
        <v>0</v>
      </c>
      <c r="EP662" s="408">
        <v>0</v>
      </c>
      <c r="EQ662" s="408">
        <v>0</v>
      </c>
      <c r="ER662" s="408">
        <v>0</v>
      </c>
      <c r="ES662" s="408">
        <v>0</v>
      </c>
      <c r="ET662" s="408">
        <v>0</v>
      </c>
      <c r="EU662" s="408">
        <v>0</v>
      </c>
      <c r="EV662" s="408">
        <v>239</v>
      </c>
      <c r="EW662" s="408">
        <v>0</v>
      </c>
      <c r="EX662" s="408">
        <v>0</v>
      </c>
      <c r="EY662" s="408">
        <v>0</v>
      </c>
      <c r="EZ662" s="408"/>
      <c r="FA662" s="408">
        <v>0</v>
      </c>
      <c r="FB662" s="408"/>
      <c r="FC662" s="408"/>
      <c r="FD662" s="408"/>
      <c r="FE662" s="408"/>
      <c r="FF662" s="408">
        <v>0</v>
      </c>
      <c r="FG662" s="408">
        <v>0</v>
      </c>
      <c r="FH662" s="408">
        <v>0</v>
      </c>
      <c r="FI662" s="408">
        <v>0</v>
      </c>
    </row>
    <row r="663" spans="1:165">
      <c r="A663" s="408">
        <v>668</v>
      </c>
      <c r="B663" s="408" t="s">
        <v>2236</v>
      </c>
      <c r="C663" s="408" t="s">
        <v>2241</v>
      </c>
      <c r="D663" s="408" t="s">
        <v>596</v>
      </c>
      <c r="E663" s="408" t="s">
        <v>972</v>
      </c>
      <c r="F663" s="408" t="s">
        <v>1320</v>
      </c>
      <c r="G663" s="408" t="s">
        <v>1320</v>
      </c>
      <c r="H663" s="408" t="s">
        <v>1320</v>
      </c>
      <c r="I663" s="408" t="s">
        <v>2242</v>
      </c>
      <c r="J663" s="408" t="s">
        <v>2234</v>
      </c>
      <c r="K663" s="827">
        <v>44682</v>
      </c>
      <c r="L663" s="408">
        <v>0</v>
      </c>
      <c r="M663" s="408">
        <v>0</v>
      </c>
      <c r="N663" s="408">
        <v>28.507999999999999</v>
      </c>
      <c r="O663" s="408">
        <v>27.36768</v>
      </c>
      <c r="P663" s="408">
        <v>28.507999999999999</v>
      </c>
      <c r="Q663" s="408">
        <v>27.36768</v>
      </c>
      <c r="R663" s="408"/>
      <c r="S663" s="408">
        <v>70.33</v>
      </c>
      <c r="T663" s="408">
        <v>173.82</v>
      </c>
      <c r="U663" s="408"/>
      <c r="V663" s="408">
        <v>6960.2281999999996</v>
      </c>
      <c r="W663" s="408">
        <v>6960.2281999999996</v>
      </c>
      <c r="X663" s="408">
        <v>7535.5196399999986</v>
      </c>
      <c r="Y663" s="408">
        <v>0</v>
      </c>
      <c r="Z663" s="408">
        <v>1516.6263557322757</v>
      </c>
      <c r="AA663" s="408">
        <v>0</v>
      </c>
      <c r="AB663" s="408">
        <v>0</v>
      </c>
      <c r="AC663" s="408">
        <v>0</v>
      </c>
      <c r="AD663" s="408">
        <v>0</v>
      </c>
      <c r="AE663" s="408">
        <v>0</v>
      </c>
      <c r="AF663" s="408">
        <v>4587.5682400153428</v>
      </c>
      <c r="AG663" s="408">
        <v>230.79693059703831</v>
      </c>
      <c r="AH663" s="408">
        <v>0</v>
      </c>
      <c r="AI663" s="408">
        <v>0</v>
      </c>
      <c r="AJ663" s="408">
        <v>0</v>
      </c>
      <c r="AK663" s="408">
        <v>0</v>
      </c>
      <c r="AL663" s="408">
        <v>269.44326671540927</v>
      </c>
      <c r="AM663" s="408"/>
      <c r="AN663" s="408">
        <v>35.427765817170091</v>
      </c>
      <c r="AO663" s="408">
        <v>0</v>
      </c>
      <c r="AP663" s="408">
        <v>0</v>
      </c>
      <c r="AQ663" s="408">
        <v>0</v>
      </c>
      <c r="AR663" s="408">
        <v>0</v>
      </c>
      <c r="AS663" s="408">
        <v>0</v>
      </c>
      <c r="AT663" s="408">
        <v>0</v>
      </c>
      <c r="AU663" s="408">
        <v>0</v>
      </c>
      <c r="AV663" s="408">
        <v>0</v>
      </c>
      <c r="AW663" s="408">
        <v>0</v>
      </c>
      <c r="AX663" s="408">
        <v>0</v>
      </c>
      <c r="AY663" s="408">
        <v>0</v>
      </c>
      <c r="AZ663" s="408">
        <v>0</v>
      </c>
      <c r="BA663" s="408"/>
      <c r="BB663" s="408">
        <v>0</v>
      </c>
      <c r="BC663" s="408">
        <v>0</v>
      </c>
      <c r="BD663" s="408">
        <v>0</v>
      </c>
      <c r="BE663" s="408">
        <v>5.3194110528434315</v>
      </c>
      <c r="BF663" s="408">
        <v>137.00056312434472</v>
      </c>
      <c r="BG663" s="408">
        <v>178.12453208285211</v>
      </c>
      <c r="BH663" s="408">
        <v>0</v>
      </c>
      <c r="BI663" s="408">
        <v>0</v>
      </c>
      <c r="BJ663" s="408">
        <v>0</v>
      </c>
      <c r="BK663" s="408">
        <v>0</v>
      </c>
      <c r="BL663" s="408">
        <v>0</v>
      </c>
      <c r="BM663" s="408"/>
      <c r="BN663" s="408"/>
      <c r="BO663" s="408"/>
      <c r="BP663" s="408"/>
      <c r="BQ663" s="408"/>
      <c r="BR663" s="408">
        <v>301.42078559999976</v>
      </c>
      <c r="BS663" s="408"/>
      <c r="BT663" s="408"/>
      <c r="BU663" s="408"/>
      <c r="BV663" s="408">
        <v>4908.0127462753835</v>
      </c>
      <c r="BW663" s="408"/>
      <c r="BX663" s="408"/>
      <c r="BY663" s="408"/>
      <c r="BZ663" s="408"/>
      <c r="CA663" s="408"/>
      <c r="CB663" s="408"/>
      <c r="CC663" s="408"/>
      <c r="CD663" s="408"/>
      <c r="CE663" s="408"/>
      <c r="CF663" s="408"/>
      <c r="CG663" s="408"/>
      <c r="CH663" s="408"/>
      <c r="CI663" s="408">
        <v>7234.7121000000006</v>
      </c>
      <c r="CJ663" s="408">
        <v>552.86302799999976</v>
      </c>
      <c r="CK663" s="408"/>
      <c r="CL663" s="408"/>
      <c r="CM663" s="408"/>
      <c r="CN663" s="408"/>
      <c r="CO663" s="408">
        <v>-28.793080000000145</v>
      </c>
      <c r="CP663" s="408">
        <v>604.08451999999988</v>
      </c>
      <c r="CQ663" s="408">
        <v>31</v>
      </c>
      <c r="CR663" s="408">
        <v>575.03812829912931</v>
      </c>
      <c r="CS663" s="408">
        <v>0</v>
      </c>
      <c r="CT663" s="408">
        <v>0</v>
      </c>
      <c r="CU663" s="408">
        <v>0</v>
      </c>
      <c r="CV663" s="408">
        <v>0</v>
      </c>
      <c r="CW663" s="408">
        <v>0</v>
      </c>
      <c r="CX663" s="408">
        <v>0</v>
      </c>
      <c r="CY663" s="408">
        <v>0</v>
      </c>
      <c r="CZ663" s="408">
        <v>0</v>
      </c>
      <c r="DA663" s="408">
        <v>0</v>
      </c>
      <c r="DB663" s="408">
        <v>0</v>
      </c>
      <c r="DC663" s="408">
        <v>588.86508565020358</v>
      </c>
      <c r="DD663" s="408">
        <v>17.585536414401247</v>
      </c>
      <c r="DE663" s="408">
        <v>0.68280519904172987</v>
      </c>
      <c r="DF663" s="408">
        <v>0</v>
      </c>
      <c r="DG663" s="408">
        <v>22.864252334482188</v>
      </c>
      <c r="DH663" s="408">
        <v>0</v>
      </c>
      <c r="DI663" s="408">
        <v>-44.324171932337777</v>
      </c>
      <c r="DJ663" s="408"/>
      <c r="DK663" s="408">
        <v>0</v>
      </c>
      <c r="DL663" s="408">
        <v>0</v>
      </c>
      <c r="DM663" s="408">
        <v>-2.5652231769782361</v>
      </c>
      <c r="DN663" s="408">
        <v>0</v>
      </c>
      <c r="DO663" s="408">
        <v>-6.97848754081582</v>
      </c>
      <c r="DP663" s="408">
        <v>-1.0916686488671772</v>
      </c>
      <c r="DQ663" s="408">
        <v>0</v>
      </c>
      <c r="DR663" s="408">
        <v>0</v>
      </c>
      <c r="DS663" s="408"/>
      <c r="DT663" s="408"/>
      <c r="DU663" s="408"/>
      <c r="DV663" s="408">
        <v>0</v>
      </c>
      <c r="DW663" s="408">
        <v>0</v>
      </c>
      <c r="DX663" s="408">
        <v>0</v>
      </c>
      <c r="DY663" s="408">
        <v>-28.793080000000145</v>
      </c>
      <c r="DZ663" s="408">
        <v>604.08451999999943</v>
      </c>
      <c r="EA663" s="408">
        <v>0</v>
      </c>
      <c r="EB663" s="408">
        <v>0</v>
      </c>
      <c r="EC663" s="408">
        <v>0</v>
      </c>
      <c r="ED663" s="408">
        <v>0</v>
      </c>
      <c r="EE663" s="408">
        <v>0</v>
      </c>
      <c r="EF663" s="408">
        <v>0</v>
      </c>
      <c r="EG663" s="408">
        <v>0</v>
      </c>
      <c r="EH663" s="408">
        <v>0</v>
      </c>
      <c r="EI663" s="408">
        <v>0</v>
      </c>
      <c r="EJ663" s="408">
        <v>0</v>
      </c>
      <c r="EK663" s="408">
        <v>0</v>
      </c>
      <c r="EL663" s="408">
        <v>0</v>
      </c>
      <c r="EM663" s="408">
        <v>0</v>
      </c>
      <c r="EN663" s="408">
        <v>0</v>
      </c>
      <c r="EO663" s="408">
        <v>0</v>
      </c>
      <c r="EP663" s="408">
        <v>0</v>
      </c>
      <c r="EQ663" s="408">
        <v>0</v>
      </c>
      <c r="ER663" s="408">
        <v>0</v>
      </c>
      <c r="ES663" s="408">
        <v>0</v>
      </c>
      <c r="ET663" s="408">
        <v>0</v>
      </c>
      <c r="EU663" s="408">
        <v>0</v>
      </c>
      <c r="EV663" s="408">
        <v>239</v>
      </c>
      <c r="EW663" s="408">
        <v>0</v>
      </c>
      <c r="EX663" s="408">
        <v>0</v>
      </c>
      <c r="EY663" s="408">
        <v>0</v>
      </c>
      <c r="EZ663" s="408"/>
      <c r="FA663" s="408">
        <v>0</v>
      </c>
      <c r="FB663" s="408"/>
      <c r="FC663" s="408"/>
      <c r="FD663" s="408"/>
      <c r="FE663" s="408"/>
      <c r="FF663" s="408">
        <v>0</v>
      </c>
      <c r="FG663" s="408">
        <v>0</v>
      </c>
      <c r="FH663" s="408">
        <v>0</v>
      </c>
      <c r="FI663" s="408">
        <v>0</v>
      </c>
    </row>
    <row r="664" spans="1:165">
      <c r="A664" s="408">
        <v>669</v>
      </c>
      <c r="B664" s="408" t="s">
        <v>1034</v>
      </c>
      <c r="C664" s="408" t="s">
        <v>2241</v>
      </c>
      <c r="D664" s="408" t="s">
        <v>596</v>
      </c>
      <c r="E664" s="408" t="s">
        <v>972</v>
      </c>
      <c r="F664" s="408" t="s">
        <v>1320</v>
      </c>
      <c r="G664" s="408" t="s">
        <v>1320</v>
      </c>
      <c r="H664" s="408" t="s">
        <v>1320</v>
      </c>
      <c r="I664" s="408" t="s">
        <v>1320</v>
      </c>
      <c r="J664" s="408" t="s">
        <v>2234</v>
      </c>
      <c r="K664" s="827">
        <v>44682</v>
      </c>
      <c r="L664" s="408">
        <v>1642</v>
      </c>
      <c r="M664" s="408">
        <v>1576.32</v>
      </c>
      <c r="N664" s="408">
        <v>0</v>
      </c>
      <c r="O664" s="408">
        <v>0</v>
      </c>
      <c r="P664" s="408">
        <v>0</v>
      </c>
      <c r="Q664" s="408">
        <v>0</v>
      </c>
      <c r="R664" s="408">
        <v>59.12</v>
      </c>
      <c r="S664" s="408"/>
      <c r="T664" s="408"/>
      <c r="U664" s="408">
        <v>97075.04</v>
      </c>
      <c r="V664" s="408"/>
      <c r="W664" s="408">
        <v>97075.04</v>
      </c>
      <c r="X664" s="408">
        <v>55877.26</v>
      </c>
      <c r="Y664" s="408">
        <v>0</v>
      </c>
      <c r="Z664" s="408">
        <v>0</v>
      </c>
      <c r="AA664" s="408">
        <v>0</v>
      </c>
      <c r="AB664" s="408">
        <v>0</v>
      </c>
      <c r="AC664" s="408">
        <v>939.32311659390587</v>
      </c>
      <c r="AD664" s="408">
        <v>8402.1511924747374</v>
      </c>
      <c r="AE664" s="408">
        <v>79081.671909524055</v>
      </c>
      <c r="AF664" s="408"/>
      <c r="AG664" s="408"/>
      <c r="AH664" s="408"/>
      <c r="AI664" s="408">
        <v>0</v>
      </c>
      <c r="AJ664" s="408">
        <v>0</v>
      </c>
      <c r="AK664" s="408">
        <v>0</v>
      </c>
      <c r="AL664" s="408">
        <v>0</v>
      </c>
      <c r="AM664" s="408"/>
      <c r="AN664" s="408">
        <v>0</v>
      </c>
      <c r="AO664" s="408">
        <v>1983.6544139630785</v>
      </c>
      <c r="AP664" s="408">
        <v>6668.1420727207415</v>
      </c>
      <c r="AQ664" s="408">
        <v>0</v>
      </c>
      <c r="AR664" s="408">
        <v>0</v>
      </c>
      <c r="AS664" s="408"/>
      <c r="AT664" s="408"/>
      <c r="AU664" s="408">
        <v>0</v>
      </c>
      <c r="AV664" s="408">
        <v>0</v>
      </c>
      <c r="AW664" s="408">
        <v>0</v>
      </c>
      <c r="AX664" s="408"/>
      <c r="AY664" s="408"/>
      <c r="AZ664" s="408">
        <v>0</v>
      </c>
      <c r="BA664" s="408"/>
      <c r="BB664" s="408">
        <v>0</v>
      </c>
      <c r="BC664" s="408">
        <v>0</v>
      </c>
      <c r="BD664" s="408">
        <v>0</v>
      </c>
      <c r="BE664" s="408">
        <v>0</v>
      </c>
      <c r="BF664" s="408"/>
      <c r="BG664" s="408">
        <v>0</v>
      </c>
      <c r="BH664" s="408">
        <v>0</v>
      </c>
      <c r="BI664" s="408">
        <v>1662.16</v>
      </c>
      <c r="BJ664" s="408">
        <v>7663.97</v>
      </c>
      <c r="BK664" s="408">
        <v>6683.29</v>
      </c>
      <c r="BL664" s="408">
        <v>14</v>
      </c>
      <c r="BM664" s="408"/>
      <c r="BN664" s="408"/>
      <c r="BO664" s="408"/>
      <c r="BP664" s="408"/>
      <c r="BQ664" s="408"/>
      <c r="BR664" s="408">
        <v>2235.0904000000023</v>
      </c>
      <c r="BS664" s="408"/>
      <c r="BT664" s="408"/>
      <c r="BU664" s="408"/>
      <c r="BV664" s="408">
        <v>0</v>
      </c>
      <c r="BW664" s="408"/>
      <c r="BX664" s="408"/>
      <c r="BY664" s="408"/>
      <c r="BZ664" s="408"/>
      <c r="CA664" s="408"/>
      <c r="CB664" s="408"/>
      <c r="CC664" s="408"/>
      <c r="CD664" s="408"/>
      <c r="CE664" s="408"/>
      <c r="CF664" s="408"/>
      <c r="CG664" s="408"/>
      <c r="CH664" s="408"/>
      <c r="CI664" s="408">
        <v>53642.169600000001</v>
      </c>
      <c r="CJ664" s="408">
        <v>-39549.898799999974</v>
      </c>
      <c r="CK664" s="408"/>
      <c r="CL664" s="408"/>
      <c r="CM664" s="408"/>
      <c r="CN664" s="408"/>
      <c r="CO664" s="408">
        <v>-41197.779999999992</v>
      </c>
      <c r="CP664" s="408">
        <v>0</v>
      </c>
      <c r="CQ664" s="408">
        <v>31</v>
      </c>
      <c r="CR664" s="408">
        <v>678.93018501144252</v>
      </c>
      <c r="CS664" s="408">
        <v>192.60031142680805</v>
      </c>
      <c r="CT664" s="408">
        <v>647.43446782062529</v>
      </c>
      <c r="CU664" s="408">
        <v>0</v>
      </c>
      <c r="CV664" s="408">
        <v>0</v>
      </c>
      <c r="CW664" s="408"/>
      <c r="CX664" s="408"/>
      <c r="CY664" s="408"/>
      <c r="CZ664" s="408">
        <v>-161.10459423599241</v>
      </c>
      <c r="DA664" s="408">
        <v>0</v>
      </c>
      <c r="DB664" s="408">
        <v>0</v>
      </c>
      <c r="DC664" s="408"/>
      <c r="DD664" s="408"/>
      <c r="DE664" s="408">
        <v>0</v>
      </c>
      <c r="DF664" s="408">
        <v>0</v>
      </c>
      <c r="DG664" s="408">
        <v>0</v>
      </c>
      <c r="DH664" s="408">
        <v>0</v>
      </c>
      <c r="DI664" s="408">
        <v>0</v>
      </c>
      <c r="DJ664" s="408"/>
      <c r="DK664" s="408">
        <v>0</v>
      </c>
      <c r="DL664" s="408">
        <v>0</v>
      </c>
      <c r="DM664" s="408"/>
      <c r="DN664" s="408">
        <v>0</v>
      </c>
      <c r="DO664" s="408">
        <v>0</v>
      </c>
      <c r="DP664" s="408">
        <v>0</v>
      </c>
      <c r="DQ664" s="408">
        <v>0</v>
      </c>
      <c r="DR664" s="408">
        <v>0</v>
      </c>
      <c r="DS664" s="408"/>
      <c r="DT664" s="408"/>
      <c r="DU664" s="408">
        <v>79081.671909524055</v>
      </c>
      <c r="DV664" s="408"/>
      <c r="DW664" s="408">
        <v>0</v>
      </c>
      <c r="DX664" s="408">
        <v>0</v>
      </c>
      <c r="DY664" s="408">
        <v>-41197.779999999992</v>
      </c>
      <c r="DZ664" s="408"/>
      <c r="EA664" s="408">
        <v>0</v>
      </c>
      <c r="EB664" s="408"/>
      <c r="EC664" s="408">
        <v>-41869.552723781504</v>
      </c>
      <c r="ED664" s="408"/>
      <c r="EE664" s="408">
        <v>0</v>
      </c>
      <c r="EF664" s="408">
        <v>0</v>
      </c>
      <c r="EG664" s="408"/>
      <c r="EH664" s="408">
        <v>0</v>
      </c>
      <c r="EI664" s="408">
        <v>0</v>
      </c>
      <c r="EJ664" s="408">
        <v>0</v>
      </c>
      <c r="EK664" s="408">
        <v>0</v>
      </c>
      <c r="EL664" s="408">
        <v>0</v>
      </c>
      <c r="EM664" s="408"/>
      <c r="EN664" s="408"/>
      <c r="EO664" s="408">
        <v>0</v>
      </c>
      <c r="EP664" s="408">
        <v>0</v>
      </c>
      <c r="EQ664" s="408"/>
      <c r="ER664" s="408">
        <v>0</v>
      </c>
      <c r="ES664" s="408"/>
      <c r="ET664" s="408">
        <v>0</v>
      </c>
      <c r="EU664" s="408"/>
      <c r="EV664" s="408">
        <v>239</v>
      </c>
      <c r="EW664" s="408"/>
      <c r="EX664" s="408"/>
      <c r="EY664" s="408"/>
      <c r="EZ664" s="408"/>
      <c r="FA664" s="408">
        <v>0</v>
      </c>
      <c r="FB664" s="408"/>
      <c r="FC664" s="408"/>
      <c r="FD664" s="408"/>
      <c r="FE664" s="408"/>
      <c r="FF664" s="408">
        <v>0</v>
      </c>
      <c r="FG664" s="408">
        <v>0</v>
      </c>
      <c r="FH664" s="408">
        <v>0</v>
      </c>
      <c r="FI664" s="408">
        <v>0</v>
      </c>
    </row>
    <row r="665" spans="1:165">
      <c r="A665" s="408">
        <v>670</v>
      </c>
      <c r="B665" s="408" t="s">
        <v>2236</v>
      </c>
      <c r="C665" s="408" t="s">
        <v>2241</v>
      </c>
      <c r="D665" s="408" t="s">
        <v>596</v>
      </c>
      <c r="E665" s="408" t="s">
        <v>972</v>
      </c>
      <c r="F665" s="408" t="s">
        <v>1320</v>
      </c>
      <c r="G665" s="408" t="s">
        <v>1320</v>
      </c>
      <c r="H665" s="408" t="s">
        <v>1320</v>
      </c>
      <c r="I665" s="408" t="s">
        <v>1320</v>
      </c>
      <c r="J665" s="408" t="s">
        <v>2234</v>
      </c>
      <c r="K665" s="827">
        <v>44682</v>
      </c>
      <c r="L665" s="408">
        <v>170</v>
      </c>
      <c r="M665" s="408">
        <v>163.19999999999999</v>
      </c>
      <c r="N665" s="408">
        <v>0</v>
      </c>
      <c r="O665" s="408">
        <v>0</v>
      </c>
      <c r="P665" s="408">
        <v>0</v>
      </c>
      <c r="Q665" s="408">
        <v>0</v>
      </c>
      <c r="R665" s="408">
        <v>59.12</v>
      </c>
      <c r="S665" s="408"/>
      <c r="T665" s="408"/>
      <c r="U665" s="408">
        <v>10050.4</v>
      </c>
      <c r="V665" s="408"/>
      <c r="W665" s="408">
        <v>10050.4</v>
      </c>
      <c r="X665" s="408">
        <v>5785.1</v>
      </c>
      <c r="Y665" s="408">
        <v>0</v>
      </c>
      <c r="Z665" s="408">
        <v>0</v>
      </c>
      <c r="AA665" s="408">
        <v>0</v>
      </c>
      <c r="AB665" s="408">
        <v>0</v>
      </c>
      <c r="AC665" s="408">
        <v>97.250261766725941</v>
      </c>
      <c r="AD665" s="408">
        <v>869.89385062162319</v>
      </c>
      <c r="AE665" s="408">
        <v>8187.5056179166195</v>
      </c>
      <c r="AF665" s="408"/>
      <c r="AG665" s="408"/>
      <c r="AH665" s="408"/>
      <c r="AI665" s="408">
        <v>0</v>
      </c>
      <c r="AJ665" s="408">
        <v>0</v>
      </c>
      <c r="AK665" s="408">
        <v>0</v>
      </c>
      <c r="AL665" s="408">
        <v>0</v>
      </c>
      <c r="AM665" s="408"/>
      <c r="AN665" s="408">
        <v>0</v>
      </c>
      <c r="AO665" s="408">
        <v>205.3722596673102</v>
      </c>
      <c r="AP665" s="408">
        <v>690.3679368833898</v>
      </c>
      <c r="AQ665" s="408">
        <v>0</v>
      </c>
      <c r="AR665" s="408">
        <v>0</v>
      </c>
      <c r="AS665" s="408"/>
      <c r="AT665" s="408"/>
      <c r="AU665" s="408">
        <v>0</v>
      </c>
      <c r="AV665" s="408">
        <v>0</v>
      </c>
      <c r="AW665" s="408">
        <v>0</v>
      </c>
      <c r="AX665" s="408"/>
      <c r="AY665" s="408"/>
      <c r="AZ665" s="408">
        <v>0</v>
      </c>
      <c r="BA665" s="408"/>
      <c r="BB665" s="408">
        <v>0</v>
      </c>
      <c r="BC665" s="408">
        <v>0</v>
      </c>
      <c r="BD665" s="408">
        <v>0</v>
      </c>
      <c r="BE665" s="408">
        <v>0</v>
      </c>
      <c r="BF665" s="408"/>
      <c r="BG665" s="408">
        <v>0</v>
      </c>
      <c r="BH665" s="408">
        <v>0</v>
      </c>
      <c r="BI665" s="408">
        <v>151.59</v>
      </c>
      <c r="BJ665" s="408">
        <v>698.96</v>
      </c>
      <c r="BK665" s="408">
        <v>5.76</v>
      </c>
      <c r="BL665" s="408">
        <v>1</v>
      </c>
      <c r="BM665" s="408"/>
      <c r="BN665" s="408"/>
      <c r="BO665" s="408"/>
      <c r="BP665" s="408"/>
      <c r="BQ665" s="408"/>
      <c r="BR665" s="408">
        <v>231.40400000000039</v>
      </c>
      <c r="BS665" s="408"/>
      <c r="BT665" s="408"/>
      <c r="BU665" s="408"/>
      <c r="BV665" s="408">
        <v>0</v>
      </c>
      <c r="BW665" s="408"/>
      <c r="BX665" s="408"/>
      <c r="BY665" s="408"/>
      <c r="BZ665" s="408"/>
      <c r="CA665" s="408"/>
      <c r="CB665" s="408"/>
      <c r="CC665" s="408"/>
      <c r="CD665" s="408"/>
      <c r="CE665" s="408"/>
      <c r="CF665" s="408"/>
      <c r="CG665" s="408"/>
      <c r="CH665" s="408"/>
      <c r="CI665" s="408">
        <v>5553.6959999999999</v>
      </c>
      <c r="CJ665" s="408">
        <v>-4094.7179999999989</v>
      </c>
      <c r="CK665" s="408"/>
      <c r="CL665" s="408"/>
      <c r="CM665" s="408"/>
      <c r="CN665" s="408"/>
      <c r="CO665" s="408">
        <v>-4265.2999999999993</v>
      </c>
      <c r="CP665" s="408">
        <v>0</v>
      </c>
      <c r="CQ665" s="408">
        <v>31</v>
      </c>
      <c r="CR665" s="408">
        <v>70.291188460380681</v>
      </c>
      <c r="CS665" s="408">
        <v>19.940348929693897</v>
      </c>
      <c r="CT665" s="408">
        <v>67.030365121501973</v>
      </c>
      <c r="CU665" s="408">
        <v>0</v>
      </c>
      <c r="CV665" s="408">
        <v>0</v>
      </c>
      <c r="CW665" s="408"/>
      <c r="CX665" s="408"/>
      <c r="CY665" s="408"/>
      <c r="CZ665" s="408">
        <v>-16.679525590815274</v>
      </c>
      <c r="DA665" s="408">
        <v>0</v>
      </c>
      <c r="DB665" s="408">
        <v>0</v>
      </c>
      <c r="DC665" s="408"/>
      <c r="DD665" s="408"/>
      <c r="DE665" s="408">
        <v>0</v>
      </c>
      <c r="DF665" s="408">
        <v>0</v>
      </c>
      <c r="DG665" s="408">
        <v>0</v>
      </c>
      <c r="DH665" s="408">
        <v>0</v>
      </c>
      <c r="DI665" s="408">
        <v>0</v>
      </c>
      <c r="DJ665" s="408"/>
      <c r="DK665" s="408">
        <v>0</v>
      </c>
      <c r="DL665" s="408">
        <v>0</v>
      </c>
      <c r="DM665" s="408"/>
      <c r="DN665" s="408">
        <v>0</v>
      </c>
      <c r="DO665" s="408">
        <v>0</v>
      </c>
      <c r="DP665" s="408">
        <v>0</v>
      </c>
      <c r="DQ665" s="408">
        <v>0</v>
      </c>
      <c r="DR665" s="408">
        <v>0</v>
      </c>
      <c r="DS665" s="408"/>
      <c r="DT665" s="408"/>
      <c r="DU665" s="408">
        <v>8187.5056179166195</v>
      </c>
      <c r="DV665" s="408"/>
      <c r="DW665" s="408">
        <v>0</v>
      </c>
      <c r="DX665" s="408">
        <v>0</v>
      </c>
      <c r="DY665" s="408">
        <v>-4265.2999999999993</v>
      </c>
      <c r="DZ665" s="408"/>
      <c r="EA665" s="408">
        <v>0</v>
      </c>
      <c r="EB665" s="408"/>
      <c r="EC665" s="408">
        <v>-4334.8501601966236</v>
      </c>
      <c r="ED665" s="408"/>
      <c r="EE665" s="408">
        <v>0</v>
      </c>
      <c r="EF665" s="408">
        <v>0</v>
      </c>
      <c r="EG665" s="408"/>
      <c r="EH665" s="408">
        <v>0</v>
      </c>
      <c r="EI665" s="408">
        <v>0</v>
      </c>
      <c r="EJ665" s="408">
        <v>0</v>
      </c>
      <c r="EK665" s="408">
        <v>0</v>
      </c>
      <c r="EL665" s="408">
        <v>0</v>
      </c>
      <c r="EM665" s="408"/>
      <c r="EN665" s="408"/>
      <c r="EO665" s="408">
        <v>0</v>
      </c>
      <c r="EP665" s="408">
        <v>0</v>
      </c>
      <c r="EQ665" s="408"/>
      <c r="ER665" s="408">
        <v>0</v>
      </c>
      <c r="ES665" s="408"/>
      <c r="ET665" s="408">
        <v>0</v>
      </c>
      <c r="EU665" s="408"/>
      <c r="EV665" s="408">
        <v>239</v>
      </c>
      <c r="EW665" s="408"/>
      <c r="EX665" s="408"/>
      <c r="EY665" s="408"/>
      <c r="EZ665" s="408"/>
      <c r="FA665" s="408">
        <v>0</v>
      </c>
      <c r="FB665" s="408"/>
      <c r="FC665" s="408"/>
      <c r="FD665" s="408"/>
      <c r="FE665" s="408"/>
      <c r="FF665" s="408">
        <v>0</v>
      </c>
      <c r="FG665" s="408">
        <v>0</v>
      </c>
      <c r="FH665" s="408">
        <v>0</v>
      </c>
      <c r="FI665" s="408">
        <v>0</v>
      </c>
    </row>
    <row r="666" spans="1:165">
      <c r="A666" s="408">
        <v>671</v>
      </c>
      <c r="B666" s="408" t="s">
        <v>1034</v>
      </c>
      <c r="C666" s="408" t="s">
        <v>2233</v>
      </c>
      <c r="D666" s="408" t="s">
        <v>1956</v>
      </c>
      <c r="E666" s="408" t="s">
        <v>2244</v>
      </c>
      <c r="F666" s="408" t="s">
        <v>1320</v>
      </c>
      <c r="G666" s="408" t="s">
        <v>1320</v>
      </c>
      <c r="H666" s="408" t="s">
        <v>1320</v>
      </c>
      <c r="I666" s="408" t="s">
        <v>1320</v>
      </c>
      <c r="J666" s="408" t="s">
        <v>2234</v>
      </c>
      <c r="K666" s="827">
        <v>44682</v>
      </c>
      <c r="L666" s="408">
        <v>0</v>
      </c>
      <c r="M666" s="408">
        <v>0</v>
      </c>
      <c r="N666" s="408">
        <v>187.864</v>
      </c>
      <c r="O666" s="408">
        <v>187.864</v>
      </c>
      <c r="P666" s="408">
        <v>187.864</v>
      </c>
      <c r="Q666" s="408">
        <v>187.864</v>
      </c>
      <c r="R666" s="408"/>
      <c r="S666" s="408">
        <v>516.83000000000004</v>
      </c>
      <c r="T666" s="408">
        <v>173.82</v>
      </c>
      <c r="U666" s="408"/>
      <c r="V666" s="408">
        <v>129748.27160000001</v>
      </c>
      <c r="W666" s="408">
        <v>129748.27160000001</v>
      </c>
      <c r="X666" s="408">
        <v>97961.68280000001</v>
      </c>
      <c r="Y666" s="408">
        <v>0</v>
      </c>
      <c r="Z666" s="408">
        <v>11487.781356525364</v>
      </c>
      <c r="AA666" s="408">
        <v>0</v>
      </c>
      <c r="AB666" s="408">
        <v>0</v>
      </c>
      <c r="AC666" s="408">
        <v>510.69777740350241</v>
      </c>
      <c r="AD666" s="408">
        <v>6467.5209469814063</v>
      </c>
      <c r="AE666" s="408">
        <v>68310.317743196749</v>
      </c>
      <c r="AF666" s="408">
        <v>30231.476071356894</v>
      </c>
      <c r="AG666" s="408">
        <v>1520.921656015224</v>
      </c>
      <c r="AH666" s="408">
        <v>0</v>
      </c>
      <c r="AI666" s="408">
        <v>0</v>
      </c>
      <c r="AJ666" s="408">
        <v>0</v>
      </c>
      <c r="AK666" s="408">
        <v>0</v>
      </c>
      <c r="AL666" s="408">
        <v>1775.595968086981</v>
      </c>
      <c r="AM666" s="408"/>
      <c r="AN666" s="408">
        <v>291.47888156316213</v>
      </c>
      <c r="AO666" s="408">
        <v>1089.3301139635003</v>
      </c>
      <c r="AP666" s="408">
        <v>3567.4088331466546</v>
      </c>
      <c r="AQ666" s="408">
        <v>0</v>
      </c>
      <c r="AR666" s="408">
        <v>0</v>
      </c>
      <c r="AS666" s="408">
        <v>0</v>
      </c>
      <c r="AT666" s="408">
        <v>0</v>
      </c>
      <c r="AU666" s="408">
        <v>0</v>
      </c>
      <c r="AV666" s="408">
        <v>0</v>
      </c>
      <c r="AW666" s="408">
        <v>0</v>
      </c>
      <c r="AX666" s="408">
        <v>0</v>
      </c>
      <c r="AY666" s="408">
        <v>0</v>
      </c>
      <c r="AZ666" s="408">
        <v>0</v>
      </c>
      <c r="BA666" s="408"/>
      <c r="BB666" s="408">
        <v>0</v>
      </c>
      <c r="BC666" s="408">
        <v>0</v>
      </c>
      <c r="BD666" s="408">
        <v>0</v>
      </c>
      <c r="BE666" s="408">
        <v>104.22931748987685</v>
      </c>
      <c r="BF666" s="408">
        <v>902.81583382881649</v>
      </c>
      <c r="BG666" s="408">
        <v>3490.1981107993561</v>
      </c>
      <c r="BH666" s="408">
        <v>0</v>
      </c>
      <c r="BI666" s="408">
        <v>749.12</v>
      </c>
      <c r="BJ666" s="408">
        <v>3460.51</v>
      </c>
      <c r="BK666" s="408">
        <v>33071.17</v>
      </c>
      <c r="BL666" s="408">
        <v>260</v>
      </c>
      <c r="BM666" s="408"/>
      <c r="BN666" s="408"/>
      <c r="BO666" s="408"/>
      <c r="BP666" s="408"/>
      <c r="BQ666" s="408"/>
      <c r="BR666" s="408"/>
      <c r="BS666" s="408"/>
      <c r="BT666" s="408"/>
      <c r="BU666" s="408"/>
      <c r="BV666" s="408">
        <v>34728.719333474946</v>
      </c>
      <c r="BW666" s="408"/>
      <c r="BX666" s="408"/>
      <c r="BY666" s="408"/>
      <c r="BZ666" s="408"/>
      <c r="CA666" s="408"/>
      <c r="CB666" s="408"/>
      <c r="CC666" s="408"/>
      <c r="CD666" s="408"/>
      <c r="CE666" s="408"/>
      <c r="CF666" s="408"/>
      <c r="CG666" s="408"/>
      <c r="CH666" s="408"/>
      <c r="CI666" s="408">
        <v>97959.597000000009</v>
      </c>
      <c r="CJ666" s="408">
        <v>-31788.704599999983</v>
      </c>
      <c r="CK666" s="408"/>
      <c r="CL666" s="408"/>
      <c r="CM666" s="408"/>
      <c r="CN666" s="408"/>
      <c r="CO666" s="408">
        <v>-35767.426960000012</v>
      </c>
      <c r="CP666" s="408">
        <v>3980.8381599999998</v>
      </c>
      <c r="CQ666" s="408">
        <v>31</v>
      </c>
      <c r="CR666" s="408">
        <v>4378.3356550876197</v>
      </c>
      <c r="CS666" s="408">
        <v>105.76707198549366</v>
      </c>
      <c r="CT666" s="408">
        <v>346.37285981586865</v>
      </c>
      <c r="CU666" s="408">
        <v>0</v>
      </c>
      <c r="CV666" s="408">
        <v>0</v>
      </c>
      <c r="CW666" s="408">
        <v>0</v>
      </c>
      <c r="CX666" s="408">
        <v>0</v>
      </c>
      <c r="CY666" s="408">
        <v>0</v>
      </c>
      <c r="CZ666" s="408">
        <v>-124.00959159237482</v>
      </c>
      <c r="DA666" s="408">
        <v>0</v>
      </c>
      <c r="DB666" s="408">
        <v>0</v>
      </c>
      <c r="DC666" s="408">
        <v>3880.5440736140699</v>
      </c>
      <c r="DD666" s="408">
        <v>115.88639023975986</v>
      </c>
      <c r="DE666" s="408">
        <v>13.378984847695833</v>
      </c>
      <c r="DF666" s="408">
        <v>0</v>
      </c>
      <c r="DG666" s="408">
        <v>448.00550137322625</v>
      </c>
      <c r="DH666" s="408">
        <v>0</v>
      </c>
      <c r="DI666" s="408">
        <v>-335.73621745606033</v>
      </c>
      <c r="DJ666" s="408"/>
      <c r="DK666" s="408">
        <v>0</v>
      </c>
      <c r="DL666" s="408">
        <v>0</v>
      </c>
      <c r="DM666" s="408">
        <v>-16.904486001116766</v>
      </c>
      <c r="DN666" s="408">
        <v>0</v>
      </c>
      <c r="DO666" s="408">
        <v>-45.987322273320842</v>
      </c>
      <c r="DP666" s="408">
        <v>-8.9816094656218866</v>
      </c>
      <c r="DQ666" s="408">
        <v>0</v>
      </c>
      <c r="DR666" s="408">
        <v>0</v>
      </c>
      <c r="DS666" s="408"/>
      <c r="DT666" s="408"/>
      <c r="DU666" s="408"/>
      <c r="DV666" s="408">
        <v>68310.317743196749</v>
      </c>
      <c r="DW666" s="408">
        <v>0</v>
      </c>
      <c r="DX666" s="408">
        <v>0</v>
      </c>
      <c r="DY666" s="408">
        <v>-35767.426960000012</v>
      </c>
      <c r="DZ666" s="408">
        <v>3980.8381599999993</v>
      </c>
      <c r="EA666" s="408">
        <v>0</v>
      </c>
      <c r="EB666" s="408">
        <v>0</v>
      </c>
      <c r="EC666" s="408">
        <v>-36166.69174115661</v>
      </c>
      <c r="ED666" s="408">
        <v>0</v>
      </c>
      <c r="EE666" s="408">
        <v>0</v>
      </c>
      <c r="EF666" s="408">
        <v>0</v>
      </c>
      <c r="EG666" s="408">
        <v>0</v>
      </c>
      <c r="EH666" s="408">
        <v>0</v>
      </c>
      <c r="EI666" s="408">
        <v>0</v>
      </c>
      <c r="EJ666" s="408">
        <v>0</v>
      </c>
      <c r="EK666" s="408">
        <v>0</v>
      </c>
      <c r="EL666" s="408">
        <v>0</v>
      </c>
      <c r="EM666" s="408">
        <v>0</v>
      </c>
      <c r="EN666" s="408">
        <v>0</v>
      </c>
      <c r="EO666" s="408">
        <v>0</v>
      </c>
      <c r="EP666" s="408">
        <v>0</v>
      </c>
      <c r="EQ666" s="408">
        <v>0</v>
      </c>
      <c r="ER666" s="408">
        <v>0</v>
      </c>
      <c r="ES666" s="408">
        <v>0</v>
      </c>
      <c r="ET666" s="408">
        <v>0</v>
      </c>
      <c r="EU666" s="408">
        <v>0</v>
      </c>
      <c r="EV666" s="408">
        <v>239</v>
      </c>
      <c r="EW666" s="408">
        <v>0</v>
      </c>
      <c r="EX666" s="408">
        <v>0</v>
      </c>
      <c r="EY666" s="408">
        <v>0</v>
      </c>
      <c r="EZ666" s="408"/>
      <c r="FA666" s="408">
        <v>0</v>
      </c>
      <c r="FB666" s="408"/>
      <c r="FC666" s="408"/>
      <c r="FD666" s="408"/>
      <c r="FE666" s="408"/>
      <c r="FF666" s="408">
        <v>0</v>
      </c>
      <c r="FG666" s="408">
        <v>0</v>
      </c>
      <c r="FH666" s="408">
        <v>0</v>
      </c>
      <c r="FI666" s="408">
        <v>0</v>
      </c>
    </row>
    <row r="667" spans="1:165">
      <c r="A667" s="408">
        <v>672</v>
      </c>
      <c r="B667" s="408" t="s">
        <v>2235</v>
      </c>
      <c r="C667" s="408" t="s">
        <v>2233</v>
      </c>
      <c r="D667" s="408" t="s">
        <v>1956</v>
      </c>
      <c r="E667" s="408" t="s">
        <v>2244</v>
      </c>
      <c r="F667" s="408" t="s">
        <v>1320</v>
      </c>
      <c r="G667" s="408" t="s">
        <v>1320</v>
      </c>
      <c r="H667" s="408" t="s">
        <v>1320</v>
      </c>
      <c r="I667" s="408" t="s">
        <v>1320</v>
      </c>
      <c r="J667" s="408" t="s">
        <v>2234</v>
      </c>
      <c r="K667" s="827">
        <v>44682</v>
      </c>
      <c r="L667" s="408">
        <v>0</v>
      </c>
      <c r="M667" s="408">
        <v>0</v>
      </c>
      <c r="N667" s="408">
        <v>-85.400999999999996</v>
      </c>
      <c r="O667" s="408">
        <v>-85.400999999999996</v>
      </c>
      <c r="P667" s="408">
        <v>-85.400999999999996</v>
      </c>
      <c r="Q667" s="408">
        <v>-85.400999999999996</v>
      </c>
      <c r="R667" s="408"/>
      <c r="S667" s="408">
        <v>516.83000000000004</v>
      </c>
      <c r="T667" s="408">
        <v>173.82</v>
      </c>
      <c r="U667" s="408"/>
      <c r="V667" s="408">
        <v>-58982.200649999999</v>
      </c>
      <c r="W667" s="408">
        <v>-58982.200649999999</v>
      </c>
      <c r="X667" s="408">
        <v>-44532.351450000002</v>
      </c>
      <c r="Y667" s="408">
        <v>0</v>
      </c>
      <c r="Z667" s="408">
        <v>-5222.224671190982</v>
      </c>
      <c r="AA667" s="408">
        <v>0</v>
      </c>
      <c r="AB667" s="408">
        <v>0</v>
      </c>
      <c r="AC667" s="408">
        <v>-232.1578423116537</v>
      </c>
      <c r="AD667" s="408">
        <v>-2940.0670505959579</v>
      </c>
      <c r="AE667" s="408">
        <v>-31053.152523031262</v>
      </c>
      <c r="AF667" s="408">
        <v>-13742.91129737443</v>
      </c>
      <c r="AG667" s="408">
        <v>-691.39500034789069</v>
      </c>
      <c r="AH667" s="408">
        <v>0</v>
      </c>
      <c r="AI667" s="408">
        <v>0</v>
      </c>
      <c r="AJ667" s="408">
        <v>0</v>
      </c>
      <c r="AK667" s="408">
        <v>0</v>
      </c>
      <c r="AL667" s="408">
        <v>-807.16726605734061</v>
      </c>
      <c r="AM667" s="408"/>
      <c r="AN667" s="408">
        <v>-132.50323619413837</v>
      </c>
      <c r="AO667" s="408">
        <v>-495.1980212419457</v>
      </c>
      <c r="AP667" s="408">
        <v>-1621.7065630432517</v>
      </c>
      <c r="AQ667" s="408">
        <v>0</v>
      </c>
      <c r="AR667" s="408">
        <v>0</v>
      </c>
      <c r="AS667" s="408">
        <v>0</v>
      </c>
      <c r="AT667" s="408">
        <v>0</v>
      </c>
      <c r="AU667" s="408">
        <v>0</v>
      </c>
      <c r="AV667" s="408">
        <v>0</v>
      </c>
      <c r="AW667" s="408">
        <v>0</v>
      </c>
      <c r="AX667" s="408">
        <v>0</v>
      </c>
      <c r="AY667" s="408">
        <v>0</v>
      </c>
      <c r="AZ667" s="408">
        <v>0</v>
      </c>
      <c r="BA667" s="408"/>
      <c r="BB667" s="408">
        <v>0</v>
      </c>
      <c r="BC667" s="408">
        <v>0</v>
      </c>
      <c r="BD667" s="408">
        <v>0</v>
      </c>
      <c r="BE667" s="408">
        <v>-47.381552308866908</v>
      </c>
      <c r="BF667" s="408">
        <v>-410.41058970752647</v>
      </c>
      <c r="BG667" s="408">
        <v>-1586.6073801280488</v>
      </c>
      <c r="BH667" s="408">
        <v>0</v>
      </c>
      <c r="BI667" s="408">
        <v>-94.34</v>
      </c>
      <c r="BJ667" s="408">
        <v>-431.21</v>
      </c>
      <c r="BK667" s="408">
        <v>-18380.27</v>
      </c>
      <c r="BL667" s="408">
        <v>0</v>
      </c>
      <c r="BM667" s="408"/>
      <c r="BN667" s="408"/>
      <c r="BO667" s="408"/>
      <c r="BP667" s="408"/>
      <c r="BQ667" s="408"/>
      <c r="BR667" s="408"/>
      <c r="BS667" s="408"/>
      <c r="BT667" s="408"/>
      <c r="BU667" s="408"/>
      <c r="BV667" s="408">
        <v>-15787.310819518872</v>
      </c>
      <c r="BW667" s="408"/>
      <c r="BX667" s="408"/>
      <c r="BY667" s="408"/>
      <c r="BZ667" s="408"/>
      <c r="CA667" s="408"/>
      <c r="CB667" s="408"/>
      <c r="CC667" s="408"/>
      <c r="CD667" s="408"/>
      <c r="CE667" s="408"/>
      <c r="CF667" s="408"/>
      <c r="CG667" s="408"/>
      <c r="CH667" s="408"/>
      <c r="CI667" s="408">
        <v>-44531.83</v>
      </c>
      <c r="CJ667" s="408">
        <v>14450.340649999991</v>
      </c>
      <c r="CK667" s="408"/>
      <c r="CL667" s="408"/>
      <c r="CM667" s="408"/>
      <c r="CN667" s="408"/>
      <c r="CO667" s="408">
        <v>16259.496390000002</v>
      </c>
      <c r="CP667" s="408">
        <v>-1809.6471899999997</v>
      </c>
      <c r="CQ667" s="408">
        <v>31</v>
      </c>
      <c r="CR667" s="408">
        <v>-1990.3453736753108</v>
      </c>
      <c r="CS667" s="408">
        <v>-48.080599341189043</v>
      </c>
      <c r="CT667" s="408">
        <v>-157.45746178690433</v>
      </c>
      <c r="CU667" s="408">
        <v>0</v>
      </c>
      <c r="CV667" s="408">
        <v>0</v>
      </c>
      <c r="CW667" s="408">
        <v>0</v>
      </c>
      <c r="CX667" s="408">
        <v>0</v>
      </c>
      <c r="CY667" s="408">
        <v>0</v>
      </c>
      <c r="CZ667" s="408">
        <v>56.373457030513691</v>
      </c>
      <c r="DA667" s="408">
        <v>0</v>
      </c>
      <c r="DB667" s="408">
        <v>0</v>
      </c>
      <c r="DC667" s="408">
        <v>-1764.0545523927703</v>
      </c>
      <c r="DD667" s="408">
        <v>-52.68073506827136</v>
      </c>
      <c r="DE667" s="408">
        <v>-6.0819459022381608</v>
      </c>
      <c r="DF667" s="408">
        <v>0</v>
      </c>
      <c r="DG667" s="408">
        <v>-203.65859250721223</v>
      </c>
      <c r="DH667" s="408">
        <v>0</v>
      </c>
      <c r="DI667" s="408">
        <v>152.62215595838006</v>
      </c>
      <c r="DJ667" s="408"/>
      <c r="DK667" s="408">
        <v>0</v>
      </c>
      <c r="DL667" s="408">
        <v>0</v>
      </c>
      <c r="DM667" s="408">
        <v>7.6846016745165571</v>
      </c>
      <c r="DN667" s="408">
        <v>0</v>
      </c>
      <c r="DO667" s="408">
        <v>20.905353391090671</v>
      </c>
      <c r="DP667" s="408">
        <v>4.0829452687773085</v>
      </c>
      <c r="DQ667" s="408">
        <v>0</v>
      </c>
      <c r="DR667" s="408">
        <v>0</v>
      </c>
      <c r="DS667" s="408"/>
      <c r="DT667" s="408"/>
      <c r="DU667" s="408"/>
      <c r="DV667" s="408">
        <v>-31053.152523031262</v>
      </c>
      <c r="DW667" s="408">
        <v>0</v>
      </c>
      <c r="DX667" s="408">
        <v>0</v>
      </c>
      <c r="DY667" s="408">
        <v>16259.49639</v>
      </c>
      <c r="DZ667" s="408">
        <v>-1809.6471899999997</v>
      </c>
      <c r="EA667" s="408">
        <v>0</v>
      </c>
      <c r="EB667" s="408">
        <v>0</v>
      </c>
      <c r="EC667" s="408">
        <v>16440.997963348571</v>
      </c>
      <c r="ED667" s="408">
        <v>0</v>
      </c>
      <c r="EE667" s="408">
        <v>0</v>
      </c>
      <c r="EF667" s="408">
        <v>0</v>
      </c>
      <c r="EG667" s="408">
        <v>0</v>
      </c>
      <c r="EH667" s="408">
        <v>0</v>
      </c>
      <c r="EI667" s="408">
        <v>0</v>
      </c>
      <c r="EJ667" s="408">
        <v>0</v>
      </c>
      <c r="EK667" s="408">
        <v>0</v>
      </c>
      <c r="EL667" s="408">
        <v>0</v>
      </c>
      <c r="EM667" s="408">
        <v>0</v>
      </c>
      <c r="EN667" s="408">
        <v>0</v>
      </c>
      <c r="EO667" s="408">
        <v>0</v>
      </c>
      <c r="EP667" s="408">
        <v>0</v>
      </c>
      <c r="EQ667" s="408">
        <v>0</v>
      </c>
      <c r="ER667" s="408">
        <v>0</v>
      </c>
      <c r="ES667" s="408">
        <v>0</v>
      </c>
      <c r="ET667" s="408">
        <v>0</v>
      </c>
      <c r="EU667" s="408">
        <v>0</v>
      </c>
      <c r="EV667" s="408">
        <v>239</v>
      </c>
      <c r="EW667" s="408">
        <v>0</v>
      </c>
      <c r="EX667" s="408">
        <v>0</v>
      </c>
      <c r="EY667" s="408">
        <v>0</v>
      </c>
      <c r="EZ667" s="408"/>
      <c r="FA667" s="408">
        <v>0</v>
      </c>
      <c r="FB667" s="408"/>
      <c r="FC667" s="408"/>
      <c r="FD667" s="408"/>
      <c r="FE667" s="408"/>
      <c r="FF667" s="408">
        <v>0</v>
      </c>
      <c r="FG667" s="408">
        <v>0</v>
      </c>
      <c r="FH667" s="408">
        <v>0</v>
      </c>
      <c r="FI667" s="408">
        <v>0</v>
      </c>
    </row>
    <row r="668" spans="1:165">
      <c r="A668" s="408">
        <v>673</v>
      </c>
      <c r="B668" s="408" t="s">
        <v>2236</v>
      </c>
      <c r="C668" s="408" t="s">
        <v>2233</v>
      </c>
      <c r="D668" s="408" t="s">
        <v>1956</v>
      </c>
      <c r="E668" s="408" t="s">
        <v>2244</v>
      </c>
      <c r="F668" s="408" t="s">
        <v>1320</v>
      </c>
      <c r="G668" s="408" t="s">
        <v>1320</v>
      </c>
      <c r="H668" s="408" t="s">
        <v>1320</v>
      </c>
      <c r="I668" s="408" t="s">
        <v>1320</v>
      </c>
      <c r="J668" s="408" t="s">
        <v>2234</v>
      </c>
      <c r="K668" s="827">
        <v>44682</v>
      </c>
      <c r="L668" s="408">
        <v>0</v>
      </c>
      <c r="M668" s="408">
        <v>0</v>
      </c>
      <c r="N668" s="408">
        <v>0.1</v>
      </c>
      <c r="O668" s="408">
        <v>0.1</v>
      </c>
      <c r="P668" s="408">
        <v>0.1</v>
      </c>
      <c r="Q668" s="408">
        <v>0.1</v>
      </c>
      <c r="R668" s="408"/>
      <c r="S668" s="408">
        <v>516.83000000000004</v>
      </c>
      <c r="T668" s="408">
        <v>173.82</v>
      </c>
      <c r="U668" s="408"/>
      <c r="V668" s="408">
        <v>69.065000000000012</v>
      </c>
      <c r="W668" s="408">
        <v>69.065000000000012</v>
      </c>
      <c r="X668" s="408">
        <v>52.144999999999996</v>
      </c>
      <c r="Y668" s="408">
        <v>0</v>
      </c>
      <c r="Z668" s="408">
        <v>6.1149455758023699</v>
      </c>
      <c r="AA668" s="408">
        <v>0</v>
      </c>
      <c r="AB668" s="408">
        <v>0</v>
      </c>
      <c r="AC668" s="408">
        <v>0.27184440733908705</v>
      </c>
      <c r="AD668" s="408">
        <v>3.4426611522066</v>
      </c>
      <c r="AE668" s="408">
        <v>36.361579516669899</v>
      </c>
      <c r="AF668" s="408">
        <v>16.0922135541439</v>
      </c>
      <c r="AG668" s="408">
        <v>0.80958653920667301</v>
      </c>
      <c r="AH668" s="408">
        <v>0</v>
      </c>
      <c r="AI668" s="408">
        <v>0</v>
      </c>
      <c r="AJ668" s="408">
        <v>0</v>
      </c>
      <c r="AK668" s="408">
        <v>0</v>
      </c>
      <c r="AL668" s="408">
        <v>0.94514966576192405</v>
      </c>
      <c r="AM668" s="408"/>
      <c r="AN668" s="408">
        <v>0.155154197484969</v>
      </c>
      <c r="AO668" s="408">
        <v>0.57985037791354399</v>
      </c>
      <c r="AP668" s="408">
        <v>1.8989315851608901</v>
      </c>
      <c r="AQ668" s="408">
        <v>0</v>
      </c>
      <c r="AR668" s="408">
        <v>0</v>
      </c>
      <c r="AS668" s="408">
        <v>0</v>
      </c>
      <c r="AT668" s="408">
        <v>0</v>
      </c>
      <c r="AU668" s="408">
        <v>0</v>
      </c>
      <c r="AV668" s="408">
        <v>0</v>
      </c>
      <c r="AW668" s="408">
        <v>0</v>
      </c>
      <c r="AX668" s="408">
        <v>0</v>
      </c>
      <c r="AY668" s="408">
        <v>0</v>
      </c>
      <c r="AZ668" s="408">
        <v>0</v>
      </c>
      <c r="BA668" s="408"/>
      <c r="BB668" s="408">
        <v>0</v>
      </c>
      <c r="BC668" s="408">
        <v>0</v>
      </c>
      <c r="BD668" s="408">
        <v>0</v>
      </c>
      <c r="BE668" s="408">
        <v>5.5481261705210609E-2</v>
      </c>
      <c r="BF668" s="408">
        <v>0.48056883374612297</v>
      </c>
      <c r="BG668" s="408">
        <v>1.8578323206145702</v>
      </c>
      <c r="BH668" s="408">
        <v>0</v>
      </c>
      <c r="BI668" s="408">
        <v>0.39</v>
      </c>
      <c r="BJ668" s="408">
        <v>1.81</v>
      </c>
      <c r="BK668" s="408">
        <v>156.41</v>
      </c>
      <c r="BL668" s="408">
        <v>1</v>
      </c>
      <c r="BM668" s="408"/>
      <c r="BN668" s="408"/>
      <c r="BO668" s="408"/>
      <c r="BP668" s="408"/>
      <c r="BQ668" s="408"/>
      <c r="BR668" s="408"/>
      <c r="BS668" s="408"/>
      <c r="BT668" s="408"/>
      <c r="BU668" s="408"/>
      <c r="BV668" s="408">
        <v>18.486095970209803</v>
      </c>
      <c r="BW668" s="408"/>
      <c r="BX668" s="408"/>
      <c r="BY668" s="408"/>
      <c r="BZ668" s="408"/>
      <c r="CA668" s="408"/>
      <c r="CB668" s="408"/>
      <c r="CC668" s="408"/>
      <c r="CD668" s="408"/>
      <c r="CE668" s="408"/>
      <c r="CF668" s="408"/>
      <c r="CG668" s="408"/>
      <c r="CH668" s="408"/>
      <c r="CI668" s="408">
        <v>52.144999999999996</v>
      </c>
      <c r="CJ668" s="408">
        <v>-16.950000000000017</v>
      </c>
      <c r="CK668" s="408"/>
      <c r="CL668" s="408"/>
      <c r="CM668" s="408"/>
      <c r="CN668" s="408"/>
      <c r="CO668" s="408">
        <v>-19.039000000000005</v>
      </c>
      <c r="CP668" s="408">
        <v>2.1189999999999998</v>
      </c>
      <c r="CQ668" s="408">
        <v>31</v>
      </c>
      <c r="CR668" s="408">
        <v>2.3305879014008113</v>
      </c>
      <c r="CS668" s="408">
        <v>5.6299808364292048E-2</v>
      </c>
      <c r="CT668" s="408">
        <v>0.1843742600050402</v>
      </c>
      <c r="CU668" s="408">
        <v>0</v>
      </c>
      <c r="CV668" s="408">
        <v>0</v>
      </c>
      <c r="CW668" s="408">
        <v>0</v>
      </c>
      <c r="CX668" s="408">
        <v>0</v>
      </c>
      <c r="CY668" s="408">
        <v>0</v>
      </c>
      <c r="CZ668" s="408">
        <v>-6.6010300851879755E-2</v>
      </c>
      <c r="DA668" s="408">
        <v>0</v>
      </c>
      <c r="DB668" s="408">
        <v>0</v>
      </c>
      <c r="DC668" s="408">
        <v>2.0656134616606003</v>
      </c>
      <c r="DD668" s="408">
        <v>6.1686321083209095E-2</v>
      </c>
      <c r="DE668" s="408">
        <v>7.1216331216709047E-3</v>
      </c>
      <c r="DF668" s="408">
        <v>0</v>
      </c>
      <c r="DG668" s="408">
        <v>0.23847331121088988</v>
      </c>
      <c r="DH668" s="408">
        <v>0</v>
      </c>
      <c r="DI668" s="408">
        <v>-0.17871237568456966</v>
      </c>
      <c r="DJ668" s="408"/>
      <c r="DK668" s="408">
        <v>0</v>
      </c>
      <c r="DL668" s="408">
        <v>0</v>
      </c>
      <c r="DM668" s="408">
        <v>-8.9982572505200586E-3</v>
      </c>
      <c r="DN668" s="408">
        <v>0</v>
      </c>
      <c r="DO668" s="408">
        <v>-2.4479049883597059E-2</v>
      </c>
      <c r="DP668" s="408">
        <v>-4.780910374324987E-3</v>
      </c>
      <c r="DQ668" s="408">
        <v>0</v>
      </c>
      <c r="DR668" s="408">
        <v>0</v>
      </c>
      <c r="DS668" s="408"/>
      <c r="DT668" s="408"/>
      <c r="DU668" s="408"/>
      <c r="DV668" s="408">
        <v>36.361579516669899</v>
      </c>
      <c r="DW668" s="408">
        <v>0</v>
      </c>
      <c r="DX668" s="408">
        <v>0</v>
      </c>
      <c r="DY668" s="408">
        <v>-19.039000000000009</v>
      </c>
      <c r="DZ668" s="408">
        <v>2.1189999999999998</v>
      </c>
      <c r="EA668" s="408">
        <v>0</v>
      </c>
      <c r="EB668" s="408">
        <v>0</v>
      </c>
      <c r="EC668" s="408">
        <v>-19.251528627707597</v>
      </c>
      <c r="ED668" s="408">
        <v>0</v>
      </c>
      <c r="EE668" s="408">
        <v>0</v>
      </c>
      <c r="EF668" s="408">
        <v>0</v>
      </c>
      <c r="EG668" s="408">
        <v>0</v>
      </c>
      <c r="EH668" s="408">
        <v>0</v>
      </c>
      <c r="EI668" s="408">
        <v>0</v>
      </c>
      <c r="EJ668" s="408">
        <v>0</v>
      </c>
      <c r="EK668" s="408">
        <v>0</v>
      </c>
      <c r="EL668" s="408">
        <v>0</v>
      </c>
      <c r="EM668" s="408">
        <v>0</v>
      </c>
      <c r="EN668" s="408">
        <v>0</v>
      </c>
      <c r="EO668" s="408">
        <v>0</v>
      </c>
      <c r="EP668" s="408">
        <v>0</v>
      </c>
      <c r="EQ668" s="408">
        <v>0</v>
      </c>
      <c r="ER668" s="408">
        <v>0</v>
      </c>
      <c r="ES668" s="408">
        <v>0</v>
      </c>
      <c r="ET668" s="408">
        <v>0</v>
      </c>
      <c r="EU668" s="408">
        <v>0</v>
      </c>
      <c r="EV668" s="408">
        <v>239</v>
      </c>
      <c r="EW668" s="408">
        <v>0</v>
      </c>
      <c r="EX668" s="408">
        <v>0</v>
      </c>
      <c r="EY668" s="408">
        <v>0</v>
      </c>
      <c r="EZ668" s="408"/>
      <c r="FA668" s="408">
        <v>0</v>
      </c>
      <c r="FB668" s="408"/>
      <c r="FC668" s="408"/>
      <c r="FD668" s="408"/>
      <c r="FE668" s="408"/>
      <c r="FF668" s="408">
        <v>0</v>
      </c>
      <c r="FG668" s="408">
        <v>0</v>
      </c>
      <c r="FH668" s="408">
        <v>0</v>
      </c>
      <c r="FI668" s="408">
        <v>0</v>
      </c>
    </row>
    <row r="669" spans="1:165">
      <c r="A669" s="408">
        <v>674</v>
      </c>
      <c r="B669" s="408" t="s">
        <v>1034</v>
      </c>
      <c r="C669" s="408" t="s">
        <v>2245</v>
      </c>
      <c r="D669" s="408" t="s">
        <v>596</v>
      </c>
      <c r="E669" s="408" t="s">
        <v>2244</v>
      </c>
      <c r="F669" s="408" t="s">
        <v>1320</v>
      </c>
      <c r="G669" s="408" t="s">
        <v>1320</v>
      </c>
      <c r="H669" s="408" t="s">
        <v>1320</v>
      </c>
      <c r="I669" s="408" t="s">
        <v>971</v>
      </c>
      <c r="J669" s="408" t="s">
        <v>2234</v>
      </c>
      <c r="K669" s="827">
        <v>44682</v>
      </c>
      <c r="L669" s="408">
        <v>518</v>
      </c>
      <c r="M669" s="408">
        <v>518</v>
      </c>
      <c r="N669" s="408">
        <v>25.32</v>
      </c>
      <c r="O669" s="408">
        <v>25.32</v>
      </c>
      <c r="P669" s="408">
        <v>25.32</v>
      </c>
      <c r="Q669" s="408">
        <v>25.32</v>
      </c>
      <c r="R669" s="408">
        <v>67.099999999999994</v>
      </c>
      <c r="S669" s="408">
        <v>70.33</v>
      </c>
      <c r="T669" s="408">
        <v>173.82</v>
      </c>
      <c r="U669" s="408">
        <v>34757.799999999996</v>
      </c>
      <c r="V669" s="408">
        <v>6181.8780000000006</v>
      </c>
      <c r="W669" s="408">
        <v>40939.677999999993</v>
      </c>
      <c r="X669" s="408">
        <v>28469.555600000003</v>
      </c>
      <c r="Y669" s="408">
        <v>0</v>
      </c>
      <c r="Z669" s="408">
        <v>1347.0246712200515</v>
      </c>
      <c r="AA669" s="408">
        <v>0</v>
      </c>
      <c r="AB669" s="408">
        <v>0</v>
      </c>
      <c r="AC669" s="408">
        <v>387.68056861743582</v>
      </c>
      <c r="AD669" s="408">
        <v>5914.1267668491373</v>
      </c>
      <c r="AE669" s="408">
        <v>24947.811235769463</v>
      </c>
      <c r="AF669" s="408">
        <v>4074.5484719092351</v>
      </c>
      <c r="AG669" s="408">
        <v>204.98731172712959</v>
      </c>
      <c r="AH669" s="408">
        <v>0</v>
      </c>
      <c r="AI669" s="408">
        <v>0</v>
      </c>
      <c r="AJ669" s="408">
        <v>0</v>
      </c>
      <c r="AK669" s="408">
        <v>0</v>
      </c>
      <c r="AL669" s="408">
        <v>239.31189537091916</v>
      </c>
      <c r="AM669" s="408"/>
      <c r="AN669" s="408">
        <v>31.465940454986203</v>
      </c>
      <c r="AO669" s="408">
        <v>832.58155752801133</v>
      </c>
      <c r="AP669" s="408">
        <v>2677.1779334271491</v>
      </c>
      <c r="AQ669" s="408">
        <v>0</v>
      </c>
      <c r="AR669" s="408">
        <v>0</v>
      </c>
      <c r="AS669" s="408">
        <v>0</v>
      </c>
      <c r="AT669" s="408">
        <v>0</v>
      </c>
      <c r="AU669" s="408">
        <v>0</v>
      </c>
      <c r="AV669" s="408">
        <v>0</v>
      </c>
      <c r="AW669" s="408">
        <v>0</v>
      </c>
      <c r="AX669" s="408">
        <v>0</v>
      </c>
      <c r="AY669" s="408">
        <v>0</v>
      </c>
      <c r="AZ669" s="408">
        <v>0</v>
      </c>
      <c r="BA669" s="408"/>
      <c r="BB669" s="408">
        <v>0</v>
      </c>
      <c r="BC669" s="408">
        <v>0</v>
      </c>
      <c r="BD669" s="408">
        <v>0</v>
      </c>
      <c r="BE669" s="408">
        <v>4.7245505773114802</v>
      </c>
      <c r="BF669" s="408">
        <v>121.68002870451834</v>
      </c>
      <c r="BG669" s="408">
        <v>158.2051758221487</v>
      </c>
      <c r="BH669" s="408">
        <v>0</v>
      </c>
      <c r="BI669" s="408">
        <v>0</v>
      </c>
      <c r="BJ669" s="408">
        <v>0</v>
      </c>
      <c r="BK669" s="408">
        <v>0</v>
      </c>
      <c r="BL669" s="408">
        <v>0</v>
      </c>
      <c r="BM669" s="408"/>
      <c r="BN669" s="408"/>
      <c r="BO669" s="408"/>
      <c r="BP669" s="408"/>
      <c r="BQ669" s="408"/>
      <c r="BR669" s="408"/>
      <c r="BS669" s="408"/>
      <c r="BT669" s="408"/>
      <c r="BU669" s="408"/>
      <c r="BV669" s="408">
        <v>4359.1582270132139</v>
      </c>
      <c r="BW669" s="408"/>
      <c r="BX669" s="408"/>
      <c r="BY669" s="408"/>
      <c r="BZ669" s="408"/>
      <c r="CA669" s="408"/>
      <c r="CB669" s="408"/>
      <c r="CC669" s="408"/>
      <c r="CD669" s="408"/>
      <c r="CE669" s="408"/>
      <c r="CF669" s="408"/>
      <c r="CG669" s="408"/>
      <c r="CH669" s="408"/>
      <c r="CI669" s="408">
        <v>28469.555600000003</v>
      </c>
      <c r="CJ669" s="408">
        <v>-12470.152399999995</v>
      </c>
      <c r="CK669" s="408"/>
      <c r="CL669" s="408"/>
      <c r="CM669" s="408"/>
      <c r="CN669" s="408"/>
      <c r="CO669" s="408">
        <v>-13006.653199999999</v>
      </c>
      <c r="CP669" s="408">
        <v>536.5308</v>
      </c>
      <c r="CQ669" s="408">
        <v>31</v>
      </c>
      <c r="CR669" s="408">
        <v>738.10939210566175</v>
      </c>
      <c r="CS669" s="408">
        <v>80.838409220556855</v>
      </c>
      <c r="CT669" s="408">
        <v>259.93706368081666</v>
      </c>
      <c r="CU669" s="408">
        <v>0</v>
      </c>
      <c r="CV669" s="408">
        <v>0</v>
      </c>
      <c r="CW669" s="408">
        <v>0</v>
      </c>
      <c r="CX669" s="408">
        <v>0</v>
      </c>
      <c r="CY669" s="408">
        <v>0</v>
      </c>
      <c r="CZ669" s="408">
        <v>-113.3986965012682</v>
      </c>
      <c r="DA669" s="408">
        <v>0</v>
      </c>
      <c r="DB669" s="408">
        <v>0</v>
      </c>
      <c r="DC669" s="408">
        <v>523.01332849246455</v>
      </c>
      <c r="DD669" s="408">
        <v>15.618976498268538</v>
      </c>
      <c r="DE669" s="408">
        <v>0.60644828257810524</v>
      </c>
      <c r="DF669" s="408">
        <v>0</v>
      </c>
      <c r="DG669" s="408">
        <v>20.307382808653358</v>
      </c>
      <c r="DH669" s="408">
        <v>0</v>
      </c>
      <c r="DI669" s="408">
        <v>-39.367476965300966</v>
      </c>
      <c r="DJ669" s="408"/>
      <c r="DK669" s="408">
        <v>0</v>
      </c>
      <c r="DL669" s="408">
        <v>0</v>
      </c>
      <c r="DM669" s="408">
        <v>-2.2783587358316595</v>
      </c>
      <c r="DN669" s="408">
        <v>0</v>
      </c>
      <c r="DO669" s="408">
        <v>-6.198095430526763</v>
      </c>
      <c r="DP669" s="408">
        <v>-0.96958924474943231</v>
      </c>
      <c r="DQ669" s="408">
        <v>0</v>
      </c>
      <c r="DR669" s="408">
        <v>0</v>
      </c>
      <c r="DS669" s="408"/>
      <c r="DT669" s="408"/>
      <c r="DU669" s="408">
        <v>24947.811235769463</v>
      </c>
      <c r="DV669" s="408">
        <v>0</v>
      </c>
      <c r="DW669" s="408">
        <v>0</v>
      </c>
      <c r="DX669" s="408">
        <v>0</v>
      </c>
      <c r="DY669" s="408">
        <v>-13006.65319999999</v>
      </c>
      <c r="DZ669" s="408">
        <v>536.53079999999954</v>
      </c>
      <c r="EA669" s="408">
        <v>0</v>
      </c>
      <c r="EB669" s="408">
        <v>0</v>
      </c>
      <c r="EC669" s="408">
        <v>-13208.543429305004</v>
      </c>
      <c r="ED669" s="408">
        <v>0</v>
      </c>
      <c r="EE669" s="408">
        <v>0</v>
      </c>
      <c r="EF669" s="408">
        <v>0</v>
      </c>
      <c r="EG669" s="408">
        <v>0</v>
      </c>
      <c r="EH669" s="408">
        <v>0</v>
      </c>
      <c r="EI669" s="408">
        <v>0</v>
      </c>
      <c r="EJ669" s="408">
        <v>0</v>
      </c>
      <c r="EK669" s="408">
        <v>0</v>
      </c>
      <c r="EL669" s="408">
        <v>0</v>
      </c>
      <c r="EM669" s="408">
        <v>0</v>
      </c>
      <c r="EN669" s="408">
        <v>0</v>
      </c>
      <c r="EO669" s="408">
        <v>0</v>
      </c>
      <c r="EP669" s="408">
        <v>0</v>
      </c>
      <c r="EQ669" s="408">
        <v>0</v>
      </c>
      <c r="ER669" s="408">
        <v>0</v>
      </c>
      <c r="ES669" s="408">
        <v>0</v>
      </c>
      <c r="ET669" s="408">
        <v>0</v>
      </c>
      <c r="EU669" s="408">
        <v>0</v>
      </c>
      <c r="EV669" s="408">
        <v>239</v>
      </c>
      <c r="EW669" s="408">
        <v>0</v>
      </c>
      <c r="EX669" s="408">
        <v>0</v>
      </c>
      <c r="EY669" s="408">
        <v>0</v>
      </c>
      <c r="EZ669" s="408"/>
      <c r="FA669" s="408">
        <v>0</v>
      </c>
      <c r="FB669" s="408"/>
      <c r="FC669" s="408"/>
      <c r="FD669" s="408"/>
      <c r="FE669" s="408"/>
      <c r="FF669" s="408">
        <v>0</v>
      </c>
      <c r="FG669" s="408">
        <v>0</v>
      </c>
      <c r="FH669" s="408">
        <v>0</v>
      </c>
      <c r="FI669" s="408">
        <v>0</v>
      </c>
    </row>
    <row r="670" spans="1:165">
      <c r="A670" s="408">
        <v>675</v>
      </c>
      <c r="B670" s="408" t="s">
        <v>1034</v>
      </c>
      <c r="C670" s="408" t="s">
        <v>2245</v>
      </c>
      <c r="D670" s="408" t="s">
        <v>596</v>
      </c>
      <c r="E670" s="408" t="s">
        <v>2244</v>
      </c>
      <c r="F670" s="408" t="s">
        <v>1320</v>
      </c>
      <c r="G670" s="408" t="s">
        <v>1320</v>
      </c>
      <c r="H670" s="408" t="s">
        <v>1320</v>
      </c>
      <c r="I670" s="408" t="s">
        <v>2242</v>
      </c>
      <c r="J670" s="408" t="s">
        <v>2234</v>
      </c>
      <c r="K670" s="827">
        <v>44682</v>
      </c>
      <c r="L670" s="408">
        <v>514</v>
      </c>
      <c r="M670" s="408">
        <v>514</v>
      </c>
      <c r="N670" s="408">
        <v>145.71</v>
      </c>
      <c r="O670" s="408">
        <v>145.71</v>
      </c>
      <c r="P670" s="408">
        <v>145.71</v>
      </c>
      <c r="Q670" s="408">
        <v>145.71</v>
      </c>
      <c r="R670" s="408">
        <v>59.12</v>
      </c>
      <c r="S670" s="408">
        <v>70.33</v>
      </c>
      <c r="T670" s="408">
        <v>173.82</v>
      </c>
      <c r="U670" s="408">
        <v>30387.68</v>
      </c>
      <c r="V670" s="408">
        <v>35575.0965</v>
      </c>
      <c r="W670" s="408">
        <v>65962.776500000007</v>
      </c>
      <c r="X670" s="408">
        <v>56006.944300000003</v>
      </c>
      <c r="Y670" s="408">
        <v>0</v>
      </c>
      <c r="Z670" s="408">
        <v>7751.7758626964333</v>
      </c>
      <c r="AA670" s="408">
        <v>0</v>
      </c>
      <c r="AB670" s="408">
        <v>0</v>
      </c>
      <c r="AC670" s="408">
        <v>294.03902675351259</v>
      </c>
      <c r="AD670" s="408">
        <v>2630.1496424677312</v>
      </c>
      <c r="AE670" s="408">
        <v>24755.164044759662</v>
      </c>
      <c r="AF670" s="408">
        <v>23447.964369743077</v>
      </c>
      <c r="AG670" s="408">
        <v>1179.6485462780431</v>
      </c>
      <c r="AH670" s="408">
        <v>0</v>
      </c>
      <c r="AI670" s="408">
        <v>0</v>
      </c>
      <c r="AJ670" s="408">
        <v>0</v>
      </c>
      <c r="AK670" s="408">
        <v>0</v>
      </c>
      <c r="AL670" s="408">
        <v>1377.1775779816994</v>
      </c>
      <c r="AM670" s="408"/>
      <c r="AN670" s="408">
        <v>181.07828529605214</v>
      </c>
      <c r="AO670" s="408">
        <v>620.94906746469087</v>
      </c>
      <c r="AP670" s="408">
        <v>2087.3477621062493</v>
      </c>
      <c r="AQ670" s="408">
        <v>0</v>
      </c>
      <c r="AR670" s="408">
        <v>0</v>
      </c>
      <c r="AS670" s="408">
        <v>0</v>
      </c>
      <c r="AT670" s="408">
        <v>0</v>
      </c>
      <c r="AU670" s="408">
        <v>0</v>
      </c>
      <c r="AV670" s="408">
        <v>0</v>
      </c>
      <c r="AW670" s="408">
        <v>0</v>
      </c>
      <c r="AX670" s="408">
        <v>0</v>
      </c>
      <c r="AY670" s="408">
        <v>0</v>
      </c>
      <c r="AZ670" s="408">
        <v>0</v>
      </c>
      <c r="BA670" s="408"/>
      <c r="BB670" s="408">
        <v>0</v>
      </c>
      <c r="BC670" s="408">
        <v>0</v>
      </c>
      <c r="BD670" s="408">
        <v>0</v>
      </c>
      <c r="BE670" s="408">
        <v>27.188557054504578</v>
      </c>
      <c r="BF670" s="408">
        <v>700.23684765147584</v>
      </c>
      <c r="BG670" s="408">
        <v>910.42954854049333</v>
      </c>
      <c r="BH670" s="408">
        <v>0</v>
      </c>
      <c r="BI670" s="408">
        <v>0</v>
      </c>
      <c r="BJ670" s="408">
        <v>0</v>
      </c>
      <c r="BK670" s="408">
        <v>0</v>
      </c>
      <c r="BL670" s="408">
        <v>0</v>
      </c>
      <c r="BM670" s="408"/>
      <c r="BN670" s="408"/>
      <c r="BO670" s="408"/>
      <c r="BP670" s="408"/>
      <c r="BQ670" s="408"/>
      <c r="BR670" s="408"/>
      <c r="BS670" s="408"/>
      <c r="BT670" s="408"/>
      <c r="BU670" s="408"/>
      <c r="BV670" s="408">
        <v>25085.819322989551</v>
      </c>
      <c r="BW670" s="408"/>
      <c r="BX670" s="408"/>
      <c r="BY670" s="408"/>
      <c r="BZ670" s="408"/>
      <c r="CA670" s="408"/>
      <c r="CB670" s="408"/>
      <c r="CC670" s="408"/>
      <c r="CD670" s="408"/>
      <c r="CE670" s="408"/>
      <c r="CF670" s="408"/>
      <c r="CG670" s="408"/>
      <c r="CH670" s="408"/>
      <c r="CI670" s="408">
        <v>56006.944300000003</v>
      </c>
      <c r="CJ670" s="408">
        <v>-9955.8621999999887</v>
      </c>
      <c r="CK670" s="408"/>
      <c r="CL670" s="408"/>
      <c r="CM670" s="408"/>
      <c r="CN670" s="408"/>
      <c r="CO670" s="408">
        <v>-13043.427099999999</v>
      </c>
      <c r="CP670" s="408">
        <v>3087.5949000000001</v>
      </c>
      <c r="CQ670" s="408">
        <v>31</v>
      </c>
      <c r="CR670" s="408">
        <v>3151.6605497285345</v>
      </c>
      <c r="CS670" s="408">
        <v>60.290231469780338</v>
      </c>
      <c r="CT670" s="408">
        <v>202.66828042618818</v>
      </c>
      <c r="CU670" s="408">
        <v>0</v>
      </c>
      <c r="CV670" s="408">
        <v>0</v>
      </c>
      <c r="CW670" s="408">
        <v>0</v>
      </c>
      <c r="CX670" s="408">
        <v>0</v>
      </c>
      <c r="CY670" s="408">
        <v>0</v>
      </c>
      <c r="CZ670" s="408">
        <v>-50.431036198111997</v>
      </c>
      <c r="DA670" s="408">
        <v>0</v>
      </c>
      <c r="DB670" s="408">
        <v>0</v>
      </c>
      <c r="DC670" s="408">
        <v>3009.8053749856626</v>
      </c>
      <c r="DD670" s="408">
        <v>89.883138450343949</v>
      </c>
      <c r="DE670" s="408">
        <v>3.4899517873007753</v>
      </c>
      <c r="DF670" s="408">
        <v>0</v>
      </c>
      <c r="DG670" s="408">
        <v>116.86369467017687</v>
      </c>
      <c r="DH670" s="408">
        <v>0</v>
      </c>
      <c r="DI670" s="408">
        <v>-226.54956827069418</v>
      </c>
      <c r="DJ670" s="408"/>
      <c r="DK670" s="408">
        <v>0</v>
      </c>
      <c r="DL670" s="408">
        <v>0</v>
      </c>
      <c r="DM670" s="408">
        <v>-13.111360639732538</v>
      </c>
      <c r="DN670" s="408">
        <v>0</v>
      </c>
      <c r="DO670" s="408">
        <v>-35.668423585389064</v>
      </c>
      <c r="DP670" s="408">
        <v>-5.5797333670000171</v>
      </c>
      <c r="DQ670" s="408">
        <v>0</v>
      </c>
      <c r="DR670" s="408">
        <v>0</v>
      </c>
      <c r="DS670" s="408"/>
      <c r="DT670" s="408"/>
      <c r="DU670" s="408">
        <v>24755.164044759662</v>
      </c>
      <c r="DV670" s="408">
        <v>0</v>
      </c>
      <c r="DW670" s="408">
        <v>0</v>
      </c>
      <c r="DX670" s="408">
        <v>0</v>
      </c>
      <c r="DY670" s="408">
        <v>-13043.427100000001</v>
      </c>
      <c r="DZ670" s="408">
        <v>3087.5949000000001</v>
      </c>
      <c r="EA670" s="408">
        <v>0</v>
      </c>
      <c r="EB670" s="408">
        <v>0</v>
      </c>
      <c r="EC670" s="408">
        <v>-13106.546954947438</v>
      </c>
      <c r="ED670" s="408">
        <v>0</v>
      </c>
      <c r="EE670" s="408">
        <v>0</v>
      </c>
      <c r="EF670" s="408">
        <v>0</v>
      </c>
      <c r="EG670" s="408">
        <v>0</v>
      </c>
      <c r="EH670" s="408">
        <v>0</v>
      </c>
      <c r="EI670" s="408">
        <v>0</v>
      </c>
      <c r="EJ670" s="408">
        <v>0</v>
      </c>
      <c r="EK670" s="408">
        <v>0</v>
      </c>
      <c r="EL670" s="408">
        <v>0</v>
      </c>
      <c r="EM670" s="408">
        <v>0</v>
      </c>
      <c r="EN670" s="408">
        <v>0</v>
      </c>
      <c r="EO670" s="408">
        <v>0</v>
      </c>
      <c r="EP670" s="408">
        <v>0</v>
      </c>
      <c r="EQ670" s="408">
        <v>0</v>
      </c>
      <c r="ER670" s="408">
        <v>0</v>
      </c>
      <c r="ES670" s="408">
        <v>0</v>
      </c>
      <c r="ET670" s="408">
        <v>0</v>
      </c>
      <c r="EU670" s="408">
        <v>0</v>
      </c>
      <c r="EV670" s="408">
        <v>239</v>
      </c>
      <c r="EW670" s="408">
        <v>0</v>
      </c>
      <c r="EX670" s="408">
        <v>0</v>
      </c>
      <c r="EY670" s="408">
        <v>0</v>
      </c>
      <c r="EZ670" s="408"/>
      <c r="FA670" s="408">
        <v>0</v>
      </c>
      <c r="FB670" s="408"/>
      <c r="FC670" s="408"/>
      <c r="FD670" s="408"/>
      <c r="FE670" s="408"/>
      <c r="FF670" s="408">
        <v>0</v>
      </c>
      <c r="FG670" s="408">
        <v>0</v>
      </c>
      <c r="FH670" s="408">
        <v>0</v>
      </c>
      <c r="FI670" s="408">
        <v>0</v>
      </c>
    </row>
    <row r="671" spans="1:165">
      <c r="A671" s="408">
        <v>676</v>
      </c>
      <c r="B671" s="408" t="s">
        <v>1034</v>
      </c>
      <c r="C671" s="408" t="s">
        <v>2245</v>
      </c>
      <c r="D671" s="408" t="s">
        <v>596</v>
      </c>
      <c r="E671" s="408" t="s">
        <v>2244</v>
      </c>
      <c r="F671" s="408" t="s">
        <v>1320</v>
      </c>
      <c r="G671" s="408" t="s">
        <v>1320</v>
      </c>
      <c r="H671" s="408" t="s">
        <v>1320</v>
      </c>
      <c r="I671" s="408" t="s">
        <v>1320</v>
      </c>
      <c r="J671" s="408" t="s">
        <v>2234</v>
      </c>
      <c r="K671" s="827">
        <v>44682</v>
      </c>
      <c r="L671" s="408">
        <v>0</v>
      </c>
      <c r="M671" s="408">
        <v>0</v>
      </c>
      <c r="N671" s="408">
        <v>0</v>
      </c>
      <c r="O671" s="408">
        <v>0</v>
      </c>
      <c r="P671" s="408">
        <v>0</v>
      </c>
      <c r="Q671" s="408">
        <v>0</v>
      </c>
      <c r="R671" s="408"/>
      <c r="S671" s="408"/>
      <c r="T671" s="408"/>
      <c r="U671" s="408"/>
      <c r="V671" s="408"/>
      <c r="W671" s="408"/>
      <c r="X671" s="408"/>
      <c r="Y671" s="408"/>
      <c r="Z671" s="408"/>
      <c r="AA671" s="408">
        <v>0</v>
      </c>
      <c r="AB671" s="408"/>
      <c r="AC671" s="408"/>
      <c r="AD671" s="408"/>
      <c r="AE671" s="408"/>
      <c r="AF671" s="408"/>
      <c r="AG671" s="408"/>
      <c r="AH671" s="408"/>
      <c r="AI671" s="408"/>
      <c r="AJ671" s="408"/>
      <c r="AK671" s="408"/>
      <c r="AL671" s="408"/>
      <c r="AM671" s="408"/>
      <c r="AN671" s="408"/>
      <c r="AO671" s="408"/>
      <c r="AP671" s="408"/>
      <c r="AQ671" s="408"/>
      <c r="AR671" s="408"/>
      <c r="AS671" s="408"/>
      <c r="AT671" s="408"/>
      <c r="AU671" s="408"/>
      <c r="AV671" s="408"/>
      <c r="AW671" s="408"/>
      <c r="AX671" s="408"/>
      <c r="AY671" s="408"/>
      <c r="AZ671" s="408">
        <v>0</v>
      </c>
      <c r="BA671" s="408"/>
      <c r="BB671" s="408"/>
      <c r="BC671" s="408"/>
      <c r="BD671" s="408"/>
      <c r="BE671" s="408"/>
      <c r="BF671" s="408"/>
      <c r="BG671" s="408"/>
      <c r="BH671" s="408"/>
      <c r="BI671" s="408">
        <v>725.05</v>
      </c>
      <c r="BJ671" s="408">
        <v>3342.96</v>
      </c>
      <c r="BK671" s="408">
        <v>0</v>
      </c>
      <c r="BL671" s="408">
        <v>1</v>
      </c>
      <c r="BM671" s="408"/>
      <c r="BN671" s="408"/>
      <c r="BO671" s="408"/>
      <c r="BP671" s="408"/>
      <c r="BQ671" s="408"/>
      <c r="BR671" s="408"/>
      <c r="BS671" s="408"/>
      <c r="BT671" s="408"/>
      <c r="BU671" s="408"/>
      <c r="BV671" s="408"/>
      <c r="BW671" s="408"/>
      <c r="BX671" s="408"/>
      <c r="BY671" s="408"/>
      <c r="BZ671" s="408"/>
      <c r="CA671" s="408"/>
      <c r="CB671" s="408"/>
      <c r="CC671" s="408"/>
      <c r="CD671" s="408"/>
      <c r="CE671" s="408"/>
      <c r="CF671" s="408"/>
      <c r="CG671" s="408"/>
      <c r="CH671" s="408"/>
      <c r="CI671" s="408"/>
      <c r="CJ671" s="408">
        <v>-0.03</v>
      </c>
      <c r="CK671" s="408"/>
      <c r="CL671" s="408"/>
      <c r="CM671" s="408"/>
      <c r="CN671" s="408"/>
      <c r="CO671" s="408">
        <v>0</v>
      </c>
      <c r="CP671" s="408">
        <v>0</v>
      </c>
      <c r="CQ671" s="408">
        <v>31</v>
      </c>
      <c r="CR671" s="408"/>
      <c r="CS671" s="408"/>
      <c r="CT671" s="408"/>
      <c r="CU671" s="408"/>
      <c r="CV671" s="408"/>
      <c r="CW671" s="408"/>
      <c r="CX671" s="408"/>
      <c r="CY671" s="408"/>
      <c r="CZ671" s="408"/>
      <c r="DA671" s="408"/>
      <c r="DB671" s="408"/>
      <c r="DC671" s="408"/>
      <c r="DD671" s="408"/>
      <c r="DE671" s="408"/>
      <c r="DF671" s="408"/>
      <c r="DG671" s="408"/>
      <c r="DH671" s="408"/>
      <c r="DI671" s="408"/>
      <c r="DJ671" s="408"/>
      <c r="DK671" s="408">
        <v>0</v>
      </c>
      <c r="DL671" s="408"/>
      <c r="DM671" s="408"/>
      <c r="DN671" s="408"/>
      <c r="DO671" s="408"/>
      <c r="DP671" s="408"/>
      <c r="DQ671" s="408"/>
      <c r="DR671" s="408"/>
      <c r="DS671" s="408"/>
      <c r="DT671" s="408"/>
      <c r="DU671" s="408"/>
      <c r="DV671" s="408"/>
      <c r="DW671" s="408"/>
      <c r="DX671" s="408"/>
      <c r="DY671" s="408"/>
      <c r="DZ671" s="408"/>
      <c r="EA671" s="408"/>
      <c r="EB671" s="408"/>
      <c r="EC671" s="408"/>
      <c r="ED671" s="408"/>
      <c r="EE671" s="408"/>
      <c r="EF671" s="408"/>
      <c r="EG671" s="408"/>
      <c r="EH671" s="408"/>
      <c r="EI671" s="408"/>
      <c r="EJ671" s="408"/>
      <c r="EK671" s="408"/>
      <c r="EL671" s="408"/>
      <c r="EM671" s="408"/>
      <c r="EN671" s="408"/>
      <c r="EO671" s="408"/>
      <c r="EP671" s="408"/>
      <c r="EQ671" s="408"/>
      <c r="ER671" s="408"/>
      <c r="ES671" s="408"/>
      <c r="ET671" s="408"/>
      <c r="EU671" s="408"/>
      <c r="EV671" s="408">
        <v>239</v>
      </c>
      <c r="EW671" s="408"/>
      <c r="EX671" s="408"/>
      <c r="EY671" s="408"/>
      <c r="EZ671" s="408"/>
      <c r="FA671" s="408">
        <v>0</v>
      </c>
      <c r="FB671" s="408"/>
      <c r="FC671" s="408"/>
      <c r="FD671" s="408"/>
      <c r="FE671" s="408"/>
      <c r="FF671" s="408">
        <v>0</v>
      </c>
      <c r="FG671" s="408">
        <v>0</v>
      </c>
      <c r="FH671" s="408">
        <v>0</v>
      </c>
      <c r="FI671" s="408">
        <v>0</v>
      </c>
    </row>
    <row r="672" spans="1:165">
      <c r="A672" s="408">
        <v>677</v>
      </c>
      <c r="B672" s="408" t="s">
        <v>1034</v>
      </c>
      <c r="C672" s="408" t="s">
        <v>2233</v>
      </c>
      <c r="D672" s="408" t="s">
        <v>2246</v>
      </c>
      <c r="E672" s="408" t="s">
        <v>2247</v>
      </c>
      <c r="F672" s="408" t="s">
        <v>2248</v>
      </c>
      <c r="G672" s="408" t="s">
        <v>1320</v>
      </c>
      <c r="H672" s="408" t="s">
        <v>1320</v>
      </c>
      <c r="I672" s="408" t="s">
        <v>1320</v>
      </c>
      <c r="J672" s="408" t="s">
        <v>2234</v>
      </c>
      <c r="K672" s="827">
        <v>44682</v>
      </c>
      <c r="L672" s="408">
        <v>0</v>
      </c>
      <c r="M672" s="408">
        <v>0</v>
      </c>
      <c r="N672" s="408">
        <v>298.56299999999999</v>
      </c>
      <c r="O672" s="408">
        <v>298.56299999999999</v>
      </c>
      <c r="P672" s="408">
        <v>298.56299999999999</v>
      </c>
      <c r="Q672" s="408">
        <v>298.56299999999999</v>
      </c>
      <c r="R672" s="408"/>
      <c r="S672" s="408">
        <v>284.26</v>
      </c>
      <c r="T672" s="408">
        <v>95.6</v>
      </c>
      <c r="U672" s="408"/>
      <c r="V672" s="408">
        <v>113412.14117999999</v>
      </c>
      <c r="W672" s="408">
        <v>113412.14117999999</v>
      </c>
      <c r="X672" s="408">
        <v>85624.882769999997</v>
      </c>
      <c r="Y672" s="408">
        <v>0</v>
      </c>
      <c r="Z672" s="408">
        <v>10041.330727715576</v>
      </c>
      <c r="AA672" s="408">
        <v>0</v>
      </c>
      <c r="AB672" s="408">
        <v>0</v>
      </c>
      <c r="AC672" s="408">
        <v>446.39474983608949</v>
      </c>
      <c r="AD672" s="408">
        <v>5653.181828724425</v>
      </c>
      <c r="AE672" s="408">
        <v>59709.222458795201</v>
      </c>
      <c r="AF672" s="408">
        <v>26424.967554512303</v>
      </c>
      <c r="AG672" s="408">
        <v>1329.4192224783901</v>
      </c>
      <c r="AH672" s="408">
        <v>0</v>
      </c>
      <c r="AI672" s="408">
        <v>0</v>
      </c>
      <c r="AJ672" s="408">
        <v>0</v>
      </c>
      <c r="AK672" s="408">
        <v>0</v>
      </c>
      <c r="AL672" s="408">
        <v>1552.0269581238247</v>
      </c>
      <c r="AM672" s="408"/>
      <c r="AN672" s="408">
        <v>254.77816465037714</v>
      </c>
      <c r="AO672" s="408">
        <v>952.17027609550723</v>
      </c>
      <c r="AP672" s="408">
        <v>3118.2289097321504</v>
      </c>
      <c r="AQ672" s="408">
        <v>0</v>
      </c>
      <c r="AR672" s="408">
        <v>0</v>
      </c>
      <c r="AS672" s="408">
        <v>0</v>
      </c>
      <c r="AT672" s="408">
        <v>0</v>
      </c>
      <c r="AU672" s="408">
        <v>0</v>
      </c>
      <c r="AV672" s="408">
        <v>0</v>
      </c>
      <c r="AW672" s="408">
        <v>0</v>
      </c>
      <c r="AX672" s="408">
        <v>0</v>
      </c>
      <c r="AY672" s="408">
        <v>0</v>
      </c>
      <c r="AZ672" s="408">
        <v>0</v>
      </c>
      <c r="BA672" s="408"/>
      <c r="BB672" s="408">
        <v>0</v>
      </c>
      <c r="BC672" s="408">
        <v>0</v>
      </c>
      <c r="BD672" s="408">
        <v>0</v>
      </c>
      <c r="BE672" s="408">
        <v>91.105585661710265</v>
      </c>
      <c r="BF672" s="408">
        <v>789.14039990359151</v>
      </c>
      <c r="BG672" s="408">
        <v>3050.7399512680527</v>
      </c>
      <c r="BH672" s="408">
        <v>0</v>
      </c>
      <c r="BI672" s="408">
        <v>643.84</v>
      </c>
      <c r="BJ672" s="408">
        <v>2968.97</v>
      </c>
      <c r="BK672" s="408">
        <v>22309.360000000001</v>
      </c>
      <c r="BL672" s="408">
        <v>15</v>
      </c>
      <c r="BM672" s="408"/>
      <c r="BN672" s="408"/>
      <c r="BO672" s="408"/>
      <c r="BP672" s="408"/>
      <c r="BQ672" s="408"/>
      <c r="BR672" s="408"/>
      <c r="BS672" s="408"/>
      <c r="BT672" s="408"/>
      <c r="BU672" s="408"/>
      <c r="BV672" s="408">
        <v>30355.953491345655</v>
      </c>
      <c r="BW672" s="408"/>
      <c r="BX672" s="408"/>
      <c r="BY672" s="408"/>
      <c r="BZ672" s="408"/>
      <c r="CA672" s="408"/>
      <c r="CB672" s="408"/>
      <c r="CC672" s="408"/>
      <c r="CD672" s="408"/>
      <c r="CE672" s="408"/>
      <c r="CF672" s="408"/>
      <c r="CG672" s="408"/>
      <c r="CH672" s="408"/>
      <c r="CI672" s="408">
        <v>85624.022400000002</v>
      </c>
      <c r="CJ672" s="408">
        <v>-27788.148779999974</v>
      </c>
      <c r="CK672" s="408"/>
      <c r="CL672" s="408"/>
      <c r="CM672" s="408"/>
      <c r="CN672" s="408"/>
      <c r="CO672" s="408">
        <v>-31265.517359999998</v>
      </c>
      <c r="CP672" s="408">
        <v>3478.2589500000017</v>
      </c>
      <c r="CQ672" s="408">
        <v>31</v>
      </c>
      <c r="CR672" s="408">
        <v>3827.0502358324957</v>
      </c>
      <c r="CS672" s="408">
        <v>92.449718265675983</v>
      </c>
      <c r="CT672" s="408">
        <v>302.76032704436057</v>
      </c>
      <c r="CU672" s="408">
        <v>0</v>
      </c>
      <c r="CV672" s="408">
        <v>0</v>
      </c>
      <c r="CW672" s="408">
        <v>0</v>
      </c>
      <c r="CX672" s="408">
        <v>0</v>
      </c>
      <c r="CY672" s="408">
        <v>0</v>
      </c>
      <c r="CZ672" s="408">
        <v>-108.39528399280789</v>
      </c>
      <c r="DA672" s="408">
        <v>0</v>
      </c>
      <c r="DB672" s="408">
        <v>0</v>
      </c>
      <c r="DC672" s="408">
        <v>3391.9366357456347</v>
      </c>
      <c r="DD672" s="408">
        <v>101.29489194861378</v>
      </c>
      <c r="DE672" s="408">
        <v>11.694408823379874</v>
      </c>
      <c r="DF672" s="408">
        <v>0</v>
      </c>
      <c r="DG672" s="408">
        <v>391.59618968281484</v>
      </c>
      <c r="DH672" s="408">
        <v>0</v>
      </c>
      <c r="DI672" s="408">
        <v>-293.4629666183373</v>
      </c>
      <c r="DJ672" s="408"/>
      <c r="DK672" s="408">
        <v>0</v>
      </c>
      <c r="DL672" s="408">
        <v>0</v>
      </c>
      <c r="DM672" s="408">
        <v>-14.776006737178704</v>
      </c>
      <c r="DN672" s="408">
        <v>0</v>
      </c>
      <c r="DO672" s="408">
        <v>-40.196962137179071</v>
      </c>
      <c r="DP672" s="408">
        <v>-7.8507161924932234</v>
      </c>
      <c r="DQ672" s="408">
        <v>0</v>
      </c>
      <c r="DR672" s="408">
        <v>0</v>
      </c>
      <c r="DS672" s="408"/>
      <c r="DT672" s="408"/>
      <c r="DU672" s="408"/>
      <c r="DV672" s="408">
        <v>59709.222458795201</v>
      </c>
      <c r="DW672" s="408">
        <v>0</v>
      </c>
      <c r="DX672" s="408">
        <v>0</v>
      </c>
      <c r="DY672" s="408">
        <v>-31265.517359999998</v>
      </c>
      <c r="DZ672" s="408">
        <v>3478.2589500000031</v>
      </c>
      <c r="EA672" s="408">
        <v>0</v>
      </c>
      <c r="EB672" s="408">
        <v>0</v>
      </c>
      <c r="EC672" s="408">
        <v>-31612.867779208365</v>
      </c>
      <c r="ED672" s="408">
        <v>0</v>
      </c>
      <c r="EE672" s="408">
        <v>0</v>
      </c>
      <c r="EF672" s="408">
        <v>0</v>
      </c>
      <c r="EG672" s="408">
        <v>0</v>
      </c>
      <c r="EH672" s="408">
        <v>0</v>
      </c>
      <c r="EI672" s="408">
        <v>0</v>
      </c>
      <c r="EJ672" s="408">
        <v>0</v>
      </c>
      <c r="EK672" s="408">
        <v>0</v>
      </c>
      <c r="EL672" s="408">
        <v>0</v>
      </c>
      <c r="EM672" s="408">
        <v>0</v>
      </c>
      <c r="EN672" s="408">
        <v>0</v>
      </c>
      <c r="EO672" s="408">
        <v>0</v>
      </c>
      <c r="EP672" s="408">
        <v>0</v>
      </c>
      <c r="EQ672" s="408">
        <v>0</v>
      </c>
      <c r="ER672" s="408">
        <v>0</v>
      </c>
      <c r="ES672" s="408">
        <v>0</v>
      </c>
      <c r="ET672" s="408">
        <v>0</v>
      </c>
      <c r="EU672" s="408">
        <v>0</v>
      </c>
      <c r="EV672" s="408">
        <v>239</v>
      </c>
      <c r="EW672" s="408">
        <v>0</v>
      </c>
      <c r="EX672" s="408">
        <v>0</v>
      </c>
      <c r="EY672" s="408">
        <v>0</v>
      </c>
      <c r="EZ672" s="408"/>
      <c r="FA672" s="408">
        <v>0</v>
      </c>
      <c r="FB672" s="408"/>
      <c r="FC672" s="408"/>
      <c r="FD672" s="408"/>
      <c r="FE672" s="408"/>
      <c r="FF672" s="408">
        <v>0</v>
      </c>
      <c r="FG672" s="408">
        <v>0</v>
      </c>
      <c r="FH672" s="408">
        <v>0</v>
      </c>
      <c r="FI672" s="408">
        <v>0</v>
      </c>
    </row>
    <row r="673" spans="1:165">
      <c r="A673" s="408">
        <v>678</v>
      </c>
      <c r="B673" s="408" t="s">
        <v>2235</v>
      </c>
      <c r="C673" s="408" t="s">
        <v>2233</v>
      </c>
      <c r="D673" s="408" t="s">
        <v>2246</v>
      </c>
      <c r="E673" s="408" t="s">
        <v>2247</v>
      </c>
      <c r="F673" s="408" t="s">
        <v>2248</v>
      </c>
      <c r="G673" s="408" t="s">
        <v>1320</v>
      </c>
      <c r="H673" s="408" t="s">
        <v>1320</v>
      </c>
      <c r="I673" s="408" t="s">
        <v>1320</v>
      </c>
      <c r="J673" s="408" t="s">
        <v>2234</v>
      </c>
      <c r="K673" s="827">
        <v>44682</v>
      </c>
      <c r="L673" s="408">
        <v>0</v>
      </c>
      <c r="M673" s="408">
        <v>0</v>
      </c>
      <c r="N673" s="408">
        <v>85.400999999999996</v>
      </c>
      <c r="O673" s="408">
        <v>85.400999999999996</v>
      </c>
      <c r="P673" s="408">
        <v>85.400999999999996</v>
      </c>
      <c r="Q673" s="408">
        <v>85.400999999999996</v>
      </c>
      <c r="R673" s="408"/>
      <c r="S673" s="408">
        <v>284.26</v>
      </c>
      <c r="T673" s="408">
        <v>95.6</v>
      </c>
      <c r="U673" s="408"/>
      <c r="V673" s="408">
        <v>32440.423859999995</v>
      </c>
      <c r="W673" s="408">
        <v>32440.423859999995</v>
      </c>
      <c r="X673" s="408">
        <v>24492.15279</v>
      </c>
      <c r="Y673" s="408">
        <v>0</v>
      </c>
      <c r="Z673" s="408">
        <v>2872.2235691550454</v>
      </c>
      <c r="AA673" s="408">
        <v>0</v>
      </c>
      <c r="AB673" s="408">
        <v>0</v>
      </c>
      <c r="AC673" s="408">
        <v>127.68681327140965</v>
      </c>
      <c r="AD673" s="408">
        <v>1617.0368778277771</v>
      </c>
      <c r="AE673" s="408">
        <v>17079.233887667153</v>
      </c>
      <c r="AF673" s="408">
        <v>7558.6012135559504</v>
      </c>
      <c r="AG673" s="408">
        <v>380.26725019133983</v>
      </c>
      <c r="AH673" s="408">
        <v>0</v>
      </c>
      <c r="AI673" s="408">
        <v>0</v>
      </c>
      <c r="AJ673" s="408">
        <v>0</v>
      </c>
      <c r="AK673" s="408">
        <v>0</v>
      </c>
      <c r="AL673" s="408">
        <v>443.94199633153721</v>
      </c>
      <c r="AM673" s="408"/>
      <c r="AN673" s="408">
        <v>72.876779906776321</v>
      </c>
      <c r="AO673" s="408">
        <v>272.35891168306995</v>
      </c>
      <c r="AP673" s="408">
        <v>891.93860967378873</v>
      </c>
      <c r="AQ673" s="408">
        <v>0</v>
      </c>
      <c r="AR673" s="408">
        <v>0</v>
      </c>
      <c r="AS673" s="408">
        <v>0</v>
      </c>
      <c r="AT673" s="408">
        <v>0</v>
      </c>
      <c r="AU673" s="408">
        <v>0</v>
      </c>
      <c r="AV673" s="408">
        <v>0</v>
      </c>
      <c r="AW673" s="408">
        <v>0</v>
      </c>
      <c r="AX673" s="408">
        <v>0</v>
      </c>
      <c r="AY673" s="408">
        <v>0</v>
      </c>
      <c r="AZ673" s="408">
        <v>0</v>
      </c>
      <c r="BA673" s="408"/>
      <c r="BB673" s="408">
        <v>0</v>
      </c>
      <c r="BC673" s="408">
        <v>0</v>
      </c>
      <c r="BD673" s="408">
        <v>0</v>
      </c>
      <c r="BE673" s="408">
        <v>26.059853769876771</v>
      </c>
      <c r="BF673" s="408">
        <v>225.72582433913988</v>
      </c>
      <c r="BG673" s="408">
        <v>872.63405907042386</v>
      </c>
      <c r="BH673" s="408">
        <v>0</v>
      </c>
      <c r="BI673" s="408">
        <v>59.61</v>
      </c>
      <c r="BJ673" s="408">
        <v>272.44</v>
      </c>
      <c r="BK673" s="408">
        <v>8726.7800000000007</v>
      </c>
      <c r="BL673" s="408">
        <v>0</v>
      </c>
      <c r="BM673" s="408"/>
      <c r="BN673" s="408"/>
      <c r="BO673" s="408"/>
      <c r="BP673" s="408"/>
      <c r="BQ673" s="408"/>
      <c r="BR673" s="408"/>
      <c r="BS673" s="408"/>
      <c r="BT673" s="408"/>
      <c r="BU673" s="408"/>
      <c r="BV673" s="408">
        <v>8683.0209507353902</v>
      </c>
      <c r="BW673" s="408"/>
      <c r="BX673" s="408"/>
      <c r="BY673" s="408"/>
      <c r="BZ673" s="408"/>
      <c r="CA673" s="408"/>
      <c r="CB673" s="408"/>
      <c r="CC673" s="408"/>
      <c r="CD673" s="408"/>
      <c r="CE673" s="408"/>
      <c r="CF673" s="408"/>
      <c r="CG673" s="408"/>
      <c r="CH673" s="408"/>
      <c r="CI673" s="408">
        <v>24491.866000000002</v>
      </c>
      <c r="CJ673" s="408">
        <v>-7948.5878599999887</v>
      </c>
      <c r="CK673" s="408"/>
      <c r="CL673" s="408"/>
      <c r="CM673" s="408"/>
      <c r="CN673" s="408"/>
      <c r="CO673" s="408">
        <v>-8943.1927199999991</v>
      </c>
      <c r="CP673" s="408">
        <v>994.92165000000045</v>
      </c>
      <c r="CQ673" s="408">
        <v>31</v>
      </c>
      <c r="CR673" s="408">
        <v>1094.6899555213768</v>
      </c>
      <c r="CS673" s="408">
        <v>26.444329637654334</v>
      </c>
      <c r="CT673" s="408">
        <v>86.601603982795723</v>
      </c>
      <c r="CU673" s="408">
        <v>0</v>
      </c>
      <c r="CV673" s="408">
        <v>0</v>
      </c>
      <c r="CW673" s="408">
        <v>0</v>
      </c>
      <c r="CX673" s="408">
        <v>0</v>
      </c>
      <c r="CY673" s="408">
        <v>0</v>
      </c>
      <c r="CZ673" s="408">
        <v>-31.005401366779324</v>
      </c>
      <c r="DA673" s="408">
        <v>0</v>
      </c>
      <c r="DB673" s="408">
        <v>0</v>
      </c>
      <c r="DC673" s="408">
        <v>970.23000381598831</v>
      </c>
      <c r="DD673" s="408">
        <v>28.974404287549248</v>
      </c>
      <c r="DE673" s="408">
        <v>3.3450702462309962</v>
      </c>
      <c r="DF673" s="408">
        <v>0</v>
      </c>
      <c r="DG673" s="408">
        <v>112.01222587896712</v>
      </c>
      <c r="DH673" s="408">
        <v>0</v>
      </c>
      <c r="DI673" s="408">
        <v>-83.942185777113991</v>
      </c>
      <c r="DJ673" s="408"/>
      <c r="DK673" s="408">
        <v>0</v>
      </c>
      <c r="DL673" s="408">
        <v>0</v>
      </c>
      <c r="DM673" s="408">
        <v>-4.2265309209841462</v>
      </c>
      <c r="DN673" s="408">
        <v>0</v>
      </c>
      <c r="DO673" s="408">
        <v>-11.497944365099556</v>
      </c>
      <c r="DP673" s="408">
        <v>-2.2456198978276518</v>
      </c>
      <c r="DQ673" s="408">
        <v>0</v>
      </c>
      <c r="DR673" s="408">
        <v>0</v>
      </c>
      <c r="DS673" s="408"/>
      <c r="DT673" s="408"/>
      <c r="DU673" s="408"/>
      <c r="DV673" s="408">
        <v>17079.233887667153</v>
      </c>
      <c r="DW673" s="408">
        <v>0</v>
      </c>
      <c r="DX673" s="408">
        <v>0</v>
      </c>
      <c r="DY673" s="408">
        <v>-8943.1927199999973</v>
      </c>
      <c r="DZ673" s="408">
        <v>994.92164999999932</v>
      </c>
      <c r="EA673" s="408">
        <v>0</v>
      </c>
      <c r="EB673" s="408">
        <v>0</v>
      </c>
      <c r="EC673" s="408">
        <v>-9042.5488798416845</v>
      </c>
      <c r="ED673" s="408">
        <v>0</v>
      </c>
      <c r="EE673" s="408">
        <v>0</v>
      </c>
      <c r="EF673" s="408">
        <v>0</v>
      </c>
      <c r="EG673" s="408">
        <v>0</v>
      </c>
      <c r="EH673" s="408">
        <v>0</v>
      </c>
      <c r="EI673" s="408">
        <v>0</v>
      </c>
      <c r="EJ673" s="408">
        <v>0</v>
      </c>
      <c r="EK673" s="408">
        <v>0</v>
      </c>
      <c r="EL673" s="408">
        <v>0</v>
      </c>
      <c r="EM673" s="408">
        <v>0</v>
      </c>
      <c r="EN673" s="408">
        <v>0</v>
      </c>
      <c r="EO673" s="408">
        <v>0</v>
      </c>
      <c r="EP673" s="408">
        <v>0</v>
      </c>
      <c r="EQ673" s="408">
        <v>0</v>
      </c>
      <c r="ER673" s="408">
        <v>0</v>
      </c>
      <c r="ES673" s="408">
        <v>0</v>
      </c>
      <c r="ET673" s="408">
        <v>0</v>
      </c>
      <c r="EU673" s="408">
        <v>0</v>
      </c>
      <c r="EV673" s="408">
        <v>239</v>
      </c>
      <c r="EW673" s="408">
        <v>0</v>
      </c>
      <c r="EX673" s="408">
        <v>0</v>
      </c>
      <c r="EY673" s="408">
        <v>0</v>
      </c>
      <c r="EZ673" s="408"/>
      <c r="FA673" s="408">
        <v>0</v>
      </c>
      <c r="FB673" s="408"/>
      <c r="FC673" s="408"/>
      <c r="FD673" s="408"/>
      <c r="FE673" s="408"/>
      <c r="FF673" s="408">
        <v>0</v>
      </c>
      <c r="FG673" s="408">
        <v>0</v>
      </c>
      <c r="FH673" s="408">
        <v>0</v>
      </c>
      <c r="FI673" s="408">
        <v>0</v>
      </c>
    </row>
    <row r="674" spans="1:165">
      <c r="A674" s="408">
        <v>679</v>
      </c>
      <c r="B674" s="408" t="s">
        <v>1034</v>
      </c>
      <c r="C674" s="408" t="s">
        <v>2233</v>
      </c>
      <c r="D674" s="408" t="s">
        <v>1956</v>
      </c>
      <c r="E674" s="408" t="s">
        <v>999</v>
      </c>
      <c r="F674" s="408" t="s">
        <v>2249</v>
      </c>
      <c r="G674" s="408" t="s">
        <v>1320</v>
      </c>
      <c r="H674" s="408" t="s">
        <v>1320</v>
      </c>
      <c r="I674" s="408" t="s">
        <v>1320</v>
      </c>
      <c r="J674" s="408" t="s">
        <v>2234</v>
      </c>
      <c r="K674" s="827">
        <v>44682</v>
      </c>
      <c r="L674" s="408">
        <v>0</v>
      </c>
      <c r="M674" s="408">
        <v>0</v>
      </c>
      <c r="N674" s="408">
        <v>7.8760000000000003</v>
      </c>
      <c r="O674" s="408">
        <v>7.4034399999999998</v>
      </c>
      <c r="P674" s="408">
        <v>7.8760000000000003</v>
      </c>
      <c r="Q674" s="408">
        <v>7.4034399999999998</v>
      </c>
      <c r="R674" s="408"/>
      <c r="S674" s="408">
        <v>516.83000000000004</v>
      </c>
      <c r="T674" s="408">
        <v>173.82</v>
      </c>
      <c r="U674" s="408"/>
      <c r="V674" s="408">
        <v>5439.5594000000001</v>
      </c>
      <c r="W674" s="408">
        <v>5439.5594000000001</v>
      </c>
      <c r="X674" s="408">
        <v>4106.9402</v>
      </c>
      <c r="Y674" s="408">
        <v>0</v>
      </c>
      <c r="Z674" s="408">
        <v>481.61311355019467</v>
      </c>
      <c r="AA674" s="408">
        <v>0</v>
      </c>
      <c r="AB674" s="408">
        <v>0</v>
      </c>
      <c r="AC674" s="408">
        <v>21.410465522026495</v>
      </c>
      <c r="AD674" s="408">
        <v>271.14399234779182</v>
      </c>
      <c r="AE674" s="408">
        <v>2863.8380027329213</v>
      </c>
      <c r="AF674" s="408">
        <v>1267.4227395243736</v>
      </c>
      <c r="AG674" s="408">
        <v>63.763035827917562</v>
      </c>
      <c r="AH674" s="408">
        <v>0</v>
      </c>
      <c r="AI674" s="408">
        <v>0</v>
      </c>
      <c r="AJ674" s="408">
        <v>0</v>
      </c>
      <c r="AK674" s="408">
        <v>0</v>
      </c>
      <c r="AL674" s="408">
        <v>74.439987675409128</v>
      </c>
      <c r="AM674" s="408"/>
      <c r="AN674" s="408">
        <v>12.219944593916159</v>
      </c>
      <c r="AO674" s="408">
        <v>45.669015764470728</v>
      </c>
      <c r="AP674" s="408">
        <v>149.5598516472717</v>
      </c>
      <c r="AQ674" s="408">
        <v>0</v>
      </c>
      <c r="AR674" s="408">
        <v>0</v>
      </c>
      <c r="AS674" s="408">
        <v>0</v>
      </c>
      <c r="AT674" s="408">
        <v>0</v>
      </c>
      <c r="AU674" s="408">
        <v>0</v>
      </c>
      <c r="AV674" s="408">
        <v>0</v>
      </c>
      <c r="AW674" s="408">
        <v>0</v>
      </c>
      <c r="AX674" s="408">
        <v>0</v>
      </c>
      <c r="AY674" s="408">
        <v>0</v>
      </c>
      <c r="AZ674" s="408">
        <v>0</v>
      </c>
      <c r="BA674" s="408"/>
      <c r="BB674" s="408">
        <v>0</v>
      </c>
      <c r="BC674" s="408">
        <v>0</v>
      </c>
      <c r="BD674" s="408">
        <v>0</v>
      </c>
      <c r="BE674" s="408">
        <v>4.369704171902387</v>
      </c>
      <c r="BF674" s="408">
        <v>37.849601345844647</v>
      </c>
      <c r="BG674" s="408">
        <v>146.32287357160354</v>
      </c>
      <c r="BH674" s="408">
        <v>0</v>
      </c>
      <c r="BI674" s="408">
        <v>30.84</v>
      </c>
      <c r="BJ674" s="408">
        <v>142.41999999999999</v>
      </c>
      <c r="BK674" s="408">
        <v>1426.85</v>
      </c>
      <c r="BL674" s="408">
        <v>7</v>
      </c>
      <c r="BM674" s="408"/>
      <c r="BN674" s="408"/>
      <c r="BO674" s="408"/>
      <c r="BP674" s="408"/>
      <c r="BQ674" s="408">
        <v>246.41641200000026</v>
      </c>
      <c r="BR674" s="408"/>
      <c r="BS674" s="408"/>
      <c r="BT674" s="408"/>
      <c r="BU674" s="408"/>
      <c r="BV674" s="408">
        <v>1455.9649186137242</v>
      </c>
      <c r="BW674" s="408"/>
      <c r="BX674" s="408"/>
      <c r="BY674" s="408"/>
      <c r="BZ674" s="408"/>
      <c r="CA674" s="408"/>
      <c r="CB674" s="408"/>
      <c r="CC674" s="408"/>
      <c r="CD674" s="408"/>
      <c r="CE674" s="408"/>
      <c r="CF674" s="408"/>
      <c r="CG674" s="408"/>
      <c r="CH674" s="408"/>
      <c r="CI674" s="408">
        <v>3858.73</v>
      </c>
      <c r="CJ674" s="408">
        <v>-1254.4858360000012</v>
      </c>
      <c r="CK674" s="408"/>
      <c r="CL674" s="408"/>
      <c r="CM674" s="408"/>
      <c r="CN674" s="408"/>
      <c r="CO674" s="408">
        <v>-1499.5116400000004</v>
      </c>
      <c r="CP674" s="408">
        <v>166.89243999999999</v>
      </c>
      <c r="CQ674" s="408">
        <v>31</v>
      </c>
      <c r="CR674" s="408">
        <v>183.55710311432767</v>
      </c>
      <c r="CS674" s="408">
        <v>4.4341729067716429</v>
      </c>
      <c r="CT674" s="408">
        <v>14.521316717996967</v>
      </c>
      <c r="CU674" s="408">
        <v>0</v>
      </c>
      <c r="CV674" s="408">
        <v>0</v>
      </c>
      <c r="CW674" s="408">
        <v>0</v>
      </c>
      <c r="CX674" s="408">
        <v>0</v>
      </c>
      <c r="CY674" s="408">
        <v>0</v>
      </c>
      <c r="CZ674" s="408">
        <v>-5.1989712950940543</v>
      </c>
      <c r="DA674" s="408">
        <v>0</v>
      </c>
      <c r="DB674" s="408">
        <v>0</v>
      </c>
      <c r="DC674" s="408">
        <v>162.68771624038891</v>
      </c>
      <c r="DD674" s="408">
        <v>4.8584146485135449</v>
      </c>
      <c r="DE674" s="408">
        <v>0.56089982466280031</v>
      </c>
      <c r="DF674" s="408">
        <v>0</v>
      </c>
      <c r="DG674" s="408">
        <v>18.782157990969722</v>
      </c>
      <c r="DH674" s="408">
        <v>0</v>
      </c>
      <c r="DI674" s="408">
        <v>-14.075386708916767</v>
      </c>
      <c r="DJ674" s="408"/>
      <c r="DK674" s="408">
        <v>0</v>
      </c>
      <c r="DL674" s="408">
        <v>0</v>
      </c>
      <c r="DM674" s="408">
        <v>-0.70870274105095632</v>
      </c>
      <c r="DN674" s="408">
        <v>0</v>
      </c>
      <c r="DO674" s="408">
        <v>-1.9279699688320875</v>
      </c>
      <c r="DP674" s="408">
        <v>-0.37654450108183823</v>
      </c>
      <c r="DQ674" s="408">
        <v>0</v>
      </c>
      <c r="DR674" s="408">
        <v>0</v>
      </c>
      <c r="DS674" s="408"/>
      <c r="DT674" s="408"/>
      <c r="DU674" s="408"/>
      <c r="DV674" s="408">
        <v>2863.8380027329213</v>
      </c>
      <c r="DW674" s="408">
        <v>0</v>
      </c>
      <c r="DX674" s="408">
        <v>0</v>
      </c>
      <c r="DY674" s="408">
        <v>-1499.5116400000006</v>
      </c>
      <c r="DZ674" s="408">
        <v>166.89244000000008</v>
      </c>
      <c r="EA674" s="408">
        <v>0</v>
      </c>
      <c r="EB674" s="408">
        <v>0</v>
      </c>
      <c r="EC674" s="408">
        <v>-1516.2503947182504</v>
      </c>
      <c r="ED674" s="408">
        <v>0</v>
      </c>
      <c r="EE674" s="408">
        <v>0</v>
      </c>
      <c r="EF674" s="408">
        <v>0</v>
      </c>
      <c r="EG674" s="408">
        <v>0</v>
      </c>
      <c r="EH674" s="408">
        <v>0</v>
      </c>
      <c r="EI674" s="408">
        <v>0</v>
      </c>
      <c r="EJ674" s="408">
        <v>0</v>
      </c>
      <c r="EK674" s="408">
        <v>0</v>
      </c>
      <c r="EL674" s="408">
        <v>0</v>
      </c>
      <c r="EM674" s="408">
        <v>0</v>
      </c>
      <c r="EN674" s="408">
        <v>0</v>
      </c>
      <c r="EO674" s="408">
        <v>0</v>
      </c>
      <c r="EP674" s="408">
        <v>0</v>
      </c>
      <c r="EQ674" s="408">
        <v>0</v>
      </c>
      <c r="ER674" s="408">
        <v>0</v>
      </c>
      <c r="ES674" s="408">
        <v>0</v>
      </c>
      <c r="ET674" s="408">
        <v>0</v>
      </c>
      <c r="EU674" s="408">
        <v>0</v>
      </c>
      <c r="EV674" s="408">
        <v>239</v>
      </c>
      <c r="EW674" s="408">
        <v>0</v>
      </c>
      <c r="EX674" s="408">
        <v>0</v>
      </c>
      <c r="EY674" s="408">
        <v>0</v>
      </c>
      <c r="EZ674" s="408"/>
      <c r="FA674" s="408">
        <v>0</v>
      </c>
      <c r="FB674" s="408"/>
      <c r="FC674" s="408"/>
      <c r="FD674" s="408"/>
      <c r="FE674" s="408"/>
      <c r="FF674" s="408">
        <v>0</v>
      </c>
      <c r="FG674" s="408">
        <v>0</v>
      </c>
      <c r="FH674" s="408">
        <v>0</v>
      </c>
      <c r="FI674" s="408">
        <v>0</v>
      </c>
    </row>
    <row r="675" spans="1:165">
      <c r="A675" s="408">
        <v>680</v>
      </c>
      <c r="B675" s="408" t="s">
        <v>1034</v>
      </c>
      <c r="C675" s="408" t="s">
        <v>2245</v>
      </c>
      <c r="D675" s="408" t="s">
        <v>596</v>
      </c>
      <c r="E675" s="408" t="s">
        <v>999</v>
      </c>
      <c r="F675" s="408" t="s">
        <v>2249</v>
      </c>
      <c r="G675" s="408" t="s">
        <v>1320</v>
      </c>
      <c r="H675" s="408" t="s">
        <v>1320</v>
      </c>
      <c r="I675" s="408" t="s">
        <v>971</v>
      </c>
      <c r="J675" s="408" t="s">
        <v>2234</v>
      </c>
      <c r="K675" s="827">
        <v>44682</v>
      </c>
      <c r="L675" s="408">
        <v>100</v>
      </c>
      <c r="M675" s="408">
        <v>94</v>
      </c>
      <c r="N675" s="408">
        <v>4.0090000000000003</v>
      </c>
      <c r="O675" s="408">
        <v>3.7684600000000001</v>
      </c>
      <c r="P675" s="408">
        <v>4.0090000000000003</v>
      </c>
      <c r="Q675" s="408">
        <v>3.7684600000000001</v>
      </c>
      <c r="R675" s="408">
        <v>67.099999999999994</v>
      </c>
      <c r="S675" s="408">
        <v>70.33</v>
      </c>
      <c r="T675" s="408">
        <v>173.82</v>
      </c>
      <c r="U675" s="408">
        <v>6709.9999999999991</v>
      </c>
      <c r="V675" s="408">
        <v>978.79735000000005</v>
      </c>
      <c r="W675" s="408">
        <v>7688.7973499999989</v>
      </c>
      <c r="X675" s="408">
        <v>5263.6989699999995</v>
      </c>
      <c r="Y675" s="408">
        <v>0</v>
      </c>
      <c r="Z675" s="408">
        <v>213.27890627650814</v>
      </c>
      <c r="AA675" s="408">
        <v>0</v>
      </c>
      <c r="AB675" s="408">
        <v>0</v>
      </c>
      <c r="AC675" s="408">
        <v>74.841808613404609</v>
      </c>
      <c r="AD675" s="408">
        <v>1141.7233140635399</v>
      </c>
      <c r="AE675" s="408">
        <v>4816.1797752450702</v>
      </c>
      <c r="AF675" s="408">
        <v>645.13684138562894</v>
      </c>
      <c r="AG675" s="408">
        <v>32.45632435679552</v>
      </c>
      <c r="AH675" s="408">
        <v>0</v>
      </c>
      <c r="AI675" s="408">
        <v>0</v>
      </c>
      <c r="AJ675" s="408">
        <v>0</v>
      </c>
      <c r="AK675" s="408">
        <v>0</v>
      </c>
      <c r="AL675" s="408">
        <v>37.891050100395532</v>
      </c>
      <c r="AM675" s="408"/>
      <c r="AN675" s="408">
        <v>4.9821072387061491</v>
      </c>
      <c r="AO675" s="408">
        <v>160.73003041081299</v>
      </c>
      <c r="AP675" s="408">
        <v>516.82971687782799</v>
      </c>
      <c r="AQ675" s="408">
        <v>0</v>
      </c>
      <c r="AR675" s="408">
        <v>0</v>
      </c>
      <c r="AS675" s="408">
        <v>0</v>
      </c>
      <c r="AT675" s="408">
        <v>0</v>
      </c>
      <c r="AU675" s="408">
        <v>0</v>
      </c>
      <c r="AV675" s="408">
        <v>0</v>
      </c>
      <c r="AW675" s="408">
        <v>0</v>
      </c>
      <c r="AX675" s="408">
        <v>0</v>
      </c>
      <c r="AY675" s="408">
        <v>0</v>
      </c>
      <c r="AZ675" s="408">
        <v>0</v>
      </c>
      <c r="BA675" s="408"/>
      <c r="BB675" s="408">
        <v>0</v>
      </c>
      <c r="BC675" s="408">
        <v>0</v>
      </c>
      <c r="BD675" s="408">
        <v>0</v>
      </c>
      <c r="BE675" s="408">
        <v>0.74805384140765119</v>
      </c>
      <c r="BF675" s="408">
        <v>19.266004544882072</v>
      </c>
      <c r="BG675" s="408">
        <v>25.049152838506881</v>
      </c>
      <c r="BH675" s="408">
        <v>0</v>
      </c>
      <c r="BI675" s="408">
        <v>0</v>
      </c>
      <c r="BJ675" s="408">
        <v>0</v>
      </c>
      <c r="BK675" s="408">
        <v>0</v>
      </c>
      <c r="BL675" s="408">
        <v>0</v>
      </c>
      <c r="BM675" s="408"/>
      <c r="BN675" s="408"/>
      <c r="BO675" s="408"/>
      <c r="BP675" s="408"/>
      <c r="BQ675" s="408">
        <v>315.82193820000009</v>
      </c>
      <c r="BR675" s="408"/>
      <c r="BS675" s="408"/>
      <c r="BT675" s="408"/>
      <c r="BU675" s="408"/>
      <c r="BV675" s="408">
        <v>690.20005261042559</v>
      </c>
      <c r="BW675" s="408"/>
      <c r="BX675" s="408"/>
      <c r="BY675" s="408"/>
      <c r="BZ675" s="408"/>
      <c r="CA675" s="408"/>
      <c r="CB675" s="408"/>
      <c r="CC675" s="408"/>
      <c r="CD675" s="408"/>
      <c r="CE675" s="408"/>
      <c r="CF675" s="408"/>
      <c r="CG675" s="408"/>
      <c r="CH675" s="408"/>
      <c r="CI675" s="408">
        <v>4948.2840999999989</v>
      </c>
      <c r="CJ675" s="408">
        <v>-2279.2154090000013</v>
      </c>
      <c r="CK675" s="408"/>
      <c r="CL675" s="408"/>
      <c r="CM675" s="408"/>
      <c r="CN675" s="408"/>
      <c r="CO675" s="408">
        <v>-2510.0490899999995</v>
      </c>
      <c r="CP675" s="408">
        <v>84.950710000000001</v>
      </c>
      <c r="CQ675" s="408">
        <v>31</v>
      </c>
      <c r="CR675" s="408">
        <v>124.76112806588435</v>
      </c>
      <c r="CS675" s="408">
        <v>15.60587050589902</v>
      </c>
      <c r="CT675" s="408">
        <v>50.180900324482081</v>
      </c>
      <c r="CU675" s="408">
        <v>0</v>
      </c>
      <c r="CV675" s="408">
        <v>0</v>
      </c>
      <c r="CW675" s="408">
        <v>0</v>
      </c>
      <c r="CX675" s="408">
        <v>0</v>
      </c>
      <c r="CY675" s="408">
        <v>0</v>
      </c>
      <c r="CZ675" s="408">
        <v>-21.891640251209992</v>
      </c>
      <c r="DA675" s="408">
        <v>0</v>
      </c>
      <c r="DB675" s="408">
        <v>0</v>
      </c>
      <c r="DC675" s="408">
        <v>82.810443677973581</v>
      </c>
      <c r="DD675" s="408">
        <v>2.47300461222585</v>
      </c>
      <c r="DE675" s="408">
        <v>9.6020978074866536E-2</v>
      </c>
      <c r="DF675" s="408">
        <v>0</v>
      </c>
      <c r="DG675" s="408">
        <v>3.215335611370115</v>
      </c>
      <c r="DH675" s="408">
        <v>0</v>
      </c>
      <c r="DI675" s="408">
        <v>-6.2331838528392893</v>
      </c>
      <c r="DJ675" s="408"/>
      <c r="DK675" s="408">
        <v>0</v>
      </c>
      <c r="DL675" s="408">
        <v>0</v>
      </c>
      <c r="DM675" s="408">
        <v>-0.36074013317334419</v>
      </c>
      <c r="DN675" s="408">
        <v>0</v>
      </c>
      <c r="DO675" s="408">
        <v>-0.98136510983339775</v>
      </c>
      <c r="DP675" s="408">
        <v>-0.15351829708532705</v>
      </c>
      <c r="DQ675" s="408">
        <v>0</v>
      </c>
      <c r="DR675" s="408">
        <v>0</v>
      </c>
      <c r="DS675" s="408"/>
      <c r="DT675" s="408"/>
      <c r="DU675" s="408">
        <v>4816.1797752450702</v>
      </c>
      <c r="DV675" s="408">
        <v>0</v>
      </c>
      <c r="DW675" s="408">
        <v>0</v>
      </c>
      <c r="DX675" s="408">
        <v>0</v>
      </c>
      <c r="DY675" s="408">
        <v>-2510.0490899999995</v>
      </c>
      <c r="DZ675" s="408">
        <v>84.950710000000072</v>
      </c>
      <c r="EA675" s="408">
        <v>0</v>
      </c>
      <c r="EB675" s="408">
        <v>0</v>
      </c>
      <c r="EC675" s="408">
        <v>-2549.9118589391901</v>
      </c>
      <c r="ED675" s="408">
        <v>0</v>
      </c>
      <c r="EE675" s="408">
        <v>0</v>
      </c>
      <c r="EF675" s="408">
        <v>0</v>
      </c>
      <c r="EG675" s="408">
        <v>0</v>
      </c>
      <c r="EH675" s="408">
        <v>0</v>
      </c>
      <c r="EI675" s="408">
        <v>0</v>
      </c>
      <c r="EJ675" s="408">
        <v>0</v>
      </c>
      <c r="EK675" s="408">
        <v>0</v>
      </c>
      <c r="EL675" s="408">
        <v>0</v>
      </c>
      <c r="EM675" s="408">
        <v>0</v>
      </c>
      <c r="EN675" s="408">
        <v>0</v>
      </c>
      <c r="EO675" s="408">
        <v>0</v>
      </c>
      <c r="EP675" s="408">
        <v>0</v>
      </c>
      <c r="EQ675" s="408">
        <v>0</v>
      </c>
      <c r="ER675" s="408">
        <v>0</v>
      </c>
      <c r="ES675" s="408">
        <v>0</v>
      </c>
      <c r="ET675" s="408">
        <v>0</v>
      </c>
      <c r="EU675" s="408">
        <v>0</v>
      </c>
      <c r="EV675" s="408">
        <v>239</v>
      </c>
      <c r="EW675" s="408">
        <v>0</v>
      </c>
      <c r="EX675" s="408">
        <v>0</v>
      </c>
      <c r="EY675" s="408">
        <v>0</v>
      </c>
      <c r="EZ675" s="408"/>
      <c r="FA675" s="408">
        <v>0</v>
      </c>
      <c r="FB675" s="408"/>
      <c r="FC675" s="408"/>
      <c r="FD675" s="408"/>
      <c r="FE675" s="408"/>
      <c r="FF675" s="408">
        <v>0</v>
      </c>
      <c r="FG675" s="408">
        <v>0</v>
      </c>
      <c r="FH675" s="408">
        <v>0</v>
      </c>
      <c r="FI675" s="408">
        <v>0</v>
      </c>
    </row>
    <row r="676" spans="1:165">
      <c r="A676" s="408">
        <v>681</v>
      </c>
      <c r="B676" s="408" t="s">
        <v>1034</v>
      </c>
      <c r="C676" s="408" t="s">
        <v>2245</v>
      </c>
      <c r="D676" s="408" t="s">
        <v>596</v>
      </c>
      <c r="E676" s="408" t="s">
        <v>999</v>
      </c>
      <c r="F676" s="408" t="s">
        <v>2249</v>
      </c>
      <c r="G676" s="408" t="s">
        <v>1320</v>
      </c>
      <c r="H676" s="408" t="s">
        <v>1320</v>
      </c>
      <c r="I676" s="408" t="s">
        <v>2242</v>
      </c>
      <c r="J676" s="408" t="s">
        <v>2234</v>
      </c>
      <c r="K676" s="827">
        <v>44682</v>
      </c>
      <c r="L676" s="408">
        <v>100</v>
      </c>
      <c r="M676" s="408">
        <v>94</v>
      </c>
      <c r="N676" s="408">
        <v>32.648000000000003</v>
      </c>
      <c r="O676" s="408">
        <v>30.689119999999999</v>
      </c>
      <c r="P676" s="408">
        <v>32.648000000000003</v>
      </c>
      <c r="Q676" s="408">
        <v>30.689119999999999</v>
      </c>
      <c r="R676" s="408">
        <v>59.12</v>
      </c>
      <c r="S676" s="408">
        <v>70.33</v>
      </c>
      <c r="T676" s="408">
        <v>173.82</v>
      </c>
      <c r="U676" s="408">
        <v>5912</v>
      </c>
      <c r="V676" s="408">
        <v>7971.0092000000004</v>
      </c>
      <c r="W676" s="408">
        <v>13883.0092</v>
      </c>
      <c r="X676" s="408">
        <v>12032.84584</v>
      </c>
      <c r="Y676" s="408">
        <v>0</v>
      </c>
      <c r="Z676" s="408">
        <v>1736.8744654815262</v>
      </c>
      <c r="AA676" s="408">
        <v>0</v>
      </c>
      <c r="AB676" s="408">
        <v>0</v>
      </c>
      <c r="AC676" s="408">
        <v>57.206036333368203</v>
      </c>
      <c r="AD676" s="408">
        <v>511.70226507154302</v>
      </c>
      <c r="AE676" s="408">
        <v>4816.1797752450702</v>
      </c>
      <c r="AF676" s="408">
        <v>5253.7858811569004</v>
      </c>
      <c r="AG676" s="408">
        <v>264.31381332019458</v>
      </c>
      <c r="AH676" s="408">
        <v>0</v>
      </c>
      <c r="AI676" s="408">
        <v>0</v>
      </c>
      <c r="AJ676" s="408">
        <v>0</v>
      </c>
      <c r="AK676" s="408">
        <v>0</v>
      </c>
      <c r="AL676" s="408">
        <v>308.57246287795294</v>
      </c>
      <c r="AM676" s="408"/>
      <c r="AN676" s="408">
        <v>40.572670773080162</v>
      </c>
      <c r="AO676" s="408">
        <v>120.807211569006</v>
      </c>
      <c r="AP676" s="408">
        <v>406.098786401994</v>
      </c>
      <c r="AQ676" s="408">
        <v>0</v>
      </c>
      <c r="AR676" s="408">
        <v>0</v>
      </c>
      <c r="AS676" s="408">
        <v>0</v>
      </c>
      <c r="AT676" s="408">
        <v>0</v>
      </c>
      <c r="AU676" s="408">
        <v>0</v>
      </c>
      <c r="AV676" s="408">
        <v>0</v>
      </c>
      <c r="AW676" s="408">
        <v>0</v>
      </c>
      <c r="AX676" s="408">
        <v>0</v>
      </c>
      <c r="AY676" s="408">
        <v>0</v>
      </c>
      <c r="AZ676" s="408">
        <v>0</v>
      </c>
      <c r="BA676" s="408"/>
      <c r="BB676" s="408">
        <v>0</v>
      </c>
      <c r="BC676" s="408">
        <v>0</v>
      </c>
      <c r="BD676" s="408">
        <v>0</v>
      </c>
      <c r="BE676" s="408">
        <v>6.0919086590863047</v>
      </c>
      <c r="BF676" s="408">
        <v>156.89611284143425</v>
      </c>
      <c r="BG676" s="408">
        <v>203.99220301111816</v>
      </c>
      <c r="BH676" s="408">
        <v>0</v>
      </c>
      <c r="BI676" s="408">
        <v>0</v>
      </c>
      <c r="BJ676" s="408">
        <v>0</v>
      </c>
      <c r="BK676" s="408">
        <v>0</v>
      </c>
      <c r="BL676" s="408">
        <v>0</v>
      </c>
      <c r="BM676" s="408"/>
      <c r="BN676" s="408"/>
      <c r="BO676" s="408"/>
      <c r="BP676" s="408"/>
      <c r="BQ676" s="408">
        <v>721.97075040000118</v>
      </c>
      <c r="BR676" s="408"/>
      <c r="BS676" s="408"/>
      <c r="BT676" s="408"/>
      <c r="BU676" s="408"/>
      <c r="BV676" s="408">
        <v>5620.7661056685392</v>
      </c>
      <c r="BW676" s="408"/>
      <c r="BX676" s="408"/>
      <c r="BY676" s="408"/>
      <c r="BZ676" s="408"/>
      <c r="CA676" s="408"/>
      <c r="CB676" s="408"/>
      <c r="CC676" s="408"/>
      <c r="CD676" s="408"/>
      <c r="CE676" s="408"/>
      <c r="CF676" s="408"/>
      <c r="CG676" s="408"/>
      <c r="CH676" s="408"/>
      <c r="CI676" s="408">
        <v>11311.1077</v>
      </c>
      <c r="CJ676" s="408">
        <v>-1738.9509479999997</v>
      </c>
      <c r="CK676" s="408"/>
      <c r="CL676" s="408"/>
      <c r="CM676" s="408"/>
      <c r="CN676" s="408"/>
      <c r="CO676" s="408">
        <v>-2541.9744799999999</v>
      </c>
      <c r="CP676" s="408">
        <v>691.81111999999996</v>
      </c>
      <c r="CQ676" s="408">
        <v>31</v>
      </c>
      <c r="CR676" s="408">
        <v>699.89429968544209</v>
      </c>
      <c r="CS676" s="408">
        <v>11.729617017467007</v>
      </c>
      <c r="CT676" s="408">
        <v>39.429626542059964</v>
      </c>
      <c r="CU676" s="408">
        <v>0</v>
      </c>
      <c r="CV676" s="408">
        <v>0</v>
      </c>
      <c r="CW676" s="408">
        <v>0</v>
      </c>
      <c r="CX676" s="408">
        <v>0</v>
      </c>
      <c r="CY676" s="408">
        <v>0</v>
      </c>
      <c r="CZ676" s="408">
        <v>-9.8114856416560201</v>
      </c>
      <c r="DA676" s="408">
        <v>0</v>
      </c>
      <c r="DB676" s="408">
        <v>0</v>
      </c>
      <c r="DC676" s="408">
        <v>674.38148296295367</v>
      </c>
      <c r="DD676" s="408">
        <v>20.139350107246088</v>
      </c>
      <c r="DE676" s="408">
        <v>0.78196380448696523</v>
      </c>
      <c r="DF676" s="408">
        <v>0</v>
      </c>
      <c r="DG676" s="408">
        <v>26.184653788977641</v>
      </c>
      <c r="DH676" s="408">
        <v>0</v>
      </c>
      <c r="DI676" s="408">
        <v>-50.76103427974499</v>
      </c>
      <c r="DJ676" s="408"/>
      <c r="DK676" s="408">
        <v>0</v>
      </c>
      <c r="DL676" s="408">
        <v>0</v>
      </c>
      <c r="DM676" s="408">
        <v>-2.9377510271497158</v>
      </c>
      <c r="DN676" s="408">
        <v>0</v>
      </c>
      <c r="DO676" s="408">
        <v>-7.9919202059967347</v>
      </c>
      <c r="DP676" s="408">
        <v>-1.2502033831982402</v>
      </c>
      <c r="DQ676" s="408">
        <v>0</v>
      </c>
      <c r="DR676" s="408">
        <v>0</v>
      </c>
      <c r="DS676" s="408"/>
      <c r="DT676" s="408"/>
      <c r="DU676" s="408">
        <v>4816.1797752450702</v>
      </c>
      <c r="DV676" s="408">
        <v>0</v>
      </c>
      <c r="DW676" s="408">
        <v>0</v>
      </c>
      <c r="DX676" s="408">
        <v>0</v>
      </c>
      <c r="DY676" s="408">
        <v>-2541.9744800000008</v>
      </c>
      <c r="DZ676" s="408">
        <v>691.8111200000003</v>
      </c>
      <c r="EA676" s="408">
        <v>0</v>
      </c>
      <c r="EB676" s="408">
        <v>0</v>
      </c>
      <c r="EC676" s="408">
        <v>-2549.9118589391901</v>
      </c>
      <c r="ED676" s="408">
        <v>0</v>
      </c>
      <c r="EE676" s="408">
        <v>0</v>
      </c>
      <c r="EF676" s="408">
        <v>0</v>
      </c>
      <c r="EG676" s="408">
        <v>0</v>
      </c>
      <c r="EH676" s="408">
        <v>0</v>
      </c>
      <c r="EI676" s="408">
        <v>0</v>
      </c>
      <c r="EJ676" s="408">
        <v>0</v>
      </c>
      <c r="EK676" s="408">
        <v>0</v>
      </c>
      <c r="EL676" s="408">
        <v>0</v>
      </c>
      <c r="EM676" s="408">
        <v>0</v>
      </c>
      <c r="EN676" s="408">
        <v>0</v>
      </c>
      <c r="EO676" s="408">
        <v>0</v>
      </c>
      <c r="EP676" s="408">
        <v>0</v>
      </c>
      <c r="EQ676" s="408">
        <v>0</v>
      </c>
      <c r="ER676" s="408">
        <v>0</v>
      </c>
      <c r="ES676" s="408">
        <v>0</v>
      </c>
      <c r="ET676" s="408">
        <v>0</v>
      </c>
      <c r="EU676" s="408">
        <v>0</v>
      </c>
      <c r="EV676" s="408">
        <v>239</v>
      </c>
      <c r="EW676" s="408">
        <v>0</v>
      </c>
      <c r="EX676" s="408">
        <v>0</v>
      </c>
      <c r="EY676" s="408">
        <v>0</v>
      </c>
      <c r="EZ676" s="408"/>
      <c r="FA676" s="408">
        <v>0</v>
      </c>
      <c r="FB676" s="408"/>
      <c r="FC676" s="408"/>
      <c r="FD676" s="408"/>
      <c r="FE676" s="408"/>
      <c r="FF676" s="408">
        <v>0</v>
      </c>
      <c r="FG676" s="408">
        <v>0</v>
      </c>
      <c r="FH676" s="408">
        <v>0</v>
      </c>
      <c r="FI676" s="408">
        <v>0</v>
      </c>
    </row>
    <row r="677" spans="1:165">
      <c r="A677" s="408">
        <v>682</v>
      </c>
      <c r="B677" s="408" t="s">
        <v>1034</v>
      </c>
      <c r="C677" s="408" t="s">
        <v>2245</v>
      </c>
      <c r="D677" s="408" t="s">
        <v>596</v>
      </c>
      <c r="E677" s="408" t="s">
        <v>999</v>
      </c>
      <c r="F677" s="408" t="s">
        <v>2249</v>
      </c>
      <c r="G677" s="408" t="s">
        <v>1320</v>
      </c>
      <c r="H677" s="408" t="s">
        <v>1320</v>
      </c>
      <c r="I677" s="408" t="s">
        <v>1320</v>
      </c>
      <c r="J677" s="408" t="s">
        <v>2234</v>
      </c>
      <c r="K677" s="827">
        <v>44682</v>
      </c>
      <c r="L677" s="408">
        <v>0</v>
      </c>
      <c r="M677" s="408">
        <v>0</v>
      </c>
      <c r="N677" s="408">
        <v>0</v>
      </c>
      <c r="O677" s="408">
        <v>0</v>
      </c>
      <c r="P677" s="408">
        <v>0</v>
      </c>
      <c r="Q677" s="408">
        <v>0</v>
      </c>
      <c r="R677" s="408"/>
      <c r="S677" s="408"/>
      <c r="T677" s="408"/>
      <c r="U677" s="408"/>
      <c r="V677" s="408"/>
      <c r="W677" s="408"/>
      <c r="X677" s="408"/>
      <c r="Y677" s="408"/>
      <c r="Z677" s="408"/>
      <c r="AA677" s="408">
        <v>0</v>
      </c>
      <c r="AB677" s="408"/>
      <c r="AC677" s="408"/>
      <c r="AD677" s="408"/>
      <c r="AE677" s="408"/>
      <c r="AF677" s="408"/>
      <c r="AG677" s="408"/>
      <c r="AH677" s="408"/>
      <c r="AI677" s="408"/>
      <c r="AJ677" s="408"/>
      <c r="AK677" s="408"/>
      <c r="AL677" s="408"/>
      <c r="AM677" s="408"/>
      <c r="AN677" s="408"/>
      <c r="AO677" s="408"/>
      <c r="AP677" s="408"/>
      <c r="AQ677" s="408"/>
      <c r="AR677" s="408"/>
      <c r="AS677" s="408"/>
      <c r="AT677" s="408"/>
      <c r="AU677" s="408"/>
      <c r="AV677" s="408"/>
      <c r="AW677" s="408"/>
      <c r="AX677" s="408"/>
      <c r="AY677" s="408"/>
      <c r="AZ677" s="408">
        <v>0</v>
      </c>
      <c r="BA677" s="408"/>
      <c r="BB677" s="408"/>
      <c r="BC677" s="408"/>
      <c r="BD677" s="408"/>
      <c r="BE677" s="408"/>
      <c r="BF677" s="408"/>
      <c r="BG677" s="408"/>
      <c r="BH677" s="408"/>
      <c r="BI677" s="408">
        <v>130.07</v>
      </c>
      <c r="BJ677" s="408">
        <v>599.74</v>
      </c>
      <c r="BK677" s="408">
        <v>5809.18</v>
      </c>
      <c r="BL677" s="408">
        <v>1</v>
      </c>
      <c r="BM677" s="408"/>
      <c r="BN677" s="408"/>
      <c r="BO677" s="408"/>
      <c r="BP677" s="408"/>
      <c r="BQ677" s="408"/>
      <c r="BR677" s="408"/>
      <c r="BS677" s="408"/>
      <c r="BT677" s="408"/>
      <c r="BU677" s="408"/>
      <c r="BV677" s="408"/>
      <c r="BW677" s="408"/>
      <c r="BX677" s="408"/>
      <c r="BY677" s="408"/>
      <c r="BZ677" s="408"/>
      <c r="CA677" s="408"/>
      <c r="CB677" s="408"/>
      <c r="CC677" s="408"/>
      <c r="CD677" s="408"/>
      <c r="CE677" s="408"/>
      <c r="CF677" s="408"/>
      <c r="CG677" s="408"/>
      <c r="CH677" s="408"/>
      <c r="CI677" s="408"/>
      <c r="CJ677" s="408">
        <v>-0.03</v>
      </c>
      <c r="CK677" s="408"/>
      <c r="CL677" s="408"/>
      <c r="CM677" s="408"/>
      <c r="CN677" s="408"/>
      <c r="CO677" s="408">
        <v>0</v>
      </c>
      <c r="CP677" s="408">
        <v>0</v>
      </c>
      <c r="CQ677" s="408">
        <v>31</v>
      </c>
      <c r="CR677" s="408"/>
      <c r="CS677" s="408"/>
      <c r="CT677" s="408"/>
      <c r="CU677" s="408"/>
      <c r="CV677" s="408"/>
      <c r="CW677" s="408"/>
      <c r="CX677" s="408"/>
      <c r="CY677" s="408"/>
      <c r="CZ677" s="408"/>
      <c r="DA677" s="408"/>
      <c r="DB677" s="408"/>
      <c r="DC677" s="408"/>
      <c r="DD677" s="408"/>
      <c r="DE677" s="408"/>
      <c r="DF677" s="408"/>
      <c r="DG677" s="408"/>
      <c r="DH677" s="408"/>
      <c r="DI677" s="408"/>
      <c r="DJ677" s="408"/>
      <c r="DK677" s="408">
        <v>0</v>
      </c>
      <c r="DL677" s="408"/>
      <c r="DM677" s="408"/>
      <c r="DN677" s="408"/>
      <c r="DO677" s="408"/>
      <c r="DP677" s="408"/>
      <c r="DQ677" s="408"/>
      <c r="DR677" s="408"/>
      <c r="DS677" s="408"/>
      <c r="DT677" s="408"/>
      <c r="DU677" s="408"/>
      <c r="DV677" s="408"/>
      <c r="DW677" s="408"/>
      <c r="DX677" s="408"/>
      <c r="DY677" s="408"/>
      <c r="DZ677" s="408"/>
      <c r="EA677" s="408"/>
      <c r="EB677" s="408"/>
      <c r="EC677" s="408"/>
      <c r="ED677" s="408"/>
      <c r="EE677" s="408"/>
      <c r="EF677" s="408"/>
      <c r="EG677" s="408"/>
      <c r="EH677" s="408"/>
      <c r="EI677" s="408"/>
      <c r="EJ677" s="408"/>
      <c r="EK677" s="408"/>
      <c r="EL677" s="408"/>
      <c r="EM677" s="408"/>
      <c r="EN677" s="408"/>
      <c r="EO677" s="408"/>
      <c r="EP677" s="408"/>
      <c r="EQ677" s="408"/>
      <c r="ER677" s="408"/>
      <c r="ES677" s="408"/>
      <c r="ET677" s="408"/>
      <c r="EU677" s="408"/>
      <c r="EV677" s="408">
        <v>239</v>
      </c>
      <c r="EW677" s="408"/>
      <c r="EX677" s="408"/>
      <c r="EY677" s="408"/>
      <c r="EZ677" s="408"/>
      <c r="FA677" s="408">
        <v>0</v>
      </c>
      <c r="FB677" s="408"/>
      <c r="FC677" s="408"/>
      <c r="FD677" s="408"/>
      <c r="FE677" s="408"/>
      <c r="FF677" s="408">
        <v>0</v>
      </c>
      <c r="FG677" s="408">
        <v>0</v>
      </c>
      <c r="FH677" s="408">
        <v>0</v>
      </c>
      <c r="FI677" s="408">
        <v>0</v>
      </c>
    </row>
    <row r="678" spans="1:165">
      <c r="A678" s="408">
        <v>683</v>
      </c>
      <c r="B678" s="408" t="s">
        <v>1034</v>
      </c>
      <c r="C678" s="408" t="s">
        <v>2233</v>
      </c>
      <c r="D678" s="408" t="s">
        <v>1956</v>
      </c>
      <c r="E678" s="408" t="s">
        <v>2250</v>
      </c>
      <c r="F678" s="408" t="s">
        <v>1320</v>
      </c>
      <c r="G678" s="408" t="s">
        <v>1320</v>
      </c>
      <c r="H678" s="408" t="s">
        <v>1320</v>
      </c>
      <c r="I678" s="408" t="s">
        <v>1320</v>
      </c>
      <c r="J678" s="408" t="s">
        <v>2234</v>
      </c>
      <c r="K678" s="827">
        <v>44682</v>
      </c>
      <c r="L678" s="408">
        <v>0</v>
      </c>
      <c r="M678" s="408">
        <v>0</v>
      </c>
      <c r="N678" s="408">
        <v>1.1719999999999999</v>
      </c>
      <c r="O678" s="408">
        <v>1.1719999999999999</v>
      </c>
      <c r="P678" s="408">
        <v>1.1719999999999999</v>
      </c>
      <c r="Q678" s="408">
        <v>1.1719999999999999</v>
      </c>
      <c r="R678" s="408"/>
      <c r="S678" s="408">
        <v>516.83000000000004</v>
      </c>
      <c r="T678" s="408">
        <v>173.82</v>
      </c>
      <c r="U678" s="408"/>
      <c r="V678" s="408">
        <v>809.44180000000006</v>
      </c>
      <c r="W678" s="408">
        <v>809.44180000000006</v>
      </c>
      <c r="X678" s="408">
        <v>611.13940000000002</v>
      </c>
      <c r="Y678" s="408">
        <v>0</v>
      </c>
      <c r="Z678" s="408">
        <v>71.667162148403776</v>
      </c>
      <c r="AA678" s="408">
        <v>0</v>
      </c>
      <c r="AB678" s="408">
        <v>0</v>
      </c>
      <c r="AC678" s="408">
        <v>3.1860164540140996</v>
      </c>
      <c r="AD678" s="408">
        <v>40.347988703861347</v>
      </c>
      <c r="AE678" s="408">
        <v>426.1577119353712</v>
      </c>
      <c r="AF678" s="408">
        <v>188.60074285456648</v>
      </c>
      <c r="AG678" s="408">
        <v>9.4883542395022058</v>
      </c>
      <c r="AH678" s="408">
        <v>0</v>
      </c>
      <c r="AI678" s="408">
        <v>0</v>
      </c>
      <c r="AJ678" s="408">
        <v>0</v>
      </c>
      <c r="AK678" s="408">
        <v>0</v>
      </c>
      <c r="AL678" s="408">
        <v>11.077154082729749</v>
      </c>
      <c r="AM678" s="408"/>
      <c r="AN678" s="408">
        <v>1.8184071945238365</v>
      </c>
      <c r="AO678" s="408">
        <v>6.7958464291467351</v>
      </c>
      <c r="AP678" s="408">
        <v>22.255478178085628</v>
      </c>
      <c r="AQ678" s="408">
        <v>0</v>
      </c>
      <c r="AR678" s="408">
        <v>0</v>
      </c>
      <c r="AS678" s="408">
        <v>0</v>
      </c>
      <c r="AT678" s="408">
        <v>0</v>
      </c>
      <c r="AU678" s="408">
        <v>0</v>
      </c>
      <c r="AV678" s="408">
        <v>0</v>
      </c>
      <c r="AW678" s="408">
        <v>0</v>
      </c>
      <c r="AX678" s="408">
        <v>0</v>
      </c>
      <c r="AY678" s="408">
        <v>0</v>
      </c>
      <c r="AZ678" s="408">
        <v>0</v>
      </c>
      <c r="BA678" s="408"/>
      <c r="BB678" s="408">
        <v>0</v>
      </c>
      <c r="BC678" s="408">
        <v>0</v>
      </c>
      <c r="BD678" s="408">
        <v>0</v>
      </c>
      <c r="BE678" s="408">
        <v>0.65024038718506827</v>
      </c>
      <c r="BF678" s="408">
        <v>5.6322667315045605</v>
      </c>
      <c r="BG678" s="408">
        <v>21.773794797602761</v>
      </c>
      <c r="BH678" s="408">
        <v>0</v>
      </c>
      <c r="BI678" s="408">
        <v>4.76</v>
      </c>
      <c r="BJ678" s="408">
        <v>22.14</v>
      </c>
      <c r="BK678" s="408">
        <v>221.68</v>
      </c>
      <c r="BL678" s="408">
        <v>7</v>
      </c>
      <c r="BM678" s="408"/>
      <c r="BN678" s="408"/>
      <c r="BO678" s="408"/>
      <c r="BP678" s="408"/>
      <c r="BQ678" s="408"/>
      <c r="BR678" s="408"/>
      <c r="BS678" s="408"/>
      <c r="BT678" s="408"/>
      <c r="BU678" s="408"/>
      <c r="BV678" s="408">
        <v>216.65704477085887</v>
      </c>
      <c r="BW678" s="408"/>
      <c r="BX678" s="408"/>
      <c r="BY678" s="408"/>
      <c r="BZ678" s="408"/>
      <c r="CA678" s="408"/>
      <c r="CB678" s="408"/>
      <c r="CC678" s="408"/>
      <c r="CD678" s="408"/>
      <c r="CE678" s="408"/>
      <c r="CF678" s="408"/>
      <c r="CG678" s="408"/>
      <c r="CH678" s="408"/>
      <c r="CI678" s="408">
        <v>610.09649999999999</v>
      </c>
      <c r="CJ678" s="408">
        <v>-199.37530000000004</v>
      </c>
      <c r="CK678" s="408"/>
      <c r="CL678" s="408"/>
      <c r="CM678" s="408"/>
      <c r="CN678" s="408"/>
      <c r="CO678" s="408">
        <v>-223.13708000000003</v>
      </c>
      <c r="CP678" s="408">
        <v>24.834679999999995</v>
      </c>
      <c r="CQ678" s="408">
        <v>31</v>
      </c>
      <c r="CR678" s="408">
        <v>27.314490204417496</v>
      </c>
      <c r="CS678" s="408">
        <v>0.65983375402950273</v>
      </c>
      <c r="CT678" s="408">
        <v>2.1608663272590718</v>
      </c>
      <c r="CU678" s="408">
        <v>0</v>
      </c>
      <c r="CV678" s="408">
        <v>0</v>
      </c>
      <c r="CW678" s="408">
        <v>0</v>
      </c>
      <c r="CX678" s="408">
        <v>0</v>
      </c>
      <c r="CY678" s="408">
        <v>0</v>
      </c>
      <c r="CZ678" s="408">
        <v>-0.77364072598403055</v>
      </c>
      <c r="DA678" s="408">
        <v>0</v>
      </c>
      <c r="DB678" s="408">
        <v>0</v>
      </c>
      <c r="DC678" s="408">
        <v>24.208989770662242</v>
      </c>
      <c r="DD678" s="408">
        <v>0.72296368309521064</v>
      </c>
      <c r="DE678" s="408">
        <v>8.3465540185982956E-2</v>
      </c>
      <c r="DF678" s="408">
        <v>0</v>
      </c>
      <c r="DG678" s="408">
        <v>2.7949072073916312</v>
      </c>
      <c r="DH678" s="408">
        <v>0</v>
      </c>
      <c r="DI678" s="408">
        <v>-2.0945090430231659</v>
      </c>
      <c r="DJ678" s="408"/>
      <c r="DK678" s="408">
        <v>0</v>
      </c>
      <c r="DL678" s="408">
        <v>0</v>
      </c>
      <c r="DM678" s="408">
        <v>-0.10545957497609315</v>
      </c>
      <c r="DN678" s="408">
        <v>0</v>
      </c>
      <c r="DO678" s="408">
        <v>-0.28689446463575763</v>
      </c>
      <c r="DP678" s="408">
        <v>-5.6032269587088956E-2</v>
      </c>
      <c r="DQ678" s="408">
        <v>0</v>
      </c>
      <c r="DR678" s="408">
        <v>0</v>
      </c>
      <c r="DS678" s="408"/>
      <c r="DT678" s="408"/>
      <c r="DU678" s="408"/>
      <c r="DV678" s="408">
        <v>426.1577119353712</v>
      </c>
      <c r="DW678" s="408">
        <v>0</v>
      </c>
      <c r="DX678" s="408">
        <v>0</v>
      </c>
      <c r="DY678" s="408">
        <v>-223.13708000000008</v>
      </c>
      <c r="DZ678" s="408">
        <v>24.83468000000002</v>
      </c>
      <c r="EA678" s="408">
        <v>0</v>
      </c>
      <c r="EB678" s="408">
        <v>0</v>
      </c>
      <c r="EC678" s="408">
        <v>-225.62791551673305</v>
      </c>
      <c r="ED678" s="408">
        <v>0</v>
      </c>
      <c r="EE678" s="408">
        <v>0</v>
      </c>
      <c r="EF678" s="408">
        <v>0</v>
      </c>
      <c r="EG678" s="408">
        <v>0</v>
      </c>
      <c r="EH678" s="408">
        <v>0</v>
      </c>
      <c r="EI678" s="408">
        <v>0</v>
      </c>
      <c r="EJ678" s="408">
        <v>0</v>
      </c>
      <c r="EK678" s="408">
        <v>0</v>
      </c>
      <c r="EL678" s="408">
        <v>0</v>
      </c>
      <c r="EM678" s="408">
        <v>0</v>
      </c>
      <c r="EN678" s="408">
        <v>0</v>
      </c>
      <c r="EO678" s="408">
        <v>0</v>
      </c>
      <c r="EP678" s="408">
        <v>0</v>
      </c>
      <c r="EQ678" s="408">
        <v>0</v>
      </c>
      <c r="ER678" s="408">
        <v>0</v>
      </c>
      <c r="ES678" s="408">
        <v>0</v>
      </c>
      <c r="ET678" s="408">
        <v>0</v>
      </c>
      <c r="EU678" s="408">
        <v>0</v>
      </c>
      <c r="EV678" s="408">
        <v>239</v>
      </c>
      <c r="EW678" s="408">
        <v>0</v>
      </c>
      <c r="EX678" s="408">
        <v>0</v>
      </c>
      <c r="EY678" s="408">
        <v>0</v>
      </c>
      <c r="EZ678" s="408"/>
      <c r="FA678" s="408">
        <v>0</v>
      </c>
      <c r="FB678" s="408"/>
      <c r="FC678" s="408"/>
      <c r="FD678" s="408"/>
      <c r="FE678" s="408"/>
      <c r="FF678" s="408">
        <v>0</v>
      </c>
      <c r="FG678" s="408">
        <v>0</v>
      </c>
      <c r="FH678" s="408">
        <v>0</v>
      </c>
      <c r="FI678" s="408">
        <v>0</v>
      </c>
    </row>
    <row r="679" spans="1:165">
      <c r="A679" s="408">
        <v>684</v>
      </c>
      <c r="B679" s="408" t="s">
        <v>1034</v>
      </c>
      <c r="C679" s="408" t="s">
        <v>2233</v>
      </c>
      <c r="D679" s="408" t="s">
        <v>2243</v>
      </c>
      <c r="E679" s="408" t="s">
        <v>972</v>
      </c>
      <c r="F679" s="408" t="s">
        <v>2251</v>
      </c>
      <c r="G679" s="408" t="s">
        <v>2252</v>
      </c>
      <c r="H679" s="408" t="s">
        <v>1320</v>
      </c>
      <c r="I679" s="408" t="s">
        <v>1320</v>
      </c>
      <c r="J679" s="408" t="s">
        <v>2234</v>
      </c>
      <c r="K679" s="827">
        <v>44682</v>
      </c>
      <c r="L679" s="408">
        <v>0</v>
      </c>
      <c r="M679" s="408">
        <v>0</v>
      </c>
      <c r="N679" s="408">
        <v>0</v>
      </c>
      <c r="O679" s="408">
        <v>0</v>
      </c>
      <c r="P679" s="408">
        <v>0</v>
      </c>
      <c r="Q679" s="408">
        <v>0</v>
      </c>
      <c r="R679" s="408"/>
      <c r="S679" s="408"/>
      <c r="T679" s="408"/>
      <c r="U679" s="408"/>
      <c r="V679" s="408"/>
      <c r="W679" s="408"/>
      <c r="X679" s="408"/>
      <c r="Y679" s="408"/>
      <c r="Z679" s="408"/>
      <c r="AA679" s="408">
        <v>0</v>
      </c>
      <c r="AB679" s="408"/>
      <c r="AC679" s="408"/>
      <c r="AD679" s="408"/>
      <c r="AE679" s="408"/>
      <c r="AF679" s="408"/>
      <c r="AG679" s="408"/>
      <c r="AH679" s="408"/>
      <c r="AI679" s="408"/>
      <c r="AJ679" s="408"/>
      <c r="AK679" s="408"/>
      <c r="AL679" s="408"/>
      <c r="AM679" s="408"/>
      <c r="AN679" s="408"/>
      <c r="AO679" s="408"/>
      <c r="AP679" s="408"/>
      <c r="AQ679" s="408"/>
      <c r="AR679" s="408"/>
      <c r="AS679" s="408"/>
      <c r="AT679" s="408"/>
      <c r="AU679" s="408"/>
      <c r="AV679" s="408"/>
      <c r="AW679" s="408"/>
      <c r="AX679" s="408"/>
      <c r="AY679" s="408"/>
      <c r="AZ679" s="408">
        <v>0</v>
      </c>
      <c r="BA679" s="408"/>
      <c r="BB679" s="408"/>
      <c r="BC679" s="408"/>
      <c r="BD679" s="408"/>
      <c r="BE679" s="408"/>
      <c r="BF679" s="408"/>
      <c r="BG679" s="408"/>
      <c r="BH679" s="408"/>
      <c r="BI679" s="408">
        <v>35.89</v>
      </c>
      <c r="BJ679" s="408">
        <v>166.65</v>
      </c>
      <c r="BK679" s="408">
        <v>434.05</v>
      </c>
      <c r="BL679" s="408">
        <v>67</v>
      </c>
      <c r="BM679" s="408"/>
      <c r="BN679" s="408"/>
      <c r="BO679" s="408"/>
      <c r="BP679" s="408"/>
      <c r="BQ679" s="408"/>
      <c r="BR679" s="408"/>
      <c r="BS679" s="408"/>
      <c r="BT679" s="408"/>
      <c r="BU679" s="408"/>
      <c r="BV679" s="408"/>
      <c r="BW679" s="408"/>
      <c r="BX679" s="408"/>
      <c r="BY679" s="408"/>
      <c r="BZ679" s="408"/>
      <c r="CA679" s="408"/>
      <c r="CB679" s="408"/>
      <c r="CC679" s="408"/>
      <c r="CD679" s="408"/>
      <c r="CE679" s="408"/>
      <c r="CF679" s="408"/>
      <c r="CG679" s="408"/>
      <c r="CH679" s="408"/>
      <c r="CI679" s="408"/>
      <c r="CJ679" s="408">
        <v>-0.03</v>
      </c>
      <c r="CK679" s="408"/>
      <c r="CL679" s="408"/>
      <c r="CM679" s="408"/>
      <c r="CN679" s="408"/>
      <c r="CO679" s="408">
        <v>0</v>
      </c>
      <c r="CP679" s="408">
        <v>0</v>
      </c>
      <c r="CQ679" s="408">
        <v>31</v>
      </c>
      <c r="CR679" s="408"/>
      <c r="CS679" s="408"/>
      <c r="CT679" s="408"/>
      <c r="CU679" s="408"/>
      <c r="CV679" s="408"/>
      <c r="CW679" s="408"/>
      <c r="CX679" s="408"/>
      <c r="CY679" s="408"/>
      <c r="CZ679" s="408"/>
      <c r="DA679" s="408"/>
      <c r="DB679" s="408"/>
      <c r="DC679" s="408"/>
      <c r="DD679" s="408"/>
      <c r="DE679" s="408"/>
      <c r="DF679" s="408"/>
      <c r="DG679" s="408"/>
      <c r="DH679" s="408"/>
      <c r="DI679" s="408"/>
      <c r="DJ679" s="408"/>
      <c r="DK679" s="408">
        <v>0</v>
      </c>
      <c r="DL679" s="408"/>
      <c r="DM679" s="408"/>
      <c r="DN679" s="408"/>
      <c r="DO679" s="408"/>
      <c r="DP679" s="408"/>
      <c r="DQ679" s="408"/>
      <c r="DR679" s="408"/>
      <c r="DS679" s="408"/>
      <c r="DT679" s="408"/>
      <c r="DU679" s="408"/>
      <c r="DV679" s="408"/>
      <c r="DW679" s="408"/>
      <c r="DX679" s="408"/>
      <c r="DY679" s="408"/>
      <c r="DZ679" s="408"/>
      <c r="EA679" s="408"/>
      <c r="EB679" s="408"/>
      <c r="EC679" s="408"/>
      <c r="ED679" s="408"/>
      <c r="EE679" s="408"/>
      <c r="EF679" s="408"/>
      <c r="EG679" s="408"/>
      <c r="EH679" s="408"/>
      <c r="EI679" s="408"/>
      <c r="EJ679" s="408"/>
      <c r="EK679" s="408"/>
      <c r="EL679" s="408"/>
      <c r="EM679" s="408"/>
      <c r="EN679" s="408"/>
      <c r="EO679" s="408"/>
      <c r="EP679" s="408"/>
      <c r="EQ679" s="408"/>
      <c r="ER679" s="408"/>
      <c r="ES679" s="408"/>
      <c r="ET679" s="408"/>
      <c r="EU679" s="408"/>
      <c r="EV679" s="408">
        <v>239</v>
      </c>
      <c r="EW679" s="408"/>
      <c r="EX679" s="408"/>
      <c r="EY679" s="408"/>
      <c r="EZ679" s="408"/>
      <c r="FA679" s="408">
        <v>0</v>
      </c>
      <c r="FB679" s="408"/>
      <c r="FC679" s="408"/>
      <c r="FD679" s="408"/>
      <c r="FE679" s="408"/>
      <c r="FF679" s="408">
        <v>0</v>
      </c>
      <c r="FG679" s="408">
        <v>0</v>
      </c>
      <c r="FH679" s="408">
        <v>0</v>
      </c>
      <c r="FI679" s="408">
        <v>0</v>
      </c>
    </row>
    <row r="680" spans="1:165">
      <c r="A680" s="408">
        <v>685</v>
      </c>
      <c r="B680" s="408" t="s">
        <v>2235</v>
      </c>
      <c r="C680" s="408" t="s">
        <v>2233</v>
      </c>
      <c r="D680" s="408" t="s">
        <v>2243</v>
      </c>
      <c r="E680" s="408" t="s">
        <v>972</v>
      </c>
      <c r="F680" s="408" t="s">
        <v>2251</v>
      </c>
      <c r="G680" s="408" t="s">
        <v>2252</v>
      </c>
      <c r="H680" s="408" t="s">
        <v>1320</v>
      </c>
      <c r="I680" s="408" t="s">
        <v>1320</v>
      </c>
      <c r="J680" s="408" t="s">
        <v>2234</v>
      </c>
      <c r="K680" s="827">
        <v>44682</v>
      </c>
      <c r="L680" s="408">
        <v>0</v>
      </c>
      <c r="M680" s="408">
        <v>0</v>
      </c>
      <c r="N680" s="408">
        <v>0</v>
      </c>
      <c r="O680" s="408">
        <v>0</v>
      </c>
      <c r="P680" s="408">
        <v>0</v>
      </c>
      <c r="Q680" s="408">
        <v>0</v>
      </c>
      <c r="R680" s="408"/>
      <c r="S680" s="408"/>
      <c r="T680" s="408"/>
      <c r="U680" s="408"/>
      <c r="V680" s="408"/>
      <c r="W680" s="408"/>
      <c r="X680" s="408"/>
      <c r="Y680" s="408"/>
      <c r="Z680" s="408"/>
      <c r="AA680" s="408">
        <v>0</v>
      </c>
      <c r="AB680" s="408"/>
      <c r="AC680" s="408"/>
      <c r="AD680" s="408"/>
      <c r="AE680" s="408"/>
      <c r="AF680" s="408"/>
      <c r="AG680" s="408"/>
      <c r="AH680" s="408"/>
      <c r="AI680" s="408"/>
      <c r="AJ680" s="408"/>
      <c r="AK680" s="408"/>
      <c r="AL680" s="408"/>
      <c r="AM680" s="408"/>
      <c r="AN680" s="408"/>
      <c r="AO680" s="408"/>
      <c r="AP680" s="408"/>
      <c r="AQ680" s="408"/>
      <c r="AR680" s="408"/>
      <c r="AS680" s="408"/>
      <c r="AT680" s="408"/>
      <c r="AU680" s="408"/>
      <c r="AV680" s="408"/>
      <c r="AW680" s="408"/>
      <c r="AX680" s="408"/>
      <c r="AY680" s="408"/>
      <c r="AZ680" s="408">
        <v>0</v>
      </c>
      <c r="BA680" s="408"/>
      <c r="BB680" s="408"/>
      <c r="BC680" s="408"/>
      <c r="BD680" s="408"/>
      <c r="BE680" s="408"/>
      <c r="BF680" s="408"/>
      <c r="BG680" s="408"/>
      <c r="BH680" s="408"/>
      <c r="BI680" s="408">
        <v>-1160.22</v>
      </c>
      <c r="BJ680" s="408">
        <v>-5337.39</v>
      </c>
      <c r="BK680" s="408">
        <v>-4.88</v>
      </c>
      <c r="BL680" s="408">
        <v>0</v>
      </c>
      <c r="BM680" s="408"/>
      <c r="BN680" s="408"/>
      <c r="BO680" s="408"/>
      <c r="BP680" s="408"/>
      <c r="BQ680" s="408"/>
      <c r="BR680" s="408"/>
      <c r="BS680" s="408"/>
      <c r="BT680" s="408"/>
      <c r="BU680" s="408"/>
      <c r="BV680" s="408"/>
      <c r="BW680" s="408"/>
      <c r="BX680" s="408"/>
      <c r="BY680" s="408"/>
      <c r="BZ680" s="408"/>
      <c r="CA680" s="408"/>
      <c r="CB680" s="408"/>
      <c r="CC680" s="408"/>
      <c r="CD680" s="408"/>
      <c r="CE680" s="408"/>
      <c r="CF680" s="408"/>
      <c r="CG680" s="408"/>
      <c r="CH680" s="408"/>
      <c r="CI680" s="408"/>
      <c r="CJ680" s="408">
        <v>-0.03</v>
      </c>
      <c r="CK680" s="408"/>
      <c r="CL680" s="408"/>
      <c r="CM680" s="408"/>
      <c r="CN680" s="408"/>
      <c r="CO680" s="408">
        <v>0</v>
      </c>
      <c r="CP680" s="408">
        <v>0</v>
      </c>
      <c r="CQ680" s="408">
        <v>31</v>
      </c>
      <c r="CR680" s="408"/>
      <c r="CS680" s="408"/>
      <c r="CT680" s="408"/>
      <c r="CU680" s="408"/>
      <c r="CV680" s="408"/>
      <c r="CW680" s="408"/>
      <c r="CX680" s="408"/>
      <c r="CY680" s="408"/>
      <c r="CZ680" s="408"/>
      <c r="DA680" s="408"/>
      <c r="DB680" s="408"/>
      <c r="DC680" s="408"/>
      <c r="DD680" s="408"/>
      <c r="DE680" s="408"/>
      <c r="DF680" s="408"/>
      <c r="DG680" s="408"/>
      <c r="DH680" s="408"/>
      <c r="DI680" s="408"/>
      <c r="DJ680" s="408"/>
      <c r="DK680" s="408">
        <v>0</v>
      </c>
      <c r="DL680" s="408"/>
      <c r="DM680" s="408"/>
      <c r="DN680" s="408"/>
      <c r="DO680" s="408"/>
      <c r="DP680" s="408"/>
      <c r="DQ680" s="408"/>
      <c r="DR680" s="408"/>
      <c r="DS680" s="408"/>
      <c r="DT680" s="408"/>
      <c r="DU680" s="408"/>
      <c r="DV680" s="408"/>
      <c r="DW680" s="408"/>
      <c r="DX680" s="408"/>
      <c r="DY680" s="408"/>
      <c r="DZ680" s="408"/>
      <c r="EA680" s="408"/>
      <c r="EB680" s="408"/>
      <c r="EC680" s="408"/>
      <c r="ED680" s="408"/>
      <c r="EE680" s="408"/>
      <c r="EF680" s="408"/>
      <c r="EG680" s="408"/>
      <c r="EH680" s="408"/>
      <c r="EI680" s="408"/>
      <c r="EJ680" s="408"/>
      <c r="EK680" s="408"/>
      <c r="EL680" s="408"/>
      <c r="EM680" s="408"/>
      <c r="EN680" s="408"/>
      <c r="EO680" s="408"/>
      <c r="EP680" s="408"/>
      <c r="EQ680" s="408"/>
      <c r="ER680" s="408"/>
      <c r="ES680" s="408"/>
      <c r="ET680" s="408"/>
      <c r="EU680" s="408"/>
      <c r="EV680" s="408">
        <v>239</v>
      </c>
      <c r="EW680" s="408"/>
      <c r="EX680" s="408"/>
      <c r="EY680" s="408"/>
      <c r="EZ680" s="408"/>
      <c r="FA680" s="408">
        <v>0</v>
      </c>
      <c r="FB680" s="408"/>
      <c r="FC680" s="408"/>
      <c r="FD680" s="408"/>
      <c r="FE680" s="408"/>
      <c r="FF680" s="408">
        <v>0</v>
      </c>
      <c r="FG680" s="408">
        <v>0</v>
      </c>
      <c r="FH680" s="408">
        <v>0</v>
      </c>
      <c r="FI680" s="408">
        <v>0</v>
      </c>
    </row>
    <row r="681" spans="1:165">
      <c r="A681" s="408">
        <v>686</v>
      </c>
      <c r="B681" s="408" t="s">
        <v>2236</v>
      </c>
      <c r="C681" s="408" t="s">
        <v>2233</v>
      </c>
      <c r="D681" s="408" t="s">
        <v>2243</v>
      </c>
      <c r="E681" s="408" t="s">
        <v>972</v>
      </c>
      <c r="F681" s="408" t="s">
        <v>2251</v>
      </c>
      <c r="G681" s="408" t="s">
        <v>2252</v>
      </c>
      <c r="H681" s="408" t="s">
        <v>1320</v>
      </c>
      <c r="I681" s="408" t="s">
        <v>1320</v>
      </c>
      <c r="J681" s="408" t="s">
        <v>2234</v>
      </c>
      <c r="K681" s="827">
        <v>44682</v>
      </c>
      <c r="L681" s="408">
        <v>0</v>
      </c>
      <c r="M681" s="408">
        <v>0</v>
      </c>
      <c r="N681" s="408">
        <v>0</v>
      </c>
      <c r="O681" s="408">
        <v>0</v>
      </c>
      <c r="P681" s="408">
        <v>0</v>
      </c>
      <c r="Q681" s="408">
        <v>0</v>
      </c>
      <c r="R681" s="408"/>
      <c r="S681" s="408"/>
      <c r="T681" s="408"/>
      <c r="U681" s="408"/>
      <c r="V681" s="408"/>
      <c r="W681" s="408"/>
      <c r="X681" s="408"/>
      <c r="Y681" s="408"/>
      <c r="Z681" s="408"/>
      <c r="AA681" s="408">
        <v>0</v>
      </c>
      <c r="AB681" s="408"/>
      <c r="AC681" s="408"/>
      <c r="AD681" s="408"/>
      <c r="AE681" s="408"/>
      <c r="AF681" s="408"/>
      <c r="AG681" s="408"/>
      <c r="AH681" s="408"/>
      <c r="AI681" s="408"/>
      <c r="AJ681" s="408"/>
      <c r="AK681" s="408"/>
      <c r="AL681" s="408"/>
      <c r="AM681" s="408"/>
      <c r="AN681" s="408"/>
      <c r="AO681" s="408"/>
      <c r="AP681" s="408"/>
      <c r="AQ681" s="408"/>
      <c r="AR681" s="408"/>
      <c r="AS681" s="408"/>
      <c r="AT681" s="408"/>
      <c r="AU681" s="408"/>
      <c r="AV681" s="408"/>
      <c r="AW681" s="408"/>
      <c r="AX681" s="408"/>
      <c r="AY681" s="408"/>
      <c r="AZ681" s="408">
        <v>0</v>
      </c>
      <c r="BA681" s="408"/>
      <c r="BB681" s="408"/>
      <c r="BC681" s="408"/>
      <c r="BD681" s="408"/>
      <c r="BE681" s="408"/>
      <c r="BF681" s="408"/>
      <c r="BG681" s="408"/>
      <c r="BH681" s="408"/>
      <c r="BI681" s="408">
        <v>1.95</v>
      </c>
      <c r="BJ681" s="408">
        <v>9.01</v>
      </c>
      <c r="BK681" s="408">
        <v>43.01</v>
      </c>
      <c r="BL681" s="408">
        <v>5</v>
      </c>
      <c r="BM681" s="408"/>
      <c r="BN681" s="408"/>
      <c r="BO681" s="408"/>
      <c r="BP681" s="408"/>
      <c r="BQ681" s="408"/>
      <c r="BR681" s="408"/>
      <c r="BS681" s="408"/>
      <c r="BT681" s="408"/>
      <c r="BU681" s="408"/>
      <c r="BV681" s="408"/>
      <c r="BW681" s="408"/>
      <c r="BX681" s="408"/>
      <c r="BY681" s="408"/>
      <c r="BZ681" s="408"/>
      <c r="CA681" s="408"/>
      <c r="CB681" s="408"/>
      <c r="CC681" s="408"/>
      <c r="CD681" s="408"/>
      <c r="CE681" s="408"/>
      <c r="CF681" s="408"/>
      <c r="CG681" s="408"/>
      <c r="CH681" s="408"/>
      <c r="CI681" s="408"/>
      <c r="CJ681" s="408">
        <v>-0.03</v>
      </c>
      <c r="CK681" s="408"/>
      <c r="CL681" s="408"/>
      <c r="CM681" s="408"/>
      <c r="CN681" s="408"/>
      <c r="CO681" s="408">
        <v>0</v>
      </c>
      <c r="CP681" s="408">
        <v>0</v>
      </c>
      <c r="CQ681" s="408">
        <v>31</v>
      </c>
      <c r="CR681" s="408"/>
      <c r="CS681" s="408"/>
      <c r="CT681" s="408"/>
      <c r="CU681" s="408"/>
      <c r="CV681" s="408"/>
      <c r="CW681" s="408"/>
      <c r="CX681" s="408"/>
      <c r="CY681" s="408"/>
      <c r="CZ681" s="408"/>
      <c r="DA681" s="408"/>
      <c r="DB681" s="408"/>
      <c r="DC681" s="408"/>
      <c r="DD681" s="408"/>
      <c r="DE681" s="408"/>
      <c r="DF681" s="408"/>
      <c r="DG681" s="408"/>
      <c r="DH681" s="408"/>
      <c r="DI681" s="408"/>
      <c r="DJ681" s="408"/>
      <c r="DK681" s="408">
        <v>0</v>
      </c>
      <c r="DL681" s="408"/>
      <c r="DM681" s="408"/>
      <c r="DN681" s="408"/>
      <c r="DO681" s="408"/>
      <c r="DP681" s="408"/>
      <c r="DQ681" s="408"/>
      <c r="DR681" s="408"/>
      <c r="DS681" s="408"/>
      <c r="DT681" s="408"/>
      <c r="DU681" s="408"/>
      <c r="DV681" s="408"/>
      <c r="DW681" s="408"/>
      <c r="DX681" s="408"/>
      <c r="DY681" s="408"/>
      <c r="DZ681" s="408"/>
      <c r="EA681" s="408"/>
      <c r="EB681" s="408"/>
      <c r="EC681" s="408"/>
      <c r="ED681" s="408"/>
      <c r="EE681" s="408"/>
      <c r="EF681" s="408"/>
      <c r="EG681" s="408"/>
      <c r="EH681" s="408"/>
      <c r="EI681" s="408"/>
      <c r="EJ681" s="408"/>
      <c r="EK681" s="408"/>
      <c r="EL681" s="408"/>
      <c r="EM681" s="408"/>
      <c r="EN681" s="408"/>
      <c r="EO681" s="408"/>
      <c r="EP681" s="408"/>
      <c r="EQ681" s="408"/>
      <c r="ER681" s="408"/>
      <c r="ES681" s="408"/>
      <c r="ET681" s="408"/>
      <c r="EU681" s="408"/>
      <c r="EV681" s="408">
        <v>239</v>
      </c>
      <c r="EW681" s="408"/>
      <c r="EX681" s="408"/>
      <c r="EY681" s="408"/>
      <c r="EZ681" s="408"/>
      <c r="FA681" s="408">
        <v>0</v>
      </c>
      <c r="FB681" s="408"/>
      <c r="FC681" s="408"/>
      <c r="FD681" s="408"/>
      <c r="FE681" s="408"/>
      <c r="FF681" s="408">
        <v>0</v>
      </c>
      <c r="FG681" s="408">
        <v>0</v>
      </c>
      <c r="FH681" s="408">
        <v>0</v>
      </c>
      <c r="FI681" s="408">
        <v>0</v>
      </c>
    </row>
    <row r="682" spans="1:165">
      <c r="A682" s="408">
        <v>687</v>
      </c>
      <c r="B682" s="408" t="s">
        <v>1034</v>
      </c>
      <c r="C682" s="408" t="s">
        <v>2233</v>
      </c>
      <c r="D682" s="408" t="s">
        <v>2243</v>
      </c>
      <c r="E682" s="408" t="s">
        <v>972</v>
      </c>
      <c r="F682" s="408" t="s">
        <v>2251</v>
      </c>
      <c r="G682" s="408" t="s">
        <v>2252</v>
      </c>
      <c r="H682" s="408" t="s">
        <v>1320</v>
      </c>
      <c r="I682" s="408" t="s">
        <v>1320</v>
      </c>
      <c r="J682" s="408" t="s">
        <v>2234</v>
      </c>
      <c r="K682" s="827">
        <v>44682</v>
      </c>
      <c r="L682" s="408">
        <v>0</v>
      </c>
      <c r="M682" s="408">
        <v>0</v>
      </c>
      <c r="N682" s="408">
        <v>7.7969999999999997</v>
      </c>
      <c r="O682" s="408">
        <v>7.7969999999999997</v>
      </c>
      <c r="P682" s="408">
        <v>7.7969999999999997</v>
      </c>
      <c r="Q682" s="408">
        <v>7.7969999999999997</v>
      </c>
      <c r="R682" s="408"/>
      <c r="S682" s="408">
        <v>516.83000000000004</v>
      </c>
      <c r="T682" s="408">
        <v>173.82</v>
      </c>
      <c r="U682" s="408"/>
      <c r="V682" s="408">
        <v>5384.9980500000001</v>
      </c>
      <c r="W682" s="408">
        <v>5384.9980500000001</v>
      </c>
      <c r="X682" s="408">
        <v>4065.7456499999998</v>
      </c>
      <c r="Y682" s="408">
        <v>0</v>
      </c>
      <c r="Z682" s="408">
        <v>476.78230654531075</v>
      </c>
      <c r="AA682" s="408">
        <v>0</v>
      </c>
      <c r="AB682" s="408">
        <v>0</v>
      </c>
      <c r="AC682" s="408">
        <v>21.195708440228614</v>
      </c>
      <c r="AD682" s="408">
        <v>268.42429003754859</v>
      </c>
      <c r="AE682" s="408">
        <v>2835.1123549147519</v>
      </c>
      <c r="AF682" s="408">
        <v>1254.7098908165997</v>
      </c>
      <c r="AG682" s="408">
        <v>63.123462461944285</v>
      </c>
      <c r="AH682" s="408">
        <v>0</v>
      </c>
      <c r="AI682" s="408">
        <v>0</v>
      </c>
      <c r="AJ682" s="408">
        <v>0</v>
      </c>
      <c r="AK682" s="408">
        <v>0</v>
      </c>
      <c r="AL682" s="408">
        <v>73.693319439457213</v>
      </c>
      <c r="AM682" s="408"/>
      <c r="AN682" s="408">
        <v>12.097372777903033</v>
      </c>
      <c r="AO682" s="408">
        <v>45.210933965919025</v>
      </c>
      <c r="AP682" s="408">
        <v>148.05969569499459</v>
      </c>
      <c r="AQ682" s="408">
        <v>0</v>
      </c>
      <c r="AR682" s="408">
        <v>0</v>
      </c>
      <c r="AS682" s="408">
        <v>0</v>
      </c>
      <c r="AT682" s="408">
        <v>0</v>
      </c>
      <c r="AU682" s="408">
        <v>0</v>
      </c>
      <c r="AV682" s="408">
        <v>0</v>
      </c>
      <c r="AW682" s="408">
        <v>0</v>
      </c>
      <c r="AX682" s="408">
        <v>0</v>
      </c>
      <c r="AY682" s="408">
        <v>0</v>
      </c>
      <c r="AZ682" s="408">
        <v>0</v>
      </c>
      <c r="BA682" s="408"/>
      <c r="BB682" s="408">
        <v>0</v>
      </c>
      <c r="BC682" s="408">
        <v>0</v>
      </c>
      <c r="BD682" s="408">
        <v>0</v>
      </c>
      <c r="BE682" s="408">
        <v>4.3258739751552708</v>
      </c>
      <c r="BF682" s="408">
        <v>37.469951967185203</v>
      </c>
      <c r="BG682" s="408">
        <v>144.85518603831801</v>
      </c>
      <c r="BH682" s="408">
        <v>0</v>
      </c>
      <c r="BI682" s="408">
        <v>0</v>
      </c>
      <c r="BJ682" s="408">
        <v>0</v>
      </c>
      <c r="BK682" s="408">
        <v>0</v>
      </c>
      <c r="BL682" s="408">
        <v>0</v>
      </c>
      <c r="BM682" s="408"/>
      <c r="BN682" s="408"/>
      <c r="BO682" s="408"/>
      <c r="BP682" s="408"/>
      <c r="BQ682" s="408"/>
      <c r="BR682" s="408">
        <v>487.8582899999999</v>
      </c>
      <c r="BS682" s="408"/>
      <c r="BT682" s="408"/>
      <c r="BU682" s="408"/>
      <c r="BV682" s="408">
        <v>1441.3609027972579</v>
      </c>
      <c r="BW682" s="408"/>
      <c r="BX682" s="408"/>
      <c r="BY682" s="408"/>
      <c r="BZ682" s="408"/>
      <c r="CA682" s="408"/>
      <c r="CB682" s="408"/>
      <c r="CC682" s="408"/>
      <c r="CD682" s="408"/>
      <c r="CE682" s="408"/>
      <c r="CF682" s="408"/>
      <c r="CG682" s="408"/>
      <c r="CH682" s="408"/>
      <c r="CI682" s="408">
        <v>3579.2639999999997</v>
      </c>
      <c r="CJ682" s="408">
        <v>-1159.548690000001</v>
      </c>
      <c r="CK682" s="408"/>
      <c r="CL682" s="408"/>
      <c r="CM682" s="408"/>
      <c r="CN682" s="408"/>
      <c r="CO682" s="408">
        <v>-1484.4708300000002</v>
      </c>
      <c r="CP682" s="408">
        <v>165.21842999999998</v>
      </c>
      <c r="CQ682" s="408">
        <v>31</v>
      </c>
      <c r="CR682" s="408">
        <v>181.71593867222236</v>
      </c>
      <c r="CS682" s="408">
        <v>4.3896960581638496</v>
      </c>
      <c r="CT682" s="408">
        <v>14.375661052592989</v>
      </c>
      <c r="CU682" s="408">
        <v>0</v>
      </c>
      <c r="CV682" s="408">
        <v>0</v>
      </c>
      <c r="CW682" s="408">
        <v>0</v>
      </c>
      <c r="CX682" s="408">
        <v>0</v>
      </c>
      <c r="CY682" s="408">
        <v>0</v>
      </c>
      <c r="CZ682" s="408">
        <v>-5.1468231574210677</v>
      </c>
      <c r="DA682" s="408">
        <v>0</v>
      </c>
      <c r="DB682" s="408">
        <v>0</v>
      </c>
      <c r="DC682" s="408">
        <v>161.05588160567709</v>
      </c>
      <c r="DD682" s="408">
        <v>4.8096824548578141</v>
      </c>
      <c r="DE682" s="408">
        <v>0.55527373449668005</v>
      </c>
      <c r="DF682" s="408">
        <v>0</v>
      </c>
      <c r="DG682" s="408">
        <v>18.593764075113114</v>
      </c>
      <c r="DH682" s="408">
        <v>0</v>
      </c>
      <c r="DI682" s="408">
        <v>-13.934203932125911</v>
      </c>
      <c r="DJ682" s="408"/>
      <c r="DK682" s="408">
        <v>0</v>
      </c>
      <c r="DL682" s="408">
        <v>0</v>
      </c>
      <c r="DM682" s="408">
        <v>-0.70159411782304204</v>
      </c>
      <c r="DN682" s="408">
        <v>0</v>
      </c>
      <c r="DO682" s="408">
        <v>-1.9086315194240626</v>
      </c>
      <c r="DP682" s="408">
        <v>-0.37276758188612114</v>
      </c>
      <c r="DQ682" s="408">
        <v>0</v>
      </c>
      <c r="DR682" s="408">
        <v>0</v>
      </c>
      <c r="DS682" s="408"/>
      <c r="DT682" s="408"/>
      <c r="DU682" s="408"/>
      <c r="DV682" s="408">
        <v>2835.1123549147519</v>
      </c>
      <c r="DW682" s="408">
        <v>0</v>
      </c>
      <c r="DX682" s="408">
        <v>0</v>
      </c>
      <c r="DY682" s="408">
        <v>-1484.4708300000002</v>
      </c>
      <c r="DZ682" s="408">
        <v>165.2184299999999</v>
      </c>
      <c r="EA682" s="408">
        <v>0</v>
      </c>
      <c r="EB682" s="408">
        <v>0</v>
      </c>
      <c r="EC682" s="408">
        <v>-1501.0416871023615</v>
      </c>
      <c r="ED682" s="408">
        <v>0</v>
      </c>
      <c r="EE682" s="408">
        <v>0</v>
      </c>
      <c r="EF682" s="408">
        <v>0</v>
      </c>
      <c r="EG682" s="408">
        <v>0</v>
      </c>
      <c r="EH682" s="408">
        <v>0</v>
      </c>
      <c r="EI682" s="408">
        <v>0</v>
      </c>
      <c r="EJ682" s="408">
        <v>0</v>
      </c>
      <c r="EK682" s="408">
        <v>0</v>
      </c>
      <c r="EL682" s="408">
        <v>0</v>
      </c>
      <c r="EM682" s="408">
        <v>0</v>
      </c>
      <c r="EN682" s="408">
        <v>0</v>
      </c>
      <c r="EO682" s="408">
        <v>0</v>
      </c>
      <c r="EP682" s="408">
        <v>0</v>
      </c>
      <c r="EQ682" s="408">
        <v>0</v>
      </c>
      <c r="ER682" s="408">
        <v>0</v>
      </c>
      <c r="ES682" s="408">
        <v>0</v>
      </c>
      <c r="ET682" s="408">
        <v>0</v>
      </c>
      <c r="EU682" s="408">
        <v>0</v>
      </c>
      <c r="EV682" s="408">
        <v>239</v>
      </c>
      <c r="EW682" s="408">
        <v>0</v>
      </c>
      <c r="EX682" s="408">
        <v>0</v>
      </c>
      <c r="EY682" s="408">
        <v>0</v>
      </c>
      <c r="EZ682" s="408"/>
      <c r="FA682" s="408">
        <v>0</v>
      </c>
      <c r="FB682" s="408"/>
      <c r="FC682" s="408"/>
      <c r="FD682" s="408"/>
      <c r="FE682" s="408"/>
      <c r="FF682" s="408">
        <v>0</v>
      </c>
      <c r="FG682" s="408">
        <v>0</v>
      </c>
      <c r="FH682" s="408">
        <v>0</v>
      </c>
      <c r="FI682" s="408">
        <v>0</v>
      </c>
    </row>
    <row r="683" spans="1:165">
      <c r="A683" s="408">
        <v>688</v>
      </c>
      <c r="B683" s="408" t="s">
        <v>2235</v>
      </c>
      <c r="C683" s="408" t="s">
        <v>2233</v>
      </c>
      <c r="D683" s="408" t="s">
        <v>2243</v>
      </c>
      <c r="E683" s="408" t="s">
        <v>972</v>
      </c>
      <c r="F683" s="408" t="s">
        <v>2251</v>
      </c>
      <c r="G683" s="408" t="s">
        <v>2252</v>
      </c>
      <c r="H683" s="408" t="s">
        <v>1320</v>
      </c>
      <c r="I683" s="408" t="s">
        <v>1320</v>
      </c>
      <c r="J683" s="408" t="s">
        <v>2234</v>
      </c>
      <c r="K683" s="827">
        <v>44682</v>
      </c>
      <c r="L683" s="408">
        <v>0</v>
      </c>
      <c r="M683" s="408">
        <v>0</v>
      </c>
      <c r="N683" s="408">
        <v>0.05</v>
      </c>
      <c r="O683" s="408">
        <v>0.05</v>
      </c>
      <c r="P683" s="408">
        <v>0.05</v>
      </c>
      <c r="Q683" s="408">
        <v>0.05</v>
      </c>
      <c r="R683" s="408"/>
      <c r="S683" s="408">
        <v>516.83000000000004</v>
      </c>
      <c r="T683" s="408">
        <v>173.82</v>
      </c>
      <c r="U683" s="408"/>
      <c r="V683" s="408">
        <v>34.532500000000006</v>
      </c>
      <c r="W683" s="408">
        <v>34.532500000000006</v>
      </c>
      <c r="X683" s="408">
        <v>26.072499999999998</v>
      </c>
      <c r="Y683" s="408">
        <v>0</v>
      </c>
      <c r="Z683" s="408">
        <v>3.0574727879011849</v>
      </c>
      <c r="AA683" s="408">
        <v>0</v>
      </c>
      <c r="AB683" s="408">
        <v>0</v>
      </c>
      <c r="AC683" s="408">
        <v>0.13592220366954352</v>
      </c>
      <c r="AD683" s="408">
        <v>1.7213305761033</v>
      </c>
      <c r="AE683" s="408">
        <v>18.180789758334949</v>
      </c>
      <c r="AF683" s="408">
        <v>8.0461067770719499</v>
      </c>
      <c r="AG683" s="408">
        <v>0.4047932696033365</v>
      </c>
      <c r="AH683" s="408">
        <v>0</v>
      </c>
      <c r="AI683" s="408">
        <v>0</v>
      </c>
      <c r="AJ683" s="408">
        <v>0</v>
      </c>
      <c r="AK683" s="408">
        <v>0</v>
      </c>
      <c r="AL683" s="408">
        <v>0.47257483288096203</v>
      </c>
      <c r="AM683" s="408"/>
      <c r="AN683" s="408">
        <v>7.7577098742484502E-2</v>
      </c>
      <c r="AO683" s="408">
        <v>0.289925188956772</v>
      </c>
      <c r="AP683" s="408">
        <v>0.94946579258044506</v>
      </c>
      <c r="AQ683" s="408">
        <v>0</v>
      </c>
      <c r="AR683" s="408">
        <v>0</v>
      </c>
      <c r="AS683" s="408">
        <v>0</v>
      </c>
      <c r="AT683" s="408">
        <v>0</v>
      </c>
      <c r="AU683" s="408">
        <v>0</v>
      </c>
      <c r="AV683" s="408">
        <v>0</v>
      </c>
      <c r="AW683" s="408">
        <v>0</v>
      </c>
      <c r="AX683" s="408">
        <v>0</v>
      </c>
      <c r="AY683" s="408">
        <v>0</v>
      </c>
      <c r="AZ683" s="408">
        <v>0</v>
      </c>
      <c r="BA683" s="408"/>
      <c r="BB683" s="408">
        <v>0</v>
      </c>
      <c r="BC683" s="408">
        <v>0</v>
      </c>
      <c r="BD683" s="408">
        <v>0</v>
      </c>
      <c r="BE683" s="408">
        <v>2.7740630852605305E-2</v>
      </c>
      <c r="BF683" s="408">
        <v>0.24028441687306148</v>
      </c>
      <c r="BG683" s="408">
        <v>0.92891616030728508</v>
      </c>
      <c r="BH683" s="408">
        <v>0</v>
      </c>
      <c r="BI683" s="408">
        <v>0</v>
      </c>
      <c r="BJ683" s="408">
        <v>0</v>
      </c>
      <c r="BK683" s="408">
        <v>0</v>
      </c>
      <c r="BL683" s="408">
        <v>0</v>
      </c>
      <c r="BM683" s="408"/>
      <c r="BN683" s="408"/>
      <c r="BO683" s="408"/>
      <c r="BP683" s="408"/>
      <c r="BQ683" s="408"/>
      <c r="BR683" s="408">
        <v>3.1284999999999998</v>
      </c>
      <c r="BS683" s="408"/>
      <c r="BT683" s="408"/>
      <c r="BU683" s="408"/>
      <c r="BV683" s="408">
        <v>9.2430479851049014</v>
      </c>
      <c r="BW683" s="408"/>
      <c r="BX683" s="408"/>
      <c r="BY683" s="408"/>
      <c r="BZ683" s="408"/>
      <c r="CA683" s="408"/>
      <c r="CB683" s="408"/>
      <c r="CC683" s="408"/>
      <c r="CD683" s="408"/>
      <c r="CE683" s="408"/>
      <c r="CF683" s="408"/>
      <c r="CG683" s="408"/>
      <c r="CH683" s="408"/>
      <c r="CI683" s="408">
        <v>22.944000000000003</v>
      </c>
      <c r="CJ683" s="408">
        <v>-7.4745000000000026</v>
      </c>
      <c r="CK683" s="408"/>
      <c r="CL683" s="408"/>
      <c r="CM683" s="408"/>
      <c r="CN683" s="408"/>
      <c r="CO683" s="408">
        <v>-9.5195000000000025</v>
      </c>
      <c r="CP683" s="408">
        <v>1.0594999999999999</v>
      </c>
      <c r="CQ683" s="408">
        <v>31</v>
      </c>
      <c r="CR683" s="408">
        <v>1.1652939507004056</v>
      </c>
      <c r="CS683" s="408">
        <v>2.8149904182146024E-2</v>
      </c>
      <c r="CT683" s="408">
        <v>9.2187130002520101E-2</v>
      </c>
      <c r="CU683" s="408">
        <v>0</v>
      </c>
      <c r="CV683" s="408">
        <v>0</v>
      </c>
      <c r="CW683" s="408">
        <v>0</v>
      </c>
      <c r="CX683" s="408">
        <v>0</v>
      </c>
      <c r="CY683" s="408">
        <v>0</v>
      </c>
      <c r="CZ683" s="408">
        <v>-3.3005150425939878E-2</v>
      </c>
      <c r="DA683" s="408">
        <v>0</v>
      </c>
      <c r="DB683" s="408">
        <v>0</v>
      </c>
      <c r="DC683" s="408">
        <v>1.0328067308303002</v>
      </c>
      <c r="DD683" s="408">
        <v>3.0843160541604547E-2</v>
      </c>
      <c r="DE683" s="408">
        <v>3.5608165608354524E-3</v>
      </c>
      <c r="DF683" s="408">
        <v>0</v>
      </c>
      <c r="DG683" s="408">
        <v>0.11923665560544494</v>
      </c>
      <c r="DH683" s="408">
        <v>0</v>
      </c>
      <c r="DI683" s="408">
        <v>-8.9356187842284829E-2</v>
      </c>
      <c r="DJ683" s="408"/>
      <c r="DK683" s="408">
        <v>0</v>
      </c>
      <c r="DL683" s="408">
        <v>0</v>
      </c>
      <c r="DM683" s="408">
        <v>-4.4991286252600293E-3</v>
      </c>
      <c r="DN683" s="408">
        <v>0</v>
      </c>
      <c r="DO683" s="408">
        <v>-1.223952494179853E-2</v>
      </c>
      <c r="DP683" s="408">
        <v>-2.3904551871624935E-3</v>
      </c>
      <c r="DQ683" s="408">
        <v>0</v>
      </c>
      <c r="DR683" s="408">
        <v>0</v>
      </c>
      <c r="DS683" s="408"/>
      <c r="DT683" s="408"/>
      <c r="DU683" s="408"/>
      <c r="DV683" s="408">
        <v>18.180789758334949</v>
      </c>
      <c r="DW683" s="408">
        <v>0</v>
      </c>
      <c r="DX683" s="408">
        <v>0</v>
      </c>
      <c r="DY683" s="408">
        <v>-9.5195000000000043</v>
      </c>
      <c r="DZ683" s="408">
        <v>1.0594999999999999</v>
      </c>
      <c r="EA683" s="408">
        <v>0</v>
      </c>
      <c r="EB683" s="408">
        <v>0</v>
      </c>
      <c r="EC683" s="408">
        <v>-9.6257643138537983</v>
      </c>
      <c r="ED683" s="408">
        <v>0</v>
      </c>
      <c r="EE683" s="408">
        <v>0</v>
      </c>
      <c r="EF683" s="408">
        <v>0</v>
      </c>
      <c r="EG683" s="408">
        <v>0</v>
      </c>
      <c r="EH683" s="408">
        <v>0</v>
      </c>
      <c r="EI683" s="408">
        <v>0</v>
      </c>
      <c r="EJ683" s="408">
        <v>0</v>
      </c>
      <c r="EK683" s="408">
        <v>0</v>
      </c>
      <c r="EL683" s="408">
        <v>0</v>
      </c>
      <c r="EM683" s="408">
        <v>0</v>
      </c>
      <c r="EN683" s="408">
        <v>0</v>
      </c>
      <c r="EO683" s="408">
        <v>0</v>
      </c>
      <c r="EP683" s="408">
        <v>0</v>
      </c>
      <c r="EQ683" s="408">
        <v>0</v>
      </c>
      <c r="ER683" s="408">
        <v>0</v>
      </c>
      <c r="ES683" s="408">
        <v>0</v>
      </c>
      <c r="ET683" s="408">
        <v>0</v>
      </c>
      <c r="EU683" s="408">
        <v>0</v>
      </c>
      <c r="EV683" s="408">
        <v>239</v>
      </c>
      <c r="EW683" s="408">
        <v>0</v>
      </c>
      <c r="EX683" s="408">
        <v>0</v>
      </c>
      <c r="EY683" s="408">
        <v>0</v>
      </c>
      <c r="EZ683" s="408"/>
      <c r="FA683" s="408">
        <v>0</v>
      </c>
      <c r="FB683" s="408"/>
      <c r="FC683" s="408"/>
      <c r="FD683" s="408"/>
      <c r="FE683" s="408"/>
      <c r="FF683" s="408">
        <v>0</v>
      </c>
      <c r="FG683" s="408">
        <v>0</v>
      </c>
      <c r="FH683" s="408">
        <v>0</v>
      </c>
      <c r="FI683" s="408">
        <v>0</v>
      </c>
    </row>
    <row r="684" spans="1:165">
      <c r="A684" s="408">
        <v>689</v>
      </c>
      <c r="B684" s="408" t="s">
        <v>2236</v>
      </c>
      <c r="C684" s="408" t="s">
        <v>2233</v>
      </c>
      <c r="D684" s="408" t="s">
        <v>2243</v>
      </c>
      <c r="E684" s="408" t="s">
        <v>972</v>
      </c>
      <c r="F684" s="408" t="s">
        <v>2251</v>
      </c>
      <c r="G684" s="408" t="s">
        <v>2252</v>
      </c>
      <c r="H684" s="408" t="s">
        <v>1320</v>
      </c>
      <c r="I684" s="408" t="s">
        <v>1320</v>
      </c>
      <c r="J684" s="408" t="s">
        <v>2234</v>
      </c>
      <c r="K684" s="827">
        <v>44682</v>
      </c>
      <c r="L684" s="408">
        <v>0</v>
      </c>
      <c r="M684" s="408">
        <v>0</v>
      </c>
      <c r="N684" s="408">
        <v>0.34699999999999998</v>
      </c>
      <c r="O684" s="408">
        <v>0.34699999999999998</v>
      </c>
      <c r="P684" s="408">
        <v>0.34699999999999998</v>
      </c>
      <c r="Q684" s="408">
        <v>0.34699999999999998</v>
      </c>
      <c r="R684" s="408"/>
      <c r="S684" s="408">
        <v>516.83000000000004</v>
      </c>
      <c r="T684" s="408">
        <v>173.82</v>
      </c>
      <c r="U684" s="408"/>
      <c r="V684" s="408">
        <v>239.65555000000001</v>
      </c>
      <c r="W684" s="408">
        <v>239.65555000000001</v>
      </c>
      <c r="X684" s="408">
        <v>180.94314999999997</v>
      </c>
      <c r="Y684" s="408">
        <v>0</v>
      </c>
      <c r="Z684" s="408">
        <v>21.218861148034222</v>
      </c>
      <c r="AA684" s="408">
        <v>0</v>
      </c>
      <c r="AB684" s="408">
        <v>0</v>
      </c>
      <c r="AC684" s="408">
        <v>0.94330009346663191</v>
      </c>
      <c r="AD684" s="408">
        <v>11.9460341981569</v>
      </c>
      <c r="AE684" s="408">
        <v>126.17468092284454</v>
      </c>
      <c r="AF684" s="408">
        <v>55.839981032879322</v>
      </c>
      <c r="AG684" s="408">
        <v>2.8092652910471547</v>
      </c>
      <c r="AH684" s="408">
        <v>0</v>
      </c>
      <c r="AI684" s="408">
        <v>0</v>
      </c>
      <c r="AJ684" s="408">
        <v>0</v>
      </c>
      <c r="AK684" s="408">
        <v>0</v>
      </c>
      <c r="AL684" s="408">
        <v>3.2796693401938759</v>
      </c>
      <c r="AM684" s="408"/>
      <c r="AN684" s="408">
        <v>0.53838506527284236</v>
      </c>
      <c r="AO684" s="408">
        <v>2.0120808113599975</v>
      </c>
      <c r="AP684" s="408">
        <v>6.5892926005082879</v>
      </c>
      <c r="AQ684" s="408">
        <v>0</v>
      </c>
      <c r="AR684" s="408">
        <v>0</v>
      </c>
      <c r="AS684" s="408">
        <v>0</v>
      </c>
      <c r="AT684" s="408">
        <v>0</v>
      </c>
      <c r="AU684" s="408">
        <v>0</v>
      </c>
      <c r="AV684" s="408">
        <v>0</v>
      </c>
      <c r="AW684" s="408">
        <v>0</v>
      </c>
      <c r="AX684" s="408">
        <v>0</v>
      </c>
      <c r="AY684" s="408">
        <v>0</v>
      </c>
      <c r="AZ684" s="408">
        <v>0</v>
      </c>
      <c r="BA684" s="408"/>
      <c r="BB684" s="408">
        <v>0</v>
      </c>
      <c r="BC684" s="408">
        <v>0</v>
      </c>
      <c r="BD684" s="408">
        <v>0</v>
      </c>
      <c r="BE684" s="408">
        <v>0.1925199781170808</v>
      </c>
      <c r="BF684" s="408">
        <v>1.6675738530990465</v>
      </c>
      <c r="BG684" s="408">
        <v>6.4466781525325576</v>
      </c>
      <c r="BH684" s="408">
        <v>0</v>
      </c>
      <c r="BI684" s="408">
        <v>0</v>
      </c>
      <c r="BJ684" s="408">
        <v>0</v>
      </c>
      <c r="BK684" s="408">
        <v>0</v>
      </c>
      <c r="BL684" s="408">
        <v>0</v>
      </c>
      <c r="BM684" s="408"/>
      <c r="BN684" s="408"/>
      <c r="BO684" s="408"/>
      <c r="BP684" s="408"/>
      <c r="BQ684" s="408"/>
      <c r="BR684" s="408">
        <v>21.711789999999993</v>
      </c>
      <c r="BS684" s="408"/>
      <c r="BT684" s="408"/>
      <c r="BU684" s="408"/>
      <c r="BV684" s="408">
        <v>64.146753016628011</v>
      </c>
      <c r="BW684" s="408"/>
      <c r="BX684" s="408"/>
      <c r="BY684" s="408"/>
      <c r="BZ684" s="408"/>
      <c r="CA684" s="408"/>
      <c r="CB684" s="408"/>
      <c r="CC684" s="408"/>
      <c r="CD684" s="408"/>
      <c r="CE684" s="408"/>
      <c r="CF684" s="408"/>
      <c r="CG684" s="408"/>
      <c r="CH684" s="408"/>
      <c r="CI684" s="408">
        <v>160.60799999999998</v>
      </c>
      <c r="CJ684" s="408">
        <v>-50.318189999999987</v>
      </c>
      <c r="CK684" s="408"/>
      <c r="CL684" s="408"/>
      <c r="CM684" s="408"/>
      <c r="CN684" s="408"/>
      <c r="CO684" s="408">
        <v>-66.065330000000017</v>
      </c>
      <c r="CP684" s="408">
        <v>7.3529299999999989</v>
      </c>
      <c r="CQ684" s="408">
        <v>31</v>
      </c>
      <c r="CR684" s="408">
        <v>8.0871400178608326</v>
      </c>
      <c r="CS684" s="408">
        <v>0.19536033502409333</v>
      </c>
      <c r="CT684" s="408">
        <v>0.63977868221748935</v>
      </c>
      <c r="CU684" s="408">
        <v>0</v>
      </c>
      <c r="CV684" s="408">
        <v>0</v>
      </c>
      <c r="CW684" s="408">
        <v>0</v>
      </c>
      <c r="CX684" s="408">
        <v>0</v>
      </c>
      <c r="CY684" s="408">
        <v>0</v>
      </c>
      <c r="CZ684" s="408">
        <v>-0.22905574395602102</v>
      </c>
      <c r="DA684" s="408">
        <v>0</v>
      </c>
      <c r="DB684" s="408">
        <v>0</v>
      </c>
      <c r="DC684" s="408">
        <v>7.1676787119622887</v>
      </c>
      <c r="DD684" s="408">
        <v>0.21405153415873546</v>
      </c>
      <c r="DE684" s="408">
        <v>2.4712066932198018E-2</v>
      </c>
      <c r="DF684" s="408">
        <v>0</v>
      </c>
      <c r="DG684" s="408">
        <v>0.82750238990178815</v>
      </c>
      <c r="DH684" s="408">
        <v>0</v>
      </c>
      <c r="DI684" s="408">
        <v>-0.62013194362545931</v>
      </c>
      <c r="DJ684" s="408"/>
      <c r="DK684" s="408">
        <v>0</v>
      </c>
      <c r="DL684" s="408">
        <v>0</v>
      </c>
      <c r="DM684" s="408">
        <v>-3.1223952659304111E-2</v>
      </c>
      <c r="DN684" s="408">
        <v>0</v>
      </c>
      <c r="DO684" s="408">
        <v>-8.4942303096081417E-2</v>
      </c>
      <c r="DP684" s="408">
        <v>-1.6589758998907689E-2</v>
      </c>
      <c r="DQ684" s="408">
        <v>0</v>
      </c>
      <c r="DR684" s="408">
        <v>0</v>
      </c>
      <c r="DS684" s="408"/>
      <c r="DT684" s="408"/>
      <c r="DU684" s="408"/>
      <c r="DV684" s="408">
        <v>126.17468092284454</v>
      </c>
      <c r="DW684" s="408">
        <v>0</v>
      </c>
      <c r="DX684" s="408">
        <v>0</v>
      </c>
      <c r="DY684" s="408">
        <v>-66.065330000000017</v>
      </c>
      <c r="DZ684" s="408">
        <v>7.3529299999999935</v>
      </c>
      <c r="EA684" s="408">
        <v>0</v>
      </c>
      <c r="EB684" s="408">
        <v>0</v>
      </c>
      <c r="EC684" s="408">
        <v>-66.802804338145364</v>
      </c>
      <c r="ED684" s="408">
        <v>0</v>
      </c>
      <c r="EE684" s="408">
        <v>0</v>
      </c>
      <c r="EF684" s="408">
        <v>0</v>
      </c>
      <c r="EG684" s="408">
        <v>0</v>
      </c>
      <c r="EH684" s="408">
        <v>0</v>
      </c>
      <c r="EI684" s="408">
        <v>0</v>
      </c>
      <c r="EJ684" s="408">
        <v>0</v>
      </c>
      <c r="EK684" s="408">
        <v>0</v>
      </c>
      <c r="EL684" s="408">
        <v>0</v>
      </c>
      <c r="EM684" s="408">
        <v>0</v>
      </c>
      <c r="EN684" s="408">
        <v>0</v>
      </c>
      <c r="EO684" s="408">
        <v>0</v>
      </c>
      <c r="EP684" s="408">
        <v>0</v>
      </c>
      <c r="EQ684" s="408">
        <v>0</v>
      </c>
      <c r="ER684" s="408">
        <v>0</v>
      </c>
      <c r="ES684" s="408">
        <v>0</v>
      </c>
      <c r="ET684" s="408">
        <v>0</v>
      </c>
      <c r="EU684" s="408">
        <v>0</v>
      </c>
      <c r="EV684" s="408">
        <v>239</v>
      </c>
      <c r="EW684" s="408">
        <v>0</v>
      </c>
      <c r="EX684" s="408">
        <v>0</v>
      </c>
      <c r="EY684" s="408">
        <v>0</v>
      </c>
      <c r="EZ684" s="408"/>
      <c r="FA684" s="408">
        <v>0</v>
      </c>
      <c r="FB684" s="408"/>
      <c r="FC684" s="408"/>
      <c r="FD684" s="408"/>
      <c r="FE684" s="408"/>
      <c r="FF684" s="408">
        <v>0</v>
      </c>
      <c r="FG684" s="408">
        <v>0</v>
      </c>
      <c r="FH684" s="408">
        <v>0</v>
      </c>
      <c r="FI684" s="408">
        <v>0</v>
      </c>
    </row>
    <row r="685" spans="1:165">
      <c r="A685" s="408">
        <v>690</v>
      </c>
      <c r="B685" s="408" t="s">
        <v>1034</v>
      </c>
      <c r="C685" s="408" t="s">
        <v>2233</v>
      </c>
      <c r="D685" s="408" t="s">
        <v>2243</v>
      </c>
      <c r="E685" s="408" t="s">
        <v>972</v>
      </c>
      <c r="F685" s="408" t="s">
        <v>2251</v>
      </c>
      <c r="G685" s="408" t="s">
        <v>2253</v>
      </c>
      <c r="H685" s="408" t="s">
        <v>1320</v>
      </c>
      <c r="I685" s="408" t="s">
        <v>1320</v>
      </c>
      <c r="J685" s="408" t="s">
        <v>2234</v>
      </c>
      <c r="K685" s="827">
        <v>44682</v>
      </c>
      <c r="L685" s="408">
        <v>0</v>
      </c>
      <c r="M685" s="408">
        <v>0</v>
      </c>
      <c r="N685" s="408">
        <v>1.4039999999999999</v>
      </c>
      <c r="O685" s="408">
        <v>0.56159999999999999</v>
      </c>
      <c r="P685" s="408">
        <v>1.4039999999999999</v>
      </c>
      <c r="Q685" s="408">
        <v>0.56159999999999999</v>
      </c>
      <c r="R685" s="408"/>
      <c r="S685" s="408">
        <v>516.83000000000004</v>
      </c>
      <c r="T685" s="408">
        <v>173.82</v>
      </c>
      <c r="U685" s="408"/>
      <c r="V685" s="408">
        <v>969.67259999999999</v>
      </c>
      <c r="W685" s="408">
        <v>969.67259999999999</v>
      </c>
      <c r="X685" s="408">
        <v>732.11580000000004</v>
      </c>
      <c r="Y685" s="408">
        <v>0</v>
      </c>
      <c r="Z685" s="408">
        <v>85.853835884265266</v>
      </c>
      <c r="AA685" s="408">
        <v>0</v>
      </c>
      <c r="AB685" s="408">
        <v>0</v>
      </c>
      <c r="AC685" s="408">
        <v>3.8166954790407814</v>
      </c>
      <c r="AD685" s="408">
        <v>48.334962576980658</v>
      </c>
      <c r="AE685" s="408">
        <v>510.51657641404535</v>
      </c>
      <c r="AF685" s="408">
        <v>225.93467830018034</v>
      </c>
      <c r="AG685" s="408">
        <v>11.366595010461687</v>
      </c>
      <c r="AH685" s="408">
        <v>0</v>
      </c>
      <c r="AI685" s="408">
        <v>0</v>
      </c>
      <c r="AJ685" s="408">
        <v>0</v>
      </c>
      <c r="AK685" s="408">
        <v>0</v>
      </c>
      <c r="AL685" s="408">
        <v>13.269901307297411</v>
      </c>
      <c r="AM685" s="408"/>
      <c r="AN685" s="408">
        <v>2.1783649326889645</v>
      </c>
      <c r="AO685" s="408">
        <v>8.1410993059061578</v>
      </c>
      <c r="AP685" s="408">
        <v>26.660999455658896</v>
      </c>
      <c r="AQ685" s="408">
        <v>0</v>
      </c>
      <c r="AR685" s="408">
        <v>0</v>
      </c>
      <c r="AS685" s="408">
        <v>0</v>
      </c>
      <c r="AT685" s="408">
        <v>0</v>
      </c>
      <c r="AU685" s="408">
        <v>0</v>
      </c>
      <c r="AV685" s="408">
        <v>0</v>
      </c>
      <c r="AW685" s="408">
        <v>0</v>
      </c>
      <c r="AX685" s="408">
        <v>0</v>
      </c>
      <c r="AY685" s="408">
        <v>0</v>
      </c>
      <c r="AZ685" s="408">
        <v>0</v>
      </c>
      <c r="BA685" s="408"/>
      <c r="BB685" s="408">
        <v>0</v>
      </c>
      <c r="BC685" s="408">
        <v>0</v>
      </c>
      <c r="BD685" s="408">
        <v>0</v>
      </c>
      <c r="BE685" s="408">
        <v>0.77895691434115688</v>
      </c>
      <c r="BF685" s="408">
        <v>6.747186425795566</v>
      </c>
      <c r="BG685" s="408">
        <v>26.083965781428564</v>
      </c>
      <c r="BH685" s="408">
        <v>0</v>
      </c>
      <c r="BI685" s="408">
        <v>0</v>
      </c>
      <c r="BJ685" s="408">
        <v>0</v>
      </c>
      <c r="BK685" s="408">
        <v>0</v>
      </c>
      <c r="BL685" s="408">
        <v>0</v>
      </c>
      <c r="BM685" s="408"/>
      <c r="BN685" s="408"/>
      <c r="BO685" s="408"/>
      <c r="BP685" s="408"/>
      <c r="BQ685" s="408"/>
      <c r="BR685" s="408"/>
      <c r="BS685" s="408">
        <v>474.40879199999995</v>
      </c>
      <c r="BT685" s="408"/>
      <c r="BU685" s="408"/>
      <c r="BV685" s="408">
        <v>259.54478742174564</v>
      </c>
      <c r="BW685" s="408"/>
      <c r="BX685" s="408"/>
      <c r="BY685" s="408"/>
      <c r="BZ685" s="408"/>
      <c r="CA685" s="408"/>
      <c r="CB685" s="408"/>
      <c r="CC685" s="408"/>
      <c r="CD685" s="408"/>
      <c r="CE685" s="408"/>
      <c r="CF685" s="408"/>
      <c r="CG685" s="408"/>
      <c r="CH685" s="408"/>
      <c r="CI685" s="408">
        <v>256.97280000000001</v>
      </c>
      <c r="CJ685" s="408">
        <v>-84.380831999999941</v>
      </c>
      <c r="CK685" s="408"/>
      <c r="CL685" s="408"/>
      <c r="CM685" s="408"/>
      <c r="CN685" s="408"/>
      <c r="CO685" s="408">
        <v>-267.30756000000002</v>
      </c>
      <c r="CP685" s="408">
        <v>29.750759999999996</v>
      </c>
      <c r="CQ685" s="408">
        <v>31</v>
      </c>
      <c r="CR685" s="408">
        <v>32.721454135667386</v>
      </c>
      <c r="CS685" s="408">
        <v>0.79044930943465985</v>
      </c>
      <c r="CT685" s="408">
        <v>2.5886146104707599</v>
      </c>
      <c r="CU685" s="408">
        <v>0</v>
      </c>
      <c r="CV685" s="408">
        <v>0</v>
      </c>
      <c r="CW685" s="408">
        <v>0</v>
      </c>
      <c r="CX685" s="408">
        <v>0</v>
      </c>
      <c r="CY685" s="408">
        <v>0</v>
      </c>
      <c r="CZ685" s="408">
        <v>-0.92678462396038697</v>
      </c>
      <c r="DA685" s="408">
        <v>0</v>
      </c>
      <c r="DB685" s="408">
        <v>0</v>
      </c>
      <c r="DC685" s="408">
        <v>29.001213001714831</v>
      </c>
      <c r="DD685" s="408">
        <v>0.86607594800825538</v>
      </c>
      <c r="DE685" s="408">
        <v>9.9987729028259364E-2</v>
      </c>
      <c r="DF685" s="408">
        <v>0</v>
      </c>
      <c r="DG685" s="408">
        <v>3.348165289400896</v>
      </c>
      <c r="DH685" s="408">
        <v>0</v>
      </c>
      <c r="DI685" s="408">
        <v>-2.5091217546113569</v>
      </c>
      <c r="DJ685" s="408"/>
      <c r="DK685" s="408">
        <v>0</v>
      </c>
      <c r="DL685" s="408">
        <v>0</v>
      </c>
      <c r="DM685" s="408">
        <v>-0.1263355317973005</v>
      </c>
      <c r="DN685" s="408">
        <v>0</v>
      </c>
      <c r="DO685" s="408">
        <v>-0.34368586036570115</v>
      </c>
      <c r="DP685" s="408">
        <v>-6.7123981655523135E-2</v>
      </c>
      <c r="DQ685" s="408">
        <v>0</v>
      </c>
      <c r="DR685" s="408">
        <v>0</v>
      </c>
      <c r="DS685" s="408"/>
      <c r="DT685" s="408"/>
      <c r="DU685" s="408"/>
      <c r="DV685" s="408">
        <v>510.51657641404535</v>
      </c>
      <c r="DW685" s="408">
        <v>0</v>
      </c>
      <c r="DX685" s="408">
        <v>0</v>
      </c>
      <c r="DY685" s="408">
        <v>-267.30756000000002</v>
      </c>
      <c r="DZ685" s="408">
        <v>29.750760000000014</v>
      </c>
      <c r="EA685" s="408">
        <v>0</v>
      </c>
      <c r="EB685" s="408">
        <v>0</v>
      </c>
      <c r="EC685" s="408">
        <v>-270.29146193301466</v>
      </c>
      <c r="ED685" s="408">
        <v>0</v>
      </c>
      <c r="EE685" s="408">
        <v>0</v>
      </c>
      <c r="EF685" s="408">
        <v>0</v>
      </c>
      <c r="EG685" s="408">
        <v>0</v>
      </c>
      <c r="EH685" s="408">
        <v>0</v>
      </c>
      <c r="EI685" s="408">
        <v>0</v>
      </c>
      <c r="EJ685" s="408">
        <v>0</v>
      </c>
      <c r="EK685" s="408">
        <v>0</v>
      </c>
      <c r="EL685" s="408">
        <v>0</v>
      </c>
      <c r="EM685" s="408">
        <v>0</v>
      </c>
      <c r="EN685" s="408">
        <v>0</v>
      </c>
      <c r="EO685" s="408">
        <v>0</v>
      </c>
      <c r="EP685" s="408">
        <v>0</v>
      </c>
      <c r="EQ685" s="408">
        <v>0</v>
      </c>
      <c r="ER685" s="408">
        <v>0</v>
      </c>
      <c r="ES685" s="408">
        <v>0</v>
      </c>
      <c r="ET685" s="408">
        <v>0</v>
      </c>
      <c r="EU685" s="408">
        <v>0</v>
      </c>
      <c r="EV685" s="408">
        <v>239</v>
      </c>
      <c r="EW685" s="408">
        <v>0</v>
      </c>
      <c r="EX685" s="408">
        <v>0</v>
      </c>
      <c r="EY685" s="408">
        <v>0</v>
      </c>
      <c r="EZ685" s="408"/>
      <c r="FA685" s="408">
        <v>0</v>
      </c>
      <c r="FB685" s="408"/>
      <c r="FC685" s="408"/>
      <c r="FD685" s="408"/>
      <c r="FE685" s="408"/>
      <c r="FF685" s="408">
        <v>0</v>
      </c>
      <c r="FG685" s="408">
        <v>0</v>
      </c>
      <c r="FH685" s="408">
        <v>0</v>
      </c>
      <c r="FI685" s="408">
        <v>0</v>
      </c>
    </row>
    <row r="686" spans="1:165">
      <c r="A686" s="408">
        <v>692</v>
      </c>
      <c r="B686" s="408" t="s">
        <v>1034</v>
      </c>
      <c r="C686" s="408" t="s">
        <v>2241</v>
      </c>
      <c r="D686" s="408" t="s">
        <v>596</v>
      </c>
      <c r="E686" s="408" t="s">
        <v>972</v>
      </c>
      <c r="F686" s="408" t="s">
        <v>2251</v>
      </c>
      <c r="G686" s="408" t="s">
        <v>1320</v>
      </c>
      <c r="H686" s="408" t="s">
        <v>1320</v>
      </c>
      <c r="I686" s="408" t="s">
        <v>971</v>
      </c>
      <c r="J686" s="408" t="s">
        <v>2234</v>
      </c>
      <c r="K686" s="827">
        <v>44682</v>
      </c>
      <c r="L686" s="408">
        <v>0</v>
      </c>
      <c r="M686" s="408">
        <v>0</v>
      </c>
      <c r="N686" s="408">
        <v>6.4000000000000001E-2</v>
      </c>
      <c r="O686" s="408">
        <v>6.1440000000000002E-2</v>
      </c>
      <c r="P686" s="408">
        <v>6.4000000000000001E-2</v>
      </c>
      <c r="Q686" s="408">
        <v>6.1440000000000002E-2</v>
      </c>
      <c r="R686" s="408"/>
      <c r="S686" s="408">
        <v>1684.16</v>
      </c>
      <c r="T686" s="408">
        <v>173.82</v>
      </c>
      <c r="U686" s="408"/>
      <c r="V686" s="408">
        <v>118.91072000000001</v>
      </c>
      <c r="W686" s="408">
        <v>118.91072000000001</v>
      </c>
      <c r="X686" s="408">
        <v>81.629440000000002</v>
      </c>
      <c r="Y686" s="408">
        <v>0</v>
      </c>
      <c r="Z686" s="408">
        <v>3.4048016966067651</v>
      </c>
      <c r="AA686" s="408">
        <v>0</v>
      </c>
      <c r="AB686" s="408">
        <v>0</v>
      </c>
      <c r="AC686" s="408">
        <v>1.1519615910230656</v>
      </c>
      <c r="AD686" s="408">
        <v>17.573499467521984</v>
      </c>
      <c r="AE686" s="408">
        <v>74.130717151721612</v>
      </c>
      <c r="AF686" s="408">
        <v>10.299016674652096</v>
      </c>
      <c r="AG686" s="408">
        <v>0.51813538509227064</v>
      </c>
      <c r="AH686" s="408">
        <v>0</v>
      </c>
      <c r="AI686" s="408">
        <v>0</v>
      </c>
      <c r="AJ686" s="408">
        <v>0</v>
      </c>
      <c r="AK686" s="408">
        <v>0</v>
      </c>
      <c r="AL686" s="408">
        <v>0.60489578608763139</v>
      </c>
      <c r="AM686" s="408"/>
      <c r="AN686" s="408">
        <v>7.953476260344064E-2</v>
      </c>
      <c r="AO686" s="408">
        <v>2.4739931922607616</v>
      </c>
      <c r="AP686" s="408">
        <v>7.9551149445614087</v>
      </c>
      <c r="AQ686" s="408">
        <v>0</v>
      </c>
      <c r="AR686" s="408">
        <v>0</v>
      </c>
      <c r="AS686" s="408">
        <v>0</v>
      </c>
      <c r="AT686" s="408">
        <v>0</v>
      </c>
      <c r="AU686" s="408">
        <v>0</v>
      </c>
      <c r="AV686" s="408">
        <v>0</v>
      </c>
      <c r="AW686" s="408">
        <v>0</v>
      </c>
      <c r="AX686" s="408">
        <v>0</v>
      </c>
      <c r="AY686" s="408">
        <v>0</v>
      </c>
      <c r="AZ686" s="408">
        <v>0</v>
      </c>
      <c r="BA686" s="408"/>
      <c r="BB686" s="408">
        <v>0</v>
      </c>
      <c r="BC686" s="408">
        <v>0</v>
      </c>
      <c r="BD686" s="408">
        <v>0</v>
      </c>
      <c r="BE686" s="408">
        <v>1.1941991980566145E-2</v>
      </c>
      <c r="BF686" s="408">
        <v>0.30756405359751871</v>
      </c>
      <c r="BG686" s="408">
        <v>0.39988670034034429</v>
      </c>
      <c r="BH686" s="408">
        <v>0</v>
      </c>
      <c r="BI686" s="408">
        <v>0</v>
      </c>
      <c r="BJ686" s="408">
        <v>0</v>
      </c>
      <c r="BK686" s="408">
        <v>0</v>
      </c>
      <c r="BL686" s="408">
        <v>0</v>
      </c>
      <c r="BM686" s="408"/>
      <c r="BN686" s="408"/>
      <c r="BO686" s="408"/>
      <c r="BP686" s="408"/>
      <c r="BQ686" s="408"/>
      <c r="BR686" s="408">
        <v>3.2651775999999999</v>
      </c>
      <c r="BS686" s="408"/>
      <c r="BT686" s="408"/>
      <c r="BU686" s="408"/>
      <c r="BV686" s="408">
        <v>11.018409420570524</v>
      </c>
      <c r="BW686" s="408"/>
      <c r="BX686" s="408"/>
      <c r="BY686" s="408"/>
      <c r="BZ686" s="408"/>
      <c r="CA686" s="408"/>
      <c r="CB686" s="408"/>
      <c r="CC686" s="408"/>
      <c r="CD686" s="408"/>
      <c r="CE686" s="408"/>
      <c r="CF686" s="408"/>
      <c r="CG686" s="408"/>
      <c r="CH686" s="408"/>
      <c r="CI686" s="408">
        <v>76.527599999999993</v>
      </c>
      <c r="CJ686" s="408">
        <v>-37.656691200000026</v>
      </c>
      <c r="CK686" s="408"/>
      <c r="CL686" s="408"/>
      <c r="CM686" s="408"/>
      <c r="CN686" s="408"/>
      <c r="CO686" s="408">
        <v>-38.637440000000005</v>
      </c>
      <c r="CP686" s="408">
        <v>1.3561599999999998</v>
      </c>
      <c r="CQ686" s="408">
        <v>31</v>
      </c>
      <c r="CR686" s="408">
        <v>1.966593897949295</v>
      </c>
      <c r="CS686" s="408">
        <v>0.24020910897743342</v>
      </c>
      <c r="CT686" s="408">
        <v>0.77239140294476805</v>
      </c>
      <c r="CU686" s="408">
        <v>0</v>
      </c>
      <c r="CV686" s="408">
        <v>0</v>
      </c>
      <c r="CW686" s="408">
        <v>0</v>
      </c>
      <c r="CX686" s="408">
        <v>0</v>
      </c>
      <c r="CY686" s="408">
        <v>0</v>
      </c>
      <c r="CZ686" s="408">
        <v>-0.33695793329183843</v>
      </c>
      <c r="DA686" s="408">
        <v>0</v>
      </c>
      <c r="DB686" s="408">
        <v>0</v>
      </c>
      <c r="DC686" s="408">
        <v>1.3219926154627846</v>
      </c>
      <c r="DD686" s="408">
        <v>3.9479245493253823E-2</v>
      </c>
      <c r="DE686" s="408">
        <v>1.5328866542258564E-3</v>
      </c>
      <c r="DF686" s="408">
        <v>0</v>
      </c>
      <c r="DG686" s="408">
        <v>5.1329877557417636E-2</v>
      </c>
      <c r="DH686" s="408">
        <v>0</v>
      </c>
      <c r="DI686" s="408">
        <v>-9.950705078117128E-2</v>
      </c>
      <c r="DJ686" s="408"/>
      <c r="DK686" s="408">
        <v>0</v>
      </c>
      <c r="DL686" s="408">
        <v>0</v>
      </c>
      <c r="DM686" s="408">
        <v>-5.7588846403326954E-3</v>
      </c>
      <c r="DN686" s="408">
        <v>0</v>
      </c>
      <c r="DO686" s="408">
        <v>-1.5666591925502127E-2</v>
      </c>
      <c r="DP686" s="408">
        <v>-2.4507785017363198E-3</v>
      </c>
      <c r="DQ686" s="408">
        <v>0</v>
      </c>
      <c r="DR686" s="408">
        <v>0</v>
      </c>
      <c r="DS686" s="408"/>
      <c r="DT686" s="408"/>
      <c r="DU686" s="408"/>
      <c r="DV686" s="408">
        <v>74.130717151721612</v>
      </c>
      <c r="DW686" s="408">
        <v>0</v>
      </c>
      <c r="DX686" s="408">
        <v>0</v>
      </c>
      <c r="DY686" s="408">
        <v>-38.637439999999998</v>
      </c>
      <c r="DZ686" s="408">
        <v>1.3561599999999991</v>
      </c>
      <c r="EA686" s="408">
        <v>0</v>
      </c>
      <c r="EB686" s="408">
        <v>0</v>
      </c>
      <c r="EC686" s="408">
        <v>-39.248284656737674</v>
      </c>
      <c r="ED686" s="408">
        <v>0</v>
      </c>
      <c r="EE686" s="408">
        <v>0</v>
      </c>
      <c r="EF686" s="408">
        <v>0</v>
      </c>
      <c r="EG686" s="408">
        <v>0</v>
      </c>
      <c r="EH686" s="408">
        <v>0</v>
      </c>
      <c r="EI686" s="408">
        <v>0</v>
      </c>
      <c r="EJ686" s="408">
        <v>0</v>
      </c>
      <c r="EK686" s="408">
        <v>0</v>
      </c>
      <c r="EL686" s="408">
        <v>0</v>
      </c>
      <c r="EM686" s="408">
        <v>0</v>
      </c>
      <c r="EN686" s="408">
        <v>0</v>
      </c>
      <c r="EO686" s="408">
        <v>0</v>
      </c>
      <c r="EP686" s="408">
        <v>0</v>
      </c>
      <c r="EQ686" s="408">
        <v>0</v>
      </c>
      <c r="ER686" s="408">
        <v>0</v>
      </c>
      <c r="ES686" s="408">
        <v>0</v>
      </c>
      <c r="ET686" s="408">
        <v>0</v>
      </c>
      <c r="EU686" s="408">
        <v>0</v>
      </c>
      <c r="EV686" s="408">
        <v>239</v>
      </c>
      <c r="EW686" s="408">
        <v>0</v>
      </c>
      <c r="EX686" s="408">
        <v>0</v>
      </c>
      <c r="EY686" s="408">
        <v>0</v>
      </c>
      <c r="EZ686" s="408"/>
      <c r="FA686" s="408">
        <v>0</v>
      </c>
      <c r="FB686" s="408"/>
      <c r="FC686" s="408"/>
      <c r="FD686" s="408"/>
      <c r="FE686" s="408"/>
      <c r="FF686" s="408">
        <v>0</v>
      </c>
      <c r="FG686" s="408">
        <v>0</v>
      </c>
      <c r="FH686" s="408">
        <v>0</v>
      </c>
      <c r="FI686" s="408">
        <v>0</v>
      </c>
    </row>
    <row r="687" spans="1:165">
      <c r="A687" s="408">
        <v>693</v>
      </c>
      <c r="B687" s="408" t="s">
        <v>1034</v>
      </c>
      <c r="C687" s="408" t="s">
        <v>2241</v>
      </c>
      <c r="D687" s="408" t="s">
        <v>596</v>
      </c>
      <c r="E687" s="408" t="s">
        <v>972</v>
      </c>
      <c r="F687" s="408" t="s">
        <v>2251</v>
      </c>
      <c r="G687" s="408" t="s">
        <v>1320</v>
      </c>
      <c r="H687" s="408" t="s">
        <v>1320</v>
      </c>
      <c r="I687" s="408" t="s">
        <v>2242</v>
      </c>
      <c r="J687" s="408" t="s">
        <v>2234</v>
      </c>
      <c r="K687" s="827">
        <v>44682</v>
      </c>
      <c r="L687" s="408">
        <v>0</v>
      </c>
      <c r="M687" s="408">
        <v>0</v>
      </c>
      <c r="N687" s="408">
        <v>0.37</v>
      </c>
      <c r="O687" s="408">
        <v>0.35520000000000002</v>
      </c>
      <c r="P687" s="408">
        <v>0.37</v>
      </c>
      <c r="Q687" s="408">
        <v>0.35520000000000002</v>
      </c>
      <c r="R687" s="408"/>
      <c r="S687" s="408">
        <v>70.33</v>
      </c>
      <c r="T687" s="408">
        <v>173.82</v>
      </c>
      <c r="U687" s="408"/>
      <c r="V687" s="408">
        <v>90.335499999999996</v>
      </c>
      <c r="W687" s="408">
        <v>90.335499999999996</v>
      </c>
      <c r="X687" s="408">
        <v>97.802099999999996</v>
      </c>
      <c r="Y687" s="408">
        <v>0</v>
      </c>
      <c r="Z687" s="408">
        <v>19.684009808507859</v>
      </c>
      <c r="AA687" s="408">
        <v>0</v>
      </c>
      <c r="AB687" s="408">
        <v>0</v>
      </c>
      <c r="AC687" s="408">
        <v>0</v>
      </c>
      <c r="AD687" s="408">
        <v>0</v>
      </c>
      <c r="AE687" s="408">
        <v>0</v>
      </c>
      <c r="AF687" s="408">
        <v>59.541190150332426</v>
      </c>
      <c r="AG687" s="408">
        <v>2.9954701950646898</v>
      </c>
      <c r="AH687" s="408">
        <v>0</v>
      </c>
      <c r="AI687" s="408">
        <v>0</v>
      </c>
      <c r="AJ687" s="408">
        <v>0</v>
      </c>
      <c r="AK687" s="408">
        <v>0</v>
      </c>
      <c r="AL687" s="408">
        <v>3.4970537633191188</v>
      </c>
      <c r="AM687" s="408"/>
      <c r="AN687" s="408">
        <v>0.4598103463011412</v>
      </c>
      <c r="AO687" s="408">
        <v>0</v>
      </c>
      <c r="AP687" s="408">
        <v>0</v>
      </c>
      <c r="AQ687" s="408">
        <v>0</v>
      </c>
      <c r="AR687" s="408">
        <v>0</v>
      </c>
      <c r="AS687" s="408">
        <v>0</v>
      </c>
      <c r="AT687" s="408">
        <v>0</v>
      </c>
      <c r="AU687" s="408">
        <v>0</v>
      </c>
      <c r="AV687" s="408">
        <v>0</v>
      </c>
      <c r="AW687" s="408">
        <v>0</v>
      </c>
      <c r="AX687" s="408">
        <v>0</v>
      </c>
      <c r="AY687" s="408">
        <v>0</v>
      </c>
      <c r="AZ687" s="408">
        <v>0</v>
      </c>
      <c r="BA687" s="408"/>
      <c r="BB687" s="408">
        <v>0</v>
      </c>
      <c r="BC687" s="408">
        <v>0</v>
      </c>
      <c r="BD687" s="408">
        <v>0</v>
      </c>
      <c r="BE687" s="408">
        <v>6.9039641137648017E-2</v>
      </c>
      <c r="BF687" s="408">
        <v>1.778104684860655</v>
      </c>
      <c r="BG687" s="408">
        <v>2.3118449863426154</v>
      </c>
      <c r="BH687" s="408">
        <v>0</v>
      </c>
      <c r="BI687" s="408">
        <v>0</v>
      </c>
      <c r="BJ687" s="408">
        <v>0</v>
      </c>
      <c r="BK687" s="408">
        <v>0</v>
      </c>
      <c r="BL687" s="408">
        <v>0</v>
      </c>
      <c r="BM687" s="408"/>
      <c r="BN687" s="408"/>
      <c r="BO687" s="408"/>
      <c r="BP687" s="408"/>
      <c r="BQ687" s="408"/>
      <c r="BR687" s="408">
        <v>3.9120839999999943</v>
      </c>
      <c r="BS687" s="408"/>
      <c r="BT687" s="408"/>
      <c r="BU687" s="408"/>
      <c r="BV687" s="408">
        <v>63.700179462673347</v>
      </c>
      <c r="BW687" s="408"/>
      <c r="BX687" s="408"/>
      <c r="BY687" s="408"/>
      <c r="BZ687" s="408"/>
      <c r="CA687" s="408"/>
      <c r="CB687" s="408"/>
      <c r="CC687" s="408"/>
      <c r="CD687" s="408"/>
      <c r="CE687" s="408"/>
      <c r="CF687" s="408"/>
      <c r="CG687" s="408"/>
      <c r="CH687" s="408"/>
      <c r="CI687" s="408">
        <v>95.158799999999985</v>
      </c>
      <c r="CJ687" s="408">
        <v>8.4067199999999787</v>
      </c>
      <c r="CK687" s="408"/>
      <c r="CL687" s="408"/>
      <c r="CM687" s="408"/>
      <c r="CN687" s="408"/>
      <c r="CO687" s="408">
        <v>-0.37370000000000186</v>
      </c>
      <c r="CP687" s="408">
        <v>7.8402999999999992</v>
      </c>
      <c r="CQ687" s="408">
        <v>31</v>
      </c>
      <c r="CR687" s="408">
        <v>7.4633123148126401</v>
      </c>
      <c r="CS687" s="408">
        <v>0</v>
      </c>
      <c r="CT687" s="408">
        <v>0</v>
      </c>
      <c r="CU687" s="408">
        <v>0</v>
      </c>
      <c r="CV687" s="408">
        <v>0</v>
      </c>
      <c r="CW687" s="408">
        <v>0</v>
      </c>
      <c r="CX687" s="408">
        <v>0</v>
      </c>
      <c r="CY687" s="408">
        <v>0</v>
      </c>
      <c r="CZ687" s="408">
        <v>0</v>
      </c>
      <c r="DA687" s="408">
        <v>0</v>
      </c>
      <c r="DB687" s="408">
        <v>0</v>
      </c>
      <c r="DC687" s="408">
        <v>7.642769808144223</v>
      </c>
      <c r="DD687" s="408">
        <v>0.22823938800787347</v>
      </c>
      <c r="DE687" s="408">
        <v>8.8620009697432389E-3</v>
      </c>
      <c r="DF687" s="408">
        <v>0</v>
      </c>
      <c r="DG687" s="408">
        <v>0.29675085462882045</v>
      </c>
      <c r="DH687" s="408">
        <v>0</v>
      </c>
      <c r="DI687" s="408">
        <v>-0.57527513732864577</v>
      </c>
      <c r="DJ687" s="408"/>
      <c r="DK687" s="408">
        <v>0</v>
      </c>
      <c r="DL687" s="408">
        <v>0</v>
      </c>
      <c r="DM687" s="408">
        <v>-3.3293551826923728E-2</v>
      </c>
      <c r="DN687" s="408">
        <v>0</v>
      </c>
      <c r="DO687" s="408">
        <v>-9.0572484569308997E-2</v>
      </c>
      <c r="DP687" s="408">
        <v>-1.4168563213163121E-2</v>
      </c>
      <c r="DQ687" s="408">
        <v>0</v>
      </c>
      <c r="DR687" s="408">
        <v>0</v>
      </c>
      <c r="DS687" s="408"/>
      <c r="DT687" s="408"/>
      <c r="DU687" s="408"/>
      <c r="DV687" s="408">
        <v>0</v>
      </c>
      <c r="DW687" s="408">
        <v>0</v>
      </c>
      <c r="DX687" s="408">
        <v>0</v>
      </c>
      <c r="DY687" s="408">
        <v>-0.37369999999999948</v>
      </c>
      <c r="DZ687" s="408">
        <v>7.8402999999999992</v>
      </c>
      <c r="EA687" s="408">
        <v>0</v>
      </c>
      <c r="EB687" s="408">
        <v>0</v>
      </c>
      <c r="EC687" s="408">
        <v>0</v>
      </c>
      <c r="ED687" s="408">
        <v>0</v>
      </c>
      <c r="EE687" s="408">
        <v>0</v>
      </c>
      <c r="EF687" s="408">
        <v>0</v>
      </c>
      <c r="EG687" s="408">
        <v>0</v>
      </c>
      <c r="EH687" s="408">
        <v>0</v>
      </c>
      <c r="EI687" s="408">
        <v>0</v>
      </c>
      <c r="EJ687" s="408">
        <v>0</v>
      </c>
      <c r="EK687" s="408">
        <v>0</v>
      </c>
      <c r="EL687" s="408">
        <v>0</v>
      </c>
      <c r="EM687" s="408">
        <v>0</v>
      </c>
      <c r="EN687" s="408">
        <v>0</v>
      </c>
      <c r="EO687" s="408">
        <v>0</v>
      </c>
      <c r="EP687" s="408">
        <v>0</v>
      </c>
      <c r="EQ687" s="408">
        <v>0</v>
      </c>
      <c r="ER687" s="408">
        <v>0</v>
      </c>
      <c r="ES687" s="408">
        <v>0</v>
      </c>
      <c r="ET687" s="408">
        <v>0</v>
      </c>
      <c r="EU687" s="408">
        <v>0</v>
      </c>
      <c r="EV687" s="408">
        <v>239</v>
      </c>
      <c r="EW687" s="408">
        <v>0</v>
      </c>
      <c r="EX687" s="408">
        <v>0</v>
      </c>
      <c r="EY687" s="408">
        <v>0</v>
      </c>
      <c r="EZ687" s="408"/>
      <c r="FA687" s="408">
        <v>0</v>
      </c>
      <c r="FB687" s="408"/>
      <c r="FC687" s="408"/>
      <c r="FD687" s="408"/>
      <c r="FE687" s="408"/>
      <c r="FF687" s="408">
        <v>0</v>
      </c>
      <c r="FG687" s="408">
        <v>0</v>
      </c>
      <c r="FH687" s="408">
        <v>0</v>
      </c>
      <c r="FI687" s="408">
        <v>0</v>
      </c>
    </row>
    <row r="688" spans="1:165">
      <c r="A688" s="408">
        <v>694</v>
      </c>
      <c r="B688" s="408" t="s">
        <v>1034</v>
      </c>
      <c r="C688" s="408" t="s">
        <v>2241</v>
      </c>
      <c r="D688" s="408" t="s">
        <v>596</v>
      </c>
      <c r="E688" s="408" t="s">
        <v>972</v>
      </c>
      <c r="F688" s="408" t="s">
        <v>2251</v>
      </c>
      <c r="G688" s="408" t="s">
        <v>1320</v>
      </c>
      <c r="H688" s="408" t="s">
        <v>1320</v>
      </c>
      <c r="I688" s="408" t="s">
        <v>1320</v>
      </c>
      <c r="J688" s="408" t="s">
        <v>2234</v>
      </c>
      <c r="K688" s="827">
        <v>44682</v>
      </c>
      <c r="L688" s="408">
        <v>158</v>
      </c>
      <c r="M688" s="408">
        <v>151.68</v>
      </c>
      <c r="N688" s="408">
        <v>0</v>
      </c>
      <c r="O688" s="408">
        <v>0</v>
      </c>
      <c r="P688" s="408">
        <v>0</v>
      </c>
      <c r="Q688" s="408">
        <v>0</v>
      </c>
      <c r="R688" s="408">
        <v>59.12</v>
      </c>
      <c r="S688" s="408"/>
      <c r="T688" s="408"/>
      <c r="U688" s="408">
        <v>9340.9599999999991</v>
      </c>
      <c r="V688" s="408"/>
      <c r="W688" s="408">
        <v>9340.9599999999991</v>
      </c>
      <c r="X688" s="408">
        <v>5376.74</v>
      </c>
      <c r="Y688" s="408">
        <v>0</v>
      </c>
      <c r="Z688" s="408">
        <v>0</v>
      </c>
      <c r="AA688" s="408">
        <v>0</v>
      </c>
      <c r="AB688" s="408">
        <v>0</v>
      </c>
      <c r="AC688" s="408">
        <v>90.385537406721767</v>
      </c>
      <c r="AD688" s="408">
        <v>808.48957881303795</v>
      </c>
      <c r="AE688" s="408">
        <v>7609.5640448872109</v>
      </c>
      <c r="AF688" s="408"/>
      <c r="AG688" s="408"/>
      <c r="AH688" s="408"/>
      <c r="AI688" s="408">
        <v>0</v>
      </c>
      <c r="AJ688" s="408">
        <v>0</v>
      </c>
      <c r="AK688" s="408">
        <v>0</v>
      </c>
      <c r="AL688" s="408">
        <v>0</v>
      </c>
      <c r="AM688" s="408"/>
      <c r="AN688" s="408">
        <v>0</v>
      </c>
      <c r="AO688" s="408">
        <v>190.87539427902948</v>
      </c>
      <c r="AP688" s="408">
        <v>641.63608251515052</v>
      </c>
      <c r="AQ688" s="408">
        <v>0</v>
      </c>
      <c r="AR688" s="408">
        <v>0</v>
      </c>
      <c r="AS688" s="408"/>
      <c r="AT688" s="408"/>
      <c r="AU688" s="408">
        <v>0</v>
      </c>
      <c r="AV688" s="408">
        <v>0</v>
      </c>
      <c r="AW688" s="408">
        <v>0</v>
      </c>
      <c r="AX688" s="408"/>
      <c r="AY688" s="408"/>
      <c r="AZ688" s="408">
        <v>0</v>
      </c>
      <c r="BA688" s="408"/>
      <c r="BB688" s="408">
        <v>0</v>
      </c>
      <c r="BC688" s="408">
        <v>0</v>
      </c>
      <c r="BD688" s="408">
        <v>0</v>
      </c>
      <c r="BE688" s="408">
        <v>0</v>
      </c>
      <c r="BF688" s="408"/>
      <c r="BG688" s="408">
        <v>0</v>
      </c>
      <c r="BH688" s="408">
        <v>0</v>
      </c>
      <c r="BI688" s="408">
        <v>42.26</v>
      </c>
      <c r="BJ688" s="408">
        <v>194.99</v>
      </c>
      <c r="BK688" s="408">
        <v>12.03</v>
      </c>
      <c r="BL688" s="408">
        <v>9</v>
      </c>
      <c r="BM688" s="408"/>
      <c r="BN688" s="408"/>
      <c r="BO688" s="408"/>
      <c r="BP688" s="408"/>
      <c r="BQ688" s="408"/>
      <c r="BR688" s="408">
        <v>215.06959999999978</v>
      </c>
      <c r="BS688" s="408"/>
      <c r="BT688" s="408"/>
      <c r="BU688" s="408"/>
      <c r="BV688" s="408">
        <v>0</v>
      </c>
      <c r="BW688" s="408"/>
      <c r="BX688" s="408"/>
      <c r="BY688" s="408"/>
      <c r="BZ688" s="408"/>
      <c r="CA688" s="408"/>
      <c r="CB688" s="408"/>
      <c r="CC688" s="408"/>
      <c r="CD688" s="408"/>
      <c r="CE688" s="408"/>
      <c r="CF688" s="408"/>
      <c r="CG688" s="408"/>
      <c r="CH688" s="408"/>
      <c r="CI688" s="408">
        <v>5161.6704</v>
      </c>
      <c r="CJ688" s="408">
        <v>-3805.6812</v>
      </c>
      <c r="CK688" s="408"/>
      <c r="CL688" s="408"/>
      <c r="CM688" s="408"/>
      <c r="CN688" s="408"/>
      <c r="CO688" s="408">
        <v>-3964.2199999999993</v>
      </c>
      <c r="CP688" s="408">
        <v>0</v>
      </c>
      <c r="CQ688" s="408">
        <v>31</v>
      </c>
      <c r="CR688" s="408">
        <v>65.329457510236125</v>
      </c>
      <c r="CS688" s="408">
        <v>18.532794887597873</v>
      </c>
      <c r="CT688" s="408">
        <v>62.298809936454745</v>
      </c>
      <c r="CU688" s="408">
        <v>0</v>
      </c>
      <c r="CV688" s="408">
        <v>0</v>
      </c>
      <c r="CW688" s="408"/>
      <c r="CX688" s="408"/>
      <c r="CY688" s="408"/>
      <c r="CZ688" s="408">
        <v>-15.502147313816522</v>
      </c>
      <c r="DA688" s="408">
        <v>0</v>
      </c>
      <c r="DB688" s="408">
        <v>0</v>
      </c>
      <c r="DC688" s="408"/>
      <c r="DD688" s="408"/>
      <c r="DE688" s="408">
        <v>0</v>
      </c>
      <c r="DF688" s="408">
        <v>0</v>
      </c>
      <c r="DG688" s="408">
        <v>0</v>
      </c>
      <c r="DH688" s="408">
        <v>0</v>
      </c>
      <c r="DI688" s="408">
        <v>0</v>
      </c>
      <c r="DJ688" s="408"/>
      <c r="DK688" s="408">
        <v>0</v>
      </c>
      <c r="DL688" s="408">
        <v>0</v>
      </c>
      <c r="DM688" s="408"/>
      <c r="DN688" s="408">
        <v>0</v>
      </c>
      <c r="DO688" s="408">
        <v>0</v>
      </c>
      <c r="DP688" s="408">
        <v>0</v>
      </c>
      <c r="DQ688" s="408">
        <v>0</v>
      </c>
      <c r="DR688" s="408">
        <v>0</v>
      </c>
      <c r="DS688" s="408"/>
      <c r="DT688" s="408"/>
      <c r="DU688" s="408">
        <v>7609.5640448872109</v>
      </c>
      <c r="DV688" s="408"/>
      <c r="DW688" s="408">
        <v>0</v>
      </c>
      <c r="DX688" s="408">
        <v>0</v>
      </c>
      <c r="DY688" s="408">
        <v>-3964.2199999999993</v>
      </c>
      <c r="DZ688" s="408"/>
      <c r="EA688" s="408">
        <v>0</v>
      </c>
      <c r="EB688" s="408"/>
      <c r="EC688" s="408">
        <v>-4028.8607371239204</v>
      </c>
      <c r="ED688" s="408"/>
      <c r="EE688" s="408">
        <v>0</v>
      </c>
      <c r="EF688" s="408">
        <v>0</v>
      </c>
      <c r="EG688" s="408"/>
      <c r="EH688" s="408">
        <v>0</v>
      </c>
      <c r="EI688" s="408">
        <v>0</v>
      </c>
      <c r="EJ688" s="408">
        <v>0</v>
      </c>
      <c r="EK688" s="408">
        <v>0</v>
      </c>
      <c r="EL688" s="408">
        <v>0</v>
      </c>
      <c r="EM688" s="408"/>
      <c r="EN688" s="408"/>
      <c r="EO688" s="408">
        <v>0</v>
      </c>
      <c r="EP688" s="408">
        <v>0</v>
      </c>
      <c r="EQ688" s="408"/>
      <c r="ER688" s="408">
        <v>0</v>
      </c>
      <c r="ES688" s="408"/>
      <c r="ET688" s="408">
        <v>0</v>
      </c>
      <c r="EU688" s="408"/>
      <c r="EV688" s="408">
        <v>239</v>
      </c>
      <c r="EW688" s="408"/>
      <c r="EX688" s="408"/>
      <c r="EY688" s="408"/>
      <c r="EZ688" s="408"/>
      <c r="FA688" s="408">
        <v>0</v>
      </c>
      <c r="FB688" s="408"/>
      <c r="FC688" s="408"/>
      <c r="FD688" s="408"/>
      <c r="FE688" s="408"/>
      <c r="FF688" s="408">
        <v>0</v>
      </c>
      <c r="FG688" s="408">
        <v>0</v>
      </c>
      <c r="FH688" s="408">
        <v>0</v>
      </c>
      <c r="FI688" s="408">
        <v>0</v>
      </c>
    </row>
    <row r="689" spans="1:165">
      <c r="A689" s="408">
        <v>695</v>
      </c>
      <c r="B689" s="408" t="s">
        <v>1034</v>
      </c>
      <c r="C689" s="408" t="s">
        <v>2241</v>
      </c>
      <c r="D689" s="408" t="s">
        <v>596</v>
      </c>
      <c r="E689" s="408" t="s">
        <v>972</v>
      </c>
      <c r="F689" s="408" t="s">
        <v>2251</v>
      </c>
      <c r="G689" s="408" t="s">
        <v>2253</v>
      </c>
      <c r="H689" s="408" t="s">
        <v>1320</v>
      </c>
      <c r="I689" s="408" t="s">
        <v>2242</v>
      </c>
      <c r="J689" s="408" t="s">
        <v>2234</v>
      </c>
      <c r="K689" s="827">
        <v>44682</v>
      </c>
      <c r="L689" s="408">
        <v>0</v>
      </c>
      <c r="M689" s="408">
        <v>0</v>
      </c>
      <c r="N689" s="408">
        <v>0.25700000000000001</v>
      </c>
      <c r="O689" s="408">
        <v>7.7100000000000002E-2</v>
      </c>
      <c r="P689" s="408">
        <v>0.25700000000000001</v>
      </c>
      <c r="Q689" s="408">
        <v>7.7100000000000002E-2</v>
      </c>
      <c r="R689" s="408"/>
      <c r="S689" s="408">
        <v>70.33</v>
      </c>
      <c r="T689" s="408">
        <v>173.82</v>
      </c>
      <c r="U689" s="408"/>
      <c r="V689" s="408">
        <v>62.746549999999999</v>
      </c>
      <c r="W689" s="408">
        <v>62.746549999999999</v>
      </c>
      <c r="X689" s="408">
        <v>67.932810000000003</v>
      </c>
      <c r="Y689" s="408">
        <v>0</v>
      </c>
      <c r="Z689" s="408">
        <v>13.67240681293654</v>
      </c>
      <c r="AA689" s="408">
        <v>0</v>
      </c>
      <c r="AB689" s="408">
        <v>0</v>
      </c>
      <c r="AC689" s="408">
        <v>0</v>
      </c>
      <c r="AD689" s="408">
        <v>0</v>
      </c>
      <c r="AE689" s="408">
        <v>0</v>
      </c>
      <c r="AF689" s="408">
        <v>41.356988834149824</v>
      </c>
      <c r="AG689" s="408">
        <v>2.0806374057611494</v>
      </c>
      <c r="AH689" s="408">
        <v>0</v>
      </c>
      <c r="AI689" s="408">
        <v>0</v>
      </c>
      <c r="AJ689" s="408">
        <v>0</v>
      </c>
      <c r="AK689" s="408">
        <v>0</v>
      </c>
      <c r="AL689" s="408">
        <v>2.4290346410081445</v>
      </c>
      <c r="AM689" s="408"/>
      <c r="AN689" s="408">
        <v>0.31938178107944132</v>
      </c>
      <c r="AO689" s="408">
        <v>0</v>
      </c>
      <c r="AP689" s="408">
        <v>0</v>
      </c>
      <c r="AQ689" s="408">
        <v>0</v>
      </c>
      <c r="AR689" s="408">
        <v>0</v>
      </c>
      <c r="AS689" s="408">
        <v>0</v>
      </c>
      <c r="AT689" s="408">
        <v>0</v>
      </c>
      <c r="AU689" s="408">
        <v>0</v>
      </c>
      <c r="AV689" s="408">
        <v>0</v>
      </c>
      <c r="AW689" s="408">
        <v>0</v>
      </c>
      <c r="AX689" s="408">
        <v>0</v>
      </c>
      <c r="AY689" s="408">
        <v>0</v>
      </c>
      <c r="AZ689" s="408">
        <v>0</v>
      </c>
      <c r="BA689" s="408"/>
      <c r="BB689" s="408">
        <v>0</v>
      </c>
      <c r="BC689" s="408">
        <v>0</v>
      </c>
      <c r="BD689" s="408">
        <v>0</v>
      </c>
      <c r="BE689" s="408">
        <v>4.7954561546960921E-2</v>
      </c>
      <c r="BF689" s="408">
        <v>1.235061902727536</v>
      </c>
      <c r="BG689" s="408">
        <v>1.6057950310541951</v>
      </c>
      <c r="BH689" s="408">
        <v>0</v>
      </c>
      <c r="BI689" s="408">
        <v>0</v>
      </c>
      <c r="BJ689" s="408">
        <v>0</v>
      </c>
      <c r="BK689" s="408">
        <v>0</v>
      </c>
      <c r="BL689" s="408">
        <v>0</v>
      </c>
      <c r="BM689" s="408"/>
      <c r="BN689" s="408"/>
      <c r="BO689" s="408"/>
      <c r="BP689" s="408"/>
      <c r="BQ689" s="408"/>
      <c r="BR689" s="408"/>
      <c r="BS689" s="408">
        <v>47.552966999999995</v>
      </c>
      <c r="BT689" s="408"/>
      <c r="BU689" s="408"/>
      <c r="BV689" s="408">
        <v>44.245800329478513</v>
      </c>
      <c r="BW689" s="408"/>
      <c r="BX689" s="408"/>
      <c r="BY689" s="408"/>
      <c r="BZ689" s="408"/>
      <c r="CA689" s="408"/>
      <c r="CB689" s="408"/>
      <c r="CC689" s="408"/>
      <c r="CD689" s="408"/>
      <c r="CE689" s="408"/>
      <c r="CF689" s="408"/>
      <c r="CG689" s="408"/>
      <c r="CH689" s="408"/>
      <c r="CI689" s="408">
        <v>21.1464</v>
      </c>
      <c r="CJ689" s="408">
        <v>2.2924349999999976</v>
      </c>
      <c r="CK689" s="408"/>
      <c r="CL689" s="408"/>
      <c r="CM689" s="408"/>
      <c r="CN689" s="408"/>
      <c r="CO689" s="408">
        <v>-0.2595700000000013</v>
      </c>
      <c r="CP689" s="408">
        <v>5.4458299999999999</v>
      </c>
      <c r="CQ689" s="408">
        <v>31</v>
      </c>
      <c r="CR689" s="408">
        <v>5.1839763916401225</v>
      </c>
      <c r="CS689" s="408">
        <v>0</v>
      </c>
      <c r="CT689" s="408">
        <v>0</v>
      </c>
      <c r="CU689" s="408">
        <v>0</v>
      </c>
      <c r="CV689" s="408">
        <v>0</v>
      </c>
      <c r="CW689" s="408">
        <v>0</v>
      </c>
      <c r="CX689" s="408">
        <v>0</v>
      </c>
      <c r="CY689" s="408">
        <v>0</v>
      </c>
      <c r="CZ689" s="408">
        <v>0</v>
      </c>
      <c r="DA689" s="408">
        <v>0</v>
      </c>
      <c r="DB689" s="408">
        <v>0</v>
      </c>
      <c r="DC689" s="408">
        <v>5.3086265964677395</v>
      </c>
      <c r="DD689" s="408">
        <v>0.15853384518384739</v>
      </c>
      <c r="DE689" s="408">
        <v>6.155497970875709E-3</v>
      </c>
      <c r="DF689" s="408">
        <v>0</v>
      </c>
      <c r="DG689" s="408">
        <v>0.20612153956650503</v>
      </c>
      <c r="DH689" s="408">
        <v>0</v>
      </c>
      <c r="DI689" s="408">
        <v>-0.39958300079313958</v>
      </c>
      <c r="DJ689" s="408"/>
      <c r="DK689" s="408">
        <v>0</v>
      </c>
      <c r="DL689" s="408">
        <v>0</v>
      </c>
      <c r="DM689" s="408">
        <v>-2.3125521133836369E-2</v>
      </c>
      <c r="DN689" s="408">
        <v>0</v>
      </c>
      <c r="DO689" s="408">
        <v>-6.2911158200844142E-2</v>
      </c>
      <c r="DP689" s="408">
        <v>-9.8414074210348979E-3</v>
      </c>
      <c r="DQ689" s="408">
        <v>0</v>
      </c>
      <c r="DR689" s="408">
        <v>0</v>
      </c>
      <c r="DS689" s="408"/>
      <c r="DT689" s="408"/>
      <c r="DU689" s="408"/>
      <c r="DV689" s="408">
        <v>0</v>
      </c>
      <c r="DW689" s="408">
        <v>0</v>
      </c>
      <c r="DX689" s="408">
        <v>0</v>
      </c>
      <c r="DY689" s="408">
        <v>-0.25957000000000008</v>
      </c>
      <c r="DZ689" s="408">
        <v>5.4458300000000008</v>
      </c>
      <c r="EA689" s="408">
        <v>0</v>
      </c>
      <c r="EB689" s="408">
        <v>0</v>
      </c>
      <c r="EC689" s="408">
        <v>0</v>
      </c>
      <c r="ED689" s="408">
        <v>0</v>
      </c>
      <c r="EE689" s="408">
        <v>0</v>
      </c>
      <c r="EF689" s="408">
        <v>0</v>
      </c>
      <c r="EG689" s="408">
        <v>0</v>
      </c>
      <c r="EH689" s="408">
        <v>0</v>
      </c>
      <c r="EI689" s="408">
        <v>0</v>
      </c>
      <c r="EJ689" s="408">
        <v>0</v>
      </c>
      <c r="EK689" s="408">
        <v>0</v>
      </c>
      <c r="EL689" s="408">
        <v>0</v>
      </c>
      <c r="EM689" s="408">
        <v>0</v>
      </c>
      <c r="EN689" s="408">
        <v>0</v>
      </c>
      <c r="EO689" s="408">
        <v>0</v>
      </c>
      <c r="EP689" s="408">
        <v>0</v>
      </c>
      <c r="EQ689" s="408">
        <v>0</v>
      </c>
      <c r="ER689" s="408">
        <v>0</v>
      </c>
      <c r="ES689" s="408">
        <v>0</v>
      </c>
      <c r="ET689" s="408">
        <v>0</v>
      </c>
      <c r="EU689" s="408">
        <v>0</v>
      </c>
      <c r="EV689" s="408">
        <v>239</v>
      </c>
      <c r="EW689" s="408">
        <v>0</v>
      </c>
      <c r="EX689" s="408">
        <v>0</v>
      </c>
      <c r="EY689" s="408">
        <v>0</v>
      </c>
      <c r="EZ689" s="408"/>
      <c r="FA689" s="408">
        <v>0</v>
      </c>
      <c r="FB689" s="408"/>
      <c r="FC689" s="408"/>
      <c r="FD689" s="408"/>
      <c r="FE689" s="408"/>
      <c r="FF689" s="408">
        <v>0</v>
      </c>
      <c r="FG689" s="408">
        <v>0</v>
      </c>
      <c r="FH689" s="408">
        <v>0</v>
      </c>
      <c r="FI689" s="408">
        <v>0</v>
      </c>
    </row>
    <row r="690" spans="1:165">
      <c r="A690" s="408">
        <v>696</v>
      </c>
      <c r="B690" s="408" t="s">
        <v>1034</v>
      </c>
      <c r="C690" s="408" t="s">
        <v>2233</v>
      </c>
      <c r="D690" s="408" t="s">
        <v>2243</v>
      </c>
      <c r="E690" s="408" t="s">
        <v>972</v>
      </c>
      <c r="F690" s="408" t="s">
        <v>2254</v>
      </c>
      <c r="G690" s="408" t="s">
        <v>2252</v>
      </c>
      <c r="H690" s="408" t="s">
        <v>1320</v>
      </c>
      <c r="I690" s="408" t="s">
        <v>1320</v>
      </c>
      <c r="J690" s="408" t="s">
        <v>2234</v>
      </c>
      <c r="K690" s="827">
        <v>44682</v>
      </c>
      <c r="L690" s="408">
        <v>0</v>
      </c>
      <c r="M690" s="408">
        <v>0</v>
      </c>
      <c r="N690" s="408">
        <v>0</v>
      </c>
      <c r="O690" s="408">
        <v>0</v>
      </c>
      <c r="P690" s="408">
        <v>0</v>
      </c>
      <c r="Q690" s="408">
        <v>0</v>
      </c>
      <c r="R690" s="408"/>
      <c r="S690" s="408"/>
      <c r="T690" s="408"/>
      <c r="U690" s="408"/>
      <c r="V690" s="408"/>
      <c r="W690" s="408"/>
      <c r="X690" s="408"/>
      <c r="Y690" s="408"/>
      <c r="Z690" s="408"/>
      <c r="AA690" s="408">
        <v>0</v>
      </c>
      <c r="AB690" s="408"/>
      <c r="AC690" s="408"/>
      <c r="AD690" s="408"/>
      <c r="AE690" s="408"/>
      <c r="AF690" s="408"/>
      <c r="AG690" s="408"/>
      <c r="AH690" s="408"/>
      <c r="AI690" s="408"/>
      <c r="AJ690" s="408"/>
      <c r="AK690" s="408"/>
      <c r="AL690" s="408"/>
      <c r="AM690" s="408"/>
      <c r="AN690" s="408"/>
      <c r="AO690" s="408"/>
      <c r="AP690" s="408"/>
      <c r="AQ690" s="408"/>
      <c r="AR690" s="408"/>
      <c r="AS690" s="408"/>
      <c r="AT690" s="408"/>
      <c r="AU690" s="408"/>
      <c r="AV690" s="408"/>
      <c r="AW690" s="408"/>
      <c r="AX690" s="408"/>
      <c r="AY690" s="408"/>
      <c r="AZ690" s="408">
        <v>0</v>
      </c>
      <c r="BA690" s="408"/>
      <c r="BB690" s="408"/>
      <c r="BC690" s="408"/>
      <c r="BD690" s="408"/>
      <c r="BE690" s="408"/>
      <c r="BF690" s="408"/>
      <c r="BG690" s="408"/>
      <c r="BH690" s="408"/>
      <c r="BI690" s="408">
        <v>0.19</v>
      </c>
      <c r="BJ690" s="408">
        <v>0.9</v>
      </c>
      <c r="BK690" s="408">
        <v>3.7</v>
      </c>
      <c r="BL690" s="408">
        <v>1</v>
      </c>
      <c r="BM690" s="408"/>
      <c r="BN690" s="408"/>
      <c r="BO690" s="408"/>
      <c r="BP690" s="408"/>
      <c r="BQ690" s="408"/>
      <c r="BR690" s="408"/>
      <c r="BS690" s="408"/>
      <c r="BT690" s="408"/>
      <c r="BU690" s="408"/>
      <c r="BV690" s="408"/>
      <c r="BW690" s="408"/>
      <c r="BX690" s="408"/>
      <c r="BY690" s="408"/>
      <c r="BZ690" s="408"/>
      <c r="CA690" s="408"/>
      <c r="CB690" s="408"/>
      <c r="CC690" s="408"/>
      <c r="CD690" s="408"/>
      <c r="CE690" s="408"/>
      <c r="CF690" s="408"/>
      <c r="CG690" s="408"/>
      <c r="CH690" s="408"/>
      <c r="CI690" s="408"/>
      <c r="CJ690" s="408">
        <v>-0.03</v>
      </c>
      <c r="CK690" s="408"/>
      <c r="CL690" s="408"/>
      <c r="CM690" s="408"/>
      <c r="CN690" s="408"/>
      <c r="CO690" s="408">
        <v>0</v>
      </c>
      <c r="CP690" s="408">
        <v>0</v>
      </c>
      <c r="CQ690" s="408">
        <v>31</v>
      </c>
      <c r="CR690" s="408"/>
      <c r="CS690" s="408"/>
      <c r="CT690" s="408"/>
      <c r="CU690" s="408"/>
      <c r="CV690" s="408"/>
      <c r="CW690" s="408"/>
      <c r="CX690" s="408"/>
      <c r="CY690" s="408"/>
      <c r="CZ690" s="408"/>
      <c r="DA690" s="408"/>
      <c r="DB690" s="408"/>
      <c r="DC690" s="408"/>
      <c r="DD690" s="408"/>
      <c r="DE690" s="408"/>
      <c r="DF690" s="408"/>
      <c r="DG690" s="408"/>
      <c r="DH690" s="408"/>
      <c r="DI690" s="408"/>
      <c r="DJ690" s="408"/>
      <c r="DK690" s="408">
        <v>0</v>
      </c>
      <c r="DL690" s="408"/>
      <c r="DM690" s="408"/>
      <c r="DN690" s="408"/>
      <c r="DO690" s="408"/>
      <c r="DP690" s="408"/>
      <c r="DQ690" s="408"/>
      <c r="DR690" s="408"/>
      <c r="DS690" s="408"/>
      <c r="DT690" s="408"/>
      <c r="DU690" s="408"/>
      <c r="DV690" s="408"/>
      <c r="DW690" s="408"/>
      <c r="DX690" s="408"/>
      <c r="DY690" s="408"/>
      <c r="DZ690" s="408"/>
      <c r="EA690" s="408"/>
      <c r="EB690" s="408"/>
      <c r="EC690" s="408"/>
      <c r="ED690" s="408"/>
      <c r="EE690" s="408"/>
      <c r="EF690" s="408"/>
      <c r="EG690" s="408"/>
      <c r="EH690" s="408"/>
      <c r="EI690" s="408"/>
      <c r="EJ690" s="408"/>
      <c r="EK690" s="408"/>
      <c r="EL690" s="408"/>
      <c r="EM690" s="408"/>
      <c r="EN690" s="408"/>
      <c r="EO690" s="408"/>
      <c r="EP690" s="408"/>
      <c r="EQ690" s="408"/>
      <c r="ER690" s="408"/>
      <c r="ES690" s="408"/>
      <c r="ET690" s="408"/>
      <c r="EU690" s="408"/>
      <c r="EV690" s="408">
        <v>239</v>
      </c>
      <c r="EW690" s="408"/>
      <c r="EX690" s="408"/>
      <c r="EY690" s="408"/>
      <c r="EZ690" s="408"/>
      <c r="FA690" s="408">
        <v>0</v>
      </c>
      <c r="FB690" s="408"/>
      <c r="FC690" s="408"/>
      <c r="FD690" s="408"/>
      <c r="FE690" s="408"/>
      <c r="FF690" s="408">
        <v>0</v>
      </c>
      <c r="FG690" s="408">
        <v>0</v>
      </c>
      <c r="FH690" s="408">
        <v>0</v>
      </c>
      <c r="FI690" s="408">
        <v>0</v>
      </c>
    </row>
    <row r="691" spans="1:165">
      <c r="A691" s="408">
        <v>697</v>
      </c>
      <c r="B691" s="408" t="s">
        <v>1034</v>
      </c>
      <c r="C691" s="408" t="s">
        <v>2233</v>
      </c>
      <c r="D691" s="408" t="s">
        <v>2243</v>
      </c>
      <c r="E691" s="408" t="s">
        <v>972</v>
      </c>
      <c r="F691" s="408" t="s">
        <v>2254</v>
      </c>
      <c r="G691" s="408" t="s">
        <v>2252</v>
      </c>
      <c r="H691" s="408" t="s">
        <v>1320</v>
      </c>
      <c r="I691" s="408" t="s">
        <v>1320</v>
      </c>
      <c r="J691" s="408" t="s">
        <v>2234</v>
      </c>
      <c r="K691" s="827">
        <v>44682</v>
      </c>
      <c r="L691" s="408">
        <v>0</v>
      </c>
      <c r="M691" s="408">
        <v>0</v>
      </c>
      <c r="N691" s="408">
        <v>4.5999999999999999E-2</v>
      </c>
      <c r="O691" s="408">
        <v>4.5999999999999999E-2</v>
      </c>
      <c r="P691" s="408">
        <v>4.5999999999999999E-2</v>
      </c>
      <c r="Q691" s="408">
        <v>4.5999999999999999E-2</v>
      </c>
      <c r="R691" s="408"/>
      <c r="S691" s="408">
        <v>516.83000000000004</v>
      </c>
      <c r="T691" s="408">
        <v>173.82</v>
      </c>
      <c r="U691" s="408"/>
      <c r="V691" s="408">
        <v>31.7699</v>
      </c>
      <c r="W691" s="408">
        <v>31.7699</v>
      </c>
      <c r="X691" s="408">
        <v>23.986699999999999</v>
      </c>
      <c r="Y691" s="408">
        <v>0</v>
      </c>
      <c r="Z691" s="408">
        <v>2.8128749648690903</v>
      </c>
      <c r="AA691" s="408">
        <v>0</v>
      </c>
      <c r="AB691" s="408">
        <v>0</v>
      </c>
      <c r="AC691" s="408">
        <v>0.12504842737598001</v>
      </c>
      <c r="AD691" s="408">
        <v>1.5836241300150358</v>
      </c>
      <c r="AE691" s="408">
        <v>16.726326577668154</v>
      </c>
      <c r="AF691" s="408">
        <v>7.4024182349061931</v>
      </c>
      <c r="AG691" s="408">
        <v>0.37240980803506951</v>
      </c>
      <c r="AH691" s="408">
        <v>0</v>
      </c>
      <c r="AI691" s="408">
        <v>0</v>
      </c>
      <c r="AJ691" s="408">
        <v>0</v>
      </c>
      <c r="AK691" s="408">
        <v>0</v>
      </c>
      <c r="AL691" s="408">
        <v>0.43476884625048501</v>
      </c>
      <c r="AM691" s="408"/>
      <c r="AN691" s="408">
        <v>7.1370930843085739E-2</v>
      </c>
      <c r="AO691" s="408">
        <v>0.26673117384023021</v>
      </c>
      <c r="AP691" s="408">
        <v>0.87350852917400934</v>
      </c>
      <c r="AQ691" s="408">
        <v>0</v>
      </c>
      <c r="AR691" s="408">
        <v>0</v>
      </c>
      <c r="AS691" s="408">
        <v>0</v>
      </c>
      <c r="AT691" s="408">
        <v>0</v>
      </c>
      <c r="AU691" s="408">
        <v>0</v>
      </c>
      <c r="AV691" s="408">
        <v>0</v>
      </c>
      <c r="AW691" s="408">
        <v>0</v>
      </c>
      <c r="AX691" s="408">
        <v>0</v>
      </c>
      <c r="AY691" s="408">
        <v>0</v>
      </c>
      <c r="AZ691" s="408">
        <v>0</v>
      </c>
      <c r="BA691" s="408"/>
      <c r="BB691" s="408">
        <v>0</v>
      </c>
      <c r="BC691" s="408">
        <v>0</v>
      </c>
      <c r="BD691" s="408">
        <v>0</v>
      </c>
      <c r="BE691" s="408">
        <v>2.5521380384396879E-2</v>
      </c>
      <c r="BF691" s="408">
        <v>0.22106166352321655</v>
      </c>
      <c r="BG691" s="408">
        <v>0.8546028674827022</v>
      </c>
      <c r="BH691" s="408">
        <v>0</v>
      </c>
      <c r="BI691" s="408">
        <v>0</v>
      </c>
      <c r="BJ691" s="408">
        <v>0</v>
      </c>
      <c r="BK691" s="408">
        <v>0</v>
      </c>
      <c r="BL691" s="408">
        <v>0</v>
      </c>
      <c r="BM691" s="408"/>
      <c r="BN691" s="408"/>
      <c r="BO691" s="408"/>
      <c r="BP691" s="408"/>
      <c r="BQ691" s="408"/>
      <c r="BR691" s="408">
        <v>2.8782199999999998</v>
      </c>
      <c r="BS691" s="408"/>
      <c r="BT691" s="408"/>
      <c r="BU691" s="408"/>
      <c r="BV691" s="408">
        <v>8.5036041462965084</v>
      </c>
      <c r="BW691" s="408"/>
      <c r="BX691" s="408"/>
      <c r="BY691" s="408"/>
      <c r="BZ691" s="408"/>
      <c r="CA691" s="408"/>
      <c r="CB691" s="408"/>
      <c r="CC691" s="408"/>
      <c r="CD691" s="408"/>
      <c r="CE691" s="408"/>
      <c r="CF691" s="408"/>
      <c r="CG691" s="408"/>
      <c r="CH691" s="408"/>
      <c r="CI691" s="408">
        <v>22.944000000000003</v>
      </c>
      <c r="CJ691" s="408">
        <v>-5.0434200000000011</v>
      </c>
      <c r="CK691" s="408"/>
      <c r="CL691" s="408"/>
      <c r="CM691" s="408"/>
      <c r="CN691" s="408"/>
      <c r="CO691" s="408">
        <v>-8.7579400000000014</v>
      </c>
      <c r="CP691" s="408">
        <v>0.97473999999999983</v>
      </c>
      <c r="CQ691" s="408">
        <v>31</v>
      </c>
      <c r="CR691" s="408">
        <v>1.0720704346443739</v>
      </c>
      <c r="CS691" s="408">
        <v>2.589791184757434E-2</v>
      </c>
      <c r="CT691" s="408">
        <v>8.4812159602318471E-2</v>
      </c>
      <c r="CU691" s="408">
        <v>0</v>
      </c>
      <c r="CV691" s="408">
        <v>0</v>
      </c>
      <c r="CW691" s="408">
        <v>0</v>
      </c>
      <c r="CX691" s="408">
        <v>0</v>
      </c>
      <c r="CY691" s="408">
        <v>0</v>
      </c>
      <c r="CZ691" s="408">
        <v>-3.0364738391864599E-2</v>
      </c>
      <c r="DA691" s="408">
        <v>0</v>
      </c>
      <c r="DB691" s="408">
        <v>0</v>
      </c>
      <c r="DC691" s="408">
        <v>0.95018219236387758</v>
      </c>
      <c r="DD691" s="408">
        <v>2.8375707698276187E-2</v>
      </c>
      <c r="DE691" s="408">
        <v>3.2759512359686119E-3</v>
      </c>
      <c r="DF691" s="408">
        <v>0</v>
      </c>
      <c r="DG691" s="408">
        <v>0.10969772315700943</v>
      </c>
      <c r="DH691" s="408">
        <v>0</v>
      </c>
      <c r="DI691" s="408">
        <v>-8.2207692814902256E-2</v>
      </c>
      <c r="DJ691" s="408"/>
      <c r="DK691" s="408">
        <v>0</v>
      </c>
      <c r="DL691" s="408">
        <v>0</v>
      </c>
      <c r="DM691" s="408">
        <v>-4.1391983352391803E-3</v>
      </c>
      <c r="DN691" s="408">
        <v>0</v>
      </c>
      <c r="DO691" s="408">
        <v>-1.1260362946454605E-2</v>
      </c>
      <c r="DP691" s="408">
        <v>-2.1992187721895096E-3</v>
      </c>
      <c r="DQ691" s="408">
        <v>0</v>
      </c>
      <c r="DR691" s="408">
        <v>0</v>
      </c>
      <c r="DS691" s="408"/>
      <c r="DT691" s="408"/>
      <c r="DU691" s="408"/>
      <c r="DV691" s="408">
        <v>16.726326577668154</v>
      </c>
      <c r="DW691" s="408">
        <v>0</v>
      </c>
      <c r="DX691" s="408">
        <v>0</v>
      </c>
      <c r="DY691" s="408">
        <v>-8.7579400000000014</v>
      </c>
      <c r="DZ691" s="408">
        <v>0.97473999999999972</v>
      </c>
      <c r="EA691" s="408">
        <v>0</v>
      </c>
      <c r="EB691" s="408">
        <v>0</v>
      </c>
      <c r="EC691" s="408">
        <v>-8.8557031687454959</v>
      </c>
      <c r="ED691" s="408">
        <v>0</v>
      </c>
      <c r="EE691" s="408">
        <v>0</v>
      </c>
      <c r="EF691" s="408">
        <v>0</v>
      </c>
      <c r="EG691" s="408">
        <v>0</v>
      </c>
      <c r="EH691" s="408">
        <v>0</v>
      </c>
      <c r="EI691" s="408">
        <v>0</v>
      </c>
      <c r="EJ691" s="408">
        <v>0</v>
      </c>
      <c r="EK691" s="408">
        <v>0</v>
      </c>
      <c r="EL691" s="408">
        <v>0</v>
      </c>
      <c r="EM691" s="408">
        <v>0</v>
      </c>
      <c r="EN691" s="408">
        <v>0</v>
      </c>
      <c r="EO691" s="408">
        <v>0</v>
      </c>
      <c r="EP691" s="408">
        <v>0</v>
      </c>
      <c r="EQ691" s="408">
        <v>0</v>
      </c>
      <c r="ER691" s="408">
        <v>0</v>
      </c>
      <c r="ES691" s="408">
        <v>0</v>
      </c>
      <c r="ET691" s="408">
        <v>0</v>
      </c>
      <c r="EU691" s="408">
        <v>0</v>
      </c>
      <c r="EV691" s="408">
        <v>239</v>
      </c>
      <c r="EW691" s="408">
        <v>0</v>
      </c>
      <c r="EX691" s="408">
        <v>0</v>
      </c>
      <c r="EY691" s="408">
        <v>0</v>
      </c>
      <c r="EZ691" s="408"/>
      <c r="FA691" s="408">
        <v>0</v>
      </c>
      <c r="FB691" s="408"/>
      <c r="FC691" s="408"/>
      <c r="FD691" s="408"/>
      <c r="FE691" s="408"/>
      <c r="FF691" s="408">
        <v>0</v>
      </c>
      <c r="FG691" s="408">
        <v>0</v>
      </c>
      <c r="FH691" s="408">
        <v>0</v>
      </c>
      <c r="FI691" s="408">
        <v>0</v>
      </c>
    </row>
    <row r="692" spans="1:165">
      <c r="A692" s="408">
        <v>698</v>
      </c>
      <c r="B692" s="408" t="s">
        <v>1034</v>
      </c>
      <c r="C692" s="408" t="s">
        <v>2233</v>
      </c>
      <c r="D692" s="408" t="s">
        <v>2243</v>
      </c>
      <c r="E692" s="408" t="s">
        <v>972</v>
      </c>
      <c r="F692" s="408" t="s">
        <v>2254</v>
      </c>
      <c r="G692" s="408" t="s">
        <v>2253</v>
      </c>
      <c r="H692" s="408" t="s">
        <v>1320</v>
      </c>
      <c r="I692" s="408" t="s">
        <v>1320</v>
      </c>
      <c r="J692" s="408" t="s">
        <v>2234</v>
      </c>
      <c r="K692" s="827">
        <v>44682</v>
      </c>
      <c r="L692" s="408">
        <v>0</v>
      </c>
      <c r="M692" s="408">
        <v>0</v>
      </c>
      <c r="N692" s="408">
        <v>4.0000000000000001E-3</v>
      </c>
      <c r="O692" s="408">
        <v>1.6000000000000001E-3</v>
      </c>
      <c r="P692" s="408">
        <v>4.0000000000000001E-3</v>
      </c>
      <c r="Q692" s="408">
        <v>1.6000000000000001E-3</v>
      </c>
      <c r="R692" s="408"/>
      <c r="S692" s="408">
        <v>516.83000000000004</v>
      </c>
      <c r="T692" s="408">
        <v>173.82</v>
      </c>
      <c r="U692" s="408"/>
      <c r="V692" s="408">
        <v>2.7625999999999999</v>
      </c>
      <c r="W692" s="408">
        <v>2.7625999999999999</v>
      </c>
      <c r="X692" s="408">
        <v>2.0857999999999999</v>
      </c>
      <c r="Y692" s="408">
        <v>0</v>
      </c>
      <c r="Z692" s="408">
        <v>0.24459782303209479</v>
      </c>
      <c r="AA692" s="408">
        <v>0</v>
      </c>
      <c r="AB692" s="408">
        <v>0</v>
      </c>
      <c r="AC692" s="408">
        <v>1.0873776293563481E-2</v>
      </c>
      <c r="AD692" s="408">
        <v>0.13770644608826399</v>
      </c>
      <c r="AE692" s="408">
        <v>1.454463180666796</v>
      </c>
      <c r="AF692" s="408">
        <v>0.64368854216575599</v>
      </c>
      <c r="AG692" s="408">
        <v>3.2383461568266915E-2</v>
      </c>
      <c r="AH692" s="408">
        <v>0</v>
      </c>
      <c r="AI692" s="408">
        <v>0</v>
      </c>
      <c r="AJ692" s="408">
        <v>0</v>
      </c>
      <c r="AK692" s="408">
        <v>0</v>
      </c>
      <c r="AL692" s="408">
        <v>3.7805986630476962E-2</v>
      </c>
      <c r="AM692" s="408"/>
      <c r="AN692" s="408">
        <v>6.2061678993987597E-3</v>
      </c>
      <c r="AO692" s="408">
        <v>2.3194015116541761E-2</v>
      </c>
      <c r="AP692" s="408">
        <v>7.5957263406435604E-2</v>
      </c>
      <c r="AQ692" s="408">
        <v>0</v>
      </c>
      <c r="AR692" s="408">
        <v>0</v>
      </c>
      <c r="AS692" s="408">
        <v>0</v>
      </c>
      <c r="AT692" s="408">
        <v>0</v>
      </c>
      <c r="AU692" s="408">
        <v>0</v>
      </c>
      <c r="AV692" s="408">
        <v>0</v>
      </c>
      <c r="AW692" s="408">
        <v>0</v>
      </c>
      <c r="AX692" s="408">
        <v>0</v>
      </c>
      <c r="AY692" s="408">
        <v>0</v>
      </c>
      <c r="AZ692" s="408">
        <v>0</v>
      </c>
      <c r="BA692" s="408"/>
      <c r="BB692" s="408">
        <v>0</v>
      </c>
      <c r="BC692" s="408">
        <v>0</v>
      </c>
      <c r="BD692" s="408">
        <v>0</v>
      </c>
      <c r="BE692" s="408">
        <v>2.2192504682084242E-3</v>
      </c>
      <c r="BF692" s="408">
        <v>1.9222753349844919E-2</v>
      </c>
      <c r="BG692" s="408">
        <v>7.4313292824582808E-2</v>
      </c>
      <c r="BH692" s="408">
        <v>0</v>
      </c>
      <c r="BI692" s="408">
        <v>0</v>
      </c>
      <c r="BJ692" s="408">
        <v>0</v>
      </c>
      <c r="BK692" s="408">
        <v>0</v>
      </c>
      <c r="BL692" s="408">
        <v>0</v>
      </c>
      <c r="BM692" s="408"/>
      <c r="BN692" s="408"/>
      <c r="BO692" s="408"/>
      <c r="BP692" s="408"/>
      <c r="BQ692" s="408"/>
      <c r="BR692" s="408"/>
      <c r="BS692" s="408">
        <v>1.3515920000000001</v>
      </c>
      <c r="BT692" s="408"/>
      <c r="BU692" s="408"/>
      <c r="BV692" s="408">
        <v>0.73944383880839215</v>
      </c>
      <c r="BW692" s="408"/>
      <c r="BX692" s="408"/>
      <c r="BY692" s="408"/>
      <c r="BZ692" s="408"/>
      <c r="CA692" s="408"/>
      <c r="CB692" s="408"/>
      <c r="CC692" s="408"/>
      <c r="CD692" s="408"/>
      <c r="CE692" s="408"/>
      <c r="CF692" s="408"/>
      <c r="CG692" s="408"/>
      <c r="CH692" s="408"/>
      <c r="CI692" s="408">
        <v>0</v>
      </c>
      <c r="CJ692" s="408">
        <v>-1.002432</v>
      </c>
      <c r="CK692" s="408"/>
      <c r="CL692" s="408"/>
      <c r="CM692" s="408"/>
      <c r="CN692" s="408"/>
      <c r="CO692" s="408">
        <v>-0.76156000000000024</v>
      </c>
      <c r="CP692" s="408">
        <v>8.4759999999999988E-2</v>
      </c>
      <c r="CQ692" s="408">
        <v>31</v>
      </c>
      <c r="CR692" s="408">
        <v>9.3223516056032185E-2</v>
      </c>
      <c r="CS692" s="408">
        <v>2.2519923345716807E-3</v>
      </c>
      <c r="CT692" s="408">
        <v>7.3749704002016025E-3</v>
      </c>
      <c r="CU692" s="408">
        <v>0</v>
      </c>
      <c r="CV692" s="408">
        <v>0</v>
      </c>
      <c r="CW692" s="408">
        <v>0</v>
      </c>
      <c r="CX692" s="408">
        <v>0</v>
      </c>
      <c r="CY692" s="408">
        <v>0</v>
      </c>
      <c r="CZ692" s="408">
        <v>-2.6404120340751958E-3</v>
      </c>
      <c r="DA692" s="408">
        <v>0</v>
      </c>
      <c r="DB692" s="408">
        <v>0</v>
      </c>
      <c r="DC692" s="408">
        <v>8.2624538466424036E-2</v>
      </c>
      <c r="DD692" s="408">
        <v>2.4674528433283639E-3</v>
      </c>
      <c r="DE692" s="408">
        <v>2.8486532486683615E-4</v>
      </c>
      <c r="DF692" s="408">
        <v>0</v>
      </c>
      <c r="DG692" s="408">
        <v>9.5389324484355942E-3</v>
      </c>
      <c r="DH692" s="408">
        <v>0</v>
      </c>
      <c r="DI692" s="408">
        <v>-7.1484950273827952E-3</v>
      </c>
      <c r="DJ692" s="408"/>
      <c r="DK692" s="408">
        <v>0</v>
      </c>
      <c r="DL692" s="408">
        <v>0</v>
      </c>
      <c r="DM692" s="408">
        <v>-3.5993029002079346E-4</v>
      </c>
      <c r="DN692" s="408">
        <v>0</v>
      </c>
      <c r="DO692" s="408">
        <v>-9.7916199534388293E-4</v>
      </c>
      <c r="DP692" s="408">
        <v>-1.9123641497299955E-4</v>
      </c>
      <c r="DQ692" s="408">
        <v>0</v>
      </c>
      <c r="DR692" s="408">
        <v>0</v>
      </c>
      <c r="DS692" s="408"/>
      <c r="DT692" s="408"/>
      <c r="DU692" s="408"/>
      <c r="DV692" s="408">
        <v>1.454463180666796</v>
      </c>
      <c r="DW692" s="408">
        <v>0</v>
      </c>
      <c r="DX692" s="408">
        <v>0</v>
      </c>
      <c r="DY692" s="408">
        <v>-0.76156000000000001</v>
      </c>
      <c r="DZ692" s="408">
        <v>8.4759999999999946E-2</v>
      </c>
      <c r="EA692" s="408">
        <v>0</v>
      </c>
      <c r="EB692" s="408">
        <v>0</v>
      </c>
      <c r="EC692" s="408">
        <v>-0.77006114510830403</v>
      </c>
      <c r="ED692" s="408">
        <v>0</v>
      </c>
      <c r="EE692" s="408">
        <v>0</v>
      </c>
      <c r="EF692" s="408">
        <v>0</v>
      </c>
      <c r="EG692" s="408">
        <v>0</v>
      </c>
      <c r="EH692" s="408">
        <v>0</v>
      </c>
      <c r="EI692" s="408">
        <v>0</v>
      </c>
      <c r="EJ692" s="408">
        <v>0</v>
      </c>
      <c r="EK692" s="408">
        <v>0</v>
      </c>
      <c r="EL692" s="408">
        <v>0</v>
      </c>
      <c r="EM692" s="408">
        <v>0</v>
      </c>
      <c r="EN692" s="408">
        <v>0</v>
      </c>
      <c r="EO692" s="408">
        <v>0</v>
      </c>
      <c r="EP692" s="408">
        <v>0</v>
      </c>
      <c r="EQ692" s="408">
        <v>0</v>
      </c>
      <c r="ER692" s="408">
        <v>0</v>
      </c>
      <c r="ES692" s="408">
        <v>0</v>
      </c>
      <c r="ET692" s="408">
        <v>0</v>
      </c>
      <c r="EU692" s="408">
        <v>0</v>
      </c>
      <c r="EV692" s="408">
        <v>239</v>
      </c>
      <c r="EW692" s="408">
        <v>0</v>
      </c>
      <c r="EX692" s="408">
        <v>0</v>
      </c>
      <c r="EY692" s="408">
        <v>0</v>
      </c>
      <c r="EZ692" s="408"/>
      <c r="FA692" s="408">
        <v>0</v>
      </c>
      <c r="FB692" s="408"/>
      <c r="FC692" s="408"/>
      <c r="FD692" s="408"/>
      <c r="FE692" s="408"/>
      <c r="FF692" s="408">
        <v>0</v>
      </c>
      <c r="FG692" s="408">
        <v>0</v>
      </c>
      <c r="FH692" s="408">
        <v>0</v>
      </c>
      <c r="FI692" s="408">
        <v>0</v>
      </c>
    </row>
    <row r="693" spans="1:165">
      <c r="A693" s="408">
        <v>699</v>
      </c>
      <c r="B693" s="408" t="s">
        <v>1034</v>
      </c>
      <c r="C693" s="408" t="s">
        <v>2233</v>
      </c>
      <c r="D693" s="408" t="s">
        <v>1953</v>
      </c>
      <c r="E693" s="408" t="s">
        <v>967</v>
      </c>
      <c r="F693" s="408" t="s">
        <v>967</v>
      </c>
      <c r="G693" s="408" t="s">
        <v>1320</v>
      </c>
      <c r="H693" s="408" t="s">
        <v>1320</v>
      </c>
      <c r="I693" s="408" t="s">
        <v>1320</v>
      </c>
      <c r="J693" s="408" t="s">
        <v>2234</v>
      </c>
      <c r="K693" s="827">
        <v>44713</v>
      </c>
      <c r="L693" s="408">
        <v>0</v>
      </c>
      <c r="M693" s="408">
        <v>0</v>
      </c>
      <c r="N693" s="408">
        <v>1824.1</v>
      </c>
      <c r="O693" s="408">
        <v>1824.1</v>
      </c>
      <c r="P693" s="408">
        <v>1824.1</v>
      </c>
      <c r="Q693" s="408">
        <v>1824.1</v>
      </c>
      <c r="R693" s="408"/>
      <c r="S693" s="408">
        <v>516.83000000000004</v>
      </c>
      <c r="T693" s="408">
        <v>173.82</v>
      </c>
      <c r="U693" s="408"/>
      <c r="V693" s="408">
        <v>1259814.665</v>
      </c>
      <c r="W693" s="408">
        <v>1259814.665</v>
      </c>
      <c r="X693" s="408">
        <v>951176.94499999983</v>
      </c>
      <c r="Y693" s="408">
        <v>0</v>
      </c>
      <c r="Z693" s="408">
        <v>111542.72224821102</v>
      </c>
      <c r="AA693" s="408">
        <v>0</v>
      </c>
      <c r="AB693" s="408">
        <v>0</v>
      </c>
      <c r="AC693" s="408">
        <v>4958.7138342722856</v>
      </c>
      <c r="AD693" s="408">
        <v>62797.582077400584</v>
      </c>
      <c r="AE693" s="408">
        <v>663271.57196357567</v>
      </c>
      <c r="AF693" s="408">
        <v>293538.06744113885</v>
      </c>
      <c r="AG693" s="408">
        <v>14767.668061668919</v>
      </c>
      <c r="AH693" s="408">
        <v>0</v>
      </c>
      <c r="AI693" s="408">
        <v>0</v>
      </c>
      <c r="AJ693" s="408">
        <v>0</v>
      </c>
      <c r="AK693" s="408">
        <v>0</v>
      </c>
      <c r="AL693" s="408">
        <v>17240.475053163253</v>
      </c>
      <c r="AM693" s="408"/>
      <c r="AN693" s="408">
        <v>2830.1677163233194</v>
      </c>
      <c r="AO693" s="408">
        <v>10577.050743520955</v>
      </c>
      <c r="AP693" s="408">
        <v>34638.411044919791</v>
      </c>
      <c r="AQ693" s="408">
        <v>0</v>
      </c>
      <c r="AR693" s="408">
        <v>0</v>
      </c>
      <c r="AS693" s="408">
        <v>0</v>
      </c>
      <c r="AT693" s="408">
        <v>0</v>
      </c>
      <c r="AU693" s="408">
        <v>0</v>
      </c>
      <c r="AV693" s="408">
        <v>0</v>
      </c>
      <c r="AW693" s="408">
        <v>0</v>
      </c>
      <c r="AX693" s="408">
        <v>0</v>
      </c>
      <c r="AY693" s="408">
        <v>0</v>
      </c>
      <c r="AZ693" s="408">
        <v>0</v>
      </c>
      <c r="BA693" s="408"/>
      <c r="BB693" s="408">
        <v>0</v>
      </c>
      <c r="BC693" s="408">
        <v>0</v>
      </c>
      <c r="BD693" s="408">
        <v>0</v>
      </c>
      <c r="BE693" s="408">
        <v>1012.0336947647465</v>
      </c>
      <c r="BF693" s="408">
        <v>8766.0560963630287</v>
      </c>
      <c r="BG693" s="408">
        <v>33888.719360330368</v>
      </c>
      <c r="BH693" s="408">
        <v>0</v>
      </c>
      <c r="BI693" s="408">
        <v>5187.18</v>
      </c>
      <c r="BJ693" s="408">
        <v>24117.87</v>
      </c>
      <c r="BK693" s="408">
        <v>314491.18</v>
      </c>
      <c r="BL693" s="408">
        <v>12517</v>
      </c>
      <c r="BM693" s="408"/>
      <c r="BN693" s="408"/>
      <c r="BO693" s="408"/>
      <c r="BP693" s="408"/>
      <c r="BQ693" s="408"/>
      <c r="BR693" s="408"/>
      <c r="BS693" s="408"/>
      <c r="BT693" s="408"/>
      <c r="BU693" s="408"/>
      <c r="BV693" s="408">
        <v>337204.87659259705</v>
      </c>
      <c r="BW693" s="408"/>
      <c r="BX693" s="408"/>
      <c r="BY693" s="408"/>
      <c r="BZ693" s="408"/>
      <c r="CA693" s="408"/>
      <c r="CB693" s="408"/>
      <c r="CC693" s="408"/>
      <c r="CD693" s="408"/>
      <c r="CE693" s="408"/>
      <c r="CF693" s="408"/>
      <c r="CG693" s="408"/>
      <c r="CH693" s="408"/>
      <c r="CI693" s="408">
        <v>951176.94499999983</v>
      </c>
      <c r="CJ693" s="408">
        <v>-308637.75000000023</v>
      </c>
      <c r="CK693" s="408"/>
      <c r="CL693" s="408"/>
      <c r="CM693" s="408"/>
      <c r="CN693" s="408"/>
      <c r="CO693" s="408">
        <v>-347290.39900000003</v>
      </c>
      <c r="CP693" s="408">
        <v>38652.678999999996</v>
      </c>
      <c r="CQ693" s="408">
        <v>30</v>
      </c>
      <c r="CR693" s="408">
        <v>42512.253909452353</v>
      </c>
      <c r="CS693" s="408">
        <v>1026.9648043730522</v>
      </c>
      <c r="CT693" s="408">
        <v>3363.1708767519376</v>
      </c>
      <c r="CU693" s="408">
        <v>0</v>
      </c>
      <c r="CV693" s="408">
        <v>0</v>
      </c>
      <c r="CW693" s="408">
        <v>0</v>
      </c>
      <c r="CX693" s="408">
        <v>0</v>
      </c>
      <c r="CY693" s="408">
        <v>0</v>
      </c>
      <c r="CZ693" s="408">
        <v>-1204.093897839135</v>
      </c>
      <c r="DA693" s="408">
        <v>0</v>
      </c>
      <c r="DB693" s="408">
        <v>0</v>
      </c>
      <c r="DC693" s="408">
        <v>37678.855154151039</v>
      </c>
      <c r="DD693" s="408">
        <v>1125.2201828788166</v>
      </c>
      <c r="DE693" s="408">
        <v>129.90570977239895</v>
      </c>
      <c r="DF693" s="408">
        <v>0</v>
      </c>
      <c r="DG693" s="408">
        <v>4349.9916697978479</v>
      </c>
      <c r="DH693" s="408">
        <v>0</v>
      </c>
      <c r="DI693" s="408">
        <v>-3259.892444862242</v>
      </c>
      <c r="DJ693" s="408"/>
      <c r="DK693" s="408">
        <v>0</v>
      </c>
      <c r="DL693" s="408">
        <v>0</v>
      </c>
      <c r="DM693" s="408">
        <v>-164.13721050673303</v>
      </c>
      <c r="DN693" s="408">
        <v>0</v>
      </c>
      <c r="DO693" s="408">
        <v>-446.52234892669003</v>
      </c>
      <c r="DP693" s="408">
        <v>-87.208586138062401</v>
      </c>
      <c r="DQ693" s="408">
        <v>0</v>
      </c>
      <c r="DR693" s="408">
        <v>0</v>
      </c>
      <c r="DS693" s="408"/>
      <c r="DT693" s="408"/>
      <c r="DU693" s="408"/>
      <c r="DV693" s="408">
        <v>663271.57196357567</v>
      </c>
      <c r="DW693" s="408">
        <v>0</v>
      </c>
      <c r="DX693" s="408">
        <v>0</v>
      </c>
      <c r="DY693" s="408">
        <v>-347290.39900000009</v>
      </c>
      <c r="DZ693" s="408">
        <v>38652.679000000004</v>
      </c>
      <c r="EA693" s="408">
        <v>0</v>
      </c>
      <c r="EB693" s="408">
        <v>0</v>
      </c>
      <c r="EC693" s="408">
        <v>-351167.13369801437</v>
      </c>
      <c r="ED693" s="408">
        <v>0</v>
      </c>
      <c r="EE693" s="408">
        <v>0</v>
      </c>
      <c r="EF693" s="408">
        <v>0</v>
      </c>
      <c r="EG693" s="408">
        <v>0</v>
      </c>
      <c r="EH693" s="408">
        <v>0</v>
      </c>
      <c r="EI693" s="408">
        <v>0</v>
      </c>
      <c r="EJ693" s="408">
        <v>0</v>
      </c>
      <c r="EK693" s="408">
        <v>0</v>
      </c>
      <c r="EL693" s="408">
        <v>0</v>
      </c>
      <c r="EM693" s="408">
        <v>0</v>
      </c>
      <c r="EN693" s="408">
        <v>0</v>
      </c>
      <c r="EO693" s="408">
        <v>0</v>
      </c>
      <c r="EP693" s="408">
        <v>0</v>
      </c>
      <c r="EQ693" s="408">
        <v>0</v>
      </c>
      <c r="ER693" s="408">
        <v>0</v>
      </c>
      <c r="ES693" s="408">
        <v>0</v>
      </c>
      <c r="ET693" s="408">
        <v>0</v>
      </c>
      <c r="EU693" s="408">
        <v>0</v>
      </c>
      <c r="EV693" s="408">
        <v>239</v>
      </c>
      <c r="EW693" s="408">
        <v>0</v>
      </c>
      <c r="EX693" s="408">
        <v>0</v>
      </c>
      <c r="EY693" s="408">
        <v>0</v>
      </c>
      <c r="EZ693" s="408"/>
      <c r="FA693" s="408">
        <v>0</v>
      </c>
      <c r="FB693" s="408"/>
      <c r="FC693" s="408"/>
      <c r="FD693" s="408"/>
      <c r="FE693" s="408"/>
      <c r="FF693" s="408">
        <v>0</v>
      </c>
      <c r="FG693" s="408">
        <v>0</v>
      </c>
      <c r="FH693" s="408">
        <v>0</v>
      </c>
      <c r="FI693" s="408">
        <v>0</v>
      </c>
    </row>
    <row r="694" spans="1:165">
      <c r="A694" s="408">
        <v>700</v>
      </c>
      <c r="B694" s="408" t="s">
        <v>2235</v>
      </c>
      <c r="C694" s="408" t="s">
        <v>2233</v>
      </c>
      <c r="D694" s="408" t="s">
        <v>1953</v>
      </c>
      <c r="E694" s="408" t="s">
        <v>967</v>
      </c>
      <c r="F694" s="408" t="s">
        <v>967</v>
      </c>
      <c r="G694" s="408" t="s">
        <v>1320</v>
      </c>
      <c r="H694" s="408" t="s">
        <v>1320</v>
      </c>
      <c r="I694" s="408" t="s">
        <v>1320</v>
      </c>
      <c r="J694" s="408" t="s">
        <v>2234</v>
      </c>
      <c r="K694" s="827">
        <v>44713</v>
      </c>
      <c r="L694" s="408">
        <v>0</v>
      </c>
      <c r="M694" s="408">
        <v>0</v>
      </c>
      <c r="N694" s="408">
        <v>21.568999999999999</v>
      </c>
      <c r="O694" s="408">
        <v>21.568999999999999</v>
      </c>
      <c r="P694" s="408">
        <v>21.568999999999999</v>
      </c>
      <c r="Q694" s="408">
        <v>21.568999999999999</v>
      </c>
      <c r="R694" s="408"/>
      <c r="S694" s="408">
        <v>516.83000000000004</v>
      </c>
      <c r="T694" s="408">
        <v>173.82</v>
      </c>
      <c r="U694" s="408"/>
      <c r="V694" s="408">
        <v>14896.629849999999</v>
      </c>
      <c r="W694" s="408">
        <v>14896.629849999999</v>
      </c>
      <c r="X694" s="408">
        <v>11247.155049999999</v>
      </c>
      <c r="Y694" s="408">
        <v>0</v>
      </c>
      <c r="Z694" s="408">
        <v>1318.9326112448132</v>
      </c>
      <c r="AA694" s="408">
        <v>0</v>
      </c>
      <c r="AB694" s="408">
        <v>0</v>
      </c>
      <c r="AC694" s="408">
        <v>58.634120218967674</v>
      </c>
      <c r="AD694" s="408">
        <v>742.54758391944142</v>
      </c>
      <c r="AE694" s="408">
        <v>7842.8290859505305</v>
      </c>
      <c r="AF694" s="408">
        <v>3470.9295414932976</v>
      </c>
      <c r="AG694" s="408">
        <v>174.61972064148728</v>
      </c>
      <c r="AH694" s="408">
        <v>0</v>
      </c>
      <c r="AI694" s="408">
        <v>0</v>
      </c>
      <c r="AJ694" s="408">
        <v>0</v>
      </c>
      <c r="AK694" s="408">
        <v>0</v>
      </c>
      <c r="AL694" s="408">
        <v>203.85933140818938</v>
      </c>
      <c r="AM694" s="408"/>
      <c r="AN694" s="408">
        <v>33.465208855532957</v>
      </c>
      <c r="AO694" s="408">
        <v>125.0679280121723</v>
      </c>
      <c r="AP694" s="408">
        <v>409.58055360335237</v>
      </c>
      <c r="AQ694" s="408">
        <v>0</v>
      </c>
      <c r="AR694" s="408">
        <v>0</v>
      </c>
      <c r="AS694" s="408">
        <v>0</v>
      </c>
      <c r="AT694" s="408">
        <v>0</v>
      </c>
      <c r="AU694" s="408">
        <v>0</v>
      </c>
      <c r="AV694" s="408">
        <v>0</v>
      </c>
      <c r="AW694" s="408">
        <v>0</v>
      </c>
      <c r="AX694" s="408">
        <v>0</v>
      </c>
      <c r="AY694" s="408">
        <v>0</v>
      </c>
      <c r="AZ694" s="408">
        <v>0</v>
      </c>
      <c r="BA694" s="408"/>
      <c r="BB694" s="408">
        <v>0</v>
      </c>
      <c r="BC694" s="408">
        <v>0</v>
      </c>
      <c r="BD694" s="408">
        <v>0</v>
      </c>
      <c r="BE694" s="408">
        <v>11.966753337196876</v>
      </c>
      <c r="BF694" s="408">
        <v>103.65389175070126</v>
      </c>
      <c r="BG694" s="408">
        <v>400.7158532333566</v>
      </c>
      <c r="BH694" s="408">
        <v>0</v>
      </c>
      <c r="BI694" s="408">
        <v>86.85</v>
      </c>
      <c r="BJ694" s="408">
        <v>412.52</v>
      </c>
      <c r="BK694" s="408">
        <v>4757.97</v>
      </c>
      <c r="BL694" s="408">
        <v>0</v>
      </c>
      <c r="BM694" s="408"/>
      <c r="BN694" s="408"/>
      <c r="BO694" s="408"/>
      <c r="BP694" s="408"/>
      <c r="BQ694" s="408"/>
      <c r="BR694" s="408"/>
      <c r="BS694" s="408"/>
      <c r="BT694" s="408"/>
      <c r="BU694" s="408"/>
      <c r="BV694" s="408">
        <v>3987.2660398145522</v>
      </c>
      <c r="BW694" s="408"/>
      <c r="BX694" s="408"/>
      <c r="BY694" s="408"/>
      <c r="BZ694" s="408"/>
      <c r="CA694" s="408"/>
      <c r="CB694" s="408"/>
      <c r="CC694" s="408"/>
      <c r="CD694" s="408"/>
      <c r="CE694" s="408"/>
      <c r="CF694" s="408"/>
      <c r="CG694" s="408"/>
      <c r="CH694" s="408"/>
      <c r="CI694" s="408">
        <v>11247.676500000001</v>
      </c>
      <c r="CJ694" s="408">
        <v>-3648.9833499999986</v>
      </c>
      <c r="CK694" s="408"/>
      <c r="CL694" s="408"/>
      <c r="CM694" s="408"/>
      <c r="CN694" s="408"/>
      <c r="CO694" s="408">
        <v>-4106.5219100000004</v>
      </c>
      <c r="CP694" s="408">
        <v>457.04710999999992</v>
      </c>
      <c r="CQ694" s="408">
        <v>30</v>
      </c>
      <c r="CR694" s="408">
        <v>502.68450445314193</v>
      </c>
      <c r="CS694" s="408">
        <v>12.143305666094136</v>
      </c>
      <c r="CT694" s="408">
        <v>39.767684140487063</v>
      </c>
      <c r="CU694" s="408">
        <v>0</v>
      </c>
      <c r="CV694" s="408">
        <v>0</v>
      </c>
      <c r="CW694" s="408">
        <v>0</v>
      </c>
      <c r="CX694" s="408">
        <v>0</v>
      </c>
      <c r="CY694" s="408">
        <v>0</v>
      </c>
      <c r="CZ694" s="408">
        <v>-14.237761790741843</v>
      </c>
      <c r="DA694" s="408">
        <v>0</v>
      </c>
      <c r="DB694" s="408">
        <v>0</v>
      </c>
      <c r="DC694" s="408">
        <v>445.53216754557479</v>
      </c>
      <c r="DD694" s="408">
        <v>13.305122594437364</v>
      </c>
      <c r="DE694" s="408">
        <v>1.5360650480131959</v>
      </c>
      <c r="DF694" s="408">
        <v>0</v>
      </c>
      <c r="DG694" s="408">
        <v>51.436308495076901</v>
      </c>
      <c r="DH694" s="408">
        <v>0</v>
      </c>
      <c r="DI694" s="408">
        <v>-38.546472311405068</v>
      </c>
      <c r="DJ694" s="408"/>
      <c r="DK694" s="408">
        <v>0</v>
      </c>
      <c r="DL694" s="408">
        <v>0</v>
      </c>
      <c r="DM694" s="408">
        <v>-1.9408341063646617</v>
      </c>
      <c r="DN694" s="408">
        <v>0</v>
      </c>
      <c r="DO694" s="408">
        <v>-5.2798862693930459</v>
      </c>
      <c r="DP694" s="408">
        <v>-1.0311945586381555</v>
      </c>
      <c r="DQ694" s="408">
        <v>0</v>
      </c>
      <c r="DR694" s="408">
        <v>0</v>
      </c>
      <c r="DS694" s="408"/>
      <c r="DT694" s="408"/>
      <c r="DU694" s="408"/>
      <c r="DV694" s="408">
        <v>7842.8290859505305</v>
      </c>
      <c r="DW694" s="408">
        <v>0</v>
      </c>
      <c r="DX694" s="408">
        <v>0</v>
      </c>
      <c r="DY694" s="408">
        <v>-4106.5219100000004</v>
      </c>
      <c r="DZ694" s="408">
        <v>457.04711000000043</v>
      </c>
      <c r="EA694" s="408">
        <v>0</v>
      </c>
      <c r="EB694" s="408">
        <v>0</v>
      </c>
      <c r="EC694" s="408">
        <v>-4152.3622097102525</v>
      </c>
      <c r="ED694" s="408">
        <v>0</v>
      </c>
      <c r="EE694" s="408">
        <v>0</v>
      </c>
      <c r="EF694" s="408">
        <v>0</v>
      </c>
      <c r="EG694" s="408">
        <v>0</v>
      </c>
      <c r="EH694" s="408">
        <v>0</v>
      </c>
      <c r="EI694" s="408">
        <v>0</v>
      </c>
      <c r="EJ694" s="408">
        <v>0</v>
      </c>
      <c r="EK694" s="408">
        <v>0</v>
      </c>
      <c r="EL694" s="408">
        <v>0</v>
      </c>
      <c r="EM694" s="408">
        <v>0</v>
      </c>
      <c r="EN694" s="408">
        <v>0</v>
      </c>
      <c r="EO694" s="408">
        <v>0</v>
      </c>
      <c r="EP694" s="408">
        <v>0</v>
      </c>
      <c r="EQ694" s="408">
        <v>0</v>
      </c>
      <c r="ER694" s="408">
        <v>0</v>
      </c>
      <c r="ES694" s="408">
        <v>0</v>
      </c>
      <c r="ET694" s="408">
        <v>0</v>
      </c>
      <c r="EU694" s="408">
        <v>0</v>
      </c>
      <c r="EV694" s="408">
        <v>239</v>
      </c>
      <c r="EW694" s="408">
        <v>0</v>
      </c>
      <c r="EX694" s="408">
        <v>0</v>
      </c>
      <c r="EY694" s="408">
        <v>0</v>
      </c>
      <c r="EZ694" s="408"/>
      <c r="FA694" s="408">
        <v>0</v>
      </c>
      <c r="FB694" s="408"/>
      <c r="FC694" s="408"/>
      <c r="FD694" s="408"/>
      <c r="FE694" s="408"/>
      <c r="FF694" s="408">
        <v>0</v>
      </c>
      <c r="FG694" s="408">
        <v>0</v>
      </c>
      <c r="FH694" s="408">
        <v>0</v>
      </c>
      <c r="FI694" s="408">
        <v>0</v>
      </c>
    </row>
    <row r="695" spans="1:165">
      <c r="A695" s="408">
        <v>701</v>
      </c>
      <c r="B695" s="408" t="s">
        <v>2236</v>
      </c>
      <c r="C695" s="408" t="s">
        <v>2233</v>
      </c>
      <c r="D695" s="408" t="s">
        <v>1953</v>
      </c>
      <c r="E695" s="408" t="s">
        <v>967</v>
      </c>
      <c r="F695" s="408" t="s">
        <v>967</v>
      </c>
      <c r="G695" s="408" t="s">
        <v>1320</v>
      </c>
      <c r="H695" s="408" t="s">
        <v>1320</v>
      </c>
      <c r="I695" s="408" t="s">
        <v>1320</v>
      </c>
      <c r="J695" s="408" t="s">
        <v>2234</v>
      </c>
      <c r="K695" s="827">
        <v>44713</v>
      </c>
      <c r="L695" s="408">
        <v>0</v>
      </c>
      <c r="M695" s="408">
        <v>0</v>
      </c>
      <c r="N695" s="408">
        <v>51.11</v>
      </c>
      <c r="O695" s="408">
        <v>51.11</v>
      </c>
      <c r="P695" s="408">
        <v>51.11</v>
      </c>
      <c r="Q695" s="408">
        <v>51.11</v>
      </c>
      <c r="R695" s="408"/>
      <c r="S695" s="408">
        <v>516.83000000000004</v>
      </c>
      <c r="T695" s="408">
        <v>173.82</v>
      </c>
      <c r="U695" s="408"/>
      <c r="V695" s="408">
        <v>35299.121500000001</v>
      </c>
      <c r="W695" s="408">
        <v>35299.121500000001</v>
      </c>
      <c r="X695" s="408">
        <v>26651.309499999996</v>
      </c>
      <c r="Y695" s="408">
        <v>0</v>
      </c>
      <c r="Z695" s="408">
        <v>3125.3486837925911</v>
      </c>
      <c r="AA695" s="408">
        <v>0</v>
      </c>
      <c r="AB695" s="408">
        <v>0</v>
      </c>
      <c r="AC695" s="408">
        <v>138.93967659100738</v>
      </c>
      <c r="AD695" s="408">
        <v>1759.544114892793</v>
      </c>
      <c r="AE695" s="408">
        <v>18584.403290969985</v>
      </c>
      <c r="AF695" s="408">
        <v>8224.7303475229473</v>
      </c>
      <c r="AG695" s="408">
        <v>413.77968018853051</v>
      </c>
      <c r="AH695" s="408">
        <v>0</v>
      </c>
      <c r="AI695" s="408">
        <v>0</v>
      </c>
      <c r="AJ695" s="408">
        <v>0</v>
      </c>
      <c r="AK695" s="408">
        <v>0</v>
      </c>
      <c r="AL695" s="408">
        <v>483.06599417091934</v>
      </c>
      <c r="AM695" s="408"/>
      <c r="AN695" s="408">
        <v>79.29931033456765</v>
      </c>
      <c r="AO695" s="408">
        <v>296.36152815161233</v>
      </c>
      <c r="AP695" s="408">
        <v>970.5439331757309</v>
      </c>
      <c r="AQ695" s="408">
        <v>0</v>
      </c>
      <c r="AR695" s="408">
        <v>0</v>
      </c>
      <c r="AS695" s="408">
        <v>0</v>
      </c>
      <c r="AT695" s="408">
        <v>0</v>
      </c>
      <c r="AU695" s="408">
        <v>0</v>
      </c>
      <c r="AV695" s="408">
        <v>0</v>
      </c>
      <c r="AW695" s="408">
        <v>0</v>
      </c>
      <c r="AX695" s="408">
        <v>0</v>
      </c>
      <c r="AY695" s="408">
        <v>0</v>
      </c>
      <c r="AZ695" s="408">
        <v>0</v>
      </c>
      <c r="BA695" s="408"/>
      <c r="BB695" s="408">
        <v>0</v>
      </c>
      <c r="BC695" s="408">
        <v>0</v>
      </c>
      <c r="BD695" s="408">
        <v>0</v>
      </c>
      <c r="BE695" s="408">
        <v>28.356472857533142</v>
      </c>
      <c r="BF695" s="408">
        <v>245.61873092764344</v>
      </c>
      <c r="BG695" s="408">
        <v>949.53809906610672</v>
      </c>
      <c r="BH695" s="408">
        <v>0</v>
      </c>
      <c r="BI695" s="408">
        <v>144.82</v>
      </c>
      <c r="BJ695" s="408">
        <v>675.02</v>
      </c>
      <c r="BK695" s="408">
        <v>19016.96</v>
      </c>
      <c r="BL695" s="408">
        <v>370</v>
      </c>
      <c r="BM695" s="408"/>
      <c r="BN695" s="408"/>
      <c r="BO695" s="408"/>
      <c r="BP695" s="408"/>
      <c r="BQ695" s="408"/>
      <c r="BR695" s="408"/>
      <c r="BS695" s="408"/>
      <c r="BT695" s="408"/>
      <c r="BU695" s="408"/>
      <c r="BV695" s="408">
        <v>9448.2436503742301</v>
      </c>
      <c r="BW695" s="408"/>
      <c r="BX695" s="408"/>
      <c r="BY695" s="408"/>
      <c r="BZ695" s="408"/>
      <c r="CA695" s="408"/>
      <c r="CB695" s="408"/>
      <c r="CC695" s="408"/>
      <c r="CD695" s="408"/>
      <c r="CE695" s="408"/>
      <c r="CF695" s="408"/>
      <c r="CG695" s="408"/>
      <c r="CH695" s="408"/>
      <c r="CI695" s="408">
        <v>26651.309499999996</v>
      </c>
      <c r="CJ695" s="408">
        <v>-8647.8420000000042</v>
      </c>
      <c r="CK695" s="408"/>
      <c r="CL695" s="408"/>
      <c r="CM695" s="408"/>
      <c r="CN695" s="408"/>
      <c r="CO695" s="408">
        <v>-9730.8329000000012</v>
      </c>
      <c r="CP695" s="408">
        <v>1083.0209</v>
      </c>
      <c r="CQ695" s="408">
        <v>30</v>
      </c>
      <c r="CR695" s="408">
        <v>1191.1634764059563</v>
      </c>
      <c r="CS695" s="408">
        <v>28.774832054989645</v>
      </c>
      <c r="CT695" s="408">
        <v>94.233684288575887</v>
      </c>
      <c r="CU695" s="408">
        <v>0</v>
      </c>
      <c r="CV695" s="408">
        <v>0</v>
      </c>
      <c r="CW695" s="408">
        <v>0</v>
      </c>
      <c r="CX695" s="408">
        <v>0</v>
      </c>
      <c r="CY695" s="408">
        <v>0</v>
      </c>
      <c r="CZ695" s="408">
        <v>-33.73786476539567</v>
      </c>
      <c r="DA695" s="408">
        <v>0</v>
      </c>
      <c r="DB695" s="408">
        <v>0</v>
      </c>
      <c r="DC695" s="408">
        <v>1055.7350402547327</v>
      </c>
      <c r="DD695" s="408">
        <v>31.527878705628183</v>
      </c>
      <c r="DE695" s="408">
        <v>3.6398666884859949</v>
      </c>
      <c r="DF695" s="408">
        <v>0</v>
      </c>
      <c r="DG695" s="408">
        <v>121.88370935988587</v>
      </c>
      <c r="DH695" s="408">
        <v>0</v>
      </c>
      <c r="DI695" s="408">
        <v>-91.339895212383908</v>
      </c>
      <c r="DJ695" s="408"/>
      <c r="DK695" s="408">
        <v>0</v>
      </c>
      <c r="DL695" s="408">
        <v>0</v>
      </c>
      <c r="DM695" s="408">
        <v>-4.599009280740745</v>
      </c>
      <c r="DN695" s="408">
        <v>0</v>
      </c>
      <c r="DO695" s="408">
        <v>-12.511242395506429</v>
      </c>
      <c r="DP695" s="408">
        <v>-2.4435232923175079</v>
      </c>
      <c r="DQ695" s="408">
        <v>0</v>
      </c>
      <c r="DR695" s="408">
        <v>0</v>
      </c>
      <c r="DS695" s="408"/>
      <c r="DT695" s="408"/>
      <c r="DU695" s="408"/>
      <c r="DV695" s="408">
        <v>18584.403290969985</v>
      </c>
      <c r="DW695" s="408">
        <v>0</v>
      </c>
      <c r="DX695" s="408">
        <v>0</v>
      </c>
      <c r="DY695" s="408">
        <v>-9730.8329000000012</v>
      </c>
      <c r="DZ695" s="408">
        <v>1083.0208999999995</v>
      </c>
      <c r="EA695" s="408">
        <v>0</v>
      </c>
      <c r="EB695" s="408">
        <v>0</v>
      </c>
      <c r="EC695" s="408">
        <v>-9839.4562816213547</v>
      </c>
      <c r="ED695" s="408">
        <v>0</v>
      </c>
      <c r="EE695" s="408">
        <v>0</v>
      </c>
      <c r="EF695" s="408">
        <v>0</v>
      </c>
      <c r="EG695" s="408">
        <v>0</v>
      </c>
      <c r="EH695" s="408">
        <v>0</v>
      </c>
      <c r="EI695" s="408">
        <v>0</v>
      </c>
      <c r="EJ695" s="408">
        <v>0</v>
      </c>
      <c r="EK695" s="408">
        <v>0</v>
      </c>
      <c r="EL695" s="408">
        <v>0</v>
      </c>
      <c r="EM695" s="408">
        <v>0</v>
      </c>
      <c r="EN695" s="408">
        <v>0</v>
      </c>
      <c r="EO695" s="408">
        <v>0</v>
      </c>
      <c r="EP695" s="408">
        <v>0</v>
      </c>
      <c r="EQ695" s="408">
        <v>0</v>
      </c>
      <c r="ER695" s="408">
        <v>0</v>
      </c>
      <c r="ES695" s="408">
        <v>0</v>
      </c>
      <c r="ET695" s="408">
        <v>0</v>
      </c>
      <c r="EU695" s="408">
        <v>0</v>
      </c>
      <c r="EV695" s="408">
        <v>239</v>
      </c>
      <c r="EW695" s="408">
        <v>0</v>
      </c>
      <c r="EX695" s="408">
        <v>0</v>
      </c>
      <c r="EY695" s="408">
        <v>0</v>
      </c>
      <c r="EZ695" s="408"/>
      <c r="FA695" s="408">
        <v>0</v>
      </c>
      <c r="FB695" s="408"/>
      <c r="FC695" s="408"/>
      <c r="FD695" s="408"/>
      <c r="FE695" s="408"/>
      <c r="FF695" s="408">
        <v>0</v>
      </c>
      <c r="FG695" s="408">
        <v>0</v>
      </c>
      <c r="FH695" s="408">
        <v>0</v>
      </c>
      <c r="FI695" s="408">
        <v>0</v>
      </c>
    </row>
    <row r="696" spans="1:165">
      <c r="A696" s="408">
        <v>702</v>
      </c>
      <c r="B696" s="408" t="s">
        <v>1034</v>
      </c>
      <c r="C696" s="408" t="s">
        <v>2233</v>
      </c>
      <c r="D696" s="408" t="s">
        <v>1953</v>
      </c>
      <c r="E696" s="408" t="s">
        <v>967</v>
      </c>
      <c r="F696" s="408" t="s">
        <v>2237</v>
      </c>
      <c r="G696" s="408" t="s">
        <v>1320</v>
      </c>
      <c r="H696" s="408" t="s">
        <v>1320</v>
      </c>
      <c r="I696" s="408" t="s">
        <v>1320</v>
      </c>
      <c r="J696" s="408" t="s">
        <v>2234</v>
      </c>
      <c r="K696" s="827">
        <v>44713</v>
      </c>
      <c r="L696" s="408">
        <v>0</v>
      </c>
      <c r="M696" s="408">
        <v>0</v>
      </c>
      <c r="N696" s="408">
        <v>39.844999999999999</v>
      </c>
      <c r="O696" s="408">
        <v>39.844999999999999</v>
      </c>
      <c r="P696" s="408">
        <v>39.844999999999999</v>
      </c>
      <c r="Q696" s="408">
        <v>39.844999999999999</v>
      </c>
      <c r="R696" s="408"/>
      <c r="S696" s="408">
        <v>446.23</v>
      </c>
      <c r="T696" s="408">
        <v>173.82</v>
      </c>
      <c r="U696" s="408"/>
      <c r="V696" s="408">
        <v>24705.892250000001</v>
      </c>
      <c r="W696" s="408">
        <v>24705.892250000001</v>
      </c>
      <c r="X696" s="408">
        <v>18045.0036</v>
      </c>
      <c r="Y696" s="408">
        <v>0</v>
      </c>
      <c r="Z696" s="408">
        <v>0</v>
      </c>
      <c r="AA696" s="408">
        <v>0</v>
      </c>
      <c r="AB696" s="408">
        <v>0</v>
      </c>
      <c r="AC696" s="408">
        <v>108.31640410425922</v>
      </c>
      <c r="AD696" s="408">
        <v>1371.7283360967197</v>
      </c>
      <c r="AE696" s="408">
        <v>14488.271358417122</v>
      </c>
      <c r="AF696" s="408">
        <v>6411.9424906486365</v>
      </c>
      <c r="AG696" s="408">
        <v>322.57975654689881</v>
      </c>
      <c r="AH696" s="408">
        <v>0</v>
      </c>
      <c r="AI696" s="408">
        <v>0</v>
      </c>
      <c r="AJ696" s="408">
        <v>0</v>
      </c>
      <c r="AK696" s="408">
        <v>0</v>
      </c>
      <c r="AL696" s="408">
        <v>0</v>
      </c>
      <c r="AM696" s="408"/>
      <c r="AN696" s="408">
        <v>61.821189987885894</v>
      </c>
      <c r="AO696" s="408">
        <v>231.04138307965161</v>
      </c>
      <c r="AP696" s="408">
        <v>756.62929010735661</v>
      </c>
      <c r="AQ696" s="408">
        <v>0</v>
      </c>
      <c r="AR696" s="408">
        <v>0</v>
      </c>
      <c r="AS696" s="408">
        <v>0</v>
      </c>
      <c r="AT696" s="408">
        <v>0</v>
      </c>
      <c r="AU696" s="408">
        <v>0</v>
      </c>
      <c r="AV696" s="408">
        <v>0</v>
      </c>
      <c r="AW696" s="408">
        <v>0</v>
      </c>
      <c r="AX696" s="408">
        <v>0</v>
      </c>
      <c r="AY696" s="408">
        <v>0</v>
      </c>
      <c r="AZ696" s="408">
        <v>0</v>
      </c>
      <c r="BA696" s="408"/>
      <c r="BB696" s="408">
        <v>0</v>
      </c>
      <c r="BC696" s="408">
        <v>0</v>
      </c>
      <c r="BD696" s="408">
        <v>0</v>
      </c>
      <c r="BE696" s="408">
        <v>22.106508726441167</v>
      </c>
      <c r="BF696" s="408">
        <v>191.48265180614268</v>
      </c>
      <c r="BG696" s="408">
        <v>740.25328814887541</v>
      </c>
      <c r="BH696" s="408">
        <v>0</v>
      </c>
      <c r="BI696" s="408">
        <v>113.34</v>
      </c>
      <c r="BJ696" s="408">
        <v>524.84</v>
      </c>
      <c r="BK696" s="408">
        <v>2112.83</v>
      </c>
      <c r="BL696" s="408">
        <v>112</v>
      </c>
      <c r="BM696" s="408"/>
      <c r="BN696" s="408"/>
      <c r="BO696" s="408"/>
      <c r="BP696" s="408"/>
      <c r="BQ696" s="408"/>
      <c r="BR696" s="408"/>
      <c r="BS696" s="408"/>
      <c r="BT696" s="408">
        <v>11729.17265</v>
      </c>
      <c r="BU696" s="408"/>
      <c r="BV696" s="408">
        <v>7365.7849393300958</v>
      </c>
      <c r="BW696" s="408"/>
      <c r="BX696" s="408"/>
      <c r="BY696" s="408"/>
      <c r="BZ696" s="408"/>
      <c r="CA696" s="408"/>
      <c r="CB696" s="408"/>
      <c r="CC696" s="408"/>
      <c r="CD696" s="408"/>
      <c r="CE696" s="408"/>
      <c r="CF696" s="408"/>
      <c r="CG696" s="408"/>
      <c r="CH696" s="408"/>
      <c r="CI696" s="408">
        <v>6316.6235000000006</v>
      </c>
      <c r="CJ696" s="408">
        <v>-2330.568400000001</v>
      </c>
      <c r="CK696" s="408"/>
      <c r="CL696" s="408"/>
      <c r="CM696" s="408"/>
      <c r="CN696" s="408"/>
      <c r="CO696" s="408">
        <v>-7505.2042000000001</v>
      </c>
      <c r="CP696" s="408">
        <v>844.31554999999992</v>
      </c>
      <c r="CQ696" s="408">
        <v>30</v>
      </c>
      <c r="CR696" s="408">
        <v>1009.5843728307882</v>
      </c>
      <c r="CS696" s="408">
        <v>22.432658642752159</v>
      </c>
      <c r="CT696" s="408">
        <v>73.46392389900825</v>
      </c>
      <c r="CU696" s="408">
        <v>0</v>
      </c>
      <c r="CV696" s="408">
        <v>0</v>
      </c>
      <c r="CW696" s="408">
        <v>0</v>
      </c>
      <c r="CX696" s="408">
        <v>0</v>
      </c>
      <c r="CY696" s="408">
        <v>0</v>
      </c>
      <c r="CZ696" s="408">
        <v>-26.301804374431413</v>
      </c>
      <c r="DA696" s="408">
        <v>0</v>
      </c>
      <c r="DB696" s="408">
        <v>0</v>
      </c>
      <c r="DC696" s="408">
        <v>823.04368379866628</v>
      </c>
      <c r="DD696" s="408">
        <v>24.578914635604661</v>
      </c>
      <c r="DE696" s="408">
        <v>2.8376147173297674</v>
      </c>
      <c r="DF696" s="408">
        <v>0</v>
      </c>
      <c r="DG696" s="408">
        <v>95.019690851979135</v>
      </c>
      <c r="DH696" s="408">
        <v>0</v>
      </c>
      <c r="DI696" s="408">
        <v>0</v>
      </c>
      <c r="DJ696" s="408"/>
      <c r="DK696" s="408">
        <v>0</v>
      </c>
      <c r="DL696" s="408">
        <v>0</v>
      </c>
      <c r="DM696" s="408">
        <v>-3.5853556014697006</v>
      </c>
      <c r="DN696" s="408">
        <v>0</v>
      </c>
      <c r="DO696" s="408">
        <v>0</v>
      </c>
      <c r="DP696" s="408">
        <v>-1.9049537386497946</v>
      </c>
      <c r="DQ696" s="408">
        <v>0</v>
      </c>
      <c r="DR696" s="408">
        <v>0</v>
      </c>
      <c r="DS696" s="408"/>
      <c r="DT696" s="408"/>
      <c r="DU696" s="408"/>
      <c r="DV696" s="408">
        <v>14488.271358417122</v>
      </c>
      <c r="DW696" s="408">
        <v>0</v>
      </c>
      <c r="DX696" s="408">
        <v>0</v>
      </c>
      <c r="DY696" s="408">
        <v>-7505.2042000000019</v>
      </c>
      <c r="DZ696" s="408">
        <v>844.31554999999935</v>
      </c>
      <c r="EA696" s="408">
        <v>0</v>
      </c>
      <c r="EB696" s="408">
        <v>0</v>
      </c>
      <c r="EC696" s="408">
        <v>-7670.7715817100934</v>
      </c>
      <c r="ED696" s="408">
        <v>0</v>
      </c>
      <c r="EE696" s="408">
        <v>0</v>
      </c>
      <c r="EF696" s="408">
        <v>0</v>
      </c>
      <c r="EG696" s="408">
        <v>0</v>
      </c>
      <c r="EH696" s="408">
        <v>0</v>
      </c>
      <c r="EI696" s="408">
        <v>0</v>
      </c>
      <c r="EJ696" s="408">
        <v>0</v>
      </c>
      <c r="EK696" s="408">
        <v>0</v>
      </c>
      <c r="EL696" s="408">
        <v>0</v>
      </c>
      <c r="EM696" s="408">
        <v>0</v>
      </c>
      <c r="EN696" s="408">
        <v>0</v>
      </c>
      <c r="EO696" s="408">
        <v>0</v>
      </c>
      <c r="EP696" s="408">
        <v>0</v>
      </c>
      <c r="EQ696" s="408">
        <v>0</v>
      </c>
      <c r="ER696" s="408">
        <v>0</v>
      </c>
      <c r="ES696" s="408">
        <v>0</v>
      </c>
      <c r="ET696" s="408">
        <v>0</v>
      </c>
      <c r="EU696" s="408">
        <v>0</v>
      </c>
      <c r="EV696" s="408">
        <v>239</v>
      </c>
      <c r="EW696" s="408">
        <v>0</v>
      </c>
      <c r="EX696" s="408">
        <v>0</v>
      </c>
      <c r="EY696" s="408">
        <v>0</v>
      </c>
      <c r="EZ696" s="408"/>
      <c r="FA696" s="408">
        <v>0</v>
      </c>
      <c r="FB696" s="408"/>
      <c r="FC696" s="408"/>
      <c r="FD696" s="408"/>
      <c r="FE696" s="408"/>
      <c r="FF696" s="408">
        <v>0</v>
      </c>
      <c r="FG696" s="408">
        <v>0</v>
      </c>
      <c r="FH696" s="408">
        <v>0</v>
      </c>
      <c r="FI696" s="408">
        <v>0</v>
      </c>
    </row>
    <row r="697" spans="1:165">
      <c r="A697" s="408">
        <v>703</v>
      </c>
      <c r="B697" s="408" t="s">
        <v>2235</v>
      </c>
      <c r="C697" s="408" t="s">
        <v>2233</v>
      </c>
      <c r="D697" s="408" t="s">
        <v>1953</v>
      </c>
      <c r="E697" s="408" t="s">
        <v>967</v>
      </c>
      <c r="F697" s="408" t="s">
        <v>2237</v>
      </c>
      <c r="G697" s="408" t="s">
        <v>1320</v>
      </c>
      <c r="H697" s="408" t="s">
        <v>1320</v>
      </c>
      <c r="I697" s="408" t="s">
        <v>1320</v>
      </c>
      <c r="J697" s="408" t="s">
        <v>2234</v>
      </c>
      <c r="K697" s="827">
        <v>44713</v>
      </c>
      <c r="L697" s="408">
        <v>0</v>
      </c>
      <c r="M697" s="408">
        <v>0</v>
      </c>
      <c r="N697" s="408">
        <v>-4.7699999999999996</v>
      </c>
      <c r="O697" s="408">
        <v>-4.7699999999999996</v>
      </c>
      <c r="P697" s="408">
        <v>-4.7699999999999996</v>
      </c>
      <c r="Q697" s="408">
        <v>-4.7699999999999996</v>
      </c>
      <c r="R697" s="408"/>
      <c r="S697" s="408">
        <v>446.23</v>
      </c>
      <c r="T697" s="408">
        <v>173.82</v>
      </c>
      <c r="U697" s="408"/>
      <c r="V697" s="408">
        <v>-2957.6385</v>
      </c>
      <c r="W697" s="408">
        <v>-2957.6385</v>
      </c>
      <c r="X697" s="408">
        <v>-2160.2375999999999</v>
      </c>
      <c r="Y697" s="408">
        <v>0</v>
      </c>
      <c r="Z697" s="408">
        <v>0</v>
      </c>
      <c r="AA697" s="408">
        <v>0</v>
      </c>
      <c r="AB697" s="408">
        <v>0</v>
      </c>
      <c r="AC697" s="408">
        <v>-12.966978230074449</v>
      </c>
      <c r="AD697" s="408">
        <v>-164.21493696025479</v>
      </c>
      <c r="AE697" s="408">
        <v>-1734.4473429451541</v>
      </c>
      <c r="AF697" s="408">
        <v>-767.59858653266394</v>
      </c>
      <c r="AG697" s="408">
        <v>-38.617277920158294</v>
      </c>
      <c r="AH697" s="408">
        <v>0</v>
      </c>
      <c r="AI697" s="408">
        <v>0</v>
      </c>
      <c r="AJ697" s="408">
        <v>0</v>
      </c>
      <c r="AK697" s="408">
        <v>0</v>
      </c>
      <c r="AL697" s="408">
        <v>0</v>
      </c>
      <c r="AM697" s="408"/>
      <c r="AN697" s="408">
        <v>-7.4008552200330202</v>
      </c>
      <c r="AO697" s="408">
        <v>-27.658863026476045</v>
      </c>
      <c r="AP697" s="408">
        <v>-90.579036612174448</v>
      </c>
      <c r="AQ697" s="408">
        <v>0</v>
      </c>
      <c r="AR697" s="408">
        <v>0</v>
      </c>
      <c r="AS697" s="408">
        <v>0</v>
      </c>
      <c r="AT697" s="408">
        <v>0</v>
      </c>
      <c r="AU697" s="408">
        <v>0</v>
      </c>
      <c r="AV697" s="408">
        <v>0</v>
      </c>
      <c r="AW697" s="408">
        <v>0</v>
      </c>
      <c r="AX697" s="408">
        <v>0</v>
      </c>
      <c r="AY697" s="408">
        <v>0</v>
      </c>
      <c r="AZ697" s="408">
        <v>0</v>
      </c>
      <c r="BA697" s="408"/>
      <c r="BB697" s="408">
        <v>0</v>
      </c>
      <c r="BC697" s="408">
        <v>0</v>
      </c>
      <c r="BD697" s="408">
        <v>0</v>
      </c>
      <c r="BE697" s="408">
        <v>-2.6464561833385458</v>
      </c>
      <c r="BF697" s="408">
        <v>-22.923133369690063</v>
      </c>
      <c r="BG697" s="408">
        <v>-88.618601693314986</v>
      </c>
      <c r="BH697" s="408">
        <v>0</v>
      </c>
      <c r="BI697" s="408">
        <v>-15.06</v>
      </c>
      <c r="BJ697" s="408">
        <v>-71.75</v>
      </c>
      <c r="BK697" s="408">
        <v>-327.52</v>
      </c>
      <c r="BL697" s="408">
        <v>0</v>
      </c>
      <c r="BM697" s="408"/>
      <c r="BN697" s="408"/>
      <c r="BO697" s="408"/>
      <c r="BP697" s="408"/>
      <c r="BQ697" s="408"/>
      <c r="BR697" s="408"/>
      <c r="BS697" s="408"/>
      <c r="BT697" s="408">
        <v>-1404.1448999999998</v>
      </c>
      <c r="BU697" s="408"/>
      <c r="BV697" s="408">
        <v>-881.78677777900748</v>
      </c>
      <c r="BW697" s="408"/>
      <c r="BX697" s="408"/>
      <c r="BY697" s="408"/>
      <c r="BZ697" s="408"/>
      <c r="CA697" s="408"/>
      <c r="CB697" s="408"/>
      <c r="CC697" s="408"/>
      <c r="CD697" s="408"/>
      <c r="CE697" s="408"/>
      <c r="CF697" s="408"/>
      <c r="CG697" s="408"/>
      <c r="CH697" s="408"/>
      <c r="CI697" s="408">
        <v>-756.09269999999992</v>
      </c>
      <c r="CJ697" s="408">
        <v>279.06269999999995</v>
      </c>
      <c r="CK697" s="408"/>
      <c r="CL697" s="408"/>
      <c r="CM697" s="408"/>
      <c r="CN697" s="408"/>
      <c r="CO697" s="408">
        <v>898.47720000000004</v>
      </c>
      <c r="CP697" s="408">
        <v>-101.07629999999997</v>
      </c>
      <c r="CQ697" s="408">
        <v>30</v>
      </c>
      <c r="CR697" s="408">
        <v>-120.86127389642047</v>
      </c>
      <c r="CS697" s="408">
        <v>-2.6855008589767309</v>
      </c>
      <c r="CT697" s="408">
        <v>-8.7946522022404139</v>
      </c>
      <c r="CU697" s="408">
        <v>0</v>
      </c>
      <c r="CV697" s="408">
        <v>0</v>
      </c>
      <c r="CW697" s="408">
        <v>0</v>
      </c>
      <c r="CX697" s="408">
        <v>0</v>
      </c>
      <c r="CY697" s="408">
        <v>0</v>
      </c>
      <c r="CZ697" s="408">
        <v>3.1486913506346639</v>
      </c>
      <c r="DA697" s="408">
        <v>0</v>
      </c>
      <c r="DB697" s="408">
        <v>0</v>
      </c>
      <c r="DC697" s="408">
        <v>-98.529762121210638</v>
      </c>
      <c r="DD697" s="408">
        <v>-2.9424375156690736</v>
      </c>
      <c r="DE697" s="408">
        <v>-0.33970189990370159</v>
      </c>
      <c r="DF697" s="408">
        <v>0</v>
      </c>
      <c r="DG697" s="408">
        <v>-11.37517694475946</v>
      </c>
      <c r="DH697" s="408">
        <v>0</v>
      </c>
      <c r="DI697" s="408">
        <v>0</v>
      </c>
      <c r="DJ697" s="408"/>
      <c r="DK697" s="408">
        <v>0</v>
      </c>
      <c r="DL697" s="408">
        <v>0</v>
      </c>
      <c r="DM697" s="408">
        <v>0.42921687084979965</v>
      </c>
      <c r="DN697" s="408">
        <v>0</v>
      </c>
      <c r="DO697" s="408">
        <v>0</v>
      </c>
      <c r="DP697" s="408">
        <v>0.22804942485530244</v>
      </c>
      <c r="DQ697" s="408">
        <v>0</v>
      </c>
      <c r="DR697" s="408">
        <v>0</v>
      </c>
      <c r="DS697" s="408"/>
      <c r="DT697" s="408"/>
      <c r="DU697" s="408"/>
      <c r="DV697" s="408">
        <v>-1734.4473429451541</v>
      </c>
      <c r="DW697" s="408">
        <v>0</v>
      </c>
      <c r="DX697" s="408">
        <v>0</v>
      </c>
      <c r="DY697" s="408">
        <v>898.47720000000004</v>
      </c>
      <c r="DZ697" s="408">
        <v>-101.07629999999995</v>
      </c>
      <c r="EA697" s="408">
        <v>0</v>
      </c>
      <c r="EB697" s="408">
        <v>0</v>
      </c>
      <c r="EC697" s="408">
        <v>918.29791554165251</v>
      </c>
      <c r="ED697" s="408">
        <v>0</v>
      </c>
      <c r="EE697" s="408">
        <v>0</v>
      </c>
      <c r="EF697" s="408">
        <v>0</v>
      </c>
      <c r="EG697" s="408">
        <v>0</v>
      </c>
      <c r="EH697" s="408">
        <v>0</v>
      </c>
      <c r="EI697" s="408">
        <v>0</v>
      </c>
      <c r="EJ697" s="408">
        <v>0</v>
      </c>
      <c r="EK697" s="408">
        <v>0</v>
      </c>
      <c r="EL697" s="408">
        <v>0</v>
      </c>
      <c r="EM697" s="408">
        <v>0</v>
      </c>
      <c r="EN697" s="408">
        <v>0</v>
      </c>
      <c r="EO697" s="408">
        <v>0</v>
      </c>
      <c r="EP697" s="408">
        <v>0</v>
      </c>
      <c r="EQ697" s="408">
        <v>0</v>
      </c>
      <c r="ER697" s="408">
        <v>0</v>
      </c>
      <c r="ES697" s="408">
        <v>0</v>
      </c>
      <c r="ET697" s="408">
        <v>0</v>
      </c>
      <c r="EU697" s="408">
        <v>0</v>
      </c>
      <c r="EV697" s="408">
        <v>239</v>
      </c>
      <c r="EW697" s="408">
        <v>0</v>
      </c>
      <c r="EX697" s="408">
        <v>0</v>
      </c>
      <c r="EY697" s="408">
        <v>0</v>
      </c>
      <c r="EZ697" s="408"/>
      <c r="FA697" s="408">
        <v>0</v>
      </c>
      <c r="FB697" s="408"/>
      <c r="FC697" s="408"/>
      <c r="FD697" s="408"/>
      <c r="FE697" s="408"/>
      <c r="FF697" s="408">
        <v>0</v>
      </c>
      <c r="FG697" s="408">
        <v>0</v>
      </c>
      <c r="FH697" s="408">
        <v>0</v>
      </c>
      <c r="FI697" s="408">
        <v>0</v>
      </c>
    </row>
    <row r="698" spans="1:165">
      <c r="A698" s="408">
        <v>704</v>
      </c>
      <c r="B698" s="408" t="s">
        <v>2236</v>
      </c>
      <c r="C698" s="408" t="s">
        <v>2233</v>
      </c>
      <c r="D698" s="408" t="s">
        <v>1953</v>
      </c>
      <c r="E698" s="408" t="s">
        <v>967</v>
      </c>
      <c r="F698" s="408" t="s">
        <v>2237</v>
      </c>
      <c r="G698" s="408" t="s">
        <v>1320</v>
      </c>
      <c r="H698" s="408" t="s">
        <v>1320</v>
      </c>
      <c r="I698" s="408" t="s">
        <v>1320</v>
      </c>
      <c r="J698" s="408" t="s">
        <v>2234</v>
      </c>
      <c r="K698" s="827">
        <v>44713</v>
      </c>
      <c r="L698" s="408">
        <v>0</v>
      </c>
      <c r="M698" s="408">
        <v>0</v>
      </c>
      <c r="N698" s="408">
        <v>0.13200000000000001</v>
      </c>
      <c r="O698" s="408">
        <v>-0.38279999999999997</v>
      </c>
      <c r="P698" s="408">
        <v>0.13200000000000001</v>
      </c>
      <c r="Q698" s="408">
        <v>-0.38279999999999997</v>
      </c>
      <c r="R698" s="408"/>
      <c r="S698" s="408">
        <v>446.23</v>
      </c>
      <c r="T698" s="408">
        <v>173.82</v>
      </c>
      <c r="U698" s="408"/>
      <c r="V698" s="408">
        <v>81.846600000000009</v>
      </c>
      <c r="W698" s="408">
        <v>81.846600000000009</v>
      </c>
      <c r="X698" s="408">
        <v>59.780160000000002</v>
      </c>
      <c r="Y698" s="408">
        <v>0</v>
      </c>
      <c r="Z698" s="408">
        <v>0</v>
      </c>
      <c r="AA698" s="408">
        <v>0</v>
      </c>
      <c r="AB698" s="408">
        <v>0</v>
      </c>
      <c r="AC698" s="408">
        <v>0.35883461768759489</v>
      </c>
      <c r="AD698" s="408">
        <v>4.5443127209127114</v>
      </c>
      <c r="AE698" s="408">
        <v>47.997284962004272</v>
      </c>
      <c r="AF698" s="408">
        <v>21.241721891469947</v>
      </c>
      <c r="AG698" s="408">
        <v>1.0686542317528083</v>
      </c>
      <c r="AH698" s="408">
        <v>0</v>
      </c>
      <c r="AI698" s="408">
        <v>0</v>
      </c>
      <c r="AJ698" s="408">
        <v>0</v>
      </c>
      <c r="AK698" s="408">
        <v>0</v>
      </c>
      <c r="AL698" s="408">
        <v>0</v>
      </c>
      <c r="AM698" s="408"/>
      <c r="AN698" s="408">
        <v>0.20480354068015907</v>
      </c>
      <c r="AO698" s="408">
        <v>0.76540249884587808</v>
      </c>
      <c r="AP698" s="408">
        <v>2.5065896924123749</v>
      </c>
      <c r="AQ698" s="408">
        <v>0</v>
      </c>
      <c r="AR698" s="408">
        <v>0</v>
      </c>
      <c r="AS698" s="408">
        <v>0</v>
      </c>
      <c r="AT698" s="408">
        <v>0</v>
      </c>
      <c r="AU698" s="408">
        <v>0</v>
      </c>
      <c r="AV698" s="408">
        <v>0</v>
      </c>
      <c r="AW698" s="408">
        <v>0</v>
      </c>
      <c r="AX698" s="408">
        <v>0</v>
      </c>
      <c r="AY698" s="408">
        <v>0</v>
      </c>
      <c r="AZ698" s="408">
        <v>0</v>
      </c>
      <c r="BA698" s="408"/>
      <c r="BB698" s="408">
        <v>0</v>
      </c>
      <c r="BC698" s="408">
        <v>0</v>
      </c>
      <c r="BD698" s="408">
        <v>0</v>
      </c>
      <c r="BE698" s="408">
        <v>7.3235265450877995E-2</v>
      </c>
      <c r="BF698" s="408">
        <v>0.63435086054488232</v>
      </c>
      <c r="BG698" s="408">
        <v>2.4523386632112327</v>
      </c>
      <c r="BH698" s="408">
        <v>0</v>
      </c>
      <c r="BI698" s="408">
        <v>0.36</v>
      </c>
      <c r="BJ698" s="408">
        <v>1.75</v>
      </c>
      <c r="BK698" s="408">
        <v>9.09</v>
      </c>
      <c r="BL698" s="408">
        <v>0</v>
      </c>
      <c r="BM698" s="408"/>
      <c r="BN698" s="408"/>
      <c r="BO698" s="408"/>
      <c r="BP698" s="408"/>
      <c r="BQ698" s="408"/>
      <c r="BR698" s="408"/>
      <c r="BS698" s="408"/>
      <c r="BT698" s="408">
        <v>120.45778799999999</v>
      </c>
      <c r="BU698" s="408"/>
      <c r="BV698" s="408">
        <v>24.40164668067694</v>
      </c>
      <c r="BW698" s="408"/>
      <c r="BX698" s="408"/>
      <c r="BY698" s="408"/>
      <c r="BZ698" s="408"/>
      <c r="CA698" s="408"/>
      <c r="CB698" s="408"/>
      <c r="CC698" s="408"/>
      <c r="CD698" s="408"/>
      <c r="CE698" s="408"/>
      <c r="CF698" s="408"/>
      <c r="CG698" s="408"/>
      <c r="CH698" s="408"/>
      <c r="CI698" s="408">
        <v>-60.233800000000002</v>
      </c>
      <c r="CJ698" s="408">
        <v>22.811455999999993</v>
      </c>
      <c r="CK698" s="408"/>
      <c r="CL698" s="408"/>
      <c r="CM698" s="408"/>
      <c r="CN698" s="408"/>
      <c r="CO698" s="408">
        <v>-24.863520000000005</v>
      </c>
      <c r="CP698" s="408">
        <v>2.7970799999999998</v>
      </c>
      <c r="CQ698" s="408">
        <v>30</v>
      </c>
      <c r="CR698" s="408">
        <v>3.3445887115990445</v>
      </c>
      <c r="CS698" s="408">
        <v>7.4315747040865521E-2</v>
      </c>
      <c r="CT698" s="408">
        <v>0.2433740232066528</v>
      </c>
      <c r="CU698" s="408">
        <v>0</v>
      </c>
      <c r="CV698" s="408">
        <v>0</v>
      </c>
      <c r="CW698" s="408">
        <v>0</v>
      </c>
      <c r="CX698" s="408">
        <v>0</v>
      </c>
      <c r="CY698" s="408">
        <v>0</v>
      </c>
      <c r="CZ698" s="408">
        <v>-8.7133597124481099E-2</v>
      </c>
      <c r="DA698" s="408">
        <v>0</v>
      </c>
      <c r="DB698" s="408">
        <v>0</v>
      </c>
      <c r="DC698" s="408">
        <v>2.7266097693919953</v>
      </c>
      <c r="DD698" s="408">
        <v>8.1425943829836034E-2</v>
      </c>
      <c r="DE698" s="408">
        <v>9.400555720605594E-3</v>
      </c>
      <c r="DF698" s="408">
        <v>0</v>
      </c>
      <c r="DG698" s="408">
        <v>0.31478477079837486</v>
      </c>
      <c r="DH698" s="408">
        <v>0</v>
      </c>
      <c r="DI698" s="408">
        <v>0</v>
      </c>
      <c r="DJ698" s="408"/>
      <c r="DK698" s="408">
        <v>0</v>
      </c>
      <c r="DL698" s="408">
        <v>0</v>
      </c>
      <c r="DM698" s="408">
        <v>-1.1877699570686406E-2</v>
      </c>
      <c r="DN698" s="408">
        <v>0</v>
      </c>
      <c r="DO698" s="408">
        <v>0</v>
      </c>
      <c r="DP698" s="408">
        <v>-6.3108016941089973E-3</v>
      </c>
      <c r="DQ698" s="408">
        <v>0</v>
      </c>
      <c r="DR698" s="408">
        <v>0</v>
      </c>
      <c r="DS698" s="408"/>
      <c r="DT698" s="408"/>
      <c r="DU698" s="408"/>
      <c r="DV698" s="408">
        <v>47.997284962004272</v>
      </c>
      <c r="DW698" s="408">
        <v>0</v>
      </c>
      <c r="DX698" s="408">
        <v>0</v>
      </c>
      <c r="DY698" s="408">
        <v>-24.863520000000008</v>
      </c>
      <c r="DZ698" s="408">
        <v>2.7970800000000011</v>
      </c>
      <c r="EA698" s="408">
        <v>0</v>
      </c>
      <c r="EB698" s="408">
        <v>0</v>
      </c>
      <c r="EC698" s="408">
        <v>-25.412017788574037</v>
      </c>
      <c r="ED698" s="408">
        <v>0</v>
      </c>
      <c r="EE698" s="408">
        <v>0</v>
      </c>
      <c r="EF698" s="408">
        <v>0</v>
      </c>
      <c r="EG698" s="408">
        <v>0</v>
      </c>
      <c r="EH698" s="408">
        <v>0</v>
      </c>
      <c r="EI698" s="408">
        <v>0</v>
      </c>
      <c r="EJ698" s="408">
        <v>0</v>
      </c>
      <c r="EK698" s="408">
        <v>0</v>
      </c>
      <c r="EL698" s="408">
        <v>0</v>
      </c>
      <c r="EM698" s="408">
        <v>0</v>
      </c>
      <c r="EN698" s="408">
        <v>0</v>
      </c>
      <c r="EO698" s="408">
        <v>0</v>
      </c>
      <c r="EP698" s="408">
        <v>0</v>
      </c>
      <c r="EQ698" s="408">
        <v>0</v>
      </c>
      <c r="ER698" s="408">
        <v>0</v>
      </c>
      <c r="ES698" s="408">
        <v>0</v>
      </c>
      <c r="ET698" s="408">
        <v>0</v>
      </c>
      <c r="EU698" s="408">
        <v>0</v>
      </c>
      <c r="EV698" s="408">
        <v>239</v>
      </c>
      <c r="EW698" s="408">
        <v>0</v>
      </c>
      <c r="EX698" s="408">
        <v>0</v>
      </c>
      <c r="EY698" s="408">
        <v>0</v>
      </c>
      <c r="EZ698" s="408"/>
      <c r="FA698" s="408">
        <v>0</v>
      </c>
      <c r="FB698" s="408"/>
      <c r="FC698" s="408"/>
      <c r="FD698" s="408"/>
      <c r="FE698" s="408"/>
      <c r="FF698" s="408">
        <v>0</v>
      </c>
      <c r="FG698" s="408">
        <v>0</v>
      </c>
      <c r="FH698" s="408">
        <v>0</v>
      </c>
      <c r="FI698" s="408">
        <v>0</v>
      </c>
    </row>
    <row r="699" spans="1:165">
      <c r="A699" s="408">
        <v>705</v>
      </c>
      <c r="B699" s="408" t="s">
        <v>1034</v>
      </c>
      <c r="C699" s="408" t="s">
        <v>2233</v>
      </c>
      <c r="D699" s="408" t="s">
        <v>1953</v>
      </c>
      <c r="E699" s="408" t="s">
        <v>967</v>
      </c>
      <c r="F699" s="408" t="s">
        <v>2238</v>
      </c>
      <c r="G699" s="408" t="s">
        <v>1320</v>
      </c>
      <c r="H699" s="408" t="s">
        <v>1320</v>
      </c>
      <c r="I699" s="408" t="s">
        <v>1320</v>
      </c>
      <c r="J699" s="408" t="s">
        <v>2234</v>
      </c>
      <c r="K699" s="827">
        <v>44713</v>
      </c>
      <c r="L699" s="408">
        <v>0</v>
      </c>
      <c r="M699" s="408">
        <v>0</v>
      </c>
      <c r="N699" s="408">
        <v>75.016000000000005</v>
      </c>
      <c r="O699" s="408">
        <v>75.016000000000005</v>
      </c>
      <c r="P699" s="408">
        <v>75.016000000000005</v>
      </c>
      <c r="Q699" s="408">
        <v>75.016000000000005</v>
      </c>
      <c r="R699" s="408"/>
      <c r="S699" s="408">
        <v>446.23</v>
      </c>
      <c r="T699" s="408">
        <v>173.82</v>
      </c>
      <c r="U699" s="408"/>
      <c r="V699" s="408">
        <v>46513.6708</v>
      </c>
      <c r="W699" s="408">
        <v>46513.6708</v>
      </c>
      <c r="X699" s="408">
        <v>33973.246080000004</v>
      </c>
      <c r="Y699" s="408">
        <v>0</v>
      </c>
      <c r="Z699" s="408">
        <v>0</v>
      </c>
      <c r="AA699" s="408">
        <v>0</v>
      </c>
      <c r="AB699" s="408">
        <v>0</v>
      </c>
      <c r="AC699" s="408">
        <v>203.92680060948953</v>
      </c>
      <c r="AD699" s="408">
        <v>2582.5466899393032</v>
      </c>
      <c r="AE699" s="408">
        <v>27277.002490225095</v>
      </c>
      <c r="AF699" s="408">
        <v>12071.734919776589</v>
      </c>
      <c r="AG699" s="408">
        <v>607.3194382512778</v>
      </c>
      <c r="AH699" s="408">
        <v>0</v>
      </c>
      <c r="AI699" s="408">
        <v>0</v>
      </c>
      <c r="AJ699" s="408">
        <v>0</v>
      </c>
      <c r="AK699" s="408">
        <v>0</v>
      </c>
      <c r="AL699" s="408">
        <v>0</v>
      </c>
      <c r="AM699" s="408"/>
      <c r="AN699" s="408">
        <v>116.39047278532435</v>
      </c>
      <c r="AO699" s="408">
        <v>434.98055949562416</v>
      </c>
      <c r="AP699" s="408">
        <v>1424.5025179242934</v>
      </c>
      <c r="AQ699" s="408">
        <v>0</v>
      </c>
      <c r="AR699" s="408">
        <v>0</v>
      </c>
      <c r="AS699" s="408">
        <v>0</v>
      </c>
      <c r="AT699" s="408">
        <v>0</v>
      </c>
      <c r="AU699" s="408">
        <v>0</v>
      </c>
      <c r="AV699" s="408">
        <v>0</v>
      </c>
      <c r="AW699" s="408">
        <v>0</v>
      </c>
      <c r="AX699" s="408">
        <v>0</v>
      </c>
      <c r="AY699" s="408">
        <v>0</v>
      </c>
      <c r="AZ699" s="408">
        <v>0</v>
      </c>
      <c r="BA699" s="408"/>
      <c r="BB699" s="408">
        <v>0</v>
      </c>
      <c r="BC699" s="408">
        <v>0</v>
      </c>
      <c r="BD699" s="408">
        <v>0</v>
      </c>
      <c r="BE699" s="408">
        <v>41.619823280780793</v>
      </c>
      <c r="BF699" s="408">
        <v>360.50351632299163</v>
      </c>
      <c r="BG699" s="408">
        <v>1393.671493632226</v>
      </c>
      <c r="BH699" s="408">
        <v>0</v>
      </c>
      <c r="BI699" s="408">
        <v>214.09</v>
      </c>
      <c r="BJ699" s="408">
        <v>986.6</v>
      </c>
      <c r="BK699" s="408">
        <v>7133.75</v>
      </c>
      <c r="BL699" s="408">
        <v>328</v>
      </c>
      <c r="BM699" s="408"/>
      <c r="BN699" s="408"/>
      <c r="BO699" s="408"/>
      <c r="BP699" s="408"/>
      <c r="BQ699" s="408"/>
      <c r="BR699" s="408"/>
      <c r="BS699" s="408"/>
      <c r="BT699" s="408">
        <v>13589.898560000001</v>
      </c>
      <c r="BU699" s="408"/>
      <c r="BV699" s="408">
        <v>13867.529753012586</v>
      </c>
      <c r="BW699" s="408"/>
      <c r="BX699" s="408"/>
      <c r="BY699" s="408"/>
      <c r="BZ699" s="408"/>
      <c r="CA699" s="408"/>
      <c r="CB699" s="408"/>
      <c r="CC699" s="408"/>
      <c r="CD699" s="408"/>
      <c r="CE699" s="408"/>
      <c r="CF699" s="408"/>
      <c r="CG699" s="408"/>
      <c r="CH699" s="408"/>
      <c r="CI699" s="408">
        <v>20384.434399999998</v>
      </c>
      <c r="CJ699" s="408">
        <v>-7523.7980800000005</v>
      </c>
      <c r="CK699" s="408"/>
      <c r="CL699" s="408"/>
      <c r="CM699" s="408"/>
      <c r="CN699" s="408"/>
      <c r="CO699" s="408">
        <v>-14130.013760000002</v>
      </c>
      <c r="CP699" s="408">
        <v>1589.5890399999998</v>
      </c>
      <c r="CQ699" s="408">
        <v>30</v>
      </c>
      <c r="CR699" s="408">
        <v>1900.7398999190482</v>
      </c>
      <c r="CS699" s="408">
        <v>42.233864242557331</v>
      </c>
      <c r="CT699" s="408">
        <v>138.31019488538072</v>
      </c>
      <c r="CU699" s="408">
        <v>0</v>
      </c>
      <c r="CV699" s="408">
        <v>0</v>
      </c>
      <c r="CW699" s="408">
        <v>0</v>
      </c>
      <c r="CX699" s="408">
        <v>0</v>
      </c>
      <c r="CY699" s="408">
        <v>0</v>
      </c>
      <c r="CZ699" s="408">
        <v>-49.518287287045951</v>
      </c>
      <c r="DA699" s="408">
        <v>0</v>
      </c>
      <c r="DB699" s="408">
        <v>0</v>
      </c>
      <c r="DC699" s="408">
        <v>1549.5405943993155</v>
      </c>
      <c r="DD699" s="408">
        <v>46.27461062378012</v>
      </c>
      <c r="DE699" s="408">
        <v>5.3423643025526388</v>
      </c>
      <c r="DF699" s="408">
        <v>0</v>
      </c>
      <c r="DG699" s="408">
        <v>178.89313913796127</v>
      </c>
      <c r="DH699" s="408">
        <v>0</v>
      </c>
      <c r="DI699" s="408">
        <v>0</v>
      </c>
      <c r="DJ699" s="408"/>
      <c r="DK699" s="408">
        <v>0</v>
      </c>
      <c r="DL699" s="408">
        <v>0</v>
      </c>
      <c r="DM699" s="408">
        <v>-6.7501326590501094</v>
      </c>
      <c r="DN699" s="408">
        <v>0</v>
      </c>
      <c r="DO699" s="408">
        <v>0</v>
      </c>
      <c r="DP699" s="408">
        <v>-3.5864477264036481</v>
      </c>
      <c r="DQ699" s="408">
        <v>0</v>
      </c>
      <c r="DR699" s="408">
        <v>0</v>
      </c>
      <c r="DS699" s="408"/>
      <c r="DT699" s="408"/>
      <c r="DU699" s="408"/>
      <c r="DV699" s="408">
        <v>27277.002490225095</v>
      </c>
      <c r="DW699" s="408">
        <v>0</v>
      </c>
      <c r="DX699" s="408">
        <v>0</v>
      </c>
      <c r="DY699" s="408">
        <v>-14130.013759999998</v>
      </c>
      <c r="DZ699" s="408">
        <v>1589.5890400000008</v>
      </c>
      <c r="EA699" s="408">
        <v>0</v>
      </c>
      <c r="EB699" s="408">
        <v>0</v>
      </c>
      <c r="EC699" s="408">
        <v>-14441.726715361136</v>
      </c>
      <c r="ED699" s="408">
        <v>0</v>
      </c>
      <c r="EE699" s="408">
        <v>0</v>
      </c>
      <c r="EF699" s="408">
        <v>0</v>
      </c>
      <c r="EG699" s="408">
        <v>0</v>
      </c>
      <c r="EH699" s="408">
        <v>0</v>
      </c>
      <c r="EI699" s="408">
        <v>0</v>
      </c>
      <c r="EJ699" s="408">
        <v>0</v>
      </c>
      <c r="EK699" s="408">
        <v>0</v>
      </c>
      <c r="EL699" s="408">
        <v>0</v>
      </c>
      <c r="EM699" s="408">
        <v>0</v>
      </c>
      <c r="EN699" s="408">
        <v>0</v>
      </c>
      <c r="EO699" s="408">
        <v>0</v>
      </c>
      <c r="EP699" s="408">
        <v>0</v>
      </c>
      <c r="EQ699" s="408">
        <v>0</v>
      </c>
      <c r="ER699" s="408">
        <v>0</v>
      </c>
      <c r="ES699" s="408">
        <v>0</v>
      </c>
      <c r="ET699" s="408">
        <v>0</v>
      </c>
      <c r="EU699" s="408">
        <v>0</v>
      </c>
      <c r="EV699" s="408">
        <v>239</v>
      </c>
      <c r="EW699" s="408">
        <v>0</v>
      </c>
      <c r="EX699" s="408">
        <v>0</v>
      </c>
      <c r="EY699" s="408">
        <v>0</v>
      </c>
      <c r="EZ699" s="408"/>
      <c r="FA699" s="408">
        <v>0</v>
      </c>
      <c r="FB699" s="408"/>
      <c r="FC699" s="408"/>
      <c r="FD699" s="408"/>
      <c r="FE699" s="408"/>
      <c r="FF699" s="408">
        <v>0</v>
      </c>
      <c r="FG699" s="408">
        <v>0</v>
      </c>
      <c r="FH699" s="408">
        <v>0</v>
      </c>
      <c r="FI699" s="408">
        <v>0</v>
      </c>
    </row>
    <row r="700" spans="1:165">
      <c r="A700" s="408">
        <v>706</v>
      </c>
      <c r="B700" s="408" t="s">
        <v>2235</v>
      </c>
      <c r="C700" s="408" t="s">
        <v>2233</v>
      </c>
      <c r="D700" s="408" t="s">
        <v>1953</v>
      </c>
      <c r="E700" s="408" t="s">
        <v>967</v>
      </c>
      <c r="F700" s="408" t="s">
        <v>2238</v>
      </c>
      <c r="G700" s="408" t="s">
        <v>1320</v>
      </c>
      <c r="H700" s="408" t="s">
        <v>1320</v>
      </c>
      <c r="I700" s="408" t="s">
        <v>1320</v>
      </c>
      <c r="J700" s="408" t="s">
        <v>2234</v>
      </c>
      <c r="K700" s="827">
        <v>44713</v>
      </c>
      <c r="L700" s="408">
        <v>0</v>
      </c>
      <c r="M700" s="408">
        <v>0</v>
      </c>
      <c r="N700" s="408">
        <v>-9.1340000000000003</v>
      </c>
      <c r="O700" s="408">
        <v>-9.1340000000000003</v>
      </c>
      <c r="P700" s="408">
        <v>-9.1340000000000003</v>
      </c>
      <c r="Q700" s="408">
        <v>-9.1340000000000003</v>
      </c>
      <c r="R700" s="408"/>
      <c r="S700" s="408">
        <v>446.23</v>
      </c>
      <c r="T700" s="408">
        <v>173.82</v>
      </c>
      <c r="U700" s="408"/>
      <c r="V700" s="408">
        <v>-5663.5367000000006</v>
      </c>
      <c r="W700" s="408">
        <v>-5663.5367000000006</v>
      </c>
      <c r="X700" s="408">
        <v>-4136.60592</v>
      </c>
      <c r="Y700" s="408">
        <v>0</v>
      </c>
      <c r="Z700" s="408">
        <v>0</v>
      </c>
      <c r="AA700" s="408">
        <v>0</v>
      </c>
      <c r="AB700" s="408">
        <v>0</v>
      </c>
      <c r="AC700" s="408">
        <v>-24.830268166352209</v>
      </c>
      <c r="AD700" s="408">
        <v>-314.4526696425508</v>
      </c>
      <c r="AE700" s="408">
        <v>-3321.2666730526289</v>
      </c>
      <c r="AF700" s="408">
        <v>-1469.8627860355039</v>
      </c>
      <c r="AG700" s="408">
        <v>-73.947634491137507</v>
      </c>
      <c r="AH700" s="408">
        <v>0</v>
      </c>
      <c r="AI700" s="408">
        <v>0</v>
      </c>
      <c r="AJ700" s="408">
        <v>0</v>
      </c>
      <c r="AK700" s="408">
        <v>0</v>
      </c>
      <c r="AL700" s="408">
        <v>0</v>
      </c>
      <c r="AM700" s="408"/>
      <c r="AN700" s="408">
        <v>-14.171784398277069</v>
      </c>
      <c r="AO700" s="408">
        <v>-52.963533518623109</v>
      </c>
      <c r="AP700" s="408">
        <v>-173.4484109885957</v>
      </c>
      <c r="AQ700" s="408">
        <v>0</v>
      </c>
      <c r="AR700" s="408">
        <v>0</v>
      </c>
      <c r="AS700" s="408">
        <v>0</v>
      </c>
      <c r="AT700" s="408">
        <v>0</v>
      </c>
      <c r="AU700" s="408">
        <v>0</v>
      </c>
      <c r="AV700" s="408">
        <v>0</v>
      </c>
      <c r="AW700" s="408">
        <v>0</v>
      </c>
      <c r="AX700" s="408">
        <v>0</v>
      </c>
      <c r="AY700" s="408">
        <v>0</v>
      </c>
      <c r="AZ700" s="408">
        <v>0</v>
      </c>
      <c r="BA700" s="408"/>
      <c r="BB700" s="408">
        <v>0</v>
      </c>
      <c r="BC700" s="408">
        <v>0</v>
      </c>
      <c r="BD700" s="408">
        <v>0</v>
      </c>
      <c r="BE700" s="408">
        <v>-5.0676584441539365</v>
      </c>
      <c r="BF700" s="408">
        <v>-43.895157274370874</v>
      </c>
      <c r="BG700" s="408">
        <v>-169.69440416493484</v>
      </c>
      <c r="BH700" s="408">
        <v>0</v>
      </c>
      <c r="BI700" s="408">
        <v>-29.63</v>
      </c>
      <c r="BJ700" s="408">
        <v>-140.86000000000001</v>
      </c>
      <c r="BK700" s="408">
        <v>-1177.22</v>
      </c>
      <c r="BL700" s="408">
        <v>0</v>
      </c>
      <c r="BM700" s="408"/>
      <c r="BN700" s="408"/>
      <c r="BO700" s="408"/>
      <c r="BP700" s="408"/>
      <c r="BQ700" s="408"/>
      <c r="BR700" s="408"/>
      <c r="BS700" s="408"/>
      <c r="BT700" s="408">
        <v>-1654.7154399999999</v>
      </c>
      <c r="BU700" s="408"/>
      <c r="BV700" s="408">
        <v>-1688.5200059189635</v>
      </c>
      <c r="BW700" s="408"/>
      <c r="BX700" s="408"/>
      <c r="BY700" s="408"/>
      <c r="BZ700" s="408"/>
      <c r="CA700" s="408"/>
      <c r="CB700" s="408"/>
      <c r="CC700" s="408"/>
      <c r="CD700" s="408"/>
      <c r="CE700" s="408"/>
      <c r="CF700" s="408"/>
      <c r="CG700" s="408"/>
      <c r="CH700" s="408"/>
      <c r="CI700" s="408">
        <v>-2480.8036000000002</v>
      </c>
      <c r="CJ700" s="408">
        <v>917.28841999999941</v>
      </c>
      <c r="CK700" s="408"/>
      <c r="CL700" s="408"/>
      <c r="CM700" s="408"/>
      <c r="CN700" s="408"/>
      <c r="CO700" s="408">
        <v>1720.4802400000001</v>
      </c>
      <c r="CP700" s="408">
        <v>-193.54945999999998</v>
      </c>
      <c r="CQ700" s="408">
        <v>30</v>
      </c>
      <c r="CR700" s="408">
        <v>-231.43540372534608</v>
      </c>
      <c r="CS700" s="408">
        <v>-5.1424244959944403</v>
      </c>
      <c r="CT700" s="408">
        <v>-16.840744908860358</v>
      </c>
      <c r="CU700" s="408">
        <v>0</v>
      </c>
      <c r="CV700" s="408">
        <v>0</v>
      </c>
      <c r="CW700" s="408">
        <v>0</v>
      </c>
      <c r="CX700" s="408">
        <v>0</v>
      </c>
      <c r="CY700" s="408">
        <v>0</v>
      </c>
      <c r="CZ700" s="408">
        <v>6.0293808798106738</v>
      </c>
      <c r="DA700" s="408">
        <v>0</v>
      </c>
      <c r="DB700" s="408">
        <v>0</v>
      </c>
      <c r="DC700" s="408">
        <v>-188.67313358807928</v>
      </c>
      <c r="DD700" s="408">
        <v>-5.634428567740315</v>
      </c>
      <c r="DE700" s="408">
        <v>-0.65048996933342007</v>
      </c>
      <c r="DF700" s="408">
        <v>0</v>
      </c>
      <c r="DG700" s="408">
        <v>-21.78215224600271</v>
      </c>
      <c r="DH700" s="408">
        <v>0</v>
      </c>
      <c r="DI700" s="408">
        <v>0</v>
      </c>
      <c r="DJ700" s="408"/>
      <c r="DK700" s="408">
        <v>0</v>
      </c>
      <c r="DL700" s="408">
        <v>0</v>
      </c>
      <c r="DM700" s="408">
        <v>0.8219008172624882</v>
      </c>
      <c r="DN700" s="408">
        <v>0</v>
      </c>
      <c r="DO700" s="408">
        <v>0</v>
      </c>
      <c r="DP700" s="408">
        <v>0.43668835359084568</v>
      </c>
      <c r="DQ700" s="408">
        <v>0</v>
      </c>
      <c r="DR700" s="408">
        <v>0</v>
      </c>
      <c r="DS700" s="408"/>
      <c r="DT700" s="408"/>
      <c r="DU700" s="408"/>
      <c r="DV700" s="408">
        <v>-3321.2666730526289</v>
      </c>
      <c r="DW700" s="408">
        <v>0</v>
      </c>
      <c r="DX700" s="408">
        <v>0</v>
      </c>
      <c r="DY700" s="408">
        <v>1720.4802400000003</v>
      </c>
      <c r="DZ700" s="408">
        <v>-193.54945999999995</v>
      </c>
      <c r="EA700" s="408">
        <v>0</v>
      </c>
      <c r="EB700" s="408">
        <v>0</v>
      </c>
      <c r="EC700" s="408">
        <v>1758.4346248548125</v>
      </c>
      <c r="ED700" s="408">
        <v>0</v>
      </c>
      <c r="EE700" s="408">
        <v>0</v>
      </c>
      <c r="EF700" s="408">
        <v>0</v>
      </c>
      <c r="EG700" s="408">
        <v>0</v>
      </c>
      <c r="EH700" s="408">
        <v>0</v>
      </c>
      <c r="EI700" s="408">
        <v>0</v>
      </c>
      <c r="EJ700" s="408">
        <v>0</v>
      </c>
      <c r="EK700" s="408">
        <v>0</v>
      </c>
      <c r="EL700" s="408">
        <v>0</v>
      </c>
      <c r="EM700" s="408">
        <v>0</v>
      </c>
      <c r="EN700" s="408">
        <v>0</v>
      </c>
      <c r="EO700" s="408">
        <v>0</v>
      </c>
      <c r="EP700" s="408">
        <v>0</v>
      </c>
      <c r="EQ700" s="408">
        <v>0</v>
      </c>
      <c r="ER700" s="408">
        <v>0</v>
      </c>
      <c r="ES700" s="408">
        <v>0</v>
      </c>
      <c r="ET700" s="408">
        <v>0</v>
      </c>
      <c r="EU700" s="408">
        <v>0</v>
      </c>
      <c r="EV700" s="408">
        <v>239</v>
      </c>
      <c r="EW700" s="408">
        <v>0</v>
      </c>
      <c r="EX700" s="408">
        <v>0</v>
      </c>
      <c r="EY700" s="408">
        <v>0</v>
      </c>
      <c r="EZ700" s="408"/>
      <c r="FA700" s="408">
        <v>0</v>
      </c>
      <c r="FB700" s="408"/>
      <c r="FC700" s="408"/>
      <c r="FD700" s="408"/>
      <c r="FE700" s="408"/>
      <c r="FF700" s="408">
        <v>0</v>
      </c>
      <c r="FG700" s="408">
        <v>0</v>
      </c>
      <c r="FH700" s="408">
        <v>0</v>
      </c>
      <c r="FI700" s="408">
        <v>0</v>
      </c>
    </row>
    <row r="701" spans="1:165">
      <c r="A701" s="408">
        <v>707</v>
      </c>
      <c r="B701" s="408" t="s">
        <v>2236</v>
      </c>
      <c r="C701" s="408" t="s">
        <v>2233</v>
      </c>
      <c r="D701" s="408" t="s">
        <v>1953</v>
      </c>
      <c r="E701" s="408" t="s">
        <v>967</v>
      </c>
      <c r="F701" s="408" t="s">
        <v>2238</v>
      </c>
      <c r="G701" s="408" t="s">
        <v>1320</v>
      </c>
      <c r="H701" s="408" t="s">
        <v>1320</v>
      </c>
      <c r="I701" s="408" t="s">
        <v>1320</v>
      </c>
      <c r="J701" s="408" t="s">
        <v>2234</v>
      </c>
      <c r="K701" s="827">
        <v>44713</v>
      </c>
      <c r="L701" s="408">
        <v>0</v>
      </c>
      <c r="M701" s="408">
        <v>0</v>
      </c>
      <c r="N701" s="408">
        <v>8.7999999999999995E-2</v>
      </c>
      <c r="O701" s="408">
        <v>-0.1232</v>
      </c>
      <c r="P701" s="408">
        <v>8.7999999999999995E-2</v>
      </c>
      <c r="Q701" s="408">
        <v>-0.1232</v>
      </c>
      <c r="R701" s="408"/>
      <c r="S701" s="408">
        <v>446.23</v>
      </c>
      <c r="T701" s="408">
        <v>173.82</v>
      </c>
      <c r="U701" s="408"/>
      <c r="V701" s="408">
        <v>54.564399999999999</v>
      </c>
      <c r="W701" s="408">
        <v>54.564399999999999</v>
      </c>
      <c r="X701" s="408">
        <v>39.853439999999999</v>
      </c>
      <c r="Y701" s="408">
        <v>0</v>
      </c>
      <c r="Z701" s="408">
        <v>0</v>
      </c>
      <c r="AA701" s="408">
        <v>0</v>
      </c>
      <c r="AB701" s="408">
        <v>0</v>
      </c>
      <c r="AC701" s="408">
        <v>0.23922307845839655</v>
      </c>
      <c r="AD701" s="408">
        <v>3.0295418139418078</v>
      </c>
      <c r="AE701" s="408">
        <v>31.998189974669511</v>
      </c>
      <c r="AF701" s="408">
        <v>14.161147927646631</v>
      </c>
      <c r="AG701" s="408">
        <v>0.71243615450187214</v>
      </c>
      <c r="AH701" s="408">
        <v>0</v>
      </c>
      <c r="AI701" s="408">
        <v>0</v>
      </c>
      <c r="AJ701" s="408">
        <v>0</v>
      </c>
      <c r="AK701" s="408">
        <v>0</v>
      </c>
      <c r="AL701" s="408">
        <v>0</v>
      </c>
      <c r="AM701" s="408"/>
      <c r="AN701" s="408">
        <v>0.13653569378677272</v>
      </c>
      <c r="AO701" s="408">
        <v>0.51026833256391868</v>
      </c>
      <c r="AP701" s="408">
        <v>1.6710597949415831</v>
      </c>
      <c r="AQ701" s="408">
        <v>0</v>
      </c>
      <c r="AR701" s="408">
        <v>0</v>
      </c>
      <c r="AS701" s="408">
        <v>0</v>
      </c>
      <c r="AT701" s="408">
        <v>0</v>
      </c>
      <c r="AU701" s="408">
        <v>0</v>
      </c>
      <c r="AV701" s="408">
        <v>0</v>
      </c>
      <c r="AW701" s="408">
        <v>0</v>
      </c>
      <c r="AX701" s="408">
        <v>0</v>
      </c>
      <c r="AY701" s="408">
        <v>0</v>
      </c>
      <c r="AZ701" s="408">
        <v>0</v>
      </c>
      <c r="BA701" s="408"/>
      <c r="BB701" s="408">
        <v>0</v>
      </c>
      <c r="BC701" s="408">
        <v>0</v>
      </c>
      <c r="BD701" s="408">
        <v>0</v>
      </c>
      <c r="BE701" s="408">
        <v>4.8823510300585328E-2</v>
      </c>
      <c r="BF701" s="408">
        <v>0.42290057369658818</v>
      </c>
      <c r="BG701" s="408">
        <v>1.6348924421408215</v>
      </c>
      <c r="BH701" s="408">
        <v>0</v>
      </c>
      <c r="BI701" s="408">
        <v>0.25</v>
      </c>
      <c r="BJ701" s="408">
        <v>1.1599999999999999</v>
      </c>
      <c r="BK701" s="408">
        <v>24.25</v>
      </c>
      <c r="BL701" s="408">
        <v>0</v>
      </c>
      <c r="BM701" s="408"/>
      <c r="BN701" s="408"/>
      <c r="BO701" s="408"/>
      <c r="BP701" s="408"/>
      <c r="BQ701" s="408"/>
      <c r="BR701" s="408"/>
      <c r="BS701" s="408"/>
      <c r="BT701" s="408">
        <v>73.329344000000006</v>
      </c>
      <c r="BU701" s="408"/>
      <c r="BV701" s="408">
        <v>16.267764453784626</v>
      </c>
      <c r="BW701" s="408"/>
      <c r="BX701" s="408"/>
      <c r="BY701" s="408"/>
      <c r="BZ701" s="408"/>
      <c r="CA701" s="408"/>
      <c r="CB701" s="408"/>
      <c r="CC701" s="408"/>
      <c r="CD701" s="408"/>
      <c r="CE701" s="408"/>
      <c r="CF701" s="408"/>
      <c r="CG701" s="408"/>
      <c r="CH701" s="408"/>
      <c r="CI701" s="408">
        <v>-32.606399999999994</v>
      </c>
      <c r="CJ701" s="408">
        <v>13.197696000000015</v>
      </c>
      <c r="CK701" s="408"/>
      <c r="CL701" s="408"/>
      <c r="CM701" s="408"/>
      <c r="CN701" s="408"/>
      <c r="CO701" s="408">
        <v>-16.575680000000002</v>
      </c>
      <c r="CP701" s="408">
        <v>1.8647199999999997</v>
      </c>
      <c r="CQ701" s="408">
        <v>30</v>
      </c>
      <c r="CR701" s="408">
        <v>2.2297258077326987</v>
      </c>
      <c r="CS701" s="408">
        <v>4.9543831360577051E-2</v>
      </c>
      <c r="CT701" s="408">
        <v>0.16224934880443542</v>
      </c>
      <c r="CU701" s="408">
        <v>0</v>
      </c>
      <c r="CV701" s="408">
        <v>0</v>
      </c>
      <c r="CW701" s="408">
        <v>0</v>
      </c>
      <c r="CX701" s="408">
        <v>0</v>
      </c>
      <c r="CY701" s="408">
        <v>0</v>
      </c>
      <c r="CZ701" s="408">
        <v>-5.8089064749654362E-2</v>
      </c>
      <c r="DA701" s="408">
        <v>0</v>
      </c>
      <c r="DB701" s="408">
        <v>0</v>
      </c>
      <c r="DC701" s="408">
        <v>1.8177398462613272</v>
      </c>
      <c r="DD701" s="408">
        <v>5.4283962553223986E-2</v>
      </c>
      <c r="DE701" s="408">
        <v>6.2670371470703937E-3</v>
      </c>
      <c r="DF701" s="408">
        <v>0</v>
      </c>
      <c r="DG701" s="408">
        <v>0.20985651386558324</v>
      </c>
      <c r="DH701" s="408">
        <v>0</v>
      </c>
      <c r="DI701" s="408">
        <v>0</v>
      </c>
      <c r="DJ701" s="408"/>
      <c r="DK701" s="408">
        <v>0</v>
      </c>
      <c r="DL701" s="408">
        <v>0</v>
      </c>
      <c r="DM701" s="408">
        <v>-7.9184663804575672E-3</v>
      </c>
      <c r="DN701" s="408">
        <v>0</v>
      </c>
      <c r="DO701" s="408">
        <v>0</v>
      </c>
      <c r="DP701" s="408">
        <v>-4.2072011294060074E-3</v>
      </c>
      <c r="DQ701" s="408">
        <v>0</v>
      </c>
      <c r="DR701" s="408">
        <v>0</v>
      </c>
      <c r="DS701" s="408"/>
      <c r="DT701" s="408"/>
      <c r="DU701" s="408"/>
      <c r="DV701" s="408">
        <v>31.998189974669511</v>
      </c>
      <c r="DW701" s="408">
        <v>0</v>
      </c>
      <c r="DX701" s="408">
        <v>0</v>
      </c>
      <c r="DY701" s="408">
        <v>-16.575679999999998</v>
      </c>
      <c r="DZ701" s="408">
        <v>1.8647200000000002</v>
      </c>
      <c r="EA701" s="408">
        <v>0</v>
      </c>
      <c r="EB701" s="408">
        <v>0</v>
      </c>
      <c r="EC701" s="408">
        <v>-16.941345192382688</v>
      </c>
      <c r="ED701" s="408">
        <v>0</v>
      </c>
      <c r="EE701" s="408">
        <v>0</v>
      </c>
      <c r="EF701" s="408">
        <v>0</v>
      </c>
      <c r="EG701" s="408">
        <v>0</v>
      </c>
      <c r="EH701" s="408">
        <v>0</v>
      </c>
      <c r="EI701" s="408">
        <v>0</v>
      </c>
      <c r="EJ701" s="408">
        <v>0</v>
      </c>
      <c r="EK701" s="408">
        <v>0</v>
      </c>
      <c r="EL701" s="408">
        <v>0</v>
      </c>
      <c r="EM701" s="408">
        <v>0</v>
      </c>
      <c r="EN701" s="408">
        <v>0</v>
      </c>
      <c r="EO701" s="408">
        <v>0</v>
      </c>
      <c r="EP701" s="408">
        <v>0</v>
      </c>
      <c r="EQ701" s="408">
        <v>0</v>
      </c>
      <c r="ER701" s="408">
        <v>0</v>
      </c>
      <c r="ES701" s="408">
        <v>0</v>
      </c>
      <c r="ET701" s="408">
        <v>0</v>
      </c>
      <c r="EU701" s="408">
        <v>0</v>
      </c>
      <c r="EV701" s="408">
        <v>239</v>
      </c>
      <c r="EW701" s="408">
        <v>0</v>
      </c>
      <c r="EX701" s="408">
        <v>0</v>
      </c>
      <c r="EY701" s="408">
        <v>0</v>
      </c>
      <c r="EZ701" s="408"/>
      <c r="FA701" s="408">
        <v>0</v>
      </c>
      <c r="FB701" s="408"/>
      <c r="FC701" s="408"/>
      <c r="FD701" s="408"/>
      <c r="FE701" s="408"/>
      <c r="FF701" s="408">
        <v>0</v>
      </c>
      <c r="FG701" s="408">
        <v>0</v>
      </c>
      <c r="FH701" s="408">
        <v>0</v>
      </c>
      <c r="FI701" s="408">
        <v>0</v>
      </c>
    </row>
    <row r="702" spans="1:165">
      <c r="A702" s="408">
        <v>708</v>
      </c>
      <c r="B702" s="408" t="s">
        <v>1034</v>
      </c>
      <c r="C702" s="408" t="s">
        <v>2233</v>
      </c>
      <c r="D702" s="408" t="s">
        <v>1953</v>
      </c>
      <c r="E702" s="408" t="s">
        <v>967</v>
      </c>
      <c r="F702" s="408" t="s">
        <v>2239</v>
      </c>
      <c r="G702" s="408" t="s">
        <v>1320</v>
      </c>
      <c r="H702" s="408" t="s">
        <v>1320</v>
      </c>
      <c r="I702" s="408" t="s">
        <v>1320</v>
      </c>
      <c r="J702" s="408" t="s">
        <v>2234</v>
      </c>
      <c r="K702" s="827">
        <v>44713</v>
      </c>
      <c r="L702" s="408">
        <v>0</v>
      </c>
      <c r="M702" s="408">
        <v>0</v>
      </c>
      <c r="N702" s="408">
        <v>66.236000000000004</v>
      </c>
      <c r="O702" s="408">
        <v>66.236000000000004</v>
      </c>
      <c r="P702" s="408">
        <v>66.236000000000004</v>
      </c>
      <c r="Q702" s="408">
        <v>66.236000000000004</v>
      </c>
      <c r="R702" s="408"/>
      <c r="S702" s="408">
        <v>446.23</v>
      </c>
      <c r="T702" s="408">
        <v>173.82</v>
      </c>
      <c r="U702" s="408"/>
      <c r="V702" s="408">
        <v>41069.631800000003</v>
      </c>
      <c r="W702" s="408">
        <v>41069.631800000003</v>
      </c>
      <c r="X702" s="408">
        <v>29996.95968</v>
      </c>
      <c r="Y702" s="408">
        <v>0</v>
      </c>
      <c r="Z702" s="408">
        <v>0</v>
      </c>
      <c r="AA702" s="408">
        <v>0</v>
      </c>
      <c r="AB702" s="408">
        <v>0</v>
      </c>
      <c r="AC702" s="408">
        <v>180.05886164511767</v>
      </c>
      <c r="AD702" s="408">
        <v>2280.2810407755637</v>
      </c>
      <c r="AE702" s="408">
        <v>24084.455808661478</v>
      </c>
      <c r="AF702" s="408">
        <v>10658.838569722753</v>
      </c>
      <c r="AG702" s="408">
        <v>536.23774010893192</v>
      </c>
      <c r="AH702" s="408">
        <v>0</v>
      </c>
      <c r="AI702" s="408">
        <v>0</v>
      </c>
      <c r="AJ702" s="408">
        <v>0</v>
      </c>
      <c r="AK702" s="408">
        <v>0</v>
      </c>
      <c r="AL702" s="408">
        <v>0</v>
      </c>
      <c r="AM702" s="408"/>
      <c r="AN702" s="408">
        <v>102.76793424614407</v>
      </c>
      <c r="AO702" s="408">
        <v>384.06969631481502</v>
      </c>
      <c r="AP702" s="408">
        <v>1257.7763247471671</v>
      </c>
      <c r="AQ702" s="408">
        <v>0</v>
      </c>
      <c r="AR702" s="408">
        <v>0</v>
      </c>
      <c r="AS702" s="408">
        <v>0</v>
      </c>
      <c r="AT702" s="408">
        <v>0</v>
      </c>
      <c r="AU702" s="408">
        <v>0</v>
      </c>
      <c r="AV702" s="408">
        <v>0</v>
      </c>
      <c r="AW702" s="408">
        <v>0</v>
      </c>
      <c r="AX702" s="408">
        <v>0</v>
      </c>
      <c r="AY702" s="408">
        <v>0</v>
      </c>
      <c r="AZ702" s="408">
        <v>0</v>
      </c>
      <c r="BA702" s="408"/>
      <c r="BB702" s="408">
        <v>0</v>
      </c>
      <c r="BC702" s="408">
        <v>0</v>
      </c>
      <c r="BD702" s="408">
        <v>0</v>
      </c>
      <c r="BE702" s="408">
        <v>36.748568503063296</v>
      </c>
      <c r="BF702" s="408">
        <v>318.30957272008203</v>
      </c>
      <c r="BG702" s="408">
        <v>1230.5538158822667</v>
      </c>
      <c r="BH702" s="408">
        <v>0</v>
      </c>
      <c r="BI702" s="408">
        <v>187.65</v>
      </c>
      <c r="BJ702" s="408">
        <v>878.02</v>
      </c>
      <c r="BK702" s="408">
        <v>9354.09</v>
      </c>
      <c r="BL702" s="408">
        <v>596</v>
      </c>
      <c r="BM702" s="408"/>
      <c r="BN702" s="408"/>
      <c r="BO702" s="408"/>
      <c r="BP702" s="408"/>
      <c r="BQ702" s="408"/>
      <c r="BR702" s="408"/>
      <c r="BS702" s="408"/>
      <c r="BT702" s="408">
        <v>2999.16608</v>
      </c>
      <c r="BU702" s="408"/>
      <c r="BV702" s="408">
        <v>12244.450526828165</v>
      </c>
      <c r="BW702" s="408"/>
      <c r="BX702" s="408"/>
      <c r="BY702" s="408"/>
      <c r="BZ702" s="408"/>
      <c r="CA702" s="408"/>
      <c r="CB702" s="408"/>
      <c r="CC702" s="408"/>
      <c r="CD702" s="408"/>
      <c r="CE702" s="408"/>
      <c r="CF702" s="408"/>
      <c r="CG702" s="408"/>
      <c r="CH702" s="408"/>
      <c r="CI702" s="408">
        <v>26999.423999999999</v>
      </c>
      <c r="CJ702" s="408">
        <v>-9963.6058000000048</v>
      </c>
      <c r="CK702" s="408"/>
      <c r="CL702" s="408"/>
      <c r="CM702" s="408"/>
      <c r="CN702" s="408"/>
      <c r="CO702" s="408">
        <v>-12476.212960000003</v>
      </c>
      <c r="CP702" s="408">
        <v>1403.5408399999999</v>
      </c>
      <c r="CQ702" s="408">
        <v>30</v>
      </c>
      <c r="CR702" s="408">
        <v>1678.2740750111734</v>
      </c>
      <c r="CS702" s="408">
        <v>37.290741068172508</v>
      </c>
      <c r="CT702" s="408">
        <v>122.12213485693837</v>
      </c>
      <c r="CU702" s="408">
        <v>0</v>
      </c>
      <c r="CV702" s="408">
        <v>0</v>
      </c>
      <c r="CW702" s="408">
        <v>0</v>
      </c>
      <c r="CX702" s="408">
        <v>0</v>
      </c>
      <c r="CY702" s="408">
        <v>0</v>
      </c>
      <c r="CZ702" s="408">
        <v>-43.722582872251223</v>
      </c>
      <c r="DA702" s="408">
        <v>0</v>
      </c>
      <c r="DB702" s="408">
        <v>0</v>
      </c>
      <c r="DC702" s="408">
        <v>1368.1797324655163</v>
      </c>
      <c r="DD702" s="408">
        <v>40.858551632674391</v>
      </c>
      <c r="DE702" s="408">
        <v>4.7170849144699432</v>
      </c>
      <c r="DF702" s="408">
        <v>0</v>
      </c>
      <c r="DG702" s="408">
        <v>157.95518241364516</v>
      </c>
      <c r="DH702" s="408">
        <v>0</v>
      </c>
      <c r="DI702" s="408">
        <v>0</v>
      </c>
      <c r="DJ702" s="408"/>
      <c r="DK702" s="408">
        <v>0</v>
      </c>
      <c r="DL702" s="408">
        <v>0</v>
      </c>
      <c r="DM702" s="408">
        <v>-5.9600856724543974</v>
      </c>
      <c r="DN702" s="408">
        <v>0</v>
      </c>
      <c r="DO702" s="408">
        <v>0</v>
      </c>
      <c r="DP702" s="408">
        <v>-3.1666837955379066</v>
      </c>
      <c r="DQ702" s="408">
        <v>0</v>
      </c>
      <c r="DR702" s="408">
        <v>0</v>
      </c>
      <c r="DS702" s="408"/>
      <c r="DT702" s="408"/>
      <c r="DU702" s="408"/>
      <c r="DV702" s="408">
        <v>24084.455808661478</v>
      </c>
      <c r="DW702" s="408">
        <v>0</v>
      </c>
      <c r="DX702" s="408">
        <v>0</v>
      </c>
      <c r="DY702" s="408">
        <v>-12476.212960000001</v>
      </c>
      <c r="DZ702" s="408">
        <v>1403.5408399999997</v>
      </c>
      <c r="EA702" s="408">
        <v>0</v>
      </c>
      <c r="EB702" s="408">
        <v>0</v>
      </c>
      <c r="EC702" s="408">
        <v>-12751.442501848409</v>
      </c>
      <c r="ED702" s="408">
        <v>0</v>
      </c>
      <c r="EE702" s="408">
        <v>0</v>
      </c>
      <c r="EF702" s="408">
        <v>0</v>
      </c>
      <c r="EG702" s="408">
        <v>0</v>
      </c>
      <c r="EH702" s="408">
        <v>0</v>
      </c>
      <c r="EI702" s="408">
        <v>0</v>
      </c>
      <c r="EJ702" s="408">
        <v>0</v>
      </c>
      <c r="EK702" s="408">
        <v>0</v>
      </c>
      <c r="EL702" s="408">
        <v>0</v>
      </c>
      <c r="EM702" s="408">
        <v>0</v>
      </c>
      <c r="EN702" s="408">
        <v>0</v>
      </c>
      <c r="EO702" s="408">
        <v>0</v>
      </c>
      <c r="EP702" s="408">
        <v>0</v>
      </c>
      <c r="EQ702" s="408">
        <v>0</v>
      </c>
      <c r="ER702" s="408">
        <v>0</v>
      </c>
      <c r="ES702" s="408">
        <v>0</v>
      </c>
      <c r="ET702" s="408">
        <v>0</v>
      </c>
      <c r="EU702" s="408">
        <v>0</v>
      </c>
      <c r="EV702" s="408">
        <v>239</v>
      </c>
      <c r="EW702" s="408">
        <v>0</v>
      </c>
      <c r="EX702" s="408">
        <v>0</v>
      </c>
      <c r="EY702" s="408">
        <v>0</v>
      </c>
      <c r="EZ702" s="408"/>
      <c r="FA702" s="408">
        <v>0</v>
      </c>
      <c r="FB702" s="408"/>
      <c r="FC702" s="408"/>
      <c r="FD702" s="408"/>
      <c r="FE702" s="408"/>
      <c r="FF702" s="408">
        <v>0</v>
      </c>
      <c r="FG702" s="408">
        <v>0</v>
      </c>
      <c r="FH702" s="408">
        <v>0</v>
      </c>
      <c r="FI702" s="408">
        <v>0</v>
      </c>
    </row>
    <row r="703" spans="1:165">
      <c r="A703" s="408">
        <v>709</v>
      </c>
      <c r="B703" s="408" t="s">
        <v>2235</v>
      </c>
      <c r="C703" s="408" t="s">
        <v>2233</v>
      </c>
      <c r="D703" s="408" t="s">
        <v>1953</v>
      </c>
      <c r="E703" s="408" t="s">
        <v>967</v>
      </c>
      <c r="F703" s="408" t="s">
        <v>2239</v>
      </c>
      <c r="G703" s="408" t="s">
        <v>1320</v>
      </c>
      <c r="H703" s="408" t="s">
        <v>1320</v>
      </c>
      <c r="I703" s="408" t="s">
        <v>1320</v>
      </c>
      <c r="J703" s="408" t="s">
        <v>2234</v>
      </c>
      <c r="K703" s="827">
        <v>44713</v>
      </c>
      <c r="L703" s="408">
        <v>0</v>
      </c>
      <c r="M703" s="408">
        <v>0</v>
      </c>
      <c r="N703" s="408">
        <v>-7.859</v>
      </c>
      <c r="O703" s="408">
        <v>-7.859</v>
      </c>
      <c r="P703" s="408">
        <v>-7.859</v>
      </c>
      <c r="Q703" s="408">
        <v>-7.859</v>
      </c>
      <c r="R703" s="408"/>
      <c r="S703" s="408">
        <v>446.23</v>
      </c>
      <c r="T703" s="408">
        <v>173.82</v>
      </c>
      <c r="U703" s="408"/>
      <c r="V703" s="408">
        <v>-4872.9729499999994</v>
      </c>
      <c r="W703" s="408">
        <v>-4872.9729499999994</v>
      </c>
      <c r="X703" s="408">
        <v>-3559.1839199999999</v>
      </c>
      <c r="Y703" s="408">
        <v>0</v>
      </c>
      <c r="Z703" s="408">
        <v>0</v>
      </c>
      <c r="AA703" s="408">
        <v>0</v>
      </c>
      <c r="AB703" s="408">
        <v>0</v>
      </c>
      <c r="AC703" s="408">
        <v>-21.364251972778849</v>
      </c>
      <c r="AD703" s="408">
        <v>-270.55873995191666</v>
      </c>
      <c r="AE703" s="408">
        <v>-2857.6565342150875</v>
      </c>
      <c r="AF703" s="408">
        <v>-1264.687063220169</v>
      </c>
      <c r="AG703" s="408">
        <v>-63.625406116252421</v>
      </c>
      <c r="AH703" s="408">
        <v>0</v>
      </c>
      <c r="AI703" s="408">
        <v>0</v>
      </c>
      <c r="AJ703" s="408">
        <v>0</v>
      </c>
      <c r="AK703" s="408">
        <v>0</v>
      </c>
      <c r="AL703" s="408">
        <v>0</v>
      </c>
      <c r="AM703" s="408"/>
      <c r="AN703" s="408">
        <v>-12.193568380343713</v>
      </c>
      <c r="AO703" s="408">
        <v>-45.570441200225424</v>
      </c>
      <c r="AP703" s="408">
        <v>-149.23703327779435</v>
      </c>
      <c r="AQ703" s="408">
        <v>0</v>
      </c>
      <c r="AR703" s="408">
        <v>0</v>
      </c>
      <c r="AS703" s="408">
        <v>0</v>
      </c>
      <c r="AT703" s="408">
        <v>0</v>
      </c>
      <c r="AU703" s="408">
        <v>0</v>
      </c>
      <c r="AV703" s="408">
        <v>0</v>
      </c>
      <c r="AW703" s="408">
        <v>0</v>
      </c>
      <c r="AX703" s="408">
        <v>0</v>
      </c>
      <c r="AY703" s="408">
        <v>0</v>
      </c>
      <c r="AZ703" s="408">
        <v>0</v>
      </c>
      <c r="BA703" s="408"/>
      <c r="BB703" s="408">
        <v>0</v>
      </c>
      <c r="BC703" s="408">
        <v>0</v>
      </c>
      <c r="BD703" s="408">
        <v>0</v>
      </c>
      <c r="BE703" s="408">
        <v>-4.3602723574125015</v>
      </c>
      <c r="BF703" s="408">
        <v>-37.767904644107801</v>
      </c>
      <c r="BG703" s="408">
        <v>-146.00704207709907</v>
      </c>
      <c r="BH703" s="408">
        <v>0</v>
      </c>
      <c r="BI703" s="408">
        <v>-29.53</v>
      </c>
      <c r="BJ703" s="408">
        <v>-138.22999999999999</v>
      </c>
      <c r="BK703" s="408">
        <v>-1750.78</v>
      </c>
      <c r="BL703" s="408">
        <v>0</v>
      </c>
      <c r="BM703" s="408"/>
      <c r="BN703" s="408"/>
      <c r="BO703" s="408"/>
      <c r="BP703" s="408"/>
      <c r="BQ703" s="408"/>
      <c r="BR703" s="408"/>
      <c r="BS703" s="408"/>
      <c r="BT703" s="408">
        <v>-355.85551999999996</v>
      </c>
      <c r="BU703" s="408"/>
      <c r="BV703" s="408">
        <v>-1452.8222822987882</v>
      </c>
      <c r="BW703" s="408"/>
      <c r="BX703" s="408"/>
      <c r="BY703" s="408"/>
      <c r="BZ703" s="408"/>
      <c r="CA703" s="408"/>
      <c r="CB703" s="408"/>
      <c r="CC703" s="408"/>
      <c r="CD703" s="408"/>
      <c r="CE703" s="408"/>
      <c r="CF703" s="408"/>
      <c r="CG703" s="408"/>
      <c r="CH703" s="408"/>
      <c r="CI703" s="408">
        <v>-3203.7359999999999</v>
      </c>
      <c r="CJ703" s="408">
        <v>1181.9489499999991</v>
      </c>
      <c r="CK703" s="408"/>
      <c r="CL703" s="408"/>
      <c r="CM703" s="408"/>
      <c r="CN703" s="408"/>
      <c r="CO703" s="408">
        <v>1480.3212400000002</v>
      </c>
      <c r="CP703" s="408">
        <v>-166.53220999999999</v>
      </c>
      <c r="CQ703" s="408">
        <v>30</v>
      </c>
      <c r="CR703" s="408">
        <v>-199.12971730649247</v>
      </c>
      <c r="CS703" s="408">
        <v>-4.4246019393497065</v>
      </c>
      <c r="CT703" s="408">
        <v>-14.489973093796095</v>
      </c>
      <c r="CU703" s="408">
        <v>0</v>
      </c>
      <c r="CV703" s="408">
        <v>0</v>
      </c>
      <c r="CW703" s="408">
        <v>0</v>
      </c>
      <c r="CX703" s="408">
        <v>0</v>
      </c>
      <c r="CY703" s="408">
        <v>0</v>
      </c>
      <c r="CZ703" s="408">
        <v>5.1877495439492236</v>
      </c>
      <c r="DA703" s="408">
        <v>0</v>
      </c>
      <c r="DB703" s="408">
        <v>0</v>
      </c>
      <c r="DC703" s="408">
        <v>-162.33656195190679</v>
      </c>
      <c r="DD703" s="408">
        <v>-4.8479279739294014</v>
      </c>
      <c r="DE703" s="408">
        <v>-0.55968914703211592</v>
      </c>
      <c r="DF703" s="408">
        <v>0</v>
      </c>
      <c r="DG703" s="408">
        <v>-18.741617528063841</v>
      </c>
      <c r="DH703" s="408">
        <v>0</v>
      </c>
      <c r="DI703" s="408">
        <v>0</v>
      </c>
      <c r="DJ703" s="408"/>
      <c r="DK703" s="408">
        <v>0</v>
      </c>
      <c r="DL703" s="408">
        <v>0</v>
      </c>
      <c r="DM703" s="408">
        <v>0.70717303731836267</v>
      </c>
      <c r="DN703" s="408">
        <v>0</v>
      </c>
      <c r="DO703" s="408">
        <v>0</v>
      </c>
      <c r="DP703" s="408">
        <v>0.37573174631820194</v>
      </c>
      <c r="DQ703" s="408">
        <v>0</v>
      </c>
      <c r="DR703" s="408">
        <v>0</v>
      </c>
      <c r="DS703" s="408"/>
      <c r="DT703" s="408"/>
      <c r="DU703" s="408"/>
      <c r="DV703" s="408">
        <v>-2857.6565342150875</v>
      </c>
      <c r="DW703" s="408">
        <v>0</v>
      </c>
      <c r="DX703" s="408">
        <v>0</v>
      </c>
      <c r="DY703" s="408">
        <v>1480.32124</v>
      </c>
      <c r="DZ703" s="408">
        <v>-166.53221000000008</v>
      </c>
      <c r="EA703" s="408">
        <v>0</v>
      </c>
      <c r="EB703" s="408">
        <v>0</v>
      </c>
      <c r="EC703" s="408">
        <v>1512.9776348515404</v>
      </c>
      <c r="ED703" s="408">
        <v>0</v>
      </c>
      <c r="EE703" s="408">
        <v>0</v>
      </c>
      <c r="EF703" s="408">
        <v>0</v>
      </c>
      <c r="EG703" s="408">
        <v>0</v>
      </c>
      <c r="EH703" s="408">
        <v>0</v>
      </c>
      <c r="EI703" s="408">
        <v>0</v>
      </c>
      <c r="EJ703" s="408">
        <v>0</v>
      </c>
      <c r="EK703" s="408">
        <v>0</v>
      </c>
      <c r="EL703" s="408">
        <v>0</v>
      </c>
      <c r="EM703" s="408">
        <v>0</v>
      </c>
      <c r="EN703" s="408">
        <v>0</v>
      </c>
      <c r="EO703" s="408">
        <v>0</v>
      </c>
      <c r="EP703" s="408">
        <v>0</v>
      </c>
      <c r="EQ703" s="408">
        <v>0</v>
      </c>
      <c r="ER703" s="408">
        <v>0</v>
      </c>
      <c r="ES703" s="408">
        <v>0</v>
      </c>
      <c r="ET703" s="408">
        <v>0</v>
      </c>
      <c r="EU703" s="408">
        <v>0</v>
      </c>
      <c r="EV703" s="408">
        <v>239</v>
      </c>
      <c r="EW703" s="408">
        <v>0</v>
      </c>
      <c r="EX703" s="408">
        <v>0</v>
      </c>
      <c r="EY703" s="408">
        <v>0</v>
      </c>
      <c r="EZ703" s="408"/>
      <c r="FA703" s="408">
        <v>0</v>
      </c>
      <c r="FB703" s="408"/>
      <c r="FC703" s="408"/>
      <c r="FD703" s="408"/>
      <c r="FE703" s="408"/>
      <c r="FF703" s="408">
        <v>0</v>
      </c>
      <c r="FG703" s="408">
        <v>0</v>
      </c>
      <c r="FH703" s="408">
        <v>0</v>
      </c>
      <c r="FI703" s="408">
        <v>0</v>
      </c>
    </row>
    <row r="704" spans="1:165">
      <c r="A704" s="408">
        <v>710</v>
      </c>
      <c r="B704" s="408" t="s">
        <v>2236</v>
      </c>
      <c r="C704" s="408" t="s">
        <v>2233</v>
      </c>
      <c r="D704" s="408" t="s">
        <v>1953</v>
      </c>
      <c r="E704" s="408" t="s">
        <v>967</v>
      </c>
      <c r="F704" s="408" t="s">
        <v>2239</v>
      </c>
      <c r="G704" s="408" t="s">
        <v>1320</v>
      </c>
      <c r="H704" s="408" t="s">
        <v>1320</v>
      </c>
      <c r="I704" s="408" t="s">
        <v>1320</v>
      </c>
      <c r="J704" s="408" t="s">
        <v>2234</v>
      </c>
      <c r="K704" s="827">
        <v>44713</v>
      </c>
      <c r="L704" s="408">
        <v>0</v>
      </c>
      <c r="M704" s="408">
        <v>0</v>
      </c>
      <c r="N704" s="408">
        <v>0.12</v>
      </c>
      <c r="O704" s="408">
        <v>4.8000000000000001E-2</v>
      </c>
      <c r="P704" s="408">
        <v>0.12</v>
      </c>
      <c r="Q704" s="408">
        <v>4.8000000000000001E-2</v>
      </c>
      <c r="R704" s="408"/>
      <c r="S704" s="408">
        <v>446.23</v>
      </c>
      <c r="T704" s="408">
        <v>173.82</v>
      </c>
      <c r="U704" s="408"/>
      <c r="V704" s="408">
        <v>74.406000000000006</v>
      </c>
      <c r="W704" s="408">
        <v>74.406000000000006</v>
      </c>
      <c r="X704" s="408">
        <v>54.345599999999997</v>
      </c>
      <c r="Y704" s="408">
        <v>0</v>
      </c>
      <c r="Z704" s="408">
        <v>0</v>
      </c>
      <c r="AA704" s="408">
        <v>0</v>
      </c>
      <c r="AB704" s="408">
        <v>0</v>
      </c>
      <c r="AC704" s="408">
        <v>0.32621328880690442</v>
      </c>
      <c r="AD704" s="408">
        <v>4.1311933826479192</v>
      </c>
      <c r="AE704" s="408">
        <v>43.633895420003881</v>
      </c>
      <c r="AF704" s="408">
        <v>19.310656264972678</v>
      </c>
      <c r="AG704" s="408">
        <v>0.97150384704800752</v>
      </c>
      <c r="AH704" s="408">
        <v>0</v>
      </c>
      <c r="AI704" s="408">
        <v>0</v>
      </c>
      <c r="AJ704" s="408">
        <v>0</v>
      </c>
      <c r="AK704" s="408">
        <v>0</v>
      </c>
      <c r="AL704" s="408">
        <v>0</v>
      </c>
      <c r="AM704" s="408"/>
      <c r="AN704" s="408">
        <v>0.18618503698196279</v>
      </c>
      <c r="AO704" s="408">
        <v>0.69582045349625277</v>
      </c>
      <c r="AP704" s="408">
        <v>2.2787179021930681</v>
      </c>
      <c r="AQ704" s="408">
        <v>0</v>
      </c>
      <c r="AR704" s="408">
        <v>0</v>
      </c>
      <c r="AS704" s="408">
        <v>0</v>
      </c>
      <c r="AT704" s="408">
        <v>0</v>
      </c>
      <c r="AU704" s="408">
        <v>0</v>
      </c>
      <c r="AV704" s="408">
        <v>0</v>
      </c>
      <c r="AW704" s="408">
        <v>0</v>
      </c>
      <c r="AX704" s="408">
        <v>0</v>
      </c>
      <c r="AY704" s="408">
        <v>0</v>
      </c>
      <c r="AZ704" s="408">
        <v>0</v>
      </c>
      <c r="BA704" s="408"/>
      <c r="BB704" s="408">
        <v>0</v>
      </c>
      <c r="BC704" s="408">
        <v>0</v>
      </c>
      <c r="BD704" s="408">
        <v>0</v>
      </c>
      <c r="BE704" s="408">
        <v>6.6577514046252728E-2</v>
      </c>
      <c r="BF704" s="408">
        <v>0.57668260049534747</v>
      </c>
      <c r="BG704" s="408">
        <v>2.2293987847374841</v>
      </c>
      <c r="BH704" s="408">
        <v>0</v>
      </c>
      <c r="BI704" s="408">
        <v>0.34</v>
      </c>
      <c r="BJ704" s="408">
        <v>1.59</v>
      </c>
      <c r="BK704" s="408">
        <v>55.77</v>
      </c>
      <c r="BL704" s="408">
        <v>1</v>
      </c>
      <c r="BM704" s="408"/>
      <c r="BN704" s="408"/>
      <c r="BO704" s="408"/>
      <c r="BP704" s="408"/>
      <c r="BQ704" s="408"/>
      <c r="BR704" s="408"/>
      <c r="BS704" s="408"/>
      <c r="BT704" s="408">
        <v>34.780799999999999</v>
      </c>
      <c r="BU704" s="408"/>
      <c r="BV704" s="408">
        <v>22.183315164251759</v>
      </c>
      <c r="BW704" s="408"/>
      <c r="BX704" s="408"/>
      <c r="BY704" s="408"/>
      <c r="BZ704" s="408"/>
      <c r="CA704" s="408"/>
      <c r="CB704" s="408"/>
      <c r="CC704" s="408"/>
      <c r="CD704" s="408"/>
      <c r="CE704" s="408"/>
      <c r="CF704" s="408"/>
      <c r="CG704" s="408"/>
      <c r="CH704" s="408"/>
      <c r="CI704" s="408">
        <v>20.380000000000003</v>
      </c>
      <c r="CJ704" s="408">
        <v>-6.4364000000000026</v>
      </c>
      <c r="CK704" s="408"/>
      <c r="CL704" s="408"/>
      <c r="CM704" s="408"/>
      <c r="CN704" s="408"/>
      <c r="CO704" s="408">
        <v>-22.603200000000001</v>
      </c>
      <c r="CP704" s="408">
        <v>2.5427999999999997</v>
      </c>
      <c r="CQ704" s="408">
        <v>30</v>
      </c>
      <c r="CR704" s="408">
        <v>3.0405351923627748</v>
      </c>
      <c r="CS704" s="408">
        <v>6.7559770037150413E-2</v>
      </c>
      <c r="CT704" s="408">
        <v>0.2212491120060478</v>
      </c>
      <c r="CU704" s="408">
        <v>0</v>
      </c>
      <c r="CV704" s="408">
        <v>0</v>
      </c>
      <c r="CW704" s="408">
        <v>0</v>
      </c>
      <c r="CX704" s="408">
        <v>0</v>
      </c>
      <c r="CY704" s="408">
        <v>0</v>
      </c>
      <c r="CZ704" s="408">
        <v>-7.9212361022254818E-2</v>
      </c>
      <c r="DA704" s="408">
        <v>0</v>
      </c>
      <c r="DB704" s="408">
        <v>0</v>
      </c>
      <c r="DC704" s="408">
        <v>2.4787361539927204</v>
      </c>
      <c r="DD704" s="408">
        <v>7.402358529985098E-2</v>
      </c>
      <c r="DE704" s="408">
        <v>8.545959746005069E-3</v>
      </c>
      <c r="DF704" s="408">
        <v>0</v>
      </c>
      <c r="DG704" s="408">
        <v>0.28616797345306777</v>
      </c>
      <c r="DH704" s="408">
        <v>0</v>
      </c>
      <c r="DI704" s="408">
        <v>0</v>
      </c>
      <c r="DJ704" s="408"/>
      <c r="DK704" s="408">
        <v>0</v>
      </c>
      <c r="DL704" s="408">
        <v>0</v>
      </c>
      <c r="DM704" s="408">
        <v>-1.0797908700624026E-2</v>
      </c>
      <c r="DN704" s="408">
        <v>0</v>
      </c>
      <c r="DO704" s="408">
        <v>0</v>
      </c>
      <c r="DP704" s="408">
        <v>-5.73709244918999E-3</v>
      </c>
      <c r="DQ704" s="408">
        <v>0</v>
      </c>
      <c r="DR704" s="408">
        <v>0</v>
      </c>
      <c r="DS704" s="408"/>
      <c r="DT704" s="408"/>
      <c r="DU704" s="408"/>
      <c r="DV704" s="408">
        <v>43.633895420003881</v>
      </c>
      <c r="DW704" s="408">
        <v>0</v>
      </c>
      <c r="DX704" s="408">
        <v>0</v>
      </c>
      <c r="DY704" s="408">
        <v>-22.603200000000005</v>
      </c>
      <c r="DZ704" s="408">
        <v>2.5427999999999997</v>
      </c>
      <c r="EA704" s="408">
        <v>0</v>
      </c>
      <c r="EB704" s="408">
        <v>0</v>
      </c>
      <c r="EC704" s="408">
        <v>-23.101834353249121</v>
      </c>
      <c r="ED704" s="408">
        <v>0</v>
      </c>
      <c r="EE704" s="408">
        <v>0</v>
      </c>
      <c r="EF704" s="408">
        <v>0</v>
      </c>
      <c r="EG704" s="408">
        <v>0</v>
      </c>
      <c r="EH704" s="408">
        <v>0</v>
      </c>
      <c r="EI704" s="408">
        <v>0</v>
      </c>
      <c r="EJ704" s="408">
        <v>0</v>
      </c>
      <c r="EK704" s="408">
        <v>0</v>
      </c>
      <c r="EL704" s="408">
        <v>0</v>
      </c>
      <c r="EM704" s="408">
        <v>0</v>
      </c>
      <c r="EN704" s="408">
        <v>0</v>
      </c>
      <c r="EO704" s="408">
        <v>0</v>
      </c>
      <c r="EP704" s="408">
        <v>0</v>
      </c>
      <c r="EQ704" s="408">
        <v>0</v>
      </c>
      <c r="ER704" s="408">
        <v>0</v>
      </c>
      <c r="ES704" s="408">
        <v>0</v>
      </c>
      <c r="ET704" s="408">
        <v>0</v>
      </c>
      <c r="EU704" s="408">
        <v>0</v>
      </c>
      <c r="EV704" s="408">
        <v>239</v>
      </c>
      <c r="EW704" s="408">
        <v>0</v>
      </c>
      <c r="EX704" s="408">
        <v>0</v>
      </c>
      <c r="EY704" s="408">
        <v>0</v>
      </c>
      <c r="EZ704" s="408"/>
      <c r="FA704" s="408">
        <v>0</v>
      </c>
      <c r="FB704" s="408"/>
      <c r="FC704" s="408"/>
      <c r="FD704" s="408"/>
      <c r="FE704" s="408"/>
      <c r="FF704" s="408">
        <v>0</v>
      </c>
      <c r="FG704" s="408">
        <v>0</v>
      </c>
      <c r="FH704" s="408">
        <v>0</v>
      </c>
      <c r="FI704" s="408">
        <v>0</v>
      </c>
    </row>
    <row r="705" spans="1:165">
      <c r="A705" s="408">
        <v>711</v>
      </c>
      <c r="B705" s="408" t="s">
        <v>1034</v>
      </c>
      <c r="C705" s="408" t="s">
        <v>2233</v>
      </c>
      <c r="D705" s="408" t="s">
        <v>1953</v>
      </c>
      <c r="E705" s="408" t="s">
        <v>967</v>
      </c>
      <c r="F705" s="408" t="s">
        <v>2240</v>
      </c>
      <c r="G705" s="408" t="s">
        <v>1320</v>
      </c>
      <c r="H705" s="408" t="s">
        <v>1320</v>
      </c>
      <c r="I705" s="408" t="s">
        <v>1320</v>
      </c>
      <c r="J705" s="408" t="s">
        <v>2234</v>
      </c>
      <c r="K705" s="827">
        <v>44713</v>
      </c>
      <c r="L705" s="408">
        <v>0</v>
      </c>
      <c r="M705" s="408">
        <v>0</v>
      </c>
      <c r="N705" s="408">
        <v>25.716000000000001</v>
      </c>
      <c r="O705" s="408">
        <v>25.716000000000001</v>
      </c>
      <c r="P705" s="408">
        <v>25.716000000000001</v>
      </c>
      <c r="Q705" s="408">
        <v>25.716000000000001</v>
      </c>
      <c r="R705" s="408"/>
      <c r="S705" s="408">
        <v>446.23</v>
      </c>
      <c r="T705" s="408">
        <v>173.82</v>
      </c>
      <c r="U705" s="408"/>
      <c r="V705" s="408">
        <v>15945.2058</v>
      </c>
      <c r="W705" s="408">
        <v>15945.2058</v>
      </c>
      <c r="X705" s="408">
        <v>11646.26208</v>
      </c>
      <c r="Y705" s="408">
        <v>0</v>
      </c>
      <c r="Z705" s="408">
        <v>0</v>
      </c>
      <c r="AA705" s="408">
        <v>0</v>
      </c>
      <c r="AB705" s="408">
        <v>0</v>
      </c>
      <c r="AC705" s="408">
        <v>69.907507791319617</v>
      </c>
      <c r="AD705" s="408">
        <v>885.31474190144922</v>
      </c>
      <c r="AE705" s="408">
        <v>9350.7437885068321</v>
      </c>
      <c r="AF705" s="408">
        <v>4138.2736375836448</v>
      </c>
      <c r="AG705" s="408">
        <v>208.19327442238801</v>
      </c>
      <c r="AH705" s="408">
        <v>0</v>
      </c>
      <c r="AI705" s="408">
        <v>0</v>
      </c>
      <c r="AJ705" s="408">
        <v>0</v>
      </c>
      <c r="AK705" s="408">
        <v>0</v>
      </c>
      <c r="AL705" s="408">
        <v>0</v>
      </c>
      <c r="AM705" s="408"/>
      <c r="AN705" s="408">
        <v>39.899453425234626</v>
      </c>
      <c r="AO705" s="408">
        <v>149.11432318424698</v>
      </c>
      <c r="AP705" s="408">
        <v>488.3292464399745</v>
      </c>
      <c r="AQ705" s="408">
        <v>0</v>
      </c>
      <c r="AR705" s="408">
        <v>0</v>
      </c>
      <c r="AS705" s="408">
        <v>0</v>
      </c>
      <c r="AT705" s="408">
        <v>0</v>
      </c>
      <c r="AU705" s="408">
        <v>0</v>
      </c>
      <c r="AV705" s="408">
        <v>0</v>
      </c>
      <c r="AW705" s="408">
        <v>0</v>
      </c>
      <c r="AX705" s="408">
        <v>0</v>
      </c>
      <c r="AY705" s="408">
        <v>0</v>
      </c>
      <c r="AZ705" s="408">
        <v>0</v>
      </c>
      <c r="BA705" s="408"/>
      <c r="BB705" s="408">
        <v>0</v>
      </c>
      <c r="BC705" s="408">
        <v>0</v>
      </c>
      <c r="BD705" s="408">
        <v>0</v>
      </c>
      <c r="BE705" s="408">
        <v>14.267561260111959</v>
      </c>
      <c r="BF705" s="408">
        <v>123.58308128615299</v>
      </c>
      <c r="BG705" s="408">
        <v>477.76015956924283</v>
      </c>
      <c r="BH705" s="408">
        <v>0</v>
      </c>
      <c r="BI705" s="408">
        <v>72.89</v>
      </c>
      <c r="BJ705" s="408">
        <v>340.09</v>
      </c>
      <c r="BK705" s="408">
        <v>4018.4</v>
      </c>
      <c r="BL705" s="408">
        <v>284</v>
      </c>
      <c r="BM705" s="408"/>
      <c r="BN705" s="408"/>
      <c r="BO705" s="408"/>
      <c r="BP705" s="408"/>
      <c r="BQ705" s="408"/>
      <c r="BR705" s="408"/>
      <c r="BS705" s="408"/>
      <c r="BT705" s="408"/>
      <c r="BU705" s="408"/>
      <c r="BV705" s="408">
        <v>4753.8844396991526</v>
      </c>
      <c r="BW705" s="408"/>
      <c r="BX705" s="408"/>
      <c r="BY705" s="408"/>
      <c r="BZ705" s="408"/>
      <c r="CA705" s="408"/>
      <c r="CB705" s="408"/>
      <c r="CC705" s="408"/>
      <c r="CD705" s="408"/>
      <c r="CE705" s="408"/>
      <c r="CF705" s="408"/>
      <c r="CG705" s="408"/>
      <c r="CH705" s="408"/>
      <c r="CI705" s="408">
        <v>11648.0736</v>
      </c>
      <c r="CJ705" s="408">
        <v>-4297.1622000000007</v>
      </c>
      <c r="CK705" s="408"/>
      <c r="CL705" s="408"/>
      <c r="CM705" s="408"/>
      <c r="CN705" s="408"/>
      <c r="CO705" s="408">
        <v>-4843.8657600000006</v>
      </c>
      <c r="CP705" s="408">
        <v>544.92203999999992</v>
      </c>
      <c r="CQ705" s="408">
        <v>30</v>
      </c>
      <c r="CR705" s="408">
        <v>651.5866917233443</v>
      </c>
      <c r="CS705" s="408">
        <v>14.478058718961336</v>
      </c>
      <c r="CT705" s="408">
        <v>47.413684702896091</v>
      </c>
      <c r="CU705" s="408">
        <v>0</v>
      </c>
      <c r="CV705" s="408">
        <v>0</v>
      </c>
      <c r="CW705" s="408">
        <v>0</v>
      </c>
      <c r="CX705" s="408">
        <v>0</v>
      </c>
      <c r="CY705" s="408">
        <v>0</v>
      </c>
      <c r="CZ705" s="408">
        <v>-16.975208967069307</v>
      </c>
      <c r="DA705" s="408">
        <v>0</v>
      </c>
      <c r="DB705" s="408">
        <v>0</v>
      </c>
      <c r="DC705" s="408">
        <v>531.19315780064062</v>
      </c>
      <c r="DD705" s="408">
        <v>15.86325432975805</v>
      </c>
      <c r="DE705" s="408">
        <v>1.8313991735688884</v>
      </c>
      <c r="DF705" s="408">
        <v>0</v>
      </c>
      <c r="DG705" s="408">
        <v>61.325796710992506</v>
      </c>
      <c r="DH705" s="408">
        <v>0</v>
      </c>
      <c r="DI705" s="408">
        <v>0</v>
      </c>
      <c r="DJ705" s="408"/>
      <c r="DK705" s="408">
        <v>0</v>
      </c>
      <c r="DL705" s="408">
        <v>0</v>
      </c>
      <c r="DM705" s="408">
        <v>-2.3139918345437138</v>
      </c>
      <c r="DN705" s="408">
        <v>0</v>
      </c>
      <c r="DO705" s="408">
        <v>0</v>
      </c>
      <c r="DP705" s="408">
        <v>-1.2294589118614141</v>
      </c>
      <c r="DQ705" s="408">
        <v>0</v>
      </c>
      <c r="DR705" s="408">
        <v>0</v>
      </c>
      <c r="DS705" s="408"/>
      <c r="DT705" s="408"/>
      <c r="DU705" s="408"/>
      <c r="DV705" s="408">
        <v>9350.7437885068321</v>
      </c>
      <c r="DW705" s="408">
        <v>0</v>
      </c>
      <c r="DX705" s="408">
        <v>0</v>
      </c>
      <c r="DY705" s="408">
        <v>-4843.8657600000006</v>
      </c>
      <c r="DZ705" s="408">
        <v>544.92204000000038</v>
      </c>
      <c r="EA705" s="408">
        <v>0</v>
      </c>
      <c r="EB705" s="408">
        <v>0</v>
      </c>
      <c r="EC705" s="408">
        <v>-4950.723101901287</v>
      </c>
      <c r="ED705" s="408">
        <v>0</v>
      </c>
      <c r="EE705" s="408">
        <v>0</v>
      </c>
      <c r="EF705" s="408">
        <v>0</v>
      </c>
      <c r="EG705" s="408">
        <v>0</v>
      </c>
      <c r="EH705" s="408">
        <v>0</v>
      </c>
      <c r="EI705" s="408">
        <v>0</v>
      </c>
      <c r="EJ705" s="408">
        <v>0</v>
      </c>
      <c r="EK705" s="408">
        <v>0</v>
      </c>
      <c r="EL705" s="408">
        <v>0</v>
      </c>
      <c r="EM705" s="408">
        <v>0</v>
      </c>
      <c r="EN705" s="408">
        <v>0</v>
      </c>
      <c r="EO705" s="408">
        <v>0</v>
      </c>
      <c r="EP705" s="408">
        <v>0</v>
      </c>
      <c r="EQ705" s="408">
        <v>0</v>
      </c>
      <c r="ER705" s="408">
        <v>0</v>
      </c>
      <c r="ES705" s="408">
        <v>0</v>
      </c>
      <c r="ET705" s="408">
        <v>0</v>
      </c>
      <c r="EU705" s="408">
        <v>0</v>
      </c>
      <c r="EV705" s="408">
        <v>239</v>
      </c>
      <c r="EW705" s="408">
        <v>0</v>
      </c>
      <c r="EX705" s="408">
        <v>0</v>
      </c>
      <c r="EY705" s="408">
        <v>0</v>
      </c>
      <c r="EZ705" s="408"/>
      <c r="FA705" s="408">
        <v>0</v>
      </c>
      <c r="FB705" s="408"/>
      <c r="FC705" s="408"/>
      <c r="FD705" s="408"/>
      <c r="FE705" s="408"/>
      <c r="FF705" s="408">
        <v>0</v>
      </c>
      <c r="FG705" s="408">
        <v>0</v>
      </c>
      <c r="FH705" s="408">
        <v>0</v>
      </c>
      <c r="FI705" s="408">
        <v>0</v>
      </c>
    </row>
    <row r="706" spans="1:165">
      <c r="A706" s="408">
        <v>712</v>
      </c>
      <c r="B706" s="408" t="s">
        <v>2235</v>
      </c>
      <c r="C706" s="408" t="s">
        <v>2233</v>
      </c>
      <c r="D706" s="408" t="s">
        <v>1953</v>
      </c>
      <c r="E706" s="408" t="s">
        <v>967</v>
      </c>
      <c r="F706" s="408" t="s">
        <v>2240</v>
      </c>
      <c r="G706" s="408" t="s">
        <v>1320</v>
      </c>
      <c r="H706" s="408" t="s">
        <v>1320</v>
      </c>
      <c r="I706" s="408" t="s">
        <v>1320</v>
      </c>
      <c r="J706" s="408" t="s">
        <v>2234</v>
      </c>
      <c r="K706" s="827">
        <v>44713</v>
      </c>
      <c r="L706" s="408">
        <v>0</v>
      </c>
      <c r="M706" s="408">
        <v>0</v>
      </c>
      <c r="N706" s="408">
        <v>-1.806</v>
      </c>
      <c r="O706" s="408">
        <v>-1.806</v>
      </c>
      <c r="P706" s="408">
        <v>-1.806</v>
      </c>
      <c r="Q706" s="408">
        <v>-1.806</v>
      </c>
      <c r="R706" s="408"/>
      <c r="S706" s="408">
        <v>446.23</v>
      </c>
      <c r="T706" s="408">
        <v>173.82</v>
      </c>
      <c r="U706" s="408"/>
      <c r="V706" s="408">
        <v>-1119.8103000000001</v>
      </c>
      <c r="W706" s="408">
        <v>-1119.8103000000001</v>
      </c>
      <c r="X706" s="408">
        <v>-817.90128000000004</v>
      </c>
      <c r="Y706" s="408">
        <v>0</v>
      </c>
      <c r="Z706" s="408">
        <v>0</v>
      </c>
      <c r="AA706" s="408">
        <v>0</v>
      </c>
      <c r="AB706" s="408">
        <v>0</v>
      </c>
      <c r="AC706" s="408">
        <v>-4.9095099965439113</v>
      </c>
      <c r="AD706" s="408">
        <v>-62.174460408851189</v>
      </c>
      <c r="AE706" s="408">
        <v>-656.69012607105844</v>
      </c>
      <c r="AF706" s="408">
        <v>-290.62537678783883</v>
      </c>
      <c r="AG706" s="408">
        <v>-14.621132898072513</v>
      </c>
      <c r="AH706" s="408">
        <v>0</v>
      </c>
      <c r="AI706" s="408">
        <v>0</v>
      </c>
      <c r="AJ706" s="408">
        <v>0</v>
      </c>
      <c r="AK706" s="408">
        <v>0</v>
      </c>
      <c r="AL706" s="408">
        <v>0</v>
      </c>
      <c r="AM706" s="408"/>
      <c r="AN706" s="408">
        <v>-2.8020848065785402</v>
      </c>
      <c r="AO706" s="408">
        <v>-10.472097825118604</v>
      </c>
      <c r="AP706" s="408">
        <v>-34.294704428005673</v>
      </c>
      <c r="AQ706" s="408">
        <v>0</v>
      </c>
      <c r="AR706" s="408">
        <v>0</v>
      </c>
      <c r="AS706" s="408">
        <v>0</v>
      </c>
      <c r="AT706" s="408">
        <v>0</v>
      </c>
      <c r="AU706" s="408">
        <v>0</v>
      </c>
      <c r="AV706" s="408">
        <v>0</v>
      </c>
      <c r="AW706" s="408">
        <v>0</v>
      </c>
      <c r="AX706" s="408">
        <v>0</v>
      </c>
      <c r="AY706" s="408">
        <v>0</v>
      </c>
      <c r="AZ706" s="408">
        <v>0</v>
      </c>
      <c r="BA706" s="408"/>
      <c r="BB706" s="408">
        <v>0</v>
      </c>
      <c r="BC706" s="408">
        <v>0</v>
      </c>
      <c r="BD706" s="408">
        <v>0</v>
      </c>
      <c r="BE706" s="408">
        <v>-1.0019915863961035</v>
      </c>
      <c r="BF706" s="408">
        <v>-8.6790731374549814</v>
      </c>
      <c r="BG706" s="408">
        <v>-33.552451710299138</v>
      </c>
      <c r="BH706" s="408">
        <v>0</v>
      </c>
      <c r="BI706" s="408">
        <v>-9.4</v>
      </c>
      <c r="BJ706" s="408">
        <v>-43.5</v>
      </c>
      <c r="BK706" s="408">
        <v>-655.12</v>
      </c>
      <c r="BL706" s="408">
        <v>0</v>
      </c>
      <c r="BM706" s="408"/>
      <c r="BN706" s="408"/>
      <c r="BO706" s="408"/>
      <c r="BP706" s="408"/>
      <c r="BQ706" s="408"/>
      <c r="BR706" s="408"/>
      <c r="BS706" s="408"/>
      <c r="BT706" s="408"/>
      <c r="BU706" s="408"/>
      <c r="BV706" s="408">
        <v>-333.85889322198904</v>
      </c>
      <c r="BW706" s="408"/>
      <c r="BX706" s="408"/>
      <c r="BY706" s="408"/>
      <c r="BZ706" s="408"/>
      <c r="CA706" s="408"/>
      <c r="CB706" s="408"/>
      <c r="CC706" s="408"/>
      <c r="CD706" s="408"/>
      <c r="CE706" s="408"/>
      <c r="CF706" s="408"/>
      <c r="CG706" s="408"/>
      <c r="CH706" s="408"/>
      <c r="CI706" s="408">
        <v>-819.71280000000002</v>
      </c>
      <c r="CJ706" s="408">
        <v>300.06750000000011</v>
      </c>
      <c r="CK706" s="408"/>
      <c r="CL706" s="408"/>
      <c r="CM706" s="408"/>
      <c r="CN706" s="408"/>
      <c r="CO706" s="408">
        <v>340.17816000000005</v>
      </c>
      <c r="CP706" s="408">
        <v>-38.26914</v>
      </c>
      <c r="CQ706" s="408">
        <v>30</v>
      </c>
      <c r="CR706" s="408">
        <v>-45.760054645059711</v>
      </c>
      <c r="CS706" s="408">
        <v>-1.0167745390591154</v>
      </c>
      <c r="CT706" s="408">
        <v>-3.3297991356910259</v>
      </c>
      <c r="CU706" s="408">
        <v>0</v>
      </c>
      <c r="CV706" s="408">
        <v>0</v>
      </c>
      <c r="CW706" s="408">
        <v>0</v>
      </c>
      <c r="CX706" s="408">
        <v>0</v>
      </c>
      <c r="CY706" s="408">
        <v>0</v>
      </c>
      <c r="CZ706" s="408">
        <v>1.1921460333849438</v>
      </c>
      <c r="DA706" s="408">
        <v>0</v>
      </c>
      <c r="DB706" s="408">
        <v>0</v>
      </c>
      <c r="DC706" s="408">
        <v>-37.304979117590449</v>
      </c>
      <c r="DD706" s="408">
        <v>-1.1140549587627557</v>
      </c>
      <c r="DE706" s="408">
        <v>-0.12861669417737653</v>
      </c>
      <c r="DF706" s="408">
        <v>0</v>
      </c>
      <c r="DG706" s="408">
        <v>-4.3068280004686699</v>
      </c>
      <c r="DH706" s="408">
        <v>0</v>
      </c>
      <c r="DI706" s="408">
        <v>0</v>
      </c>
      <c r="DJ706" s="408"/>
      <c r="DK706" s="408">
        <v>0</v>
      </c>
      <c r="DL706" s="408">
        <v>0</v>
      </c>
      <c r="DM706" s="408">
        <v>0.16250852594439102</v>
      </c>
      <c r="DN706" s="408">
        <v>0</v>
      </c>
      <c r="DO706" s="408">
        <v>0</v>
      </c>
      <c r="DP706" s="408">
        <v>8.6343241360309797E-2</v>
      </c>
      <c r="DQ706" s="408">
        <v>0</v>
      </c>
      <c r="DR706" s="408">
        <v>0</v>
      </c>
      <c r="DS706" s="408"/>
      <c r="DT706" s="408"/>
      <c r="DU706" s="408"/>
      <c r="DV706" s="408">
        <v>-656.69012607105844</v>
      </c>
      <c r="DW706" s="408">
        <v>0</v>
      </c>
      <c r="DX706" s="408">
        <v>0</v>
      </c>
      <c r="DY706" s="408">
        <v>340.17815999999999</v>
      </c>
      <c r="DZ706" s="408">
        <v>-38.269139999999993</v>
      </c>
      <c r="EA706" s="408">
        <v>0</v>
      </c>
      <c r="EB706" s="408">
        <v>0</v>
      </c>
      <c r="EC706" s="408">
        <v>347.68260701639929</v>
      </c>
      <c r="ED706" s="408">
        <v>0</v>
      </c>
      <c r="EE706" s="408">
        <v>0</v>
      </c>
      <c r="EF706" s="408">
        <v>0</v>
      </c>
      <c r="EG706" s="408">
        <v>0</v>
      </c>
      <c r="EH706" s="408">
        <v>0</v>
      </c>
      <c r="EI706" s="408">
        <v>0</v>
      </c>
      <c r="EJ706" s="408">
        <v>0</v>
      </c>
      <c r="EK706" s="408">
        <v>0</v>
      </c>
      <c r="EL706" s="408">
        <v>0</v>
      </c>
      <c r="EM706" s="408">
        <v>0</v>
      </c>
      <c r="EN706" s="408">
        <v>0</v>
      </c>
      <c r="EO706" s="408">
        <v>0</v>
      </c>
      <c r="EP706" s="408">
        <v>0</v>
      </c>
      <c r="EQ706" s="408">
        <v>0</v>
      </c>
      <c r="ER706" s="408">
        <v>0</v>
      </c>
      <c r="ES706" s="408">
        <v>0</v>
      </c>
      <c r="ET706" s="408">
        <v>0</v>
      </c>
      <c r="EU706" s="408">
        <v>0</v>
      </c>
      <c r="EV706" s="408">
        <v>239</v>
      </c>
      <c r="EW706" s="408">
        <v>0</v>
      </c>
      <c r="EX706" s="408">
        <v>0</v>
      </c>
      <c r="EY706" s="408">
        <v>0</v>
      </c>
      <c r="EZ706" s="408"/>
      <c r="FA706" s="408">
        <v>0</v>
      </c>
      <c r="FB706" s="408"/>
      <c r="FC706" s="408"/>
      <c r="FD706" s="408"/>
      <c r="FE706" s="408"/>
      <c r="FF706" s="408">
        <v>0</v>
      </c>
      <c r="FG706" s="408">
        <v>0</v>
      </c>
      <c r="FH706" s="408">
        <v>0</v>
      </c>
      <c r="FI706" s="408">
        <v>0</v>
      </c>
    </row>
    <row r="707" spans="1:165">
      <c r="A707" s="408">
        <v>713</v>
      </c>
      <c r="B707" s="408" t="s">
        <v>2236</v>
      </c>
      <c r="C707" s="408" t="s">
        <v>2233</v>
      </c>
      <c r="D707" s="408" t="s">
        <v>1953</v>
      </c>
      <c r="E707" s="408" t="s">
        <v>967</v>
      </c>
      <c r="F707" s="408" t="s">
        <v>2240</v>
      </c>
      <c r="G707" s="408" t="s">
        <v>1320</v>
      </c>
      <c r="H707" s="408" t="s">
        <v>1320</v>
      </c>
      <c r="I707" s="408" t="s">
        <v>1320</v>
      </c>
      <c r="J707" s="408" t="s">
        <v>2234</v>
      </c>
      <c r="K707" s="827">
        <v>44713</v>
      </c>
      <c r="L707" s="408">
        <v>0</v>
      </c>
      <c r="M707" s="408">
        <v>0</v>
      </c>
      <c r="N707" s="408">
        <v>9.8000000000000004E-2</v>
      </c>
      <c r="O707" s="408">
        <v>9.8000000000000004E-2</v>
      </c>
      <c r="P707" s="408">
        <v>9.8000000000000004E-2</v>
      </c>
      <c r="Q707" s="408">
        <v>9.8000000000000004E-2</v>
      </c>
      <c r="R707" s="408"/>
      <c r="S707" s="408">
        <v>446.23</v>
      </c>
      <c r="T707" s="408">
        <v>173.82</v>
      </c>
      <c r="U707" s="408"/>
      <c r="V707" s="408">
        <v>60.764900000000004</v>
      </c>
      <c r="W707" s="408">
        <v>60.764900000000004</v>
      </c>
      <c r="X707" s="408">
        <v>44.382240000000003</v>
      </c>
      <c r="Y707" s="408">
        <v>0</v>
      </c>
      <c r="Z707" s="408">
        <v>0</v>
      </c>
      <c r="AA707" s="408">
        <v>0</v>
      </c>
      <c r="AB707" s="408">
        <v>0</v>
      </c>
      <c r="AC707" s="408">
        <v>0.26640751919230526</v>
      </c>
      <c r="AD707" s="408">
        <v>3.3738079291624676</v>
      </c>
      <c r="AE707" s="408">
        <v>35.634347926336503</v>
      </c>
      <c r="AF707" s="408">
        <v>15.770369283061022</v>
      </c>
      <c r="AG707" s="408">
        <v>0.79339480842253951</v>
      </c>
      <c r="AH707" s="408">
        <v>0</v>
      </c>
      <c r="AI707" s="408">
        <v>0</v>
      </c>
      <c r="AJ707" s="408">
        <v>0</v>
      </c>
      <c r="AK707" s="408">
        <v>0</v>
      </c>
      <c r="AL707" s="408">
        <v>0</v>
      </c>
      <c r="AM707" s="408"/>
      <c r="AN707" s="408">
        <v>0.15205111353526962</v>
      </c>
      <c r="AO707" s="408">
        <v>0.56825337035527312</v>
      </c>
      <c r="AP707" s="408">
        <v>1.8609529534576723</v>
      </c>
      <c r="AQ707" s="408">
        <v>0</v>
      </c>
      <c r="AR707" s="408">
        <v>0</v>
      </c>
      <c r="AS707" s="408">
        <v>0</v>
      </c>
      <c r="AT707" s="408">
        <v>0</v>
      </c>
      <c r="AU707" s="408">
        <v>0</v>
      </c>
      <c r="AV707" s="408">
        <v>0</v>
      </c>
      <c r="AW707" s="408">
        <v>0</v>
      </c>
      <c r="AX707" s="408">
        <v>0</v>
      </c>
      <c r="AY707" s="408">
        <v>0</v>
      </c>
      <c r="AZ707" s="408">
        <v>0</v>
      </c>
      <c r="BA707" s="408"/>
      <c r="BB707" s="408">
        <v>0</v>
      </c>
      <c r="BC707" s="408">
        <v>0</v>
      </c>
      <c r="BD707" s="408">
        <v>0</v>
      </c>
      <c r="BE707" s="408">
        <v>5.4371636471106398E-2</v>
      </c>
      <c r="BF707" s="408">
        <v>0.47095745707120051</v>
      </c>
      <c r="BG707" s="408">
        <v>1.8206756742022787</v>
      </c>
      <c r="BH707" s="408">
        <v>0</v>
      </c>
      <c r="BI707" s="408">
        <v>0.28000000000000003</v>
      </c>
      <c r="BJ707" s="408">
        <v>1.29</v>
      </c>
      <c r="BK707" s="408">
        <v>70.66</v>
      </c>
      <c r="BL707" s="408">
        <v>5</v>
      </c>
      <c r="BM707" s="408"/>
      <c r="BN707" s="408"/>
      <c r="BO707" s="408"/>
      <c r="BP707" s="408"/>
      <c r="BQ707" s="408"/>
      <c r="BR707" s="408"/>
      <c r="BS707" s="408"/>
      <c r="BT707" s="408"/>
      <c r="BU707" s="408"/>
      <c r="BV707" s="408">
        <v>18.116374050805607</v>
      </c>
      <c r="BW707" s="408"/>
      <c r="BX707" s="408"/>
      <c r="BY707" s="408"/>
      <c r="BZ707" s="408"/>
      <c r="CA707" s="408"/>
      <c r="CB707" s="408"/>
      <c r="CC707" s="408"/>
      <c r="CD707" s="408"/>
      <c r="CE707" s="408"/>
      <c r="CF707" s="408"/>
      <c r="CG707" s="408"/>
      <c r="CH707" s="408"/>
      <c r="CI707" s="408">
        <v>45.288000000000004</v>
      </c>
      <c r="CJ707" s="408">
        <v>-15.506899999999995</v>
      </c>
      <c r="CK707" s="408"/>
      <c r="CL707" s="408"/>
      <c r="CM707" s="408"/>
      <c r="CN707" s="408"/>
      <c r="CO707" s="408">
        <v>-18.459280000000003</v>
      </c>
      <c r="CP707" s="408">
        <v>2.0766199999999997</v>
      </c>
      <c r="CQ707" s="408">
        <v>30</v>
      </c>
      <c r="CR707" s="408">
        <v>2.4831037404296055</v>
      </c>
      <c r="CS707" s="408">
        <v>5.5173812197006233E-2</v>
      </c>
      <c r="CT707" s="408">
        <v>0.18068677480493922</v>
      </c>
      <c r="CU707" s="408">
        <v>0</v>
      </c>
      <c r="CV707" s="408">
        <v>0</v>
      </c>
      <c r="CW707" s="408">
        <v>0</v>
      </c>
      <c r="CX707" s="408">
        <v>0</v>
      </c>
      <c r="CY707" s="408">
        <v>0</v>
      </c>
      <c r="CZ707" s="408">
        <v>-6.4690094834841894E-2</v>
      </c>
      <c r="DA707" s="408">
        <v>0</v>
      </c>
      <c r="DB707" s="408">
        <v>0</v>
      </c>
      <c r="DC707" s="408">
        <v>2.0243011924273873</v>
      </c>
      <c r="DD707" s="408">
        <v>6.0452594661544956E-2</v>
      </c>
      <c r="DE707" s="408">
        <v>6.9792004592374793E-3</v>
      </c>
      <c r="DF707" s="408">
        <v>0</v>
      </c>
      <c r="DG707" s="408">
        <v>0.23370384498667218</v>
      </c>
      <c r="DH707" s="408">
        <v>0</v>
      </c>
      <c r="DI707" s="408">
        <v>0</v>
      </c>
      <c r="DJ707" s="408"/>
      <c r="DK707" s="408">
        <v>0</v>
      </c>
      <c r="DL707" s="408">
        <v>0</v>
      </c>
      <c r="DM707" s="408">
        <v>-8.8182921055095509E-3</v>
      </c>
      <c r="DN707" s="408">
        <v>0</v>
      </c>
      <c r="DO707" s="408">
        <v>0</v>
      </c>
      <c r="DP707" s="408">
        <v>-4.685292166838495E-3</v>
      </c>
      <c r="DQ707" s="408">
        <v>0</v>
      </c>
      <c r="DR707" s="408">
        <v>0</v>
      </c>
      <c r="DS707" s="408"/>
      <c r="DT707" s="408"/>
      <c r="DU707" s="408"/>
      <c r="DV707" s="408">
        <v>35.634347926336503</v>
      </c>
      <c r="DW707" s="408">
        <v>0</v>
      </c>
      <c r="DX707" s="408">
        <v>0</v>
      </c>
      <c r="DY707" s="408">
        <v>-18.459280000000003</v>
      </c>
      <c r="DZ707" s="408">
        <v>2.0766200000000019</v>
      </c>
      <c r="EA707" s="408">
        <v>0</v>
      </c>
      <c r="EB707" s="408">
        <v>0</v>
      </c>
      <c r="EC707" s="408">
        <v>-18.866498055153446</v>
      </c>
      <c r="ED707" s="408">
        <v>0</v>
      </c>
      <c r="EE707" s="408">
        <v>0</v>
      </c>
      <c r="EF707" s="408">
        <v>0</v>
      </c>
      <c r="EG707" s="408">
        <v>0</v>
      </c>
      <c r="EH707" s="408">
        <v>0</v>
      </c>
      <c r="EI707" s="408">
        <v>0</v>
      </c>
      <c r="EJ707" s="408">
        <v>0</v>
      </c>
      <c r="EK707" s="408">
        <v>0</v>
      </c>
      <c r="EL707" s="408">
        <v>0</v>
      </c>
      <c r="EM707" s="408">
        <v>0</v>
      </c>
      <c r="EN707" s="408">
        <v>0</v>
      </c>
      <c r="EO707" s="408">
        <v>0</v>
      </c>
      <c r="EP707" s="408">
        <v>0</v>
      </c>
      <c r="EQ707" s="408">
        <v>0</v>
      </c>
      <c r="ER707" s="408">
        <v>0</v>
      </c>
      <c r="ES707" s="408">
        <v>0</v>
      </c>
      <c r="ET707" s="408">
        <v>0</v>
      </c>
      <c r="EU707" s="408">
        <v>0</v>
      </c>
      <c r="EV707" s="408">
        <v>239</v>
      </c>
      <c r="EW707" s="408">
        <v>0</v>
      </c>
      <c r="EX707" s="408">
        <v>0</v>
      </c>
      <c r="EY707" s="408">
        <v>0</v>
      </c>
      <c r="EZ707" s="408"/>
      <c r="FA707" s="408">
        <v>0</v>
      </c>
      <c r="FB707" s="408"/>
      <c r="FC707" s="408"/>
      <c r="FD707" s="408"/>
      <c r="FE707" s="408"/>
      <c r="FF707" s="408">
        <v>0</v>
      </c>
      <c r="FG707" s="408">
        <v>0</v>
      </c>
      <c r="FH707" s="408">
        <v>0</v>
      </c>
      <c r="FI707" s="408">
        <v>0</v>
      </c>
    </row>
    <row r="708" spans="1:165">
      <c r="A708" s="408">
        <v>714</v>
      </c>
      <c r="B708" s="408" t="s">
        <v>1034</v>
      </c>
      <c r="C708" s="408" t="s">
        <v>2233</v>
      </c>
      <c r="D708" s="408" t="s">
        <v>1956</v>
      </c>
      <c r="E708" s="408" t="s">
        <v>968</v>
      </c>
      <c r="F708" s="408" t="s">
        <v>1320</v>
      </c>
      <c r="G708" s="408" t="s">
        <v>1320</v>
      </c>
      <c r="H708" s="408" t="s">
        <v>1320</v>
      </c>
      <c r="I708" s="408" t="s">
        <v>1320</v>
      </c>
      <c r="J708" s="408" t="s">
        <v>2234</v>
      </c>
      <c r="K708" s="827">
        <v>44713</v>
      </c>
      <c r="L708" s="408">
        <v>0</v>
      </c>
      <c r="M708" s="408">
        <v>0</v>
      </c>
      <c r="N708" s="408">
        <v>64.040999999999997</v>
      </c>
      <c r="O708" s="408">
        <v>64.040999999999997</v>
      </c>
      <c r="P708" s="408">
        <v>64.040999999999997</v>
      </c>
      <c r="Q708" s="408">
        <v>64.040999999999997</v>
      </c>
      <c r="R708" s="408"/>
      <c r="S708" s="408">
        <v>516.83000000000004</v>
      </c>
      <c r="T708" s="408">
        <v>173.82</v>
      </c>
      <c r="U708" s="408"/>
      <c r="V708" s="408">
        <v>44229.916649999999</v>
      </c>
      <c r="W708" s="408">
        <v>44229.916649999999</v>
      </c>
      <c r="X708" s="408">
        <v>33394.179449999996</v>
      </c>
      <c r="Y708" s="408">
        <v>0</v>
      </c>
      <c r="Z708" s="408">
        <v>3916.0722961995957</v>
      </c>
      <c r="AA708" s="408">
        <v>0</v>
      </c>
      <c r="AB708" s="408">
        <v>0</v>
      </c>
      <c r="AC708" s="408">
        <v>174.0918769040247</v>
      </c>
      <c r="AD708" s="408">
        <v>2204.7146284846285</v>
      </c>
      <c r="AE708" s="408">
        <v>23286.31913827057</v>
      </c>
      <c r="AF708" s="408">
        <v>10305.614482209294</v>
      </c>
      <c r="AG708" s="408">
        <v>518.46731557334533</v>
      </c>
      <c r="AH708" s="408">
        <v>0</v>
      </c>
      <c r="AI708" s="408">
        <v>0</v>
      </c>
      <c r="AJ708" s="408">
        <v>0</v>
      </c>
      <c r="AK708" s="408">
        <v>0</v>
      </c>
      <c r="AL708" s="408">
        <v>605.28329745059375</v>
      </c>
      <c r="AM708" s="408"/>
      <c r="AN708" s="408">
        <v>99.362299611348988</v>
      </c>
      <c r="AO708" s="408">
        <v>371.34198051961266</v>
      </c>
      <c r="AP708" s="408">
        <v>1216.0947764528855</v>
      </c>
      <c r="AQ708" s="408">
        <v>0</v>
      </c>
      <c r="AR708" s="408">
        <v>0</v>
      </c>
      <c r="AS708" s="408">
        <v>0</v>
      </c>
      <c r="AT708" s="408">
        <v>0</v>
      </c>
      <c r="AU708" s="408">
        <v>0</v>
      </c>
      <c r="AV708" s="408">
        <v>0</v>
      </c>
      <c r="AW708" s="408">
        <v>0</v>
      </c>
      <c r="AX708" s="408">
        <v>0</v>
      </c>
      <c r="AY708" s="408">
        <v>0</v>
      </c>
      <c r="AZ708" s="408">
        <v>0</v>
      </c>
      <c r="BA708" s="408"/>
      <c r="BB708" s="408">
        <v>0</v>
      </c>
      <c r="BC708" s="408">
        <v>0</v>
      </c>
      <c r="BD708" s="408">
        <v>0</v>
      </c>
      <c r="BE708" s="408">
        <v>35.530754808633922</v>
      </c>
      <c r="BF708" s="408">
        <v>307.7610868193546</v>
      </c>
      <c r="BG708" s="408">
        <v>1189.7743964447768</v>
      </c>
      <c r="BH708" s="408">
        <v>0</v>
      </c>
      <c r="BI708" s="408">
        <v>183.97</v>
      </c>
      <c r="BJ708" s="408">
        <v>844.93</v>
      </c>
      <c r="BK708" s="408">
        <v>7050.3</v>
      </c>
      <c r="BL708" s="408">
        <v>35</v>
      </c>
      <c r="BM708" s="408"/>
      <c r="BN708" s="408"/>
      <c r="BO708" s="408"/>
      <c r="BP708" s="408"/>
      <c r="BQ708" s="408"/>
      <c r="BR708" s="408"/>
      <c r="BS708" s="408"/>
      <c r="BT708" s="408"/>
      <c r="BU708" s="408"/>
      <c r="BV708" s="408">
        <v>11838.68072028206</v>
      </c>
      <c r="BW708" s="408"/>
      <c r="BX708" s="408"/>
      <c r="BY708" s="408"/>
      <c r="BZ708" s="408"/>
      <c r="CA708" s="408"/>
      <c r="CB708" s="408"/>
      <c r="CC708" s="408"/>
      <c r="CD708" s="408"/>
      <c r="CE708" s="408"/>
      <c r="CF708" s="408"/>
      <c r="CG708" s="408"/>
      <c r="CH708" s="408"/>
      <c r="CI708" s="408">
        <v>33393.658000000003</v>
      </c>
      <c r="CJ708" s="408">
        <v>-10836.288650000002</v>
      </c>
      <c r="CK708" s="408"/>
      <c r="CL708" s="408"/>
      <c r="CM708" s="408"/>
      <c r="CN708" s="408"/>
      <c r="CO708" s="408">
        <v>-12192.765990000002</v>
      </c>
      <c r="CP708" s="408">
        <v>1357.0287899999998</v>
      </c>
      <c r="CQ708" s="408">
        <v>30</v>
      </c>
      <c r="CR708" s="408">
        <v>1492.5317979360843</v>
      </c>
      <c r="CS708" s="408">
        <v>36.054960274576274</v>
      </c>
      <c r="CT708" s="408">
        <v>118.07511984982762</v>
      </c>
      <c r="CU708" s="408">
        <v>0</v>
      </c>
      <c r="CV708" s="408">
        <v>0</v>
      </c>
      <c r="CW708" s="408">
        <v>0</v>
      </c>
      <c r="CX708" s="408">
        <v>0</v>
      </c>
      <c r="CY708" s="408">
        <v>0</v>
      </c>
      <c r="CZ708" s="408">
        <v>-42.273656768552428</v>
      </c>
      <c r="DA708" s="408">
        <v>0</v>
      </c>
      <c r="DB708" s="408">
        <v>0</v>
      </c>
      <c r="DC708" s="408">
        <v>1322.8395169820651</v>
      </c>
      <c r="DD708" s="408">
        <v>39.504536884897902</v>
      </c>
      <c r="DE708" s="408">
        <v>4.5607650674492604</v>
      </c>
      <c r="DF708" s="408">
        <v>0</v>
      </c>
      <c r="DG708" s="408">
        <v>152.72069323256596</v>
      </c>
      <c r="DH708" s="408">
        <v>0</v>
      </c>
      <c r="DI708" s="408">
        <v>-114.44919251215561</v>
      </c>
      <c r="DJ708" s="408"/>
      <c r="DK708" s="408">
        <v>0</v>
      </c>
      <c r="DL708" s="408">
        <v>0</v>
      </c>
      <c r="DM708" s="408">
        <v>-5.7625739258054409</v>
      </c>
      <c r="DN708" s="408">
        <v>0</v>
      </c>
      <c r="DO708" s="408">
        <v>-15.676628335954433</v>
      </c>
      <c r="DP708" s="408">
        <v>-3.0617428128214783</v>
      </c>
      <c r="DQ708" s="408">
        <v>0</v>
      </c>
      <c r="DR708" s="408">
        <v>0</v>
      </c>
      <c r="DS708" s="408"/>
      <c r="DT708" s="408"/>
      <c r="DU708" s="408"/>
      <c r="DV708" s="408">
        <v>23286.31913827057</v>
      </c>
      <c r="DW708" s="408">
        <v>0</v>
      </c>
      <c r="DX708" s="408">
        <v>0</v>
      </c>
      <c r="DY708" s="408">
        <v>-12192.765990000004</v>
      </c>
      <c r="DZ708" s="408">
        <v>1357.0287900000003</v>
      </c>
      <c r="EA708" s="408">
        <v>0</v>
      </c>
      <c r="EB708" s="408">
        <v>0</v>
      </c>
      <c r="EC708" s="408">
        <v>-12328.871448470223</v>
      </c>
      <c r="ED708" s="408">
        <v>0</v>
      </c>
      <c r="EE708" s="408">
        <v>0</v>
      </c>
      <c r="EF708" s="408">
        <v>0</v>
      </c>
      <c r="EG708" s="408">
        <v>0</v>
      </c>
      <c r="EH708" s="408">
        <v>0</v>
      </c>
      <c r="EI708" s="408">
        <v>0</v>
      </c>
      <c r="EJ708" s="408">
        <v>0</v>
      </c>
      <c r="EK708" s="408">
        <v>0</v>
      </c>
      <c r="EL708" s="408">
        <v>0</v>
      </c>
      <c r="EM708" s="408">
        <v>0</v>
      </c>
      <c r="EN708" s="408">
        <v>0</v>
      </c>
      <c r="EO708" s="408">
        <v>0</v>
      </c>
      <c r="EP708" s="408">
        <v>0</v>
      </c>
      <c r="EQ708" s="408">
        <v>0</v>
      </c>
      <c r="ER708" s="408">
        <v>0</v>
      </c>
      <c r="ES708" s="408">
        <v>0</v>
      </c>
      <c r="ET708" s="408">
        <v>0</v>
      </c>
      <c r="EU708" s="408">
        <v>0</v>
      </c>
      <c r="EV708" s="408">
        <v>239</v>
      </c>
      <c r="EW708" s="408">
        <v>0</v>
      </c>
      <c r="EX708" s="408">
        <v>0</v>
      </c>
      <c r="EY708" s="408">
        <v>0</v>
      </c>
      <c r="EZ708" s="408"/>
      <c r="FA708" s="408">
        <v>0</v>
      </c>
      <c r="FB708" s="408"/>
      <c r="FC708" s="408"/>
      <c r="FD708" s="408"/>
      <c r="FE708" s="408"/>
      <c r="FF708" s="408">
        <v>0</v>
      </c>
      <c r="FG708" s="408">
        <v>0</v>
      </c>
      <c r="FH708" s="408">
        <v>0</v>
      </c>
      <c r="FI708" s="408">
        <v>0</v>
      </c>
    </row>
    <row r="709" spans="1:165">
      <c r="A709" s="408">
        <v>715</v>
      </c>
      <c r="B709" s="408" t="s">
        <v>2235</v>
      </c>
      <c r="C709" s="408" t="s">
        <v>2233</v>
      </c>
      <c r="D709" s="408" t="s">
        <v>1956</v>
      </c>
      <c r="E709" s="408" t="s">
        <v>968</v>
      </c>
      <c r="F709" s="408" t="s">
        <v>1320</v>
      </c>
      <c r="G709" s="408" t="s">
        <v>1320</v>
      </c>
      <c r="H709" s="408" t="s">
        <v>1320</v>
      </c>
      <c r="I709" s="408" t="s">
        <v>1320</v>
      </c>
      <c r="J709" s="408" t="s">
        <v>2234</v>
      </c>
      <c r="K709" s="827">
        <v>44713</v>
      </c>
      <c r="L709" s="408">
        <v>0</v>
      </c>
      <c r="M709" s="408">
        <v>0</v>
      </c>
      <c r="N709" s="408">
        <v>-2E-3</v>
      </c>
      <c r="O709" s="408">
        <v>-2E-3</v>
      </c>
      <c r="P709" s="408">
        <v>-2E-3</v>
      </c>
      <c r="Q709" s="408">
        <v>-2E-3</v>
      </c>
      <c r="R709" s="408"/>
      <c r="S709" s="408">
        <v>516.83000000000004</v>
      </c>
      <c r="T709" s="408">
        <v>173.82</v>
      </c>
      <c r="U709" s="408"/>
      <c r="V709" s="408">
        <v>-1.3813</v>
      </c>
      <c r="W709" s="408">
        <v>-1.3813</v>
      </c>
      <c r="X709" s="408">
        <v>-1.0428999999999999</v>
      </c>
      <c r="Y709" s="408">
        <v>0</v>
      </c>
      <c r="Z709" s="408">
        <v>-0.1222989115160474</v>
      </c>
      <c r="AA709" s="408">
        <v>0</v>
      </c>
      <c r="AB709" s="408">
        <v>0</v>
      </c>
      <c r="AC709" s="408">
        <v>-5.4368881467817404E-3</v>
      </c>
      <c r="AD709" s="408">
        <v>-6.8853223044131995E-2</v>
      </c>
      <c r="AE709" s="408">
        <v>-0.72723159033339801</v>
      </c>
      <c r="AF709" s="408">
        <v>-0.321844271082878</v>
      </c>
      <c r="AG709" s="408">
        <v>-1.6191730784133457E-2</v>
      </c>
      <c r="AH709" s="408">
        <v>0</v>
      </c>
      <c r="AI709" s="408">
        <v>0</v>
      </c>
      <c r="AJ709" s="408">
        <v>0</v>
      </c>
      <c r="AK709" s="408">
        <v>0</v>
      </c>
      <c r="AL709" s="408">
        <v>-1.8902993315238481E-2</v>
      </c>
      <c r="AM709" s="408"/>
      <c r="AN709" s="408">
        <v>-3.1030839496993799E-3</v>
      </c>
      <c r="AO709" s="408">
        <v>-1.159700755827088E-2</v>
      </c>
      <c r="AP709" s="408">
        <v>-3.7978631703217802E-2</v>
      </c>
      <c r="AQ709" s="408">
        <v>0</v>
      </c>
      <c r="AR709" s="408">
        <v>0</v>
      </c>
      <c r="AS709" s="408">
        <v>0</v>
      </c>
      <c r="AT709" s="408">
        <v>0</v>
      </c>
      <c r="AU709" s="408">
        <v>0</v>
      </c>
      <c r="AV709" s="408">
        <v>0</v>
      </c>
      <c r="AW709" s="408">
        <v>0</v>
      </c>
      <c r="AX709" s="408">
        <v>0</v>
      </c>
      <c r="AY709" s="408">
        <v>0</v>
      </c>
      <c r="AZ709" s="408">
        <v>0</v>
      </c>
      <c r="BA709" s="408"/>
      <c r="BB709" s="408">
        <v>0</v>
      </c>
      <c r="BC709" s="408">
        <v>0</v>
      </c>
      <c r="BD709" s="408">
        <v>0</v>
      </c>
      <c r="BE709" s="408">
        <v>-1.1096252341042121E-3</v>
      </c>
      <c r="BF709" s="408">
        <v>-9.6113766749224595E-3</v>
      </c>
      <c r="BG709" s="408">
        <v>-3.7156646412291404E-2</v>
      </c>
      <c r="BH709" s="408">
        <v>0</v>
      </c>
      <c r="BI709" s="408">
        <v>0</v>
      </c>
      <c r="BJ709" s="408">
        <v>-0.01</v>
      </c>
      <c r="BK709" s="408">
        <v>-0.28000000000000003</v>
      </c>
      <c r="BL709" s="408">
        <v>0</v>
      </c>
      <c r="BM709" s="408"/>
      <c r="BN709" s="408"/>
      <c r="BO709" s="408"/>
      <c r="BP709" s="408"/>
      <c r="BQ709" s="408"/>
      <c r="BR709" s="408"/>
      <c r="BS709" s="408"/>
      <c r="BT709" s="408"/>
      <c r="BU709" s="408"/>
      <c r="BV709" s="408">
        <v>-0.36972191940419608</v>
      </c>
      <c r="BW709" s="408"/>
      <c r="BX709" s="408"/>
      <c r="BY709" s="408"/>
      <c r="BZ709" s="408"/>
      <c r="CA709" s="408"/>
      <c r="CB709" s="408"/>
      <c r="CC709" s="408"/>
      <c r="CD709" s="408"/>
      <c r="CE709" s="408"/>
      <c r="CF709" s="408"/>
      <c r="CG709" s="408"/>
      <c r="CH709" s="408"/>
      <c r="CI709" s="408">
        <v>0</v>
      </c>
      <c r="CJ709" s="408">
        <v>1.3512999999999999</v>
      </c>
      <c r="CK709" s="408"/>
      <c r="CL709" s="408"/>
      <c r="CM709" s="408"/>
      <c r="CN709" s="408"/>
      <c r="CO709" s="408">
        <v>0.38078000000000012</v>
      </c>
      <c r="CP709" s="408">
        <v>-4.2379999999999994E-2</v>
      </c>
      <c r="CQ709" s="408">
        <v>30</v>
      </c>
      <c r="CR709" s="408">
        <v>-4.6611758028016093E-2</v>
      </c>
      <c r="CS709" s="408">
        <v>-1.1259961672858403E-3</v>
      </c>
      <c r="CT709" s="408">
        <v>-3.6874852001008013E-3</v>
      </c>
      <c r="CU709" s="408">
        <v>0</v>
      </c>
      <c r="CV709" s="408">
        <v>0</v>
      </c>
      <c r="CW709" s="408">
        <v>0</v>
      </c>
      <c r="CX709" s="408">
        <v>0</v>
      </c>
      <c r="CY709" s="408">
        <v>0</v>
      </c>
      <c r="CZ709" s="408">
        <v>1.3202060170375979E-3</v>
      </c>
      <c r="DA709" s="408">
        <v>0</v>
      </c>
      <c r="DB709" s="408">
        <v>0</v>
      </c>
      <c r="DC709" s="408">
        <v>-4.1312269233212018E-2</v>
      </c>
      <c r="DD709" s="408">
        <v>-1.233726421664182E-3</v>
      </c>
      <c r="DE709" s="408">
        <v>-1.4243266243341808E-4</v>
      </c>
      <c r="DF709" s="408">
        <v>0</v>
      </c>
      <c r="DG709" s="408">
        <v>-4.7694662242177971E-3</v>
      </c>
      <c r="DH709" s="408">
        <v>0</v>
      </c>
      <c r="DI709" s="408">
        <v>3.5742475136913976E-3</v>
      </c>
      <c r="DJ709" s="408"/>
      <c r="DK709" s="408">
        <v>0</v>
      </c>
      <c r="DL709" s="408">
        <v>0</v>
      </c>
      <c r="DM709" s="408">
        <v>1.7996514501039673E-4</v>
      </c>
      <c r="DN709" s="408">
        <v>0</v>
      </c>
      <c r="DO709" s="408">
        <v>4.8958099767194146E-4</v>
      </c>
      <c r="DP709" s="408">
        <v>9.5618207486499775E-5</v>
      </c>
      <c r="DQ709" s="408">
        <v>0</v>
      </c>
      <c r="DR709" s="408">
        <v>0</v>
      </c>
      <c r="DS709" s="408"/>
      <c r="DT709" s="408"/>
      <c r="DU709" s="408"/>
      <c r="DV709" s="408">
        <v>-0.72723159033339801</v>
      </c>
      <c r="DW709" s="408">
        <v>0</v>
      </c>
      <c r="DX709" s="408">
        <v>0</v>
      </c>
      <c r="DY709" s="408">
        <v>0.38078000000000001</v>
      </c>
      <c r="DZ709" s="408">
        <v>-4.2379999999999973E-2</v>
      </c>
      <c r="EA709" s="408">
        <v>0</v>
      </c>
      <c r="EB709" s="408">
        <v>0</v>
      </c>
      <c r="EC709" s="408">
        <v>0.38503057255415202</v>
      </c>
      <c r="ED709" s="408">
        <v>0</v>
      </c>
      <c r="EE709" s="408">
        <v>0</v>
      </c>
      <c r="EF709" s="408">
        <v>0</v>
      </c>
      <c r="EG709" s="408">
        <v>0</v>
      </c>
      <c r="EH709" s="408">
        <v>0</v>
      </c>
      <c r="EI709" s="408">
        <v>0</v>
      </c>
      <c r="EJ709" s="408">
        <v>0</v>
      </c>
      <c r="EK709" s="408">
        <v>0</v>
      </c>
      <c r="EL709" s="408">
        <v>0</v>
      </c>
      <c r="EM709" s="408">
        <v>0</v>
      </c>
      <c r="EN709" s="408">
        <v>0</v>
      </c>
      <c r="EO709" s="408">
        <v>0</v>
      </c>
      <c r="EP709" s="408">
        <v>0</v>
      </c>
      <c r="EQ709" s="408">
        <v>0</v>
      </c>
      <c r="ER709" s="408">
        <v>0</v>
      </c>
      <c r="ES709" s="408">
        <v>0</v>
      </c>
      <c r="ET709" s="408">
        <v>0</v>
      </c>
      <c r="EU709" s="408">
        <v>0</v>
      </c>
      <c r="EV709" s="408">
        <v>239</v>
      </c>
      <c r="EW709" s="408">
        <v>0</v>
      </c>
      <c r="EX709" s="408">
        <v>0</v>
      </c>
      <c r="EY709" s="408">
        <v>0</v>
      </c>
      <c r="EZ709" s="408"/>
      <c r="FA709" s="408">
        <v>0</v>
      </c>
      <c r="FB709" s="408"/>
      <c r="FC709" s="408"/>
      <c r="FD709" s="408"/>
      <c r="FE709" s="408"/>
      <c r="FF709" s="408">
        <v>0</v>
      </c>
      <c r="FG709" s="408">
        <v>0</v>
      </c>
      <c r="FH709" s="408">
        <v>0</v>
      </c>
      <c r="FI709" s="408">
        <v>0</v>
      </c>
    </row>
    <row r="710" spans="1:165">
      <c r="A710" s="408">
        <v>716</v>
      </c>
      <c r="B710" s="408" t="s">
        <v>2236</v>
      </c>
      <c r="C710" s="408" t="s">
        <v>2233</v>
      </c>
      <c r="D710" s="408" t="s">
        <v>1956</v>
      </c>
      <c r="E710" s="408" t="s">
        <v>968</v>
      </c>
      <c r="F710" s="408" t="s">
        <v>1320</v>
      </c>
      <c r="G710" s="408" t="s">
        <v>1320</v>
      </c>
      <c r="H710" s="408" t="s">
        <v>1320</v>
      </c>
      <c r="I710" s="408" t="s">
        <v>1320</v>
      </c>
      <c r="J710" s="408" t="s">
        <v>2234</v>
      </c>
      <c r="K710" s="827">
        <v>44713</v>
      </c>
      <c r="L710" s="408">
        <v>0</v>
      </c>
      <c r="M710" s="408">
        <v>0</v>
      </c>
      <c r="N710" s="408">
        <v>5.3209999999999997</v>
      </c>
      <c r="O710" s="408">
        <v>5.3209999999999997</v>
      </c>
      <c r="P710" s="408">
        <v>5.3209999999999997</v>
      </c>
      <c r="Q710" s="408">
        <v>5.3209999999999997</v>
      </c>
      <c r="R710" s="408"/>
      <c r="S710" s="408">
        <v>516.83000000000004</v>
      </c>
      <c r="T710" s="408">
        <v>173.82</v>
      </c>
      <c r="U710" s="408"/>
      <c r="V710" s="408">
        <v>3674.9486500000003</v>
      </c>
      <c r="W710" s="408">
        <v>3674.9486500000003</v>
      </c>
      <c r="X710" s="408">
        <v>2774.6354499999998</v>
      </c>
      <c r="Y710" s="408">
        <v>0</v>
      </c>
      <c r="Z710" s="408">
        <v>325.37625408844406</v>
      </c>
      <c r="AA710" s="408">
        <v>0</v>
      </c>
      <c r="AB710" s="408">
        <v>0</v>
      </c>
      <c r="AC710" s="408">
        <v>14.46484091451282</v>
      </c>
      <c r="AD710" s="408">
        <v>183.18399990891317</v>
      </c>
      <c r="AE710" s="408">
        <v>1934.7996460820052</v>
      </c>
      <c r="AF710" s="408">
        <v>856.26668321599686</v>
      </c>
      <c r="AG710" s="408">
        <v>43.078099751187061</v>
      </c>
      <c r="AH710" s="408">
        <v>0</v>
      </c>
      <c r="AI710" s="408">
        <v>0</v>
      </c>
      <c r="AJ710" s="408">
        <v>0</v>
      </c>
      <c r="AK710" s="408">
        <v>0</v>
      </c>
      <c r="AL710" s="408">
        <v>50.291413715191972</v>
      </c>
      <c r="AM710" s="408"/>
      <c r="AN710" s="408">
        <v>8.255754848175199</v>
      </c>
      <c r="AO710" s="408">
        <v>30.853838608779675</v>
      </c>
      <c r="AP710" s="408">
        <v>101.04214964641095</v>
      </c>
      <c r="AQ710" s="408">
        <v>0</v>
      </c>
      <c r="AR710" s="408">
        <v>0</v>
      </c>
      <c r="AS710" s="408">
        <v>0</v>
      </c>
      <c r="AT710" s="408">
        <v>0</v>
      </c>
      <c r="AU710" s="408">
        <v>0</v>
      </c>
      <c r="AV710" s="408">
        <v>0</v>
      </c>
      <c r="AW710" s="408">
        <v>0</v>
      </c>
      <c r="AX710" s="408">
        <v>0</v>
      </c>
      <c r="AY710" s="408">
        <v>0</v>
      </c>
      <c r="AZ710" s="408">
        <v>0</v>
      </c>
      <c r="BA710" s="408"/>
      <c r="BB710" s="408">
        <v>0</v>
      </c>
      <c r="BC710" s="408">
        <v>0</v>
      </c>
      <c r="BD710" s="408">
        <v>0</v>
      </c>
      <c r="BE710" s="408">
        <v>2.952157935334256</v>
      </c>
      <c r="BF710" s="408">
        <v>25.571067643631203</v>
      </c>
      <c r="BG710" s="408">
        <v>98.855257779901265</v>
      </c>
      <c r="BH710" s="408">
        <v>0</v>
      </c>
      <c r="BI710" s="408">
        <v>15.25</v>
      </c>
      <c r="BJ710" s="408">
        <v>70.19</v>
      </c>
      <c r="BK710" s="408">
        <v>787.52</v>
      </c>
      <c r="BL710" s="408">
        <v>7</v>
      </c>
      <c r="BM710" s="408"/>
      <c r="BN710" s="408"/>
      <c r="BO710" s="408"/>
      <c r="BP710" s="408"/>
      <c r="BQ710" s="408"/>
      <c r="BR710" s="408"/>
      <c r="BS710" s="408"/>
      <c r="BT710" s="408"/>
      <c r="BU710" s="408"/>
      <c r="BV710" s="408">
        <v>983.64516657486365</v>
      </c>
      <c r="BW710" s="408"/>
      <c r="BX710" s="408"/>
      <c r="BY710" s="408"/>
      <c r="BZ710" s="408"/>
      <c r="CA710" s="408"/>
      <c r="CB710" s="408"/>
      <c r="CC710" s="408"/>
      <c r="CD710" s="408"/>
      <c r="CE710" s="408"/>
      <c r="CF710" s="408"/>
      <c r="CG710" s="408"/>
      <c r="CH710" s="408"/>
      <c r="CI710" s="408">
        <v>2774.114</v>
      </c>
      <c r="CJ710" s="408">
        <v>-900.86465000000089</v>
      </c>
      <c r="CK710" s="408"/>
      <c r="CL710" s="408"/>
      <c r="CM710" s="408"/>
      <c r="CN710" s="408"/>
      <c r="CO710" s="408">
        <v>-1013.0651900000001</v>
      </c>
      <c r="CP710" s="408">
        <v>112.75198999999998</v>
      </c>
      <c r="CQ710" s="408">
        <v>30</v>
      </c>
      <c r="CR710" s="408">
        <v>124.01058223353721</v>
      </c>
      <c r="CS710" s="408">
        <v>2.9957128030639808</v>
      </c>
      <c r="CT710" s="408">
        <v>9.8105543748681896</v>
      </c>
      <c r="CU710" s="408">
        <v>0</v>
      </c>
      <c r="CV710" s="408">
        <v>0</v>
      </c>
      <c r="CW710" s="408">
        <v>0</v>
      </c>
      <c r="CX710" s="408">
        <v>0</v>
      </c>
      <c r="CY710" s="408">
        <v>0</v>
      </c>
      <c r="CZ710" s="408">
        <v>-3.5124081083285148</v>
      </c>
      <c r="DA710" s="408">
        <v>0</v>
      </c>
      <c r="DB710" s="408">
        <v>0</v>
      </c>
      <c r="DC710" s="408">
        <v>109.9112922949605</v>
      </c>
      <c r="DD710" s="408">
        <v>3.2823291448375542</v>
      </c>
      <c r="DE710" s="408">
        <v>0.37894209840410875</v>
      </c>
      <c r="DF710" s="408">
        <v>0</v>
      </c>
      <c r="DG710" s="408">
        <v>12.689164889531469</v>
      </c>
      <c r="DH710" s="408">
        <v>0</v>
      </c>
      <c r="DI710" s="408">
        <v>-9.509285510175971</v>
      </c>
      <c r="DJ710" s="408"/>
      <c r="DK710" s="408">
        <v>0</v>
      </c>
      <c r="DL710" s="408">
        <v>0</v>
      </c>
      <c r="DM710" s="408">
        <v>-0.47879726830016267</v>
      </c>
      <c r="DN710" s="408">
        <v>0</v>
      </c>
      <c r="DO710" s="408">
        <v>-1.3025302443061975</v>
      </c>
      <c r="DP710" s="408">
        <v>-0.25439224101783253</v>
      </c>
      <c r="DQ710" s="408">
        <v>0</v>
      </c>
      <c r="DR710" s="408">
        <v>0</v>
      </c>
      <c r="DS710" s="408"/>
      <c r="DT710" s="408"/>
      <c r="DU710" s="408"/>
      <c r="DV710" s="408">
        <v>1934.7996460820052</v>
      </c>
      <c r="DW710" s="408">
        <v>0</v>
      </c>
      <c r="DX710" s="408">
        <v>0</v>
      </c>
      <c r="DY710" s="408">
        <v>-1013.0651900000003</v>
      </c>
      <c r="DZ710" s="408">
        <v>112.75198999999986</v>
      </c>
      <c r="EA710" s="408">
        <v>0</v>
      </c>
      <c r="EB710" s="408">
        <v>0</v>
      </c>
      <c r="EC710" s="408">
        <v>-1024.3738382803213</v>
      </c>
      <c r="ED710" s="408">
        <v>0</v>
      </c>
      <c r="EE710" s="408">
        <v>0</v>
      </c>
      <c r="EF710" s="408">
        <v>0</v>
      </c>
      <c r="EG710" s="408">
        <v>0</v>
      </c>
      <c r="EH710" s="408">
        <v>0</v>
      </c>
      <c r="EI710" s="408">
        <v>0</v>
      </c>
      <c r="EJ710" s="408">
        <v>0</v>
      </c>
      <c r="EK710" s="408">
        <v>0</v>
      </c>
      <c r="EL710" s="408">
        <v>0</v>
      </c>
      <c r="EM710" s="408">
        <v>0</v>
      </c>
      <c r="EN710" s="408">
        <v>0</v>
      </c>
      <c r="EO710" s="408">
        <v>0</v>
      </c>
      <c r="EP710" s="408">
        <v>0</v>
      </c>
      <c r="EQ710" s="408">
        <v>0</v>
      </c>
      <c r="ER710" s="408">
        <v>0</v>
      </c>
      <c r="ES710" s="408">
        <v>0</v>
      </c>
      <c r="ET710" s="408">
        <v>0</v>
      </c>
      <c r="EU710" s="408">
        <v>0</v>
      </c>
      <c r="EV710" s="408">
        <v>239</v>
      </c>
      <c r="EW710" s="408">
        <v>0</v>
      </c>
      <c r="EX710" s="408">
        <v>0</v>
      </c>
      <c r="EY710" s="408">
        <v>0</v>
      </c>
      <c r="EZ710" s="408"/>
      <c r="FA710" s="408">
        <v>0</v>
      </c>
      <c r="FB710" s="408"/>
      <c r="FC710" s="408"/>
      <c r="FD710" s="408"/>
      <c r="FE710" s="408"/>
      <c r="FF710" s="408">
        <v>0</v>
      </c>
      <c r="FG710" s="408">
        <v>0</v>
      </c>
      <c r="FH710" s="408">
        <v>0</v>
      </c>
      <c r="FI710" s="408">
        <v>0</v>
      </c>
    </row>
    <row r="711" spans="1:165">
      <c r="A711" s="408">
        <v>717</v>
      </c>
      <c r="B711" s="408" t="s">
        <v>1034</v>
      </c>
      <c r="C711" s="408" t="s">
        <v>2245</v>
      </c>
      <c r="D711" s="408" t="s">
        <v>596</v>
      </c>
      <c r="E711" s="408" t="s">
        <v>968</v>
      </c>
      <c r="F711" s="408" t="s">
        <v>1320</v>
      </c>
      <c r="G711" s="408" t="s">
        <v>1320</v>
      </c>
      <c r="H711" s="408" t="s">
        <v>1320</v>
      </c>
      <c r="I711" s="408" t="s">
        <v>971</v>
      </c>
      <c r="J711" s="408" t="s">
        <v>2234</v>
      </c>
      <c r="K711" s="827">
        <v>44713</v>
      </c>
      <c r="L711" s="408">
        <v>2200</v>
      </c>
      <c r="M711" s="408">
        <v>2200</v>
      </c>
      <c r="N711" s="408">
        <v>46.991999999999997</v>
      </c>
      <c r="O711" s="408">
        <v>46.991999999999997</v>
      </c>
      <c r="P711" s="408">
        <v>46.991999999999997</v>
      </c>
      <c r="Q711" s="408">
        <v>46.991999999999997</v>
      </c>
      <c r="R711" s="408">
        <v>67.099999999999994</v>
      </c>
      <c r="S711" s="408">
        <v>70.33</v>
      </c>
      <c r="T711" s="408">
        <v>173.82</v>
      </c>
      <c r="U711" s="408">
        <v>147620</v>
      </c>
      <c r="V711" s="408">
        <v>11473.096799999999</v>
      </c>
      <c r="W711" s="408">
        <v>159093.0968</v>
      </c>
      <c r="X711" s="408">
        <v>104909.39535999999</v>
      </c>
      <c r="Y711" s="408">
        <v>0</v>
      </c>
      <c r="Z711" s="408">
        <v>2499.975645733517</v>
      </c>
      <c r="AA711" s="408">
        <v>0</v>
      </c>
      <c r="AB711" s="408">
        <v>0</v>
      </c>
      <c r="AC711" s="408">
        <v>1646.5197894949013</v>
      </c>
      <c r="AD711" s="408">
        <v>25117.912909397881</v>
      </c>
      <c r="AE711" s="408">
        <v>105955.95505539155</v>
      </c>
      <c r="AF711" s="408">
        <v>7562.0529933633006</v>
      </c>
      <c r="AG711" s="408">
        <v>380.44090650399971</v>
      </c>
      <c r="AH711" s="408">
        <v>0</v>
      </c>
      <c r="AI711" s="408">
        <v>0</v>
      </c>
      <c r="AJ711" s="408">
        <v>0</v>
      </c>
      <c r="AK711" s="408">
        <v>0</v>
      </c>
      <c r="AL711" s="408">
        <v>444.14473093484327</v>
      </c>
      <c r="AM711" s="408"/>
      <c r="AN711" s="408">
        <v>58.398399441576288</v>
      </c>
      <c r="AO711" s="408">
        <v>3536.0606690378859</v>
      </c>
      <c r="AP711" s="408">
        <v>11370.253771312216</v>
      </c>
      <c r="AQ711" s="408">
        <v>0</v>
      </c>
      <c r="AR711" s="408">
        <v>0</v>
      </c>
      <c r="AS711" s="408">
        <v>0</v>
      </c>
      <c r="AT711" s="408">
        <v>0</v>
      </c>
      <c r="AU711" s="408">
        <v>0</v>
      </c>
      <c r="AV711" s="408">
        <v>0</v>
      </c>
      <c r="AW711" s="408">
        <v>0</v>
      </c>
      <c r="AX711" s="408">
        <v>0</v>
      </c>
      <c r="AY711" s="408">
        <v>0</v>
      </c>
      <c r="AZ711" s="408">
        <v>0</v>
      </c>
      <c r="BA711" s="408"/>
      <c r="BB711" s="408">
        <v>0</v>
      </c>
      <c r="BC711" s="408">
        <v>0</v>
      </c>
      <c r="BD711" s="408">
        <v>0</v>
      </c>
      <c r="BE711" s="408">
        <v>8.7684076117306908</v>
      </c>
      <c r="BF711" s="408">
        <v>225.82890635397808</v>
      </c>
      <c r="BG711" s="408">
        <v>293.61680972489779</v>
      </c>
      <c r="BH711" s="408">
        <v>0</v>
      </c>
      <c r="BI711" s="408">
        <v>0</v>
      </c>
      <c r="BJ711" s="408">
        <v>0</v>
      </c>
      <c r="BK711" s="408">
        <v>0</v>
      </c>
      <c r="BL711" s="408">
        <v>0</v>
      </c>
      <c r="BM711" s="408"/>
      <c r="BN711" s="408"/>
      <c r="BO711" s="408"/>
      <c r="BP711" s="408"/>
      <c r="BQ711" s="408"/>
      <c r="BR711" s="408"/>
      <c r="BS711" s="408"/>
      <c r="BT711" s="408"/>
      <c r="BU711" s="408"/>
      <c r="BV711" s="408">
        <v>8090.2671170539061</v>
      </c>
      <c r="BW711" s="408"/>
      <c r="BX711" s="408"/>
      <c r="BY711" s="408"/>
      <c r="BZ711" s="408"/>
      <c r="CA711" s="408"/>
      <c r="CB711" s="408"/>
      <c r="CC711" s="408"/>
      <c r="CD711" s="408"/>
      <c r="CE711" s="408"/>
      <c r="CF711" s="408"/>
      <c r="CG711" s="408"/>
      <c r="CH711" s="408"/>
      <c r="CI711" s="408">
        <v>104908.8667</v>
      </c>
      <c r="CJ711" s="408">
        <v>-54184.260100000029</v>
      </c>
      <c r="CK711" s="408"/>
      <c r="CL711" s="408"/>
      <c r="CM711" s="408"/>
      <c r="CN711" s="408"/>
      <c r="CO711" s="408">
        <v>-55179.461919999994</v>
      </c>
      <c r="CP711" s="408">
        <v>995.7604799999998</v>
      </c>
      <c r="CQ711" s="408">
        <v>30</v>
      </c>
      <c r="CR711" s="408">
        <v>1913.5738789516909</v>
      </c>
      <c r="CS711" s="408">
        <v>343.32915112977844</v>
      </c>
      <c r="CT711" s="408">
        <v>1103.9798071386049</v>
      </c>
      <c r="CU711" s="408">
        <v>0</v>
      </c>
      <c r="CV711" s="408">
        <v>0</v>
      </c>
      <c r="CW711" s="408">
        <v>0</v>
      </c>
      <c r="CX711" s="408">
        <v>0</v>
      </c>
      <c r="CY711" s="408">
        <v>0</v>
      </c>
      <c r="CZ711" s="408">
        <v>-481.61608552662074</v>
      </c>
      <c r="DA711" s="408">
        <v>0</v>
      </c>
      <c r="DB711" s="408">
        <v>0</v>
      </c>
      <c r="DC711" s="408">
        <v>970.67307790354971</v>
      </c>
      <c r="DD711" s="408">
        <v>28.987636003421613</v>
      </c>
      <c r="DE711" s="408">
        <v>1.1255220258653349</v>
      </c>
      <c r="DF711" s="408">
        <v>0</v>
      </c>
      <c r="DG711" s="408">
        <v>37.688962596533884</v>
      </c>
      <c r="DH711" s="408">
        <v>0</v>
      </c>
      <c r="DI711" s="408">
        <v>-73.063052036075078</v>
      </c>
      <c r="DJ711" s="408"/>
      <c r="DK711" s="408">
        <v>0</v>
      </c>
      <c r="DL711" s="408">
        <v>0</v>
      </c>
      <c r="DM711" s="408">
        <v>-4.2284610471643305</v>
      </c>
      <c r="DN711" s="408">
        <v>0</v>
      </c>
      <c r="DO711" s="408">
        <v>-11.503195121299882</v>
      </c>
      <c r="DP711" s="408">
        <v>-1.7994841148998972</v>
      </c>
      <c r="DQ711" s="408">
        <v>0</v>
      </c>
      <c r="DR711" s="408">
        <v>0</v>
      </c>
      <c r="DS711" s="408"/>
      <c r="DT711" s="408"/>
      <c r="DU711" s="408">
        <v>105955.95505539155</v>
      </c>
      <c r="DV711" s="408">
        <v>0</v>
      </c>
      <c r="DW711" s="408">
        <v>0</v>
      </c>
      <c r="DX711" s="408">
        <v>0</v>
      </c>
      <c r="DY711" s="408">
        <v>-55179.461919999987</v>
      </c>
      <c r="DZ711" s="408">
        <v>995.76047999999901</v>
      </c>
      <c r="EA711" s="408">
        <v>0</v>
      </c>
      <c r="EB711" s="408">
        <v>0</v>
      </c>
      <c r="EC711" s="408">
        <v>-56098.060896662188</v>
      </c>
      <c r="ED711" s="408">
        <v>0</v>
      </c>
      <c r="EE711" s="408">
        <v>0</v>
      </c>
      <c r="EF711" s="408">
        <v>0</v>
      </c>
      <c r="EG711" s="408">
        <v>0</v>
      </c>
      <c r="EH711" s="408">
        <v>0</v>
      </c>
      <c r="EI711" s="408">
        <v>0</v>
      </c>
      <c r="EJ711" s="408">
        <v>0</v>
      </c>
      <c r="EK711" s="408">
        <v>0</v>
      </c>
      <c r="EL711" s="408">
        <v>0</v>
      </c>
      <c r="EM711" s="408">
        <v>0</v>
      </c>
      <c r="EN711" s="408">
        <v>0</v>
      </c>
      <c r="EO711" s="408">
        <v>0</v>
      </c>
      <c r="EP711" s="408">
        <v>0</v>
      </c>
      <c r="EQ711" s="408">
        <v>0</v>
      </c>
      <c r="ER711" s="408">
        <v>0</v>
      </c>
      <c r="ES711" s="408">
        <v>0</v>
      </c>
      <c r="ET711" s="408">
        <v>0</v>
      </c>
      <c r="EU711" s="408">
        <v>0</v>
      </c>
      <c r="EV711" s="408">
        <v>239</v>
      </c>
      <c r="EW711" s="408">
        <v>0</v>
      </c>
      <c r="EX711" s="408">
        <v>0</v>
      </c>
      <c r="EY711" s="408">
        <v>0</v>
      </c>
      <c r="EZ711" s="408"/>
      <c r="FA711" s="408">
        <v>0</v>
      </c>
      <c r="FB711" s="408"/>
      <c r="FC711" s="408"/>
      <c r="FD711" s="408"/>
      <c r="FE711" s="408"/>
      <c r="FF711" s="408">
        <v>0</v>
      </c>
      <c r="FG711" s="408">
        <v>0</v>
      </c>
      <c r="FH711" s="408">
        <v>0</v>
      </c>
      <c r="FI711" s="408">
        <v>0</v>
      </c>
    </row>
    <row r="712" spans="1:165">
      <c r="A712" s="408">
        <v>718</v>
      </c>
      <c r="B712" s="408" t="s">
        <v>2235</v>
      </c>
      <c r="C712" s="408" t="s">
        <v>2245</v>
      </c>
      <c r="D712" s="408" t="s">
        <v>596</v>
      </c>
      <c r="E712" s="408" t="s">
        <v>968</v>
      </c>
      <c r="F712" s="408" t="s">
        <v>1320</v>
      </c>
      <c r="G712" s="408" t="s">
        <v>1320</v>
      </c>
      <c r="H712" s="408" t="s">
        <v>1320</v>
      </c>
      <c r="I712" s="408" t="s">
        <v>971</v>
      </c>
      <c r="J712" s="408" t="s">
        <v>2234</v>
      </c>
      <c r="K712" s="827">
        <v>44713</v>
      </c>
      <c r="L712" s="408">
        <v>1000</v>
      </c>
      <c r="M712" s="408">
        <v>1000</v>
      </c>
      <c r="N712" s="408">
        <v>0</v>
      </c>
      <c r="O712" s="408">
        <v>0</v>
      </c>
      <c r="P712" s="408">
        <v>0</v>
      </c>
      <c r="Q712" s="408">
        <v>0</v>
      </c>
      <c r="R712" s="408">
        <v>67.099999999999994</v>
      </c>
      <c r="S712" s="408"/>
      <c r="T712" s="408"/>
      <c r="U712" s="408">
        <v>67100</v>
      </c>
      <c r="V712" s="408"/>
      <c r="W712" s="408">
        <v>67100</v>
      </c>
      <c r="X712" s="408">
        <v>42040</v>
      </c>
      <c r="Y712" s="408">
        <v>0</v>
      </c>
      <c r="Z712" s="408">
        <v>0</v>
      </c>
      <c r="AA712" s="408">
        <v>0</v>
      </c>
      <c r="AB712" s="408">
        <v>0</v>
      </c>
      <c r="AC712" s="408">
        <v>748.41808613404601</v>
      </c>
      <c r="AD712" s="408">
        <v>11417.233140635401</v>
      </c>
      <c r="AE712" s="408">
        <v>48161.797752450701</v>
      </c>
      <c r="AF712" s="408"/>
      <c r="AG712" s="408"/>
      <c r="AH712" s="408"/>
      <c r="AI712" s="408">
        <v>0</v>
      </c>
      <c r="AJ712" s="408">
        <v>0</v>
      </c>
      <c r="AK712" s="408">
        <v>0</v>
      </c>
      <c r="AL712" s="408">
        <v>0</v>
      </c>
      <c r="AM712" s="408"/>
      <c r="AN712" s="408">
        <v>0</v>
      </c>
      <c r="AO712" s="408">
        <v>1607.3003041081299</v>
      </c>
      <c r="AP712" s="408">
        <v>5168.2971687782801</v>
      </c>
      <c r="AQ712" s="408">
        <v>0</v>
      </c>
      <c r="AR712" s="408">
        <v>0</v>
      </c>
      <c r="AS712" s="408"/>
      <c r="AT712" s="408"/>
      <c r="AU712" s="408">
        <v>0</v>
      </c>
      <c r="AV712" s="408">
        <v>0</v>
      </c>
      <c r="AW712" s="408">
        <v>0</v>
      </c>
      <c r="AX712" s="408"/>
      <c r="AY712" s="408"/>
      <c r="AZ712" s="408">
        <v>0</v>
      </c>
      <c r="BA712" s="408"/>
      <c r="BB712" s="408">
        <v>0</v>
      </c>
      <c r="BC712" s="408">
        <v>0</v>
      </c>
      <c r="BD712" s="408">
        <v>0</v>
      </c>
      <c r="BE712" s="408">
        <v>0</v>
      </c>
      <c r="BF712" s="408"/>
      <c r="BG712" s="408">
        <v>0</v>
      </c>
      <c r="BH712" s="408">
        <v>0</v>
      </c>
      <c r="BI712" s="408">
        <v>0</v>
      </c>
      <c r="BJ712" s="408">
        <v>0</v>
      </c>
      <c r="BK712" s="408">
        <v>0</v>
      </c>
      <c r="BL712" s="408">
        <v>0</v>
      </c>
      <c r="BM712" s="408"/>
      <c r="BN712" s="408"/>
      <c r="BO712" s="408"/>
      <c r="BP712" s="408"/>
      <c r="BQ712" s="408"/>
      <c r="BR712" s="408"/>
      <c r="BS712" s="408"/>
      <c r="BT712" s="408"/>
      <c r="BU712" s="408"/>
      <c r="BV712" s="408">
        <v>0</v>
      </c>
      <c r="BW712" s="408"/>
      <c r="BX712" s="408"/>
      <c r="BY712" s="408"/>
      <c r="BZ712" s="408"/>
      <c r="CA712" s="408"/>
      <c r="CB712" s="408"/>
      <c r="CC712" s="408"/>
      <c r="CD712" s="408"/>
      <c r="CE712" s="408"/>
      <c r="CF712" s="408"/>
      <c r="CG712" s="408"/>
      <c r="CH712" s="408"/>
      <c r="CI712" s="408">
        <v>42040</v>
      </c>
      <c r="CJ712" s="408">
        <v>-25060.029999999984</v>
      </c>
      <c r="CK712" s="408"/>
      <c r="CL712" s="408"/>
      <c r="CM712" s="408"/>
      <c r="CN712" s="408"/>
      <c r="CO712" s="408">
        <v>-25059.999999999996</v>
      </c>
      <c r="CP712" s="408">
        <v>0</v>
      </c>
      <c r="CQ712" s="408">
        <v>30</v>
      </c>
      <c r="CR712" s="408">
        <v>438.95130579170655</v>
      </c>
      <c r="CS712" s="408">
        <v>156.0587050589902</v>
      </c>
      <c r="CT712" s="408">
        <v>501.80900324481991</v>
      </c>
      <c r="CU712" s="408">
        <v>0</v>
      </c>
      <c r="CV712" s="408">
        <v>0</v>
      </c>
      <c r="CW712" s="408"/>
      <c r="CX712" s="408"/>
      <c r="CY712" s="408"/>
      <c r="CZ712" s="408">
        <v>-218.91640251210083</v>
      </c>
      <c r="DA712" s="408">
        <v>0</v>
      </c>
      <c r="DB712" s="408">
        <v>0</v>
      </c>
      <c r="DC712" s="408"/>
      <c r="DD712" s="408"/>
      <c r="DE712" s="408">
        <v>0</v>
      </c>
      <c r="DF712" s="408">
        <v>0</v>
      </c>
      <c r="DG712" s="408">
        <v>0</v>
      </c>
      <c r="DH712" s="408">
        <v>0</v>
      </c>
      <c r="DI712" s="408">
        <v>0</v>
      </c>
      <c r="DJ712" s="408"/>
      <c r="DK712" s="408">
        <v>0</v>
      </c>
      <c r="DL712" s="408">
        <v>0</v>
      </c>
      <c r="DM712" s="408"/>
      <c r="DN712" s="408">
        <v>0</v>
      </c>
      <c r="DO712" s="408">
        <v>0</v>
      </c>
      <c r="DP712" s="408">
        <v>0</v>
      </c>
      <c r="DQ712" s="408">
        <v>0</v>
      </c>
      <c r="DR712" s="408">
        <v>0</v>
      </c>
      <c r="DS712" s="408"/>
      <c r="DT712" s="408"/>
      <c r="DU712" s="408">
        <v>48161.797752450701</v>
      </c>
      <c r="DV712" s="408"/>
      <c r="DW712" s="408">
        <v>0</v>
      </c>
      <c r="DX712" s="408">
        <v>0</v>
      </c>
      <c r="DY712" s="408">
        <v>-25060</v>
      </c>
      <c r="DZ712" s="408"/>
      <c r="EA712" s="408">
        <v>0</v>
      </c>
      <c r="EB712" s="408"/>
      <c r="EC712" s="408">
        <v>-25499.118589391899</v>
      </c>
      <c r="ED712" s="408"/>
      <c r="EE712" s="408">
        <v>0</v>
      </c>
      <c r="EF712" s="408">
        <v>0</v>
      </c>
      <c r="EG712" s="408"/>
      <c r="EH712" s="408">
        <v>0</v>
      </c>
      <c r="EI712" s="408">
        <v>0</v>
      </c>
      <c r="EJ712" s="408">
        <v>0</v>
      </c>
      <c r="EK712" s="408">
        <v>0</v>
      </c>
      <c r="EL712" s="408">
        <v>0</v>
      </c>
      <c r="EM712" s="408"/>
      <c r="EN712" s="408"/>
      <c r="EO712" s="408">
        <v>0</v>
      </c>
      <c r="EP712" s="408">
        <v>0</v>
      </c>
      <c r="EQ712" s="408"/>
      <c r="ER712" s="408">
        <v>0</v>
      </c>
      <c r="ES712" s="408"/>
      <c r="ET712" s="408">
        <v>0</v>
      </c>
      <c r="EU712" s="408"/>
      <c r="EV712" s="408">
        <v>239</v>
      </c>
      <c r="EW712" s="408"/>
      <c r="EX712" s="408"/>
      <c r="EY712" s="408"/>
      <c r="EZ712" s="408"/>
      <c r="FA712" s="408">
        <v>0</v>
      </c>
      <c r="FB712" s="408"/>
      <c r="FC712" s="408"/>
      <c r="FD712" s="408"/>
      <c r="FE712" s="408"/>
      <c r="FF712" s="408">
        <v>0</v>
      </c>
      <c r="FG712" s="408">
        <v>0</v>
      </c>
      <c r="FH712" s="408">
        <v>0</v>
      </c>
      <c r="FI712" s="408">
        <v>0</v>
      </c>
    </row>
    <row r="713" spans="1:165">
      <c r="A713" s="408">
        <v>719</v>
      </c>
      <c r="B713" s="408" t="s">
        <v>1034</v>
      </c>
      <c r="C713" s="408" t="s">
        <v>2245</v>
      </c>
      <c r="D713" s="408" t="s">
        <v>596</v>
      </c>
      <c r="E713" s="408" t="s">
        <v>968</v>
      </c>
      <c r="F713" s="408" t="s">
        <v>1320</v>
      </c>
      <c r="G713" s="408" t="s">
        <v>1320</v>
      </c>
      <c r="H713" s="408" t="s">
        <v>1320</v>
      </c>
      <c r="I713" s="408" t="s">
        <v>2242</v>
      </c>
      <c r="J713" s="408" t="s">
        <v>2234</v>
      </c>
      <c r="K713" s="827">
        <v>44713</v>
      </c>
      <c r="L713" s="408">
        <v>2200</v>
      </c>
      <c r="M713" s="408">
        <v>2200</v>
      </c>
      <c r="N713" s="408">
        <v>447.26400000000001</v>
      </c>
      <c r="O713" s="408">
        <v>447.26400000000001</v>
      </c>
      <c r="P713" s="408">
        <v>447.26400000000001</v>
      </c>
      <c r="Q713" s="408">
        <v>447.26400000000001</v>
      </c>
      <c r="R713" s="408">
        <v>59.12</v>
      </c>
      <c r="S713" s="408">
        <v>70.33</v>
      </c>
      <c r="T713" s="408">
        <v>173.82</v>
      </c>
      <c r="U713" s="408">
        <v>130064</v>
      </c>
      <c r="V713" s="408">
        <v>109199.5056</v>
      </c>
      <c r="W713" s="408">
        <v>239263.5056</v>
      </c>
      <c r="X713" s="408">
        <v>193091.29311999999</v>
      </c>
      <c r="Y713" s="408">
        <v>0</v>
      </c>
      <c r="Z713" s="408">
        <v>23794.456656736376</v>
      </c>
      <c r="AA713" s="408">
        <v>0</v>
      </c>
      <c r="AB713" s="408">
        <v>0</v>
      </c>
      <c r="AC713" s="408">
        <v>1258.5327993341004</v>
      </c>
      <c r="AD713" s="408">
        <v>11257.449831573947</v>
      </c>
      <c r="AE713" s="408">
        <v>105955.95505539155</v>
      </c>
      <c r="AF713" s="408">
        <v>71974.678030806172</v>
      </c>
      <c r="AG713" s="408">
        <v>3620.9891387173338</v>
      </c>
      <c r="AH713" s="408">
        <v>0</v>
      </c>
      <c r="AI713" s="408">
        <v>0</v>
      </c>
      <c r="AJ713" s="408">
        <v>0</v>
      </c>
      <c r="AK713" s="408">
        <v>0</v>
      </c>
      <c r="AL713" s="408">
        <v>4227.3142010734118</v>
      </c>
      <c r="AM713" s="408"/>
      <c r="AN713" s="408">
        <v>555.82868845414498</v>
      </c>
      <c r="AO713" s="408">
        <v>2657.7586545181321</v>
      </c>
      <c r="AP713" s="408">
        <v>8934.1733008438678</v>
      </c>
      <c r="AQ713" s="408">
        <v>0</v>
      </c>
      <c r="AR713" s="408">
        <v>0</v>
      </c>
      <c r="AS713" s="408">
        <v>0</v>
      </c>
      <c r="AT713" s="408">
        <v>0</v>
      </c>
      <c r="AU713" s="408">
        <v>0</v>
      </c>
      <c r="AV713" s="408">
        <v>0</v>
      </c>
      <c r="AW713" s="408">
        <v>0</v>
      </c>
      <c r="AX713" s="408">
        <v>0</v>
      </c>
      <c r="AY713" s="408">
        <v>0</v>
      </c>
      <c r="AZ713" s="408">
        <v>0</v>
      </c>
      <c r="BA713" s="408"/>
      <c r="BB713" s="408">
        <v>0</v>
      </c>
      <c r="BC713" s="408">
        <v>0</v>
      </c>
      <c r="BD713" s="408">
        <v>0</v>
      </c>
      <c r="BE713" s="408">
        <v>83.456610956186495</v>
      </c>
      <c r="BF713" s="408">
        <v>2149.4113885662596</v>
      </c>
      <c r="BG713" s="408">
        <v>2794.6082053284963</v>
      </c>
      <c r="BH713" s="408">
        <v>0</v>
      </c>
      <c r="BI713" s="408">
        <v>0</v>
      </c>
      <c r="BJ713" s="408">
        <v>0</v>
      </c>
      <c r="BK713" s="408">
        <v>0</v>
      </c>
      <c r="BL713" s="408">
        <v>0</v>
      </c>
      <c r="BM713" s="408"/>
      <c r="BN713" s="408"/>
      <c r="BO713" s="408"/>
      <c r="BP713" s="408"/>
      <c r="BQ713" s="408"/>
      <c r="BR713" s="408"/>
      <c r="BS713" s="408"/>
      <c r="BT713" s="408"/>
      <c r="BU713" s="408"/>
      <c r="BV713" s="408">
        <v>77002.154235657115</v>
      </c>
      <c r="BW713" s="408"/>
      <c r="BX713" s="408"/>
      <c r="BY713" s="408"/>
      <c r="BZ713" s="408"/>
      <c r="CA713" s="408"/>
      <c r="CB713" s="408"/>
      <c r="CC713" s="408"/>
      <c r="CD713" s="408"/>
      <c r="CE713" s="408"/>
      <c r="CF713" s="408"/>
      <c r="CG713" s="408"/>
      <c r="CH713" s="408"/>
      <c r="CI713" s="408">
        <v>193090.23579999999</v>
      </c>
      <c r="CJ713" s="408">
        <v>-46173.299800000008</v>
      </c>
      <c r="CK713" s="408"/>
      <c r="CL713" s="408"/>
      <c r="CM713" s="408"/>
      <c r="CN713" s="408"/>
      <c r="CO713" s="408">
        <v>-55649.736639999996</v>
      </c>
      <c r="CP713" s="408">
        <v>9477.524159999999</v>
      </c>
      <c r="CQ713" s="408">
        <v>30</v>
      </c>
      <c r="CR713" s="408">
        <v>9931.4639692535566</v>
      </c>
      <c r="CS713" s="408">
        <v>258.05157438427386</v>
      </c>
      <c r="CT713" s="408">
        <v>867.45178392532034</v>
      </c>
      <c r="CU713" s="408">
        <v>0</v>
      </c>
      <c r="CV713" s="408">
        <v>0</v>
      </c>
      <c r="CW713" s="408">
        <v>0</v>
      </c>
      <c r="CX713" s="408">
        <v>0</v>
      </c>
      <c r="CY713" s="408">
        <v>0</v>
      </c>
      <c r="CZ713" s="408">
        <v>-215.85268411643301</v>
      </c>
      <c r="DA713" s="408">
        <v>0</v>
      </c>
      <c r="DB713" s="408">
        <v>0</v>
      </c>
      <c r="DC713" s="408">
        <v>9238.7453931616765</v>
      </c>
      <c r="DD713" s="408">
        <v>275.90070712960414</v>
      </c>
      <c r="DE713" s="408">
        <v>10.712578383057405</v>
      </c>
      <c r="DF713" s="408">
        <v>0</v>
      </c>
      <c r="DG713" s="408">
        <v>358.71884931001296</v>
      </c>
      <c r="DH713" s="408">
        <v>0</v>
      </c>
      <c r="DI713" s="408">
        <v>-695.4050243842139</v>
      </c>
      <c r="DJ713" s="408"/>
      <c r="DK713" s="408">
        <v>0</v>
      </c>
      <c r="DL713" s="408">
        <v>0</v>
      </c>
      <c r="DM713" s="408">
        <v>-40.245965308965879</v>
      </c>
      <c r="DN713" s="408">
        <v>0</v>
      </c>
      <c r="DO713" s="408">
        <v>-109.48597767137107</v>
      </c>
      <c r="DP713" s="408">
        <v>-17.127265559384341</v>
      </c>
      <c r="DQ713" s="408">
        <v>0</v>
      </c>
      <c r="DR713" s="408">
        <v>0</v>
      </c>
      <c r="DS713" s="408"/>
      <c r="DT713" s="408"/>
      <c r="DU713" s="408">
        <v>105955.95505539155</v>
      </c>
      <c r="DV713" s="408">
        <v>0</v>
      </c>
      <c r="DW713" s="408">
        <v>0</v>
      </c>
      <c r="DX713" s="408">
        <v>0</v>
      </c>
      <c r="DY713" s="408">
        <v>-55649.736640000003</v>
      </c>
      <c r="DZ713" s="408">
        <v>9477.5241600000008</v>
      </c>
      <c r="EA713" s="408">
        <v>0</v>
      </c>
      <c r="EB713" s="408">
        <v>0</v>
      </c>
      <c r="EC713" s="408">
        <v>-56098.060896662188</v>
      </c>
      <c r="ED713" s="408">
        <v>0</v>
      </c>
      <c r="EE713" s="408">
        <v>0</v>
      </c>
      <c r="EF713" s="408">
        <v>0</v>
      </c>
      <c r="EG713" s="408">
        <v>0</v>
      </c>
      <c r="EH713" s="408">
        <v>0</v>
      </c>
      <c r="EI713" s="408">
        <v>0</v>
      </c>
      <c r="EJ713" s="408">
        <v>0</v>
      </c>
      <c r="EK713" s="408">
        <v>0</v>
      </c>
      <c r="EL713" s="408">
        <v>0</v>
      </c>
      <c r="EM713" s="408">
        <v>0</v>
      </c>
      <c r="EN713" s="408">
        <v>0</v>
      </c>
      <c r="EO713" s="408">
        <v>0</v>
      </c>
      <c r="EP713" s="408">
        <v>0</v>
      </c>
      <c r="EQ713" s="408">
        <v>0</v>
      </c>
      <c r="ER713" s="408">
        <v>0</v>
      </c>
      <c r="ES713" s="408">
        <v>0</v>
      </c>
      <c r="ET713" s="408">
        <v>0</v>
      </c>
      <c r="EU713" s="408">
        <v>0</v>
      </c>
      <c r="EV713" s="408">
        <v>239</v>
      </c>
      <c r="EW713" s="408">
        <v>0</v>
      </c>
      <c r="EX713" s="408">
        <v>0</v>
      </c>
      <c r="EY713" s="408">
        <v>0</v>
      </c>
      <c r="EZ713" s="408"/>
      <c r="FA713" s="408">
        <v>0</v>
      </c>
      <c r="FB713" s="408"/>
      <c r="FC713" s="408"/>
      <c r="FD713" s="408"/>
      <c r="FE713" s="408"/>
      <c r="FF713" s="408">
        <v>0</v>
      </c>
      <c r="FG713" s="408">
        <v>0</v>
      </c>
      <c r="FH713" s="408">
        <v>0</v>
      </c>
      <c r="FI713" s="408">
        <v>0</v>
      </c>
    </row>
    <row r="714" spans="1:165">
      <c r="A714" s="408">
        <v>720</v>
      </c>
      <c r="B714" s="408" t="s">
        <v>2235</v>
      </c>
      <c r="C714" s="408" t="s">
        <v>2245</v>
      </c>
      <c r="D714" s="408" t="s">
        <v>596</v>
      </c>
      <c r="E714" s="408" t="s">
        <v>968</v>
      </c>
      <c r="F714" s="408" t="s">
        <v>1320</v>
      </c>
      <c r="G714" s="408" t="s">
        <v>1320</v>
      </c>
      <c r="H714" s="408" t="s">
        <v>1320</v>
      </c>
      <c r="I714" s="408" t="s">
        <v>2242</v>
      </c>
      <c r="J714" s="408" t="s">
        <v>2234</v>
      </c>
      <c r="K714" s="827">
        <v>44713</v>
      </c>
      <c r="L714" s="408">
        <v>1000</v>
      </c>
      <c r="M714" s="408">
        <v>1000</v>
      </c>
      <c r="N714" s="408">
        <v>0</v>
      </c>
      <c r="O714" s="408">
        <v>0</v>
      </c>
      <c r="P714" s="408">
        <v>0</v>
      </c>
      <c r="Q714" s="408">
        <v>0</v>
      </c>
      <c r="R714" s="408">
        <v>59.12</v>
      </c>
      <c r="S714" s="408"/>
      <c r="T714" s="408"/>
      <c r="U714" s="408">
        <v>59120</v>
      </c>
      <c r="V714" s="408"/>
      <c r="W714" s="408">
        <v>59120</v>
      </c>
      <c r="X714" s="408">
        <v>34030</v>
      </c>
      <c r="Y714" s="408">
        <v>0</v>
      </c>
      <c r="Z714" s="408">
        <v>0</v>
      </c>
      <c r="AA714" s="408">
        <v>0</v>
      </c>
      <c r="AB714" s="408">
        <v>0</v>
      </c>
      <c r="AC714" s="408">
        <v>572.06036333368206</v>
      </c>
      <c r="AD714" s="408">
        <v>5117.0226507154302</v>
      </c>
      <c r="AE714" s="408">
        <v>48161.797752450701</v>
      </c>
      <c r="AF714" s="408"/>
      <c r="AG714" s="408"/>
      <c r="AH714" s="408"/>
      <c r="AI714" s="408">
        <v>0</v>
      </c>
      <c r="AJ714" s="408">
        <v>0</v>
      </c>
      <c r="AK714" s="408">
        <v>0</v>
      </c>
      <c r="AL714" s="408">
        <v>0</v>
      </c>
      <c r="AM714" s="408"/>
      <c r="AN714" s="408">
        <v>0</v>
      </c>
      <c r="AO714" s="408">
        <v>1208.0721156900599</v>
      </c>
      <c r="AP714" s="408">
        <v>4060.9878640199399</v>
      </c>
      <c r="AQ714" s="408">
        <v>0</v>
      </c>
      <c r="AR714" s="408">
        <v>0</v>
      </c>
      <c r="AS714" s="408"/>
      <c r="AT714" s="408"/>
      <c r="AU714" s="408">
        <v>0</v>
      </c>
      <c r="AV714" s="408">
        <v>0</v>
      </c>
      <c r="AW714" s="408">
        <v>0</v>
      </c>
      <c r="AX714" s="408"/>
      <c r="AY714" s="408"/>
      <c r="AZ714" s="408">
        <v>0</v>
      </c>
      <c r="BA714" s="408"/>
      <c r="BB714" s="408">
        <v>0</v>
      </c>
      <c r="BC714" s="408">
        <v>0</v>
      </c>
      <c r="BD714" s="408">
        <v>0</v>
      </c>
      <c r="BE714" s="408">
        <v>0</v>
      </c>
      <c r="BF714" s="408"/>
      <c r="BG714" s="408">
        <v>0</v>
      </c>
      <c r="BH714" s="408">
        <v>0</v>
      </c>
      <c r="BI714" s="408">
        <v>0</v>
      </c>
      <c r="BJ714" s="408">
        <v>0</v>
      </c>
      <c r="BK714" s="408">
        <v>0</v>
      </c>
      <c r="BL714" s="408">
        <v>0</v>
      </c>
      <c r="BM714" s="408"/>
      <c r="BN714" s="408"/>
      <c r="BO714" s="408"/>
      <c r="BP714" s="408"/>
      <c r="BQ714" s="408"/>
      <c r="BR714" s="408"/>
      <c r="BS714" s="408"/>
      <c r="BT714" s="408"/>
      <c r="BU714" s="408"/>
      <c r="BV714" s="408">
        <v>0</v>
      </c>
      <c r="BW714" s="408"/>
      <c r="BX714" s="408"/>
      <c r="BY714" s="408"/>
      <c r="BZ714" s="408"/>
      <c r="CA714" s="408"/>
      <c r="CB714" s="408"/>
      <c r="CC714" s="408"/>
      <c r="CD714" s="408"/>
      <c r="CE714" s="408"/>
      <c r="CF714" s="408"/>
      <c r="CG714" s="408"/>
      <c r="CH714" s="408"/>
      <c r="CI714" s="408">
        <v>34030</v>
      </c>
      <c r="CJ714" s="408">
        <v>-25090.030000000006</v>
      </c>
      <c r="CK714" s="408"/>
      <c r="CL714" s="408"/>
      <c r="CM714" s="408"/>
      <c r="CN714" s="408"/>
      <c r="CO714" s="408">
        <v>-25089.999999999996</v>
      </c>
      <c r="CP714" s="408">
        <v>0</v>
      </c>
      <c r="CQ714" s="408">
        <v>30</v>
      </c>
      <c r="CR714" s="408">
        <v>413.47757917870877</v>
      </c>
      <c r="CS714" s="408">
        <v>117.29617017467012</v>
      </c>
      <c r="CT714" s="408">
        <v>394.29626542059987</v>
      </c>
      <c r="CU714" s="408">
        <v>0</v>
      </c>
      <c r="CV714" s="408">
        <v>0</v>
      </c>
      <c r="CW714" s="408"/>
      <c r="CX714" s="408"/>
      <c r="CY714" s="408"/>
      <c r="CZ714" s="408">
        <v>-98.114856416560542</v>
      </c>
      <c r="DA714" s="408">
        <v>0</v>
      </c>
      <c r="DB714" s="408">
        <v>0</v>
      </c>
      <c r="DC714" s="408"/>
      <c r="DD714" s="408"/>
      <c r="DE714" s="408">
        <v>0</v>
      </c>
      <c r="DF714" s="408">
        <v>0</v>
      </c>
      <c r="DG714" s="408">
        <v>0</v>
      </c>
      <c r="DH714" s="408">
        <v>0</v>
      </c>
      <c r="DI714" s="408">
        <v>0</v>
      </c>
      <c r="DJ714" s="408"/>
      <c r="DK714" s="408">
        <v>0</v>
      </c>
      <c r="DL714" s="408">
        <v>0</v>
      </c>
      <c r="DM714" s="408"/>
      <c r="DN714" s="408">
        <v>0</v>
      </c>
      <c r="DO714" s="408">
        <v>0</v>
      </c>
      <c r="DP714" s="408">
        <v>0</v>
      </c>
      <c r="DQ714" s="408">
        <v>0</v>
      </c>
      <c r="DR714" s="408">
        <v>0</v>
      </c>
      <c r="DS714" s="408"/>
      <c r="DT714" s="408"/>
      <c r="DU714" s="408">
        <v>48161.797752450701</v>
      </c>
      <c r="DV714" s="408"/>
      <c r="DW714" s="408">
        <v>0</v>
      </c>
      <c r="DX714" s="408">
        <v>0</v>
      </c>
      <c r="DY714" s="408">
        <v>-25090</v>
      </c>
      <c r="DZ714" s="408"/>
      <c r="EA714" s="408">
        <v>0</v>
      </c>
      <c r="EB714" s="408"/>
      <c r="EC714" s="408">
        <v>-25499.118589391899</v>
      </c>
      <c r="ED714" s="408"/>
      <c r="EE714" s="408">
        <v>0</v>
      </c>
      <c r="EF714" s="408">
        <v>0</v>
      </c>
      <c r="EG714" s="408"/>
      <c r="EH714" s="408">
        <v>0</v>
      </c>
      <c r="EI714" s="408">
        <v>0</v>
      </c>
      <c r="EJ714" s="408">
        <v>0</v>
      </c>
      <c r="EK714" s="408">
        <v>0</v>
      </c>
      <c r="EL714" s="408">
        <v>0</v>
      </c>
      <c r="EM714" s="408"/>
      <c r="EN714" s="408"/>
      <c r="EO714" s="408">
        <v>0</v>
      </c>
      <c r="EP714" s="408">
        <v>0</v>
      </c>
      <c r="EQ714" s="408"/>
      <c r="ER714" s="408">
        <v>0</v>
      </c>
      <c r="ES714" s="408"/>
      <c r="ET714" s="408">
        <v>0</v>
      </c>
      <c r="EU714" s="408"/>
      <c r="EV714" s="408">
        <v>239</v>
      </c>
      <c r="EW714" s="408"/>
      <c r="EX714" s="408"/>
      <c r="EY714" s="408"/>
      <c r="EZ714" s="408"/>
      <c r="FA714" s="408">
        <v>0</v>
      </c>
      <c r="FB714" s="408"/>
      <c r="FC714" s="408"/>
      <c r="FD714" s="408"/>
      <c r="FE714" s="408"/>
      <c r="FF714" s="408">
        <v>0</v>
      </c>
      <c r="FG714" s="408">
        <v>0</v>
      </c>
      <c r="FH714" s="408">
        <v>0</v>
      </c>
      <c r="FI714" s="408">
        <v>0</v>
      </c>
    </row>
    <row r="715" spans="1:165">
      <c r="A715" s="408">
        <v>721</v>
      </c>
      <c r="B715" s="408" t="s">
        <v>1034</v>
      </c>
      <c r="C715" s="408" t="s">
        <v>2245</v>
      </c>
      <c r="D715" s="408" t="s">
        <v>596</v>
      </c>
      <c r="E715" s="408" t="s">
        <v>968</v>
      </c>
      <c r="F715" s="408" t="s">
        <v>1320</v>
      </c>
      <c r="G715" s="408" t="s">
        <v>1320</v>
      </c>
      <c r="H715" s="408" t="s">
        <v>1320</v>
      </c>
      <c r="I715" s="408" t="s">
        <v>1320</v>
      </c>
      <c r="J715" s="408" t="s">
        <v>2234</v>
      </c>
      <c r="K715" s="827">
        <v>44713</v>
      </c>
      <c r="L715" s="408">
        <v>0</v>
      </c>
      <c r="M715" s="408">
        <v>0</v>
      </c>
      <c r="N715" s="408">
        <v>0</v>
      </c>
      <c r="O715" s="408">
        <v>0</v>
      </c>
      <c r="P715" s="408">
        <v>0</v>
      </c>
      <c r="Q715" s="408">
        <v>0</v>
      </c>
      <c r="R715" s="408"/>
      <c r="S715" s="408"/>
      <c r="T715" s="408"/>
      <c r="U715" s="408"/>
      <c r="V715" s="408"/>
      <c r="W715" s="408"/>
      <c r="X715" s="408"/>
      <c r="Y715" s="408"/>
      <c r="Z715" s="408"/>
      <c r="AA715" s="408">
        <v>0</v>
      </c>
      <c r="AB715" s="408"/>
      <c r="AC715" s="408"/>
      <c r="AD715" s="408"/>
      <c r="AE715" s="408"/>
      <c r="AF715" s="408"/>
      <c r="AG715" s="408"/>
      <c r="AH715" s="408"/>
      <c r="AI715" s="408"/>
      <c r="AJ715" s="408"/>
      <c r="AK715" s="408"/>
      <c r="AL715" s="408"/>
      <c r="AM715" s="408"/>
      <c r="AN715" s="408"/>
      <c r="AO715" s="408"/>
      <c r="AP715" s="408"/>
      <c r="AQ715" s="408"/>
      <c r="AR715" s="408"/>
      <c r="AS715" s="408"/>
      <c r="AT715" s="408"/>
      <c r="AU715" s="408"/>
      <c r="AV715" s="408"/>
      <c r="AW715" s="408"/>
      <c r="AX715" s="408"/>
      <c r="AY715" s="408"/>
      <c r="AZ715" s="408">
        <v>0</v>
      </c>
      <c r="BA715" s="408"/>
      <c r="BB715" s="408"/>
      <c r="BC715" s="408"/>
      <c r="BD715" s="408"/>
      <c r="BE715" s="408"/>
      <c r="BF715" s="408"/>
      <c r="BG715" s="408"/>
      <c r="BH715" s="408"/>
      <c r="BI715" s="408">
        <v>1643.12</v>
      </c>
      <c r="BJ715" s="408">
        <v>7539.19</v>
      </c>
      <c r="BK715" s="408">
        <v>42686.45</v>
      </c>
      <c r="BL715" s="408">
        <v>1</v>
      </c>
      <c r="BM715" s="408"/>
      <c r="BN715" s="408"/>
      <c r="BO715" s="408"/>
      <c r="BP715" s="408"/>
      <c r="BQ715" s="408"/>
      <c r="BR715" s="408"/>
      <c r="BS715" s="408"/>
      <c r="BT715" s="408"/>
      <c r="BU715" s="408"/>
      <c r="BV715" s="408"/>
      <c r="BW715" s="408"/>
      <c r="BX715" s="408"/>
      <c r="BY715" s="408"/>
      <c r="BZ715" s="408"/>
      <c r="CA715" s="408"/>
      <c r="CB715" s="408"/>
      <c r="CC715" s="408"/>
      <c r="CD715" s="408"/>
      <c r="CE715" s="408"/>
      <c r="CF715" s="408"/>
      <c r="CG715" s="408"/>
      <c r="CH715" s="408"/>
      <c r="CI715" s="408"/>
      <c r="CJ715" s="408">
        <v>-0.03</v>
      </c>
      <c r="CK715" s="408"/>
      <c r="CL715" s="408"/>
      <c r="CM715" s="408"/>
      <c r="CN715" s="408"/>
      <c r="CO715" s="408">
        <v>0</v>
      </c>
      <c r="CP715" s="408">
        <v>0</v>
      </c>
      <c r="CQ715" s="408">
        <v>30</v>
      </c>
      <c r="CR715" s="408"/>
      <c r="CS715" s="408"/>
      <c r="CT715" s="408"/>
      <c r="CU715" s="408"/>
      <c r="CV715" s="408"/>
      <c r="CW715" s="408"/>
      <c r="CX715" s="408"/>
      <c r="CY715" s="408"/>
      <c r="CZ715" s="408"/>
      <c r="DA715" s="408"/>
      <c r="DB715" s="408"/>
      <c r="DC715" s="408"/>
      <c r="DD715" s="408"/>
      <c r="DE715" s="408"/>
      <c r="DF715" s="408"/>
      <c r="DG715" s="408"/>
      <c r="DH715" s="408"/>
      <c r="DI715" s="408"/>
      <c r="DJ715" s="408"/>
      <c r="DK715" s="408">
        <v>0</v>
      </c>
      <c r="DL715" s="408"/>
      <c r="DM715" s="408"/>
      <c r="DN715" s="408"/>
      <c r="DO715" s="408"/>
      <c r="DP715" s="408"/>
      <c r="DQ715" s="408"/>
      <c r="DR715" s="408"/>
      <c r="DS715" s="408"/>
      <c r="DT715" s="408"/>
      <c r="DU715" s="408"/>
      <c r="DV715" s="408"/>
      <c r="DW715" s="408"/>
      <c r="DX715" s="408"/>
      <c r="DY715" s="408"/>
      <c r="DZ715" s="408"/>
      <c r="EA715" s="408"/>
      <c r="EB715" s="408"/>
      <c r="EC715" s="408"/>
      <c r="ED715" s="408"/>
      <c r="EE715" s="408"/>
      <c r="EF715" s="408"/>
      <c r="EG715" s="408"/>
      <c r="EH715" s="408"/>
      <c r="EI715" s="408"/>
      <c r="EJ715" s="408"/>
      <c r="EK715" s="408"/>
      <c r="EL715" s="408"/>
      <c r="EM715" s="408"/>
      <c r="EN715" s="408"/>
      <c r="EO715" s="408"/>
      <c r="EP715" s="408"/>
      <c r="EQ715" s="408"/>
      <c r="ER715" s="408"/>
      <c r="ES715" s="408"/>
      <c r="ET715" s="408"/>
      <c r="EU715" s="408"/>
      <c r="EV715" s="408">
        <v>239</v>
      </c>
      <c r="EW715" s="408"/>
      <c r="EX715" s="408"/>
      <c r="EY715" s="408"/>
      <c r="EZ715" s="408"/>
      <c r="FA715" s="408">
        <v>0</v>
      </c>
      <c r="FB715" s="408"/>
      <c r="FC715" s="408"/>
      <c r="FD715" s="408"/>
      <c r="FE715" s="408"/>
      <c r="FF715" s="408">
        <v>0</v>
      </c>
      <c r="FG715" s="408">
        <v>0</v>
      </c>
      <c r="FH715" s="408">
        <v>0</v>
      </c>
      <c r="FI715" s="408">
        <v>0</v>
      </c>
    </row>
    <row r="716" spans="1:165">
      <c r="A716" s="408">
        <v>722</v>
      </c>
      <c r="B716" s="408" t="s">
        <v>2235</v>
      </c>
      <c r="C716" s="408" t="s">
        <v>2245</v>
      </c>
      <c r="D716" s="408" t="s">
        <v>596</v>
      </c>
      <c r="E716" s="408" t="s">
        <v>968</v>
      </c>
      <c r="F716" s="408" t="s">
        <v>1320</v>
      </c>
      <c r="G716" s="408" t="s">
        <v>1320</v>
      </c>
      <c r="H716" s="408" t="s">
        <v>1320</v>
      </c>
      <c r="I716" s="408" t="s">
        <v>1320</v>
      </c>
      <c r="J716" s="408" t="s">
        <v>2234</v>
      </c>
      <c r="K716" s="827">
        <v>44713</v>
      </c>
      <c r="L716" s="408">
        <v>0</v>
      </c>
      <c r="M716" s="408">
        <v>0</v>
      </c>
      <c r="N716" s="408">
        <v>0</v>
      </c>
      <c r="O716" s="408">
        <v>0</v>
      </c>
      <c r="P716" s="408">
        <v>0</v>
      </c>
      <c r="Q716" s="408">
        <v>0</v>
      </c>
      <c r="R716" s="408"/>
      <c r="S716" s="408"/>
      <c r="T716" s="408"/>
      <c r="U716" s="408"/>
      <c r="V716" s="408"/>
      <c r="W716" s="408"/>
      <c r="X716" s="408"/>
      <c r="Y716" s="408"/>
      <c r="Z716" s="408"/>
      <c r="AA716" s="408">
        <v>0</v>
      </c>
      <c r="AB716" s="408"/>
      <c r="AC716" s="408"/>
      <c r="AD716" s="408"/>
      <c r="AE716" s="408"/>
      <c r="AF716" s="408"/>
      <c r="AG716" s="408"/>
      <c r="AH716" s="408"/>
      <c r="AI716" s="408"/>
      <c r="AJ716" s="408"/>
      <c r="AK716" s="408"/>
      <c r="AL716" s="408"/>
      <c r="AM716" s="408"/>
      <c r="AN716" s="408"/>
      <c r="AO716" s="408"/>
      <c r="AP716" s="408"/>
      <c r="AQ716" s="408"/>
      <c r="AR716" s="408"/>
      <c r="AS716" s="408"/>
      <c r="AT716" s="408"/>
      <c r="AU716" s="408"/>
      <c r="AV716" s="408"/>
      <c r="AW716" s="408"/>
      <c r="AX716" s="408"/>
      <c r="AY716" s="408"/>
      <c r="AZ716" s="408">
        <v>0</v>
      </c>
      <c r="BA716" s="408"/>
      <c r="BB716" s="408"/>
      <c r="BC716" s="408"/>
      <c r="BD716" s="408"/>
      <c r="BE716" s="408"/>
      <c r="BF716" s="408"/>
      <c r="BG716" s="408"/>
      <c r="BH716" s="408"/>
      <c r="BI716" s="408">
        <v>572.09</v>
      </c>
      <c r="BJ716" s="408">
        <v>2637.63</v>
      </c>
      <c r="BK716" s="408">
        <v>0</v>
      </c>
      <c r="BL716" s="408">
        <v>0</v>
      </c>
      <c r="BM716" s="408"/>
      <c r="BN716" s="408"/>
      <c r="BO716" s="408"/>
      <c r="BP716" s="408"/>
      <c r="BQ716" s="408"/>
      <c r="BR716" s="408"/>
      <c r="BS716" s="408"/>
      <c r="BT716" s="408"/>
      <c r="BU716" s="408"/>
      <c r="BV716" s="408"/>
      <c r="BW716" s="408"/>
      <c r="BX716" s="408"/>
      <c r="BY716" s="408"/>
      <c r="BZ716" s="408"/>
      <c r="CA716" s="408"/>
      <c r="CB716" s="408"/>
      <c r="CC716" s="408"/>
      <c r="CD716" s="408"/>
      <c r="CE716" s="408"/>
      <c r="CF716" s="408"/>
      <c r="CG716" s="408"/>
      <c r="CH716" s="408"/>
      <c r="CI716" s="408"/>
      <c r="CJ716" s="408">
        <v>-0.03</v>
      </c>
      <c r="CK716" s="408"/>
      <c r="CL716" s="408"/>
      <c r="CM716" s="408"/>
      <c r="CN716" s="408"/>
      <c r="CO716" s="408">
        <v>0</v>
      </c>
      <c r="CP716" s="408">
        <v>0</v>
      </c>
      <c r="CQ716" s="408">
        <v>30</v>
      </c>
      <c r="CR716" s="408"/>
      <c r="CS716" s="408"/>
      <c r="CT716" s="408"/>
      <c r="CU716" s="408"/>
      <c r="CV716" s="408"/>
      <c r="CW716" s="408"/>
      <c r="CX716" s="408"/>
      <c r="CY716" s="408"/>
      <c r="CZ716" s="408"/>
      <c r="DA716" s="408"/>
      <c r="DB716" s="408"/>
      <c r="DC716" s="408"/>
      <c r="DD716" s="408"/>
      <c r="DE716" s="408"/>
      <c r="DF716" s="408"/>
      <c r="DG716" s="408"/>
      <c r="DH716" s="408"/>
      <c r="DI716" s="408"/>
      <c r="DJ716" s="408"/>
      <c r="DK716" s="408">
        <v>0</v>
      </c>
      <c r="DL716" s="408"/>
      <c r="DM716" s="408"/>
      <c r="DN716" s="408"/>
      <c r="DO716" s="408"/>
      <c r="DP716" s="408"/>
      <c r="DQ716" s="408"/>
      <c r="DR716" s="408"/>
      <c r="DS716" s="408"/>
      <c r="DT716" s="408"/>
      <c r="DU716" s="408"/>
      <c r="DV716" s="408"/>
      <c r="DW716" s="408"/>
      <c r="DX716" s="408"/>
      <c r="DY716" s="408"/>
      <c r="DZ716" s="408"/>
      <c r="EA716" s="408"/>
      <c r="EB716" s="408"/>
      <c r="EC716" s="408"/>
      <c r="ED716" s="408"/>
      <c r="EE716" s="408"/>
      <c r="EF716" s="408"/>
      <c r="EG716" s="408"/>
      <c r="EH716" s="408"/>
      <c r="EI716" s="408"/>
      <c r="EJ716" s="408"/>
      <c r="EK716" s="408"/>
      <c r="EL716" s="408"/>
      <c r="EM716" s="408"/>
      <c r="EN716" s="408"/>
      <c r="EO716" s="408"/>
      <c r="EP716" s="408"/>
      <c r="EQ716" s="408"/>
      <c r="ER716" s="408"/>
      <c r="ES716" s="408"/>
      <c r="ET716" s="408"/>
      <c r="EU716" s="408"/>
      <c r="EV716" s="408">
        <v>239</v>
      </c>
      <c r="EW716" s="408"/>
      <c r="EX716" s="408"/>
      <c r="EY716" s="408"/>
      <c r="EZ716" s="408"/>
      <c r="FA716" s="408">
        <v>0</v>
      </c>
      <c r="FB716" s="408"/>
      <c r="FC716" s="408"/>
      <c r="FD716" s="408"/>
      <c r="FE716" s="408"/>
      <c r="FF716" s="408">
        <v>0</v>
      </c>
      <c r="FG716" s="408">
        <v>0</v>
      </c>
      <c r="FH716" s="408">
        <v>0</v>
      </c>
      <c r="FI716" s="408">
        <v>0</v>
      </c>
    </row>
    <row r="717" spans="1:165">
      <c r="A717" s="408">
        <v>723</v>
      </c>
      <c r="B717" s="408" t="s">
        <v>1034</v>
      </c>
      <c r="C717" s="408" t="s">
        <v>2241</v>
      </c>
      <c r="D717" s="408" t="s">
        <v>596</v>
      </c>
      <c r="E717" s="408" t="s">
        <v>968</v>
      </c>
      <c r="F717" s="408" t="s">
        <v>1320</v>
      </c>
      <c r="G717" s="408" t="s">
        <v>1320</v>
      </c>
      <c r="H717" s="408" t="s">
        <v>1320</v>
      </c>
      <c r="I717" s="408" t="s">
        <v>971</v>
      </c>
      <c r="J717" s="408" t="s">
        <v>2234</v>
      </c>
      <c r="K717" s="827">
        <v>44713</v>
      </c>
      <c r="L717" s="408">
        <v>0</v>
      </c>
      <c r="M717" s="408">
        <v>0</v>
      </c>
      <c r="N717" s="408">
        <v>38.363999999999997</v>
      </c>
      <c r="O717" s="408">
        <v>38.363999999999997</v>
      </c>
      <c r="P717" s="408">
        <v>38.363999999999997</v>
      </c>
      <c r="Q717" s="408">
        <v>38.363999999999997</v>
      </c>
      <c r="R717" s="408"/>
      <c r="S717" s="408">
        <v>1684.16</v>
      </c>
      <c r="T717" s="408">
        <v>173.82</v>
      </c>
      <c r="U717" s="408"/>
      <c r="V717" s="408">
        <v>71279.544719999991</v>
      </c>
      <c r="W717" s="408">
        <v>71279.544719999991</v>
      </c>
      <c r="X717" s="408">
        <v>48931.747439999992</v>
      </c>
      <c r="Y717" s="408">
        <v>0</v>
      </c>
      <c r="Z717" s="408">
        <v>2040.9658170097175</v>
      </c>
      <c r="AA717" s="408">
        <v>0</v>
      </c>
      <c r="AB717" s="408">
        <v>0</v>
      </c>
      <c r="AC717" s="408">
        <v>690.52897621888894</v>
      </c>
      <c r="AD717" s="408">
        <v>10534.214587062708</v>
      </c>
      <c r="AE717" s="408">
        <v>44436.731762635114</v>
      </c>
      <c r="AF717" s="408">
        <v>6173.6168079117651</v>
      </c>
      <c r="AG717" s="408">
        <v>310.58977990124799</v>
      </c>
      <c r="AH717" s="408">
        <v>0</v>
      </c>
      <c r="AI717" s="408">
        <v>0</v>
      </c>
      <c r="AJ717" s="408">
        <v>0</v>
      </c>
      <c r="AK717" s="408">
        <v>0</v>
      </c>
      <c r="AL717" s="408">
        <v>362.59721777290446</v>
      </c>
      <c r="AM717" s="408"/>
      <c r="AN717" s="408">
        <v>47.676119258099945</v>
      </c>
      <c r="AO717" s="408">
        <v>1483.0042941858101</v>
      </c>
      <c r="AP717" s="408">
        <v>4768.5942145805284</v>
      </c>
      <c r="AQ717" s="408">
        <v>0</v>
      </c>
      <c r="AR717" s="408">
        <v>0</v>
      </c>
      <c r="AS717" s="408">
        <v>0</v>
      </c>
      <c r="AT717" s="408">
        <v>0</v>
      </c>
      <c r="AU717" s="408">
        <v>0</v>
      </c>
      <c r="AV717" s="408">
        <v>0</v>
      </c>
      <c r="AW717" s="408">
        <v>0</v>
      </c>
      <c r="AX717" s="408">
        <v>0</v>
      </c>
      <c r="AY717" s="408">
        <v>0</v>
      </c>
      <c r="AZ717" s="408">
        <v>0</v>
      </c>
      <c r="BA717" s="408"/>
      <c r="BB717" s="408">
        <v>0</v>
      </c>
      <c r="BC717" s="408">
        <v>0</v>
      </c>
      <c r="BD717" s="408">
        <v>0</v>
      </c>
      <c r="BE717" s="408">
        <v>7.158477817850617</v>
      </c>
      <c r="BF717" s="408">
        <v>184.3654273783626</v>
      </c>
      <c r="BG717" s="408">
        <v>239.70708393526513</v>
      </c>
      <c r="BH717" s="408">
        <v>0</v>
      </c>
      <c r="BI717" s="408">
        <v>0</v>
      </c>
      <c r="BJ717" s="408">
        <v>0</v>
      </c>
      <c r="BK717" s="408">
        <v>0</v>
      </c>
      <c r="BL717" s="408">
        <v>0</v>
      </c>
      <c r="BM717" s="408"/>
      <c r="BN717" s="408"/>
      <c r="BO717" s="408"/>
      <c r="BP717" s="408"/>
      <c r="BQ717" s="408"/>
      <c r="BR717" s="408"/>
      <c r="BS717" s="408"/>
      <c r="BT717" s="408"/>
      <c r="BU717" s="408"/>
      <c r="BV717" s="408">
        <v>6604.8477970432432</v>
      </c>
      <c r="BW717" s="408"/>
      <c r="BX717" s="408"/>
      <c r="BY717" s="408"/>
      <c r="BZ717" s="408"/>
      <c r="CA717" s="408"/>
      <c r="CB717" s="408"/>
      <c r="CC717" s="408"/>
      <c r="CD717" s="408"/>
      <c r="CE717" s="408"/>
      <c r="CF717" s="408"/>
      <c r="CG717" s="408"/>
      <c r="CH717" s="408"/>
      <c r="CI717" s="408">
        <v>48926.645599999996</v>
      </c>
      <c r="CJ717" s="408">
        <v>-22352.929119999993</v>
      </c>
      <c r="CK717" s="408"/>
      <c r="CL717" s="408"/>
      <c r="CM717" s="408"/>
      <c r="CN717" s="408"/>
      <c r="CO717" s="408">
        <v>-23160.730439999999</v>
      </c>
      <c r="CP717" s="408">
        <v>812.93315999999982</v>
      </c>
      <c r="CQ717" s="408">
        <v>30</v>
      </c>
      <c r="CR717" s="408">
        <v>1178.850129701983</v>
      </c>
      <c r="CS717" s="408">
        <v>143.99034776266035</v>
      </c>
      <c r="CT717" s="408">
        <v>463.00037160270494</v>
      </c>
      <c r="CU717" s="408">
        <v>0</v>
      </c>
      <c r="CV717" s="408">
        <v>0</v>
      </c>
      <c r="CW717" s="408">
        <v>0</v>
      </c>
      <c r="CX717" s="408">
        <v>0</v>
      </c>
      <c r="CY717" s="408">
        <v>0</v>
      </c>
      <c r="CZ717" s="408">
        <v>-201.98522113762556</v>
      </c>
      <c r="DA717" s="408">
        <v>0</v>
      </c>
      <c r="DB717" s="408">
        <v>0</v>
      </c>
      <c r="DC717" s="408">
        <v>792.45194843147237</v>
      </c>
      <c r="DD717" s="408">
        <v>23.665340220362339</v>
      </c>
      <c r="DE717" s="408">
        <v>0.91886974379251285</v>
      </c>
      <c r="DF717" s="408">
        <v>0</v>
      </c>
      <c r="DG717" s="408">
        <v>30.769053478324508</v>
      </c>
      <c r="DH717" s="408">
        <v>0</v>
      </c>
      <c r="DI717" s="408">
        <v>-59.648257752638301</v>
      </c>
      <c r="DJ717" s="408"/>
      <c r="DK717" s="408">
        <v>0</v>
      </c>
      <c r="DL717" s="408">
        <v>0</v>
      </c>
      <c r="DM717" s="408">
        <v>-3.4520914115894925</v>
      </c>
      <c r="DN717" s="408">
        <v>0</v>
      </c>
      <c r="DO717" s="408">
        <v>-9.3911426973431276</v>
      </c>
      <c r="DP717" s="408">
        <v>-1.4690885381345637</v>
      </c>
      <c r="DQ717" s="408">
        <v>0</v>
      </c>
      <c r="DR717" s="408">
        <v>0</v>
      </c>
      <c r="DS717" s="408"/>
      <c r="DT717" s="408"/>
      <c r="DU717" s="408"/>
      <c r="DV717" s="408">
        <v>44436.731762635114</v>
      </c>
      <c r="DW717" s="408">
        <v>0</v>
      </c>
      <c r="DX717" s="408">
        <v>0</v>
      </c>
      <c r="DY717" s="408">
        <v>-23160.730439999999</v>
      </c>
      <c r="DZ717" s="408">
        <v>812.93315999999959</v>
      </c>
      <c r="EA717" s="408">
        <v>0</v>
      </c>
      <c r="EB717" s="408">
        <v>0</v>
      </c>
      <c r="EC717" s="408">
        <v>-23526.893633923184</v>
      </c>
      <c r="ED717" s="408">
        <v>0</v>
      </c>
      <c r="EE717" s="408">
        <v>0</v>
      </c>
      <c r="EF717" s="408">
        <v>0</v>
      </c>
      <c r="EG717" s="408">
        <v>0</v>
      </c>
      <c r="EH717" s="408">
        <v>0</v>
      </c>
      <c r="EI717" s="408">
        <v>0</v>
      </c>
      <c r="EJ717" s="408">
        <v>0</v>
      </c>
      <c r="EK717" s="408">
        <v>0</v>
      </c>
      <c r="EL717" s="408">
        <v>0</v>
      </c>
      <c r="EM717" s="408">
        <v>0</v>
      </c>
      <c r="EN717" s="408">
        <v>0</v>
      </c>
      <c r="EO717" s="408">
        <v>0</v>
      </c>
      <c r="EP717" s="408">
        <v>0</v>
      </c>
      <c r="EQ717" s="408">
        <v>0</v>
      </c>
      <c r="ER717" s="408">
        <v>0</v>
      </c>
      <c r="ES717" s="408">
        <v>0</v>
      </c>
      <c r="ET717" s="408">
        <v>0</v>
      </c>
      <c r="EU717" s="408">
        <v>0</v>
      </c>
      <c r="EV717" s="408">
        <v>239</v>
      </c>
      <c r="EW717" s="408">
        <v>0</v>
      </c>
      <c r="EX717" s="408">
        <v>0</v>
      </c>
      <c r="EY717" s="408">
        <v>0</v>
      </c>
      <c r="EZ717" s="408"/>
      <c r="FA717" s="408">
        <v>0</v>
      </c>
      <c r="FB717" s="408"/>
      <c r="FC717" s="408"/>
      <c r="FD717" s="408"/>
      <c r="FE717" s="408"/>
      <c r="FF717" s="408">
        <v>0</v>
      </c>
      <c r="FG717" s="408">
        <v>0</v>
      </c>
      <c r="FH717" s="408">
        <v>0</v>
      </c>
      <c r="FI717" s="408">
        <v>0</v>
      </c>
    </row>
    <row r="718" spans="1:165">
      <c r="A718" s="408">
        <v>724</v>
      </c>
      <c r="B718" s="408" t="s">
        <v>2236</v>
      </c>
      <c r="C718" s="408" t="s">
        <v>2241</v>
      </c>
      <c r="D718" s="408" t="s">
        <v>596</v>
      </c>
      <c r="E718" s="408" t="s">
        <v>968</v>
      </c>
      <c r="F718" s="408" t="s">
        <v>1320</v>
      </c>
      <c r="G718" s="408" t="s">
        <v>1320</v>
      </c>
      <c r="H718" s="408" t="s">
        <v>1320</v>
      </c>
      <c r="I718" s="408" t="s">
        <v>971</v>
      </c>
      <c r="J718" s="408" t="s">
        <v>2234</v>
      </c>
      <c r="K718" s="827">
        <v>44713</v>
      </c>
      <c r="L718" s="408">
        <v>0</v>
      </c>
      <c r="M718" s="408">
        <v>0</v>
      </c>
      <c r="N718" s="408">
        <v>2.2810000000000001</v>
      </c>
      <c r="O718" s="408">
        <v>2.2810000000000001</v>
      </c>
      <c r="P718" s="408">
        <v>2.2810000000000001</v>
      </c>
      <c r="Q718" s="408">
        <v>2.2810000000000001</v>
      </c>
      <c r="R718" s="408"/>
      <c r="S718" s="408">
        <v>1684.16</v>
      </c>
      <c r="T718" s="408">
        <v>173.82</v>
      </c>
      <c r="U718" s="408"/>
      <c r="V718" s="408">
        <v>4238.052380000001</v>
      </c>
      <c r="W718" s="408">
        <v>4238.052380000001</v>
      </c>
      <c r="X718" s="408">
        <v>2909.3242600000003</v>
      </c>
      <c r="Y718" s="408">
        <v>0</v>
      </c>
      <c r="Z718" s="408">
        <v>121.34926046812548</v>
      </c>
      <c r="AA718" s="408">
        <v>0</v>
      </c>
      <c r="AB718" s="408">
        <v>0</v>
      </c>
      <c r="AC718" s="408">
        <v>41.056631080056455</v>
      </c>
      <c r="AD718" s="408">
        <v>626.33050445965068</v>
      </c>
      <c r="AE718" s="408">
        <v>2642.0650909855781</v>
      </c>
      <c r="AF718" s="408">
        <v>367.06339117002238</v>
      </c>
      <c r="AG718" s="408">
        <v>18.466668959304211</v>
      </c>
      <c r="AH718" s="408">
        <v>0</v>
      </c>
      <c r="AI718" s="408">
        <v>0</v>
      </c>
      <c r="AJ718" s="408">
        <v>0</v>
      </c>
      <c r="AK718" s="408">
        <v>0</v>
      </c>
      <c r="AL718" s="408">
        <v>21.558863876029488</v>
      </c>
      <c r="AM718" s="408"/>
      <c r="AN718" s="408">
        <v>2.8346686484132517</v>
      </c>
      <c r="AO718" s="408">
        <v>88.174663617918711</v>
      </c>
      <c r="AP718" s="408">
        <v>283.52526857100895</v>
      </c>
      <c r="AQ718" s="408">
        <v>0</v>
      </c>
      <c r="AR718" s="408">
        <v>0</v>
      </c>
      <c r="AS718" s="408">
        <v>0</v>
      </c>
      <c r="AT718" s="408">
        <v>0</v>
      </c>
      <c r="AU718" s="408">
        <v>0</v>
      </c>
      <c r="AV718" s="408">
        <v>0</v>
      </c>
      <c r="AW718" s="408">
        <v>0</v>
      </c>
      <c r="AX718" s="408">
        <v>0</v>
      </c>
      <c r="AY718" s="408">
        <v>0</v>
      </c>
      <c r="AZ718" s="408">
        <v>0</v>
      </c>
      <c r="BA718" s="408"/>
      <c r="BB718" s="408">
        <v>0</v>
      </c>
      <c r="BC718" s="408">
        <v>0</v>
      </c>
      <c r="BD718" s="408">
        <v>0</v>
      </c>
      <c r="BE718" s="408">
        <v>0.42562005793236524</v>
      </c>
      <c r="BF718" s="408">
        <v>10.961775097749065</v>
      </c>
      <c r="BG718" s="408">
        <v>14.252211929317584</v>
      </c>
      <c r="BH718" s="408">
        <v>0</v>
      </c>
      <c r="BI718" s="408">
        <v>0</v>
      </c>
      <c r="BJ718" s="408">
        <v>0</v>
      </c>
      <c r="BK718" s="408">
        <v>0</v>
      </c>
      <c r="BL718" s="408">
        <v>0</v>
      </c>
      <c r="BM718" s="408"/>
      <c r="BN718" s="408"/>
      <c r="BO718" s="408"/>
      <c r="BP718" s="408"/>
      <c r="BQ718" s="408"/>
      <c r="BR718" s="408"/>
      <c r="BS718" s="408"/>
      <c r="BT718" s="408"/>
      <c r="BU718" s="408"/>
      <c r="BV718" s="408">
        <v>392.70299825502138</v>
      </c>
      <c r="BW718" s="408"/>
      <c r="BX718" s="408"/>
      <c r="BY718" s="408"/>
      <c r="BZ718" s="408"/>
      <c r="CA718" s="408"/>
      <c r="CB718" s="408"/>
      <c r="CC718" s="408"/>
      <c r="CD718" s="408"/>
      <c r="CE718" s="408"/>
      <c r="CF718" s="408"/>
      <c r="CG718" s="408"/>
      <c r="CH718" s="408"/>
      <c r="CI718" s="408">
        <v>2908.0488</v>
      </c>
      <c r="CJ718" s="408">
        <v>-1330.0335800000016</v>
      </c>
      <c r="CK718" s="408"/>
      <c r="CL718" s="408"/>
      <c r="CM718" s="408"/>
      <c r="CN718" s="408"/>
      <c r="CO718" s="408">
        <v>-1377.0625100000002</v>
      </c>
      <c r="CP718" s="408">
        <v>48.334389999999999</v>
      </c>
      <c r="CQ718" s="408">
        <v>30</v>
      </c>
      <c r="CR718" s="408">
        <v>70.090635644099166</v>
      </c>
      <c r="CS718" s="408">
        <v>8.5612027746488479</v>
      </c>
      <c r="CT718" s="408">
        <v>27.528512345578349</v>
      </c>
      <c r="CU718" s="408">
        <v>0</v>
      </c>
      <c r="CV718" s="408">
        <v>0</v>
      </c>
      <c r="CW718" s="408">
        <v>0</v>
      </c>
      <c r="CX718" s="408">
        <v>0</v>
      </c>
      <c r="CY718" s="408">
        <v>0</v>
      </c>
      <c r="CZ718" s="408">
        <v>-12.009391341229389</v>
      </c>
      <c r="DA718" s="408">
        <v>0</v>
      </c>
      <c r="DB718" s="408">
        <v>0</v>
      </c>
      <c r="DC718" s="408">
        <v>47.116643060478282</v>
      </c>
      <c r="DD718" s="408">
        <v>1.4070649839079987</v>
      </c>
      <c r="DE718" s="408">
        <v>5.4633038410768442E-2</v>
      </c>
      <c r="DF718" s="408">
        <v>0</v>
      </c>
      <c r="DG718" s="408">
        <v>1.8294289173198361</v>
      </c>
      <c r="DH718" s="408">
        <v>0</v>
      </c>
      <c r="DI718" s="408">
        <v>-3.5464934817476745</v>
      </c>
      <c r="DJ718" s="408"/>
      <c r="DK718" s="408">
        <v>0</v>
      </c>
      <c r="DL718" s="408">
        <v>0</v>
      </c>
      <c r="DM718" s="408">
        <v>-0.20525024788436141</v>
      </c>
      <c r="DN718" s="408">
        <v>0</v>
      </c>
      <c r="DO718" s="408">
        <v>-0.55836712784484988</v>
      </c>
      <c r="DP718" s="408">
        <v>-8.7347277538446289E-2</v>
      </c>
      <c r="DQ718" s="408">
        <v>0</v>
      </c>
      <c r="DR718" s="408">
        <v>0</v>
      </c>
      <c r="DS718" s="408"/>
      <c r="DT718" s="408"/>
      <c r="DU718" s="408"/>
      <c r="DV718" s="408">
        <v>2642.0650909855781</v>
      </c>
      <c r="DW718" s="408">
        <v>0</v>
      </c>
      <c r="DX718" s="408">
        <v>0</v>
      </c>
      <c r="DY718" s="408">
        <v>-1377.0625100000002</v>
      </c>
      <c r="DZ718" s="408">
        <v>48.334389999999985</v>
      </c>
      <c r="EA718" s="408">
        <v>0</v>
      </c>
      <c r="EB718" s="408">
        <v>0</v>
      </c>
      <c r="EC718" s="408">
        <v>-1398.8333953440413</v>
      </c>
      <c r="ED718" s="408">
        <v>0</v>
      </c>
      <c r="EE718" s="408">
        <v>0</v>
      </c>
      <c r="EF718" s="408">
        <v>0</v>
      </c>
      <c r="EG718" s="408">
        <v>0</v>
      </c>
      <c r="EH718" s="408">
        <v>0</v>
      </c>
      <c r="EI718" s="408">
        <v>0</v>
      </c>
      <c r="EJ718" s="408">
        <v>0</v>
      </c>
      <c r="EK718" s="408">
        <v>0</v>
      </c>
      <c r="EL718" s="408">
        <v>0</v>
      </c>
      <c r="EM718" s="408">
        <v>0</v>
      </c>
      <c r="EN718" s="408">
        <v>0</v>
      </c>
      <c r="EO718" s="408">
        <v>0</v>
      </c>
      <c r="EP718" s="408">
        <v>0</v>
      </c>
      <c r="EQ718" s="408">
        <v>0</v>
      </c>
      <c r="ER718" s="408">
        <v>0</v>
      </c>
      <c r="ES718" s="408">
        <v>0</v>
      </c>
      <c r="ET718" s="408">
        <v>0</v>
      </c>
      <c r="EU718" s="408">
        <v>0</v>
      </c>
      <c r="EV718" s="408">
        <v>239</v>
      </c>
      <c r="EW718" s="408">
        <v>0</v>
      </c>
      <c r="EX718" s="408">
        <v>0</v>
      </c>
      <c r="EY718" s="408">
        <v>0</v>
      </c>
      <c r="EZ718" s="408"/>
      <c r="FA718" s="408">
        <v>0</v>
      </c>
      <c r="FB718" s="408"/>
      <c r="FC718" s="408"/>
      <c r="FD718" s="408"/>
      <c r="FE718" s="408"/>
      <c r="FF718" s="408">
        <v>0</v>
      </c>
      <c r="FG718" s="408">
        <v>0</v>
      </c>
      <c r="FH718" s="408">
        <v>0</v>
      </c>
      <c r="FI718" s="408">
        <v>0</v>
      </c>
    </row>
    <row r="719" spans="1:165">
      <c r="A719" s="408">
        <v>725</v>
      </c>
      <c r="B719" s="408" t="s">
        <v>1034</v>
      </c>
      <c r="C719" s="408" t="s">
        <v>2241</v>
      </c>
      <c r="D719" s="408" t="s">
        <v>596</v>
      </c>
      <c r="E719" s="408" t="s">
        <v>968</v>
      </c>
      <c r="F719" s="408" t="s">
        <v>1320</v>
      </c>
      <c r="G719" s="408" t="s">
        <v>1320</v>
      </c>
      <c r="H719" s="408" t="s">
        <v>1320</v>
      </c>
      <c r="I719" s="408" t="s">
        <v>2242</v>
      </c>
      <c r="J719" s="408" t="s">
        <v>2234</v>
      </c>
      <c r="K719" s="827">
        <v>44713</v>
      </c>
      <c r="L719" s="408">
        <v>0</v>
      </c>
      <c r="M719" s="408">
        <v>0</v>
      </c>
      <c r="N719" s="408">
        <v>1004.55</v>
      </c>
      <c r="O719" s="408">
        <v>1004.55</v>
      </c>
      <c r="P719" s="408">
        <v>1004.55</v>
      </c>
      <c r="Q719" s="408">
        <v>1004.55</v>
      </c>
      <c r="R719" s="408"/>
      <c r="S719" s="408">
        <v>70.33</v>
      </c>
      <c r="T719" s="408">
        <v>173.82</v>
      </c>
      <c r="U719" s="408"/>
      <c r="V719" s="408">
        <v>245260.88250000001</v>
      </c>
      <c r="W719" s="408">
        <v>245260.88250000001</v>
      </c>
      <c r="X719" s="408">
        <v>265532.70149999997</v>
      </c>
      <c r="Y719" s="408">
        <v>0</v>
      </c>
      <c r="Z719" s="408">
        <v>53442.086630098835</v>
      </c>
      <c r="AA719" s="408">
        <v>0</v>
      </c>
      <c r="AB719" s="408">
        <v>0</v>
      </c>
      <c r="AC719" s="408">
        <v>0</v>
      </c>
      <c r="AD719" s="408">
        <v>0</v>
      </c>
      <c r="AE719" s="408">
        <v>0</v>
      </c>
      <c r="AF719" s="408">
        <v>161654.33125815252</v>
      </c>
      <c r="AG719" s="408">
        <v>8132.7015796006326</v>
      </c>
      <c r="AH719" s="408">
        <v>0</v>
      </c>
      <c r="AI719" s="408">
        <v>0</v>
      </c>
      <c r="AJ719" s="408">
        <v>0</v>
      </c>
      <c r="AK719" s="408">
        <v>0</v>
      </c>
      <c r="AL719" s="408">
        <v>9494.5009674114062</v>
      </c>
      <c r="AM719" s="408"/>
      <c r="AN719" s="408">
        <v>1248.3850902075983</v>
      </c>
      <c r="AO719" s="408">
        <v>0</v>
      </c>
      <c r="AP719" s="408">
        <v>0</v>
      </c>
      <c r="AQ719" s="408">
        <v>0</v>
      </c>
      <c r="AR719" s="408">
        <v>0</v>
      </c>
      <c r="AS719" s="408">
        <v>0</v>
      </c>
      <c r="AT719" s="408">
        <v>0</v>
      </c>
      <c r="AU719" s="408">
        <v>0</v>
      </c>
      <c r="AV719" s="408">
        <v>0</v>
      </c>
      <c r="AW719" s="408">
        <v>0</v>
      </c>
      <c r="AX719" s="408">
        <v>0</v>
      </c>
      <c r="AY719" s="408">
        <v>0</v>
      </c>
      <c r="AZ719" s="408">
        <v>0</v>
      </c>
      <c r="BA719" s="408"/>
      <c r="BB719" s="408">
        <v>0</v>
      </c>
      <c r="BC719" s="408">
        <v>0</v>
      </c>
      <c r="BD719" s="408">
        <v>0</v>
      </c>
      <c r="BE719" s="408">
        <v>187.44262568871437</v>
      </c>
      <c r="BF719" s="408">
        <v>4827.5542193966776</v>
      </c>
      <c r="BG719" s="408">
        <v>6276.6591379202009</v>
      </c>
      <c r="BH719" s="408">
        <v>0</v>
      </c>
      <c r="BI719" s="408">
        <v>0</v>
      </c>
      <c r="BJ719" s="408">
        <v>0</v>
      </c>
      <c r="BK719" s="408">
        <v>0</v>
      </c>
      <c r="BL719" s="408">
        <v>0</v>
      </c>
      <c r="BM719" s="408"/>
      <c r="BN719" s="408"/>
      <c r="BO719" s="408"/>
      <c r="BP719" s="408"/>
      <c r="BQ719" s="408"/>
      <c r="BR719" s="408"/>
      <c r="BS719" s="408"/>
      <c r="BT719" s="408"/>
      <c r="BU719" s="408"/>
      <c r="BV719" s="408">
        <v>172945.98724115812</v>
      </c>
      <c r="BW719" s="408"/>
      <c r="BX719" s="408"/>
      <c r="BY719" s="408"/>
      <c r="BZ719" s="408"/>
      <c r="CA719" s="408"/>
      <c r="CB719" s="408"/>
      <c r="CC719" s="408"/>
      <c r="CD719" s="408"/>
      <c r="CE719" s="408"/>
      <c r="CF719" s="408"/>
      <c r="CG719" s="408"/>
      <c r="CH719" s="408"/>
      <c r="CI719" s="408">
        <v>265532.70149999997</v>
      </c>
      <c r="CJ719" s="408">
        <v>20271.78899999999</v>
      </c>
      <c r="CK719" s="408"/>
      <c r="CL719" s="408"/>
      <c r="CM719" s="408"/>
      <c r="CN719" s="408"/>
      <c r="CO719" s="408">
        <v>-1014.5955000000051</v>
      </c>
      <c r="CP719" s="408">
        <v>21286.414499999995</v>
      </c>
      <c r="CQ719" s="408">
        <v>30</v>
      </c>
      <c r="CR719" s="408">
        <v>20262.892934716248</v>
      </c>
      <c r="CS719" s="408">
        <v>0</v>
      </c>
      <c r="CT719" s="408">
        <v>0</v>
      </c>
      <c r="CU719" s="408">
        <v>0</v>
      </c>
      <c r="CV719" s="408">
        <v>0</v>
      </c>
      <c r="CW719" s="408">
        <v>0</v>
      </c>
      <c r="CX719" s="408">
        <v>0</v>
      </c>
      <c r="CY719" s="408">
        <v>0</v>
      </c>
      <c r="CZ719" s="408">
        <v>0</v>
      </c>
      <c r="DA719" s="408">
        <v>0</v>
      </c>
      <c r="DB719" s="408">
        <v>0</v>
      </c>
      <c r="DC719" s="408">
        <v>20750.120029111567</v>
      </c>
      <c r="DD719" s="408">
        <v>619.66993844137687</v>
      </c>
      <c r="DE719" s="408">
        <v>24.060332632852862</v>
      </c>
      <c r="DF719" s="408">
        <v>0</v>
      </c>
      <c r="DG719" s="408">
        <v>805.67857031724725</v>
      </c>
      <c r="DH719" s="408">
        <v>0</v>
      </c>
      <c r="DI719" s="408">
        <v>-1561.8719978472727</v>
      </c>
      <c r="DJ719" s="408"/>
      <c r="DK719" s="408">
        <v>0</v>
      </c>
      <c r="DL719" s="408">
        <v>0</v>
      </c>
      <c r="DM719" s="408">
        <v>-90.391993210098917</v>
      </c>
      <c r="DN719" s="408">
        <v>0</v>
      </c>
      <c r="DO719" s="408">
        <v>-245.90429560567281</v>
      </c>
      <c r="DP719" s="408">
        <v>-38.467649123737829</v>
      </c>
      <c r="DQ719" s="408">
        <v>0</v>
      </c>
      <c r="DR719" s="408">
        <v>0</v>
      </c>
      <c r="DS719" s="408"/>
      <c r="DT719" s="408"/>
      <c r="DU719" s="408"/>
      <c r="DV719" s="408">
        <v>0</v>
      </c>
      <c r="DW719" s="408">
        <v>0</v>
      </c>
      <c r="DX719" s="408">
        <v>0</v>
      </c>
      <c r="DY719" s="408">
        <v>-1014.5955000000104</v>
      </c>
      <c r="DZ719" s="408">
        <v>21286.414499999984</v>
      </c>
      <c r="EA719" s="408">
        <v>0</v>
      </c>
      <c r="EB719" s="408">
        <v>0</v>
      </c>
      <c r="EC719" s="408">
        <v>0</v>
      </c>
      <c r="ED719" s="408">
        <v>0</v>
      </c>
      <c r="EE719" s="408">
        <v>0</v>
      </c>
      <c r="EF719" s="408">
        <v>0</v>
      </c>
      <c r="EG719" s="408">
        <v>0</v>
      </c>
      <c r="EH719" s="408">
        <v>0</v>
      </c>
      <c r="EI719" s="408">
        <v>0</v>
      </c>
      <c r="EJ719" s="408">
        <v>0</v>
      </c>
      <c r="EK719" s="408">
        <v>0</v>
      </c>
      <c r="EL719" s="408">
        <v>0</v>
      </c>
      <c r="EM719" s="408">
        <v>0</v>
      </c>
      <c r="EN719" s="408">
        <v>0</v>
      </c>
      <c r="EO719" s="408">
        <v>0</v>
      </c>
      <c r="EP719" s="408">
        <v>0</v>
      </c>
      <c r="EQ719" s="408">
        <v>0</v>
      </c>
      <c r="ER719" s="408">
        <v>0</v>
      </c>
      <c r="ES719" s="408">
        <v>0</v>
      </c>
      <c r="ET719" s="408">
        <v>0</v>
      </c>
      <c r="EU719" s="408">
        <v>0</v>
      </c>
      <c r="EV719" s="408">
        <v>239</v>
      </c>
      <c r="EW719" s="408">
        <v>0</v>
      </c>
      <c r="EX719" s="408">
        <v>0</v>
      </c>
      <c r="EY719" s="408">
        <v>0</v>
      </c>
      <c r="EZ719" s="408"/>
      <c r="FA719" s="408">
        <v>0</v>
      </c>
      <c r="FB719" s="408"/>
      <c r="FC719" s="408"/>
      <c r="FD719" s="408"/>
      <c r="FE719" s="408"/>
      <c r="FF719" s="408">
        <v>0</v>
      </c>
      <c r="FG719" s="408">
        <v>0</v>
      </c>
      <c r="FH719" s="408">
        <v>0</v>
      </c>
      <c r="FI719" s="408">
        <v>0</v>
      </c>
    </row>
    <row r="720" spans="1:165">
      <c r="A720" s="408">
        <v>726</v>
      </c>
      <c r="B720" s="408" t="s">
        <v>2236</v>
      </c>
      <c r="C720" s="408" t="s">
        <v>2241</v>
      </c>
      <c r="D720" s="408" t="s">
        <v>596</v>
      </c>
      <c r="E720" s="408" t="s">
        <v>968</v>
      </c>
      <c r="F720" s="408" t="s">
        <v>1320</v>
      </c>
      <c r="G720" s="408" t="s">
        <v>1320</v>
      </c>
      <c r="H720" s="408" t="s">
        <v>1320</v>
      </c>
      <c r="I720" s="408" t="s">
        <v>2242</v>
      </c>
      <c r="J720" s="408" t="s">
        <v>2234</v>
      </c>
      <c r="K720" s="827">
        <v>44713</v>
      </c>
      <c r="L720" s="408">
        <v>0</v>
      </c>
      <c r="M720" s="408">
        <v>0</v>
      </c>
      <c r="N720" s="408">
        <v>51.368000000000002</v>
      </c>
      <c r="O720" s="408">
        <v>51.368000000000002</v>
      </c>
      <c r="P720" s="408">
        <v>51.368000000000002</v>
      </c>
      <c r="Q720" s="408">
        <v>51.368000000000002</v>
      </c>
      <c r="R720" s="408"/>
      <c r="S720" s="408">
        <v>70.33</v>
      </c>
      <c r="T720" s="408">
        <v>173.82</v>
      </c>
      <c r="U720" s="408"/>
      <c r="V720" s="408">
        <v>12541.497200000002</v>
      </c>
      <c r="W720" s="408">
        <v>12541.497200000002</v>
      </c>
      <c r="X720" s="408">
        <v>13578.103439999999</v>
      </c>
      <c r="Y720" s="408">
        <v>0</v>
      </c>
      <c r="Z720" s="408">
        <v>2732.7789617390049</v>
      </c>
      <c r="AA720" s="408">
        <v>0</v>
      </c>
      <c r="AB720" s="408">
        <v>0</v>
      </c>
      <c r="AC720" s="408">
        <v>0</v>
      </c>
      <c r="AD720" s="408">
        <v>0</v>
      </c>
      <c r="AE720" s="408">
        <v>0</v>
      </c>
      <c r="AF720" s="408">
        <v>8266.2482584926383</v>
      </c>
      <c r="AG720" s="408">
        <v>415.86841345968378</v>
      </c>
      <c r="AH720" s="408">
        <v>0</v>
      </c>
      <c r="AI720" s="408">
        <v>0</v>
      </c>
      <c r="AJ720" s="408">
        <v>0</v>
      </c>
      <c r="AK720" s="408">
        <v>0</v>
      </c>
      <c r="AL720" s="408">
        <v>485.50448030858513</v>
      </c>
      <c r="AM720" s="408"/>
      <c r="AN720" s="408">
        <v>63.83658883458655</v>
      </c>
      <c r="AO720" s="408">
        <v>0</v>
      </c>
      <c r="AP720" s="408">
        <v>0</v>
      </c>
      <c r="AQ720" s="408">
        <v>0</v>
      </c>
      <c r="AR720" s="408">
        <v>0</v>
      </c>
      <c r="AS720" s="408">
        <v>0</v>
      </c>
      <c r="AT720" s="408">
        <v>0</v>
      </c>
      <c r="AU720" s="408">
        <v>0</v>
      </c>
      <c r="AV720" s="408">
        <v>0</v>
      </c>
      <c r="AW720" s="408">
        <v>0</v>
      </c>
      <c r="AX720" s="408">
        <v>0</v>
      </c>
      <c r="AY720" s="408">
        <v>0</v>
      </c>
      <c r="AZ720" s="408">
        <v>0</v>
      </c>
      <c r="BA720" s="408"/>
      <c r="BB720" s="408">
        <v>0</v>
      </c>
      <c r="BC720" s="408">
        <v>0</v>
      </c>
      <c r="BD720" s="408">
        <v>0</v>
      </c>
      <c r="BE720" s="408">
        <v>9.5849413134019006</v>
      </c>
      <c r="BF720" s="408">
        <v>246.85859851870845</v>
      </c>
      <c r="BG720" s="408">
        <v>320.95906286066884</v>
      </c>
      <c r="BH720" s="408">
        <v>0</v>
      </c>
      <c r="BI720" s="408">
        <v>0</v>
      </c>
      <c r="BJ720" s="408">
        <v>0</v>
      </c>
      <c r="BK720" s="408">
        <v>0</v>
      </c>
      <c r="BL720" s="408">
        <v>0</v>
      </c>
      <c r="BM720" s="408"/>
      <c r="BN720" s="408"/>
      <c r="BO720" s="408"/>
      <c r="BP720" s="408"/>
      <c r="BQ720" s="408"/>
      <c r="BR720" s="408"/>
      <c r="BS720" s="408"/>
      <c r="BT720" s="408"/>
      <c r="BU720" s="408"/>
      <c r="BV720" s="408">
        <v>8843.6508611854188</v>
      </c>
      <c r="BW720" s="408"/>
      <c r="BX720" s="408"/>
      <c r="BY720" s="408"/>
      <c r="BZ720" s="408"/>
      <c r="CA720" s="408"/>
      <c r="CB720" s="408"/>
      <c r="CC720" s="408"/>
      <c r="CD720" s="408"/>
      <c r="CE720" s="408"/>
      <c r="CF720" s="408"/>
      <c r="CG720" s="408"/>
      <c r="CH720" s="408"/>
      <c r="CI720" s="408">
        <v>13578.632099999999</v>
      </c>
      <c r="CJ720" s="408">
        <v>1037.1048999999966</v>
      </c>
      <c r="CK720" s="408"/>
      <c r="CL720" s="408"/>
      <c r="CM720" s="408"/>
      <c r="CN720" s="408"/>
      <c r="CO720" s="408">
        <v>-51.881680000000266</v>
      </c>
      <c r="CP720" s="408">
        <v>1088.48792</v>
      </c>
      <c r="CQ720" s="408">
        <v>30</v>
      </c>
      <c r="CR720" s="408">
        <v>1036.1498026683639</v>
      </c>
      <c r="CS720" s="408">
        <v>0</v>
      </c>
      <c r="CT720" s="408">
        <v>0</v>
      </c>
      <c r="CU720" s="408">
        <v>0</v>
      </c>
      <c r="CV720" s="408">
        <v>0</v>
      </c>
      <c r="CW720" s="408">
        <v>0</v>
      </c>
      <c r="CX720" s="408">
        <v>0</v>
      </c>
      <c r="CY720" s="408">
        <v>0</v>
      </c>
      <c r="CZ720" s="408">
        <v>0</v>
      </c>
      <c r="DA720" s="408">
        <v>0</v>
      </c>
      <c r="DB720" s="408">
        <v>0</v>
      </c>
      <c r="DC720" s="408">
        <v>1061.0643229858179</v>
      </c>
      <c r="DD720" s="408">
        <v>31.687029414022845</v>
      </c>
      <c r="DE720" s="408">
        <v>1.2303331508480291</v>
      </c>
      <c r="DF720" s="408">
        <v>0</v>
      </c>
      <c r="DG720" s="408">
        <v>41.198642974522329</v>
      </c>
      <c r="DH720" s="408">
        <v>0</v>
      </c>
      <c r="DI720" s="408">
        <v>-79.866846633237401</v>
      </c>
      <c r="DJ720" s="408"/>
      <c r="DK720" s="408">
        <v>0</v>
      </c>
      <c r="DL720" s="408">
        <v>0</v>
      </c>
      <c r="DM720" s="408">
        <v>-4.6222247844470985</v>
      </c>
      <c r="DN720" s="408">
        <v>0</v>
      </c>
      <c r="DO720" s="408">
        <v>-12.574398344206088</v>
      </c>
      <c r="DP720" s="408">
        <v>-1.9670560949561207</v>
      </c>
      <c r="DQ720" s="408">
        <v>0</v>
      </c>
      <c r="DR720" s="408">
        <v>0</v>
      </c>
      <c r="DS720" s="408"/>
      <c r="DT720" s="408"/>
      <c r="DU720" s="408"/>
      <c r="DV720" s="408">
        <v>0</v>
      </c>
      <c r="DW720" s="408">
        <v>0</v>
      </c>
      <c r="DX720" s="408">
        <v>0</v>
      </c>
      <c r="DY720" s="408">
        <v>-51.881680000000415</v>
      </c>
      <c r="DZ720" s="408">
        <v>1088.4879199999996</v>
      </c>
      <c r="EA720" s="408">
        <v>0</v>
      </c>
      <c r="EB720" s="408">
        <v>0</v>
      </c>
      <c r="EC720" s="408">
        <v>0</v>
      </c>
      <c r="ED720" s="408">
        <v>0</v>
      </c>
      <c r="EE720" s="408">
        <v>0</v>
      </c>
      <c r="EF720" s="408">
        <v>0</v>
      </c>
      <c r="EG720" s="408">
        <v>0</v>
      </c>
      <c r="EH720" s="408">
        <v>0</v>
      </c>
      <c r="EI720" s="408">
        <v>0</v>
      </c>
      <c r="EJ720" s="408">
        <v>0</v>
      </c>
      <c r="EK720" s="408">
        <v>0</v>
      </c>
      <c r="EL720" s="408">
        <v>0</v>
      </c>
      <c r="EM720" s="408">
        <v>0</v>
      </c>
      <c r="EN720" s="408">
        <v>0</v>
      </c>
      <c r="EO720" s="408">
        <v>0</v>
      </c>
      <c r="EP720" s="408">
        <v>0</v>
      </c>
      <c r="EQ720" s="408">
        <v>0</v>
      </c>
      <c r="ER720" s="408">
        <v>0</v>
      </c>
      <c r="ES720" s="408">
        <v>0</v>
      </c>
      <c r="ET720" s="408">
        <v>0</v>
      </c>
      <c r="EU720" s="408">
        <v>0</v>
      </c>
      <c r="EV720" s="408">
        <v>239</v>
      </c>
      <c r="EW720" s="408">
        <v>0</v>
      </c>
      <c r="EX720" s="408">
        <v>0</v>
      </c>
      <c r="EY720" s="408">
        <v>0</v>
      </c>
      <c r="EZ720" s="408"/>
      <c r="FA720" s="408">
        <v>0</v>
      </c>
      <c r="FB720" s="408"/>
      <c r="FC720" s="408"/>
      <c r="FD720" s="408"/>
      <c r="FE720" s="408"/>
      <c r="FF720" s="408">
        <v>0</v>
      </c>
      <c r="FG720" s="408">
        <v>0</v>
      </c>
      <c r="FH720" s="408">
        <v>0</v>
      </c>
      <c r="FI720" s="408">
        <v>0</v>
      </c>
    </row>
    <row r="721" spans="1:165">
      <c r="A721" s="408">
        <v>727</v>
      </c>
      <c r="B721" s="408" t="s">
        <v>1034</v>
      </c>
      <c r="C721" s="408" t="s">
        <v>2241</v>
      </c>
      <c r="D721" s="408" t="s">
        <v>596</v>
      </c>
      <c r="E721" s="408" t="s">
        <v>968</v>
      </c>
      <c r="F721" s="408" t="s">
        <v>1320</v>
      </c>
      <c r="G721" s="408" t="s">
        <v>1320</v>
      </c>
      <c r="H721" s="408" t="s">
        <v>1320</v>
      </c>
      <c r="I721" s="408" t="s">
        <v>1320</v>
      </c>
      <c r="J721" s="408" t="s">
        <v>2234</v>
      </c>
      <c r="K721" s="827">
        <v>44713</v>
      </c>
      <c r="L721" s="408">
        <v>4736</v>
      </c>
      <c r="M721" s="408">
        <v>4736</v>
      </c>
      <c r="N721" s="408">
        <v>0</v>
      </c>
      <c r="O721" s="408">
        <v>0</v>
      </c>
      <c r="P721" s="408">
        <v>0</v>
      </c>
      <c r="Q721" s="408">
        <v>0</v>
      </c>
      <c r="R721" s="408">
        <v>59.12</v>
      </c>
      <c r="S721" s="408"/>
      <c r="T721" s="408"/>
      <c r="U721" s="408">
        <v>279992.32000000001</v>
      </c>
      <c r="V721" s="408"/>
      <c r="W721" s="408">
        <v>279992.32000000001</v>
      </c>
      <c r="X721" s="408">
        <v>161166.08000000002</v>
      </c>
      <c r="Y721" s="408">
        <v>0</v>
      </c>
      <c r="Z721" s="408">
        <v>0</v>
      </c>
      <c r="AA721" s="408">
        <v>0</v>
      </c>
      <c r="AB721" s="408">
        <v>0</v>
      </c>
      <c r="AC721" s="408">
        <v>2709.2778807483182</v>
      </c>
      <c r="AD721" s="408">
        <v>24234.21927378828</v>
      </c>
      <c r="AE721" s="408">
        <v>228094.27415560652</v>
      </c>
      <c r="AF721" s="408"/>
      <c r="AG721" s="408"/>
      <c r="AH721" s="408"/>
      <c r="AI721" s="408">
        <v>0</v>
      </c>
      <c r="AJ721" s="408">
        <v>0</v>
      </c>
      <c r="AK721" s="408">
        <v>0</v>
      </c>
      <c r="AL721" s="408">
        <v>0</v>
      </c>
      <c r="AM721" s="408"/>
      <c r="AN721" s="408">
        <v>0</v>
      </c>
      <c r="AO721" s="408">
        <v>5721.4295399081238</v>
      </c>
      <c r="AP721" s="408">
        <v>19232.838523998435</v>
      </c>
      <c r="AQ721" s="408">
        <v>0</v>
      </c>
      <c r="AR721" s="408">
        <v>0</v>
      </c>
      <c r="AS721" s="408"/>
      <c r="AT721" s="408"/>
      <c r="AU721" s="408">
        <v>0</v>
      </c>
      <c r="AV721" s="408">
        <v>0</v>
      </c>
      <c r="AW721" s="408">
        <v>0</v>
      </c>
      <c r="AX721" s="408"/>
      <c r="AY721" s="408"/>
      <c r="AZ721" s="408">
        <v>0</v>
      </c>
      <c r="BA721" s="408"/>
      <c r="BB721" s="408">
        <v>0</v>
      </c>
      <c r="BC721" s="408">
        <v>0</v>
      </c>
      <c r="BD721" s="408">
        <v>0</v>
      </c>
      <c r="BE721" s="408">
        <v>0</v>
      </c>
      <c r="BF721" s="408"/>
      <c r="BG721" s="408">
        <v>0</v>
      </c>
      <c r="BH721" s="408">
        <v>0</v>
      </c>
      <c r="BI721" s="408">
        <v>2669.93</v>
      </c>
      <c r="BJ721" s="408">
        <v>12247.86</v>
      </c>
      <c r="BK721" s="408">
        <v>100369.78</v>
      </c>
      <c r="BL721" s="408">
        <v>23</v>
      </c>
      <c r="BM721" s="408"/>
      <c r="BN721" s="408"/>
      <c r="BO721" s="408"/>
      <c r="BP721" s="408"/>
      <c r="BQ721" s="408"/>
      <c r="BR721" s="408"/>
      <c r="BS721" s="408"/>
      <c r="BT721" s="408"/>
      <c r="BU721" s="408"/>
      <c r="BV721" s="408">
        <v>0</v>
      </c>
      <c r="BW721" s="408"/>
      <c r="BX721" s="408"/>
      <c r="BY721" s="408"/>
      <c r="BZ721" s="408"/>
      <c r="CA721" s="408"/>
      <c r="CB721" s="408"/>
      <c r="CC721" s="408"/>
      <c r="CD721" s="408"/>
      <c r="CE721" s="408"/>
      <c r="CF721" s="408"/>
      <c r="CG721" s="408"/>
      <c r="CH721" s="408"/>
      <c r="CI721" s="408">
        <v>161166.08000000002</v>
      </c>
      <c r="CJ721" s="408">
        <v>-118826.27000000002</v>
      </c>
      <c r="CK721" s="408"/>
      <c r="CL721" s="408"/>
      <c r="CM721" s="408"/>
      <c r="CN721" s="408"/>
      <c r="CO721" s="408">
        <v>-118826.23999999998</v>
      </c>
      <c r="CP721" s="408">
        <v>0</v>
      </c>
      <c r="CQ721" s="408">
        <v>30</v>
      </c>
      <c r="CR721" s="408">
        <v>1958.2298149903727</v>
      </c>
      <c r="CS721" s="408">
        <v>555.51466194723707</v>
      </c>
      <c r="CT721" s="408">
        <v>1867.387113031964</v>
      </c>
      <c r="CU721" s="408">
        <v>0</v>
      </c>
      <c r="CV721" s="408">
        <v>0</v>
      </c>
      <c r="CW721" s="408"/>
      <c r="CX721" s="408"/>
      <c r="CY721" s="408"/>
      <c r="CZ721" s="408">
        <v>-464.67195998883108</v>
      </c>
      <c r="DA721" s="408">
        <v>0</v>
      </c>
      <c r="DB721" s="408">
        <v>0</v>
      </c>
      <c r="DC721" s="408"/>
      <c r="DD721" s="408"/>
      <c r="DE721" s="408">
        <v>0</v>
      </c>
      <c r="DF721" s="408">
        <v>0</v>
      </c>
      <c r="DG721" s="408">
        <v>0</v>
      </c>
      <c r="DH721" s="408">
        <v>0</v>
      </c>
      <c r="DI721" s="408">
        <v>0</v>
      </c>
      <c r="DJ721" s="408"/>
      <c r="DK721" s="408">
        <v>0</v>
      </c>
      <c r="DL721" s="408">
        <v>0</v>
      </c>
      <c r="DM721" s="408"/>
      <c r="DN721" s="408">
        <v>0</v>
      </c>
      <c r="DO721" s="408">
        <v>0</v>
      </c>
      <c r="DP721" s="408">
        <v>0</v>
      </c>
      <c r="DQ721" s="408">
        <v>0</v>
      </c>
      <c r="DR721" s="408">
        <v>0</v>
      </c>
      <c r="DS721" s="408"/>
      <c r="DT721" s="408"/>
      <c r="DU721" s="408">
        <v>228094.27415560652</v>
      </c>
      <c r="DV721" s="408"/>
      <c r="DW721" s="408">
        <v>0</v>
      </c>
      <c r="DX721" s="408">
        <v>0</v>
      </c>
      <c r="DY721" s="408">
        <v>-118826.23999999999</v>
      </c>
      <c r="DZ721" s="408"/>
      <c r="EA721" s="408">
        <v>0</v>
      </c>
      <c r="EB721" s="408"/>
      <c r="EC721" s="408">
        <v>-120763.82563936003</v>
      </c>
      <c r="ED721" s="408"/>
      <c r="EE721" s="408">
        <v>0</v>
      </c>
      <c r="EF721" s="408">
        <v>0</v>
      </c>
      <c r="EG721" s="408"/>
      <c r="EH721" s="408">
        <v>0</v>
      </c>
      <c r="EI721" s="408">
        <v>0</v>
      </c>
      <c r="EJ721" s="408">
        <v>0</v>
      </c>
      <c r="EK721" s="408">
        <v>0</v>
      </c>
      <c r="EL721" s="408">
        <v>0</v>
      </c>
      <c r="EM721" s="408"/>
      <c r="EN721" s="408"/>
      <c r="EO721" s="408">
        <v>0</v>
      </c>
      <c r="EP721" s="408">
        <v>0</v>
      </c>
      <c r="EQ721" s="408"/>
      <c r="ER721" s="408">
        <v>0</v>
      </c>
      <c r="ES721" s="408"/>
      <c r="ET721" s="408">
        <v>0</v>
      </c>
      <c r="EU721" s="408"/>
      <c r="EV721" s="408">
        <v>239</v>
      </c>
      <c r="EW721" s="408"/>
      <c r="EX721" s="408"/>
      <c r="EY721" s="408"/>
      <c r="EZ721" s="408"/>
      <c r="FA721" s="408">
        <v>0</v>
      </c>
      <c r="FB721" s="408"/>
      <c r="FC721" s="408"/>
      <c r="FD721" s="408"/>
      <c r="FE721" s="408"/>
      <c r="FF721" s="408">
        <v>0</v>
      </c>
      <c r="FG721" s="408">
        <v>0</v>
      </c>
      <c r="FH721" s="408">
        <v>0</v>
      </c>
      <c r="FI721" s="408">
        <v>0</v>
      </c>
    </row>
    <row r="722" spans="1:165">
      <c r="A722" s="408">
        <v>728</v>
      </c>
      <c r="B722" s="408" t="s">
        <v>2236</v>
      </c>
      <c r="C722" s="408" t="s">
        <v>2241</v>
      </c>
      <c r="D722" s="408" t="s">
        <v>596</v>
      </c>
      <c r="E722" s="408" t="s">
        <v>968</v>
      </c>
      <c r="F722" s="408" t="s">
        <v>1320</v>
      </c>
      <c r="G722" s="408" t="s">
        <v>1320</v>
      </c>
      <c r="H722" s="408" t="s">
        <v>1320</v>
      </c>
      <c r="I722" s="408" t="s">
        <v>1320</v>
      </c>
      <c r="J722" s="408" t="s">
        <v>2234</v>
      </c>
      <c r="K722" s="827">
        <v>44713</v>
      </c>
      <c r="L722" s="408">
        <v>600</v>
      </c>
      <c r="M722" s="408">
        <v>600</v>
      </c>
      <c r="N722" s="408">
        <v>0</v>
      </c>
      <c r="O722" s="408">
        <v>0</v>
      </c>
      <c r="P722" s="408">
        <v>0</v>
      </c>
      <c r="Q722" s="408">
        <v>0</v>
      </c>
      <c r="R722" s="408">
        <v>59.12</v>
      </c>
      <c r="S722" s="408"/>
      <c r="T722" s="408"/>
      <c r="U722" s="408">
        <v>35472</v>
      </c>
      <c r="V722" s="408"/>
      <c r="W722" s="408">
        <v>35472</v>
      </c>
      <c r="X722" s="408">
        <v>20418</v>
      </c>
      <c r="Y722" s="408">
        <v>0</v>
      </c>
      <c r="Z722" s="408">
        <v>0</v>
      </c>
      <c r="AA722" s="408">
        <v>0</v>
      </c>
      <c r="AB722" s="408">
        <v>0</v>
      </c>
      <c r="AC722" s="408">
        <v>343.23621800020925</v>
      </c>
      <c r="AD722" s="408">
        <v>3070.2135904292581</v>
      </c>
      <c r="AE722" s="408">
        <v>28897.078651470423</v>
      </c>
      <c r="AF722" s="408"/>
      <c r="AG722" s="408"/>
      <c r="AH722" s="408"/>
      <c r="AI722" s="408">
        <v>0</v>
      </c>
      <c r="AJ722" s="408">
        <v>0</v>
      </c>
      <c r="AK722" s="408">
        <v>0</v>
      </c>
      <c r="AL722" s="408">
        <v>0</v>
      </c>
      <c r="AM722" s="408"/>
      <c r="AN722" s="408">
        <v>0</v>
      </c>
      <c r="AO722" s="408">
        <v>724.84326941403606</v>
      </c>
      <c r="AP722" s="408">
        <v>2436.5927184119641</v>
      </c>
      <c r="AQ722" s="408">
        <v>0</v>
      </c>
      <c r="AR722" s="408">
        <v>0</v>
      </c>
      <c r="AS722" s="408"/>
      <c r="AT722" s="408"/>
      <c r="AU722" s="408">
        <v>0</v>
      </c>
      <c r="AV722" s="408">
        <v>0</v>
      </c>
      <c r="AW722" s="408">
        <v>0</v>
      </c>
      <c r="AX722" s="408"/>
      <c r="AY722" s="408"/>
      <c r="AZ722" s="408">
        <v>0</v>
      </c>
      <c r="BA722" s="408"/>
      <c r="BB722" s="408">
        <v>0</v>
      </c>
      <c r="BC722" s="408">
        <v>0</v>
      </c>
      <c r="BD722" s="408">
        <v>0</v>
      </c>
      <c r="BE722" s="408">
        <v>0</v>
      </c>
      <c r="BF722" s="408"/>
      <c r="BG722" s="408">
        <v>0</v>
      </c>
      <c r="BH722" s="408">
        <v>0</v>
      </c>
      <c r="BI722" s="408">
        <v>214.43</v>
      </c>
      <c r="BJ722" s="408">
        <v>983.9</v>
      </c>
      <c r="BK722" s="408">
        <v>7984.1</v>
      </c>
      <c r="BL722" s="408">
        <v>3</v>
      </c>
      <c r="BM722" s="408"/>
      <c r="BN722" s="408"/>
      <c r="BO722" s="408"/>
      <c r="BP722" s="408"/>
      <c r="BQ722" s="408"/>
      <c r="BR722" s="408"/>
      <c r="BS722" s="408"/>
      <c r="BT722" s="408"/>
      <c r="BU722" s="408"/>
      <c r="BV722" s="408">
        <v>0</v>
      </c>
      <c r="BW722" s="408"/>
      <c r="BX722" s="408"/>
      <c r="BY722" s="408"/>
      <c r="BZ722" s="408"/>
      <c r="CA722" s="408"/>
      <c r="CB722" s="408"/>
      <c r="CC722" s="408"/>
      <c r="CD722" s="408"/>
      <c r="CE722" s="408"/>
      <c r="CF722" s="408"/>
      <c r="CG722" s="408"/>
      <c r="CH722" s="408"/>
      <c r="CI722" s="408">
        <v>20418</v>
      </c>
      <c r="CJ722" s="408">
        <v>-15054.030000000006</v>
      </c>
      <c r="CK722" s="408"/>
      <c r="CL722" s="408"/>
      <c r="CM722" s="408"/>
      <c r="CN722" s="408"/>
      <c r="CO722" s="408">
        <v>-15053.999999999998</v>
      </c>
      <c r="CP722" s="408">
        <v>0</v>
      </c>
      <c r="CQ722" s="408">
        <v>30</v>
      </c>
      <c r="CR722" s="408">
        <v>248.08654750722417</v>
      </c>
      <c r="CS722" s="408">
        <v>70.377702104801983</v>
      </c>
      <c r="CT722" s="408">
        <v>236.57775925235956</v>
      </c>
      <c r="CU722" s="408">
        <v>0</v>
      </c>
      <c r="CV722" s="408">
        <v>0</v>
      </c>
      <c r="CW722" s="408"/>
      <c r="CX722" s="408"/>
      <c r="CY722" s="408"/>
      <c r="CZ722" s="408">
        <v>-58.868913849936234</v>
      </c>
      <c r="DA722" s="408">
        <v>0</v>
      </c>
      <c r="DB722" s="408">
        <v>0</v>
      </c>
      <c r="DC722" s="408"/>
      <c r="DD722" s="408"/>
      <c r="DE722" s="408">
        <v>0</v>
      </c>
      <c r="DF722" s="408">
        <v>0</v>
      </c>
      <c r="DG722" s="408">
        <v>0</v>
      </c>
      <c r="DH722" s="408">
        <v>0</v>
      </c>
      <c r="DI722" s="408">
        <v>0</v>
      </c>
      <c r="DJ722" s="408"/>
      <c r="DK722" s="408">
        <v>0</v>
      </c>
      <c r="DL722" s="408">
        <v>0</v>
      </c>
      <c r="DM722" s="408"/>
      <c r="DN722" s="408">
        <v>0</v>
      </c>
      <c r="DO722" s="408">
        <v>0</v>
      </c>
      <c r="DP722" s="408">
        <v>0</v>
      </c>
      <c r="DQ722" s="408">
        <v>0</v>
      </c>
      <c r="DR722" s="408">
        <v>0</v>
      </c>
      <c r="DS722" s="408"/>
      <c r="DT722" s="408"/>
      <c r="DU722" s="408">
        <v>28897.078651470423</v>
      </c>
      <c r="DV722" s="408"/>
      <c r="DW722" s="408">
        <v>0</v>
      </c>
      <c r="DX722" s="408">
        <v>0</v>
      </c>
      <c r="DY722" s="408">
        <v>-15054</v>
      </c>
      <c r="DZ722" s="408"/>
      <c r="EA722" s="408">
        <v>0</v>
      </c>
      <c r="EB722" s="408"/>
      <c r="EC722" s="408">
        <v>-15299.471153635142</v>
      </c>
      <c r="ED722" s="408"/>
      <c r="EE722" s="408">
        <v>0</v>
      </c>
      <c r="EF722" s="408">
        <v>0</v>
      </c>
      <c r="EG722" s="408"/>
      <c r="EH722" s="408">
        <v>0</v>
      </c>
      <c r="EI722" s="408">
        <v>0</v>
      </c>
      <c r="EJ722" s="408">
        <v>0</v>
      </c>
      <c r="EK722" s="408">
        <v>0</v>
      </c>
      <c r="EL722" s="408">
        <v>0</v>
      </c>
      <c r="EM722" s="408"/>
      <c r="EN722" s="408"/>
      <c r="EO722" s="408">
        <v>0</v>
      </c>
      <c r="EP722" s="408">
        <v>0</v>
      </c>
      <c r="EQ722" s="408"/>
      <c r="ER722" s="408">
        <v>0</v>
      </c>
      <c r="ES722" s="408"/>
      <c r="ET722" s="408">
        <v>0</v>
      </c>
      <c r="EU722" s="408"/>
      <c r="EV722" s="408">
        <v>239</v>
      </c>
      <c r="EW722" s="408"/>
      <c r="EX722" s="408"/>
      <c r="EY722" s="408"/>
      <c r="EZ722" s="408"/>
      <c r="FA722" s="408">
        <v>0</v>
      </c>
      <c r="FB722" s="408"/>
      <c r="FC722" s="408"/>
      <c r="FD722" s="408"/>
      <c r="FE722" s="408"/>
      <c r="FF722" s="408">
        <v>0</v>
      </c>
      <c r="FG722" s="408">
        <v>0</v>
      </c>
      <c r="FH722" s="408">
        <v>0</v>
      </c>
      <c r="FI722" s="408">
        <v>0</v>
      </c>
    </row>
    <row r="723" spans="1:165">
      <c r="A723" s="408">
        <v>729</v>
      </c>
      <c r="B723" s="408" t="s">
        <v>1034</v>
      </c>
      <c r="C723" s="408" t="s">
        <v>2233</v>
      </c>
      <c r="D723" s="408" t="s">
        <v>1956</v>
      </c>
      <c r="E723" s="408" t="s">
        <v>996</v>
      </c>
      <c r="F723" s="408" t="s">
        <v>1320</v>
      </c>
      <c r="G723" s="408" t="s">
        <v>1320</v>
      </c>
      <c r="H723" s="408" t="s">
        <v>1320</v>
      </c>
      <c r="I723" s="408" t="s">
        <v>1320</v>
      </c>
      <c r="J723" s="408" t="s">
        <v>2234</v>
      </c>
      <c r="K723" s="827">
        <v>44713</v>
      </c>
      <c r="L723" s="408">
        <v>0</v>
      </c>
      <c r="M723" s="408">
        <v>0</v>
      </c>
      <c r="N723" s="408">
        <v>356.327</v>
      </c>
      <c r="O723" s="408">
        <v>356.327</v>
      </c>
      <c r="P723" s="408">
        <v>356.327</v>
      </c>
      <c r="Q723" s="408">
        <v>356.327</v>
      </c>
      <c r="R723" s="408"/>
      <c r="S723" s="408">
        <v>516.83000000000004</v>
      </c>
      <c r="T723" s="408">
        <v>173.82</v>
      </c>
      <c r="U723" s="408"/>
      <c r="V723" s="408">
        <v>246097.24255000002</v>
      </c>
      <c r="W723" s="408">
        <v>246097.24255000002</v>
      </c>
      <c r="X723" s="408">
        <v>185806.71415000001</v>
      </c>
      <c r="Y723" s="408">
        <v>0</v>
      </c>
      <c r="Z723" s="408">
        <v>21789.20212188931</v>
      </c>
      <c r="AA723" s="408">
        <v>0</v>
      </c>
      <c r="AB723" s="408">
        <v>0</v>
      </c>
      <c r="AC723" s="408">
        <v>968.65502133914856</v>
      </c>
      <c r="AD723" s="408">
        <v>12267.13120382321</v>
      </c>
      <c r="AE723" s="408">
        <v>129566.12544436436</v>
      </c>
      <c r="AF723" s="408">
        <v>57340.901791074328</v>
      </c>
      <c r="AG723" s="408">
        <v>2884.7754275589614</v>
      </c>
      <c r="AH723" s="408">
        <v>0</v>
      </c>
      <c r="AI723" s="408">
        <v>0</v>
      </c>
      <c r="AJ723" s="408">
        <v>0</v>
      </c>
      <c r="AK723" s="408">
        <v>0</v>
      </c>
      <c r="AL723" s="408">
        <v>3367.8234495194906</v>
      </c>
      <c r="AM723" s="408"/>
      <c r="AN723" s="408">
        <v>552.85629727226546</v>
      </c>
      <c r="AO723" s="408">
        <v>2066.1634561079941</v>
      </c>
      <c r="AP723" s="408">
        <v>6766.4059494562443</v>
      </c>
      <c r="AQ723" s="408">
        <v>0</v>
      </c>
      <c r="AR723" s="408">
        <v>0</v>
      </c>
      <c r="AS723" s="408">
        <v>0</v>
      </c>
      <c r="AT723" s="408">
        <v>0</v>
      </c>
      <c r="AU723" s="408">
        <v>0</v>
      </c>
      <c r="AV723" s="408">
        <v>0</v>
      </c>
      <c r="AW723" s="408">
        <v>0</v>
      </c>
      <c r="AX723" s="408">
        <v>0</v>
      </c>
      <c r="AY723" s="408">
        <v>0</v>
      </c>
      <c r="AZ723" s="408">
        <v>0</v>
      </c>
      <c r="BA723" s="408"/>
      <c r="BB723" s="408">
        <v>0</v>
      </c>
      <c r="BC723" s="408">
        <v>0</v>
      </c>
      <c r="BD723" s="408">
        <v>0</v>
      </c>
      <c r="BE723" s="408">
        <v>197.69471539632579</v>
      </c>
      <c r="BF723" s="408">
        <v>1712.3965082225475</v>
      </c>
      <c r="BG723" s="408">
        <v>6619.9581730762793</v>
      </c>
      <c r="BH723" s="408">
        <v>0</v>
      </c>
      <c r="BI723" s="408">
        <v>1022.5</v>
      </c>
      <c r="BJ723" s="408">
        <v>4705.8100000000004</v>
      </c>
      <c r="BK723" s="408">
        <v>63842.36</v>
      </c>
      <c r="BL723" s="408">
        <v>542</v>
      </c>
      <c r="BM723" s="408"/>
      <c r="BN723" s="408"/>
      <c r="BO723" s="408"/>
      <c r="BP723" s="408"/>
      <c r="BQ723" s="408"/>
      <c r="BR723" s="408"/>
      <c r="BS723" s="408"/>
      <c r="BT723" s="408"/>
      <c r="BU723" s="408"/>
      <c r="BV723" s="408">
        <v>65870.951187769475</v>
      </c>
      <c r="BW723" s="408"/>
      <c r="BX723" s="408"/>
      <c r="BY723" s="408"/>
      <c r="BZ723" s="408"/>
      <c r="CA723" s="408"/>
      <c r="CB723" s="408"/>
      <c r="CC723" s="408"/>
      <c r="CD723" s="408"/>
      <c r="CE723" s="408"/>
      <c r="CF723" s="408"/>
      <c r="CG723" s="408"/>
      <c r="CH723" s="408"/>
      <c r="CI723" s="408">
        <v>185808.27850000001</v>
      </c>
      <c r="CJ723" s="408">
        <v>-60288.994050000038</v>
      </c>
      <c r="CK723" s="408"/>
      <c r="CL723" s="408"/>
      <c r="CM723" s="408"/>
      <c r="CN723" s="408"/>
      <c r="CO723" s="408">
        <v>-67841.097530000014</v>
      </c>
      <c r="CP723" s="408">
        <v>7550.5691299999989</v>
      </c>
      <c r="CQ723" s="408">
        <v>30</v>
      </c>
      <c r="CR723" s="408">
        <v>8304.5139514244511</v>
      </c>
      <c r="CS723" s="408">
        <v>200.61141815023075</v>
      </c>
      <c r="CT723" s="408">
        <v>656.97526944815945</v>
      </c>
      <c r="CU723" s="408">
        <v>0</v>
      </c>
      <c r="CV723" s="408">
        <v>0</v>
      </c>
      <c r="CW723" s="408">
        <v>0</v>
      </c>
      <c r="CX723" s="408">
        <v>0</v>
      </c>
      <c r="CY723" s="408">
        <v>0</v>
      </c>
      <c r="CZ723" s="408">
        <v>-235.21252471647676</v>
      </c>
      <c r="DA723" s="408">
        <v>0</v>
      </c>
      <c r="DB723" s="408">
        <v>0</v>
      </c>
      <c r="DC723" s="408">
        <v>7360.3384795313759</v>
      </c>
      <c r="DD723" s="408">
        <v>219.80501732616653</v>
      </c>
      <c r="DE723" s="408">
        <v>25.376301653456267</v>
      </c>
      <c r="DF723" s="408">
        <v>0</v>
      </c>
      <c r="DG723" s="408">
        <v>849.7447956384276</v>
      </c>
      <c r="DH723" s="408">
        <v>0</v>
      </c>
      <c r="DI723" s="408">
        <v>-636.80044690555951</v>
      </c>
      <c r="DJ723" s="408"/>
      <c r="DK723" s="408">
        <v>0</v>
      </c>
      <c r="DL723" s="408">
        <v>0</v>
      </c>
      <c r="DM723" s="408">
        <v>-32.063220113060197</v>
      </c>
      <c r="DN723" s="408">
        <v>0</v>
      </c>
      <c r="DO723" s="408">
        <v>-87.225464078724599</v>
      </c>
      <c r="DP723" s="408">
        <v>-17.035674509521073</v>
      </c>
      <c r="DQ723" s="408">
        <v>0</v>
      </c>
      <c r="DR723" s="408">
        <v>0</v>
      </c>
      <c r="DS723" s="408"/>
      <c r="DT723" s="408"/>
      <c r="DU723" s="408"/>
      <c r="DV723" s="408">
        <v>129566.12544436436</v>
      </c>
      <c r="DW723" s="408">
        <v>0</v>
      </c>
      <c r="DX723" s="408">
        <v>0</v>
      </c>
      <c r="DY723" s="408">
        <v>-67841.097530000014</v>
      </c>
      <c r="DZ723" s="408">
        <v>7550.5691300000035</v>
      </c>
      <c r="EA723" s="408">
        <v>0</v>
      </c>
      <c r="EB723" s="408">
        <v>0</v>
      </c>
      <c r="EC723" s="408">
        <v>-68598.394413251663</v>
      </c>
      <c r="ED723" s="408">
        <v>0</v>
      </c>
      <c r="EE723" s="408">
        <v>0</v>
      </c>
      <c r="EF723" s="408">
        <v>0</v>
      </c>
      <c r="EG723" s="408">
        <v>0</v>
      </c>
      <c r="EH723" s="408">
        <v>0</v>
      </c>
      <c r="EI723" s="408">
        <v>0</v>
      </c>
      <c r="EJ723" s="408">
        <v>0</v>
      </c>
      <c r="EK723" s="408">
        <v>0</v>
      </c>
      <c r="EL723" s="408">
        <v>0</v>
      </c>
      <c r="EM723" s="408">
        <v>0</v>
      </c>
      <c r="EN723" s="408">
        <v>0</v>
      </c>
      <c r="EO723" s="408">
        <v>0</v>
      </c>
      <c r="EP723" s="408">
        <v>0</v>
      </c>
      <c r="EQ723" s="408">
        <v>0</v>
      </c>
      <c r="ER723" s="408">
        <v>0</v>
      </c>
      <c r="ES723" s="408">
        <v>0</v>
      </c>
      <c r="ET723" s="408">
        <v>0</v>
      </c>
      <c r="EU723" s="408">
        <v>0</v>
      </c>
      <c r="EV723" s="408">
        <v>239</v>
      </c>
      <c r="EW723" s="408">
        <v>0</v>
      </c>
      <c r="EX723" s="408">
        <v>0</v>
      </c>
      <c r="EY723" s="408">
        <v>0</v>
      </c>
      <c r="EZ723" s="408"/>
      <c r="FA723" s="408">
        <v>0</v>
      </c>
      <c r="FB723" s="408"/>
      <c r="FC723" s="408"/>
      <c r="FD723" s="408"/>
      <c r="FE723" s="408"/>
      <c r="FF723" s="408">
        <v>0</v>
      </c>
      <c r="FG723" s="408">
        <v>0</v>
      </c>
      <c r="FH723" s="408">
        <v>0</v>
      </c>
      <c r="FI723" s="408">
        <v>0</v>
      </c>
    </row>
    <row r="724" spans="1:165">
      <c r="A724" s="408">
        <v>730</v>
      </c>
      <c r="B724" s="408" t="s">
        <v>2235</v>
      </c>
      <c r="C724" s="408" t="s">
        <v>2233</v>
      </c>
      <c r="D724" s="408" t="s">
        <v>1956</v>
      </c>
      <c r="E724" s="408" t="s">
        <v>996</v>
      </c>
      <c r="F724" s="408" t="s">
        <v>1320</v>
      </c>
      <c r="G724" s="408" t="s">
        <v>1320</v>
      </c>
      <c r="H724" s="408" t="s">
        <v>1320</v>
      </c>
      <c r="I724" s="408" t="s">
        <v>1320</v>
      </c>
      <c r="J724" s="408" t="s">
        <v>2234</v>
      </c>
      <c r="K724" s="827">
        <v>44713</v>
      </c>
      <c r="L724" s="408">
        <v>0</v>
      </c>
      <c r="M724" s="408">
        <v>0</v>
      </c>
      <c r="N724" s="408">
        <v>-0.08</v>
      </c>
      <c r="O724" s="408">
        <v>-0.08</v>
      </c>
      <c r="P724" s="408">
        <v>-0.08</v>
      </c>
      <c r="Q724" s="408">
        <v>-0.08</v>
      </c>
      <c r="R724" s="408"/>
      <c r="S724" s="408">
        <v>516.83000000000004</v>
      </c>
      <c r="T724" s="408">
        <v>173.82</v>
      </c>
      <c r="U724" s="408"/>
      <c r="V724" s="408">
        <v>-55.252000000000002</v>
      </c>
      <c r="W724" s="408">
        <v>-55.252000000000002</v>
      </c>
      <c r="X724" s="408">
        <v>-41.716000000000001</v>
      </c>
      <c r="Y724" s="408">
        <v>0</v>
      </c>
      <c r="Z724" s="408">
        <v>-4.8919564606418957</v>
      </c>
      <c r="AA724" s="408">
        <v>0</v>
      </c>
      <c r="AB724" s="408">
        <v>0</v>
      </c>
      <c r="AC724" s="408">
        <v>-0.21747552587126961</v>
      </c>
      <c r="AD724" s="408">
        <v>-2.7541289217652798</v>
      </c>
      <c r="AE724" s="408">
        <v>-29.08926361333592</v>
      </c>
      <c r="AF724" s="408">
        <v>-12.873770843315119</v>
      </c>
      <c r="AG724" s="408">
        <v>-0.64766923136533838</v>
      </c>
      <c r="AH724" s="408">
        <v>0</v>
      </c>
      <c r="AI724" s="408">
        <v>0</v>
      </c>
      <c r="AJ724" s="408">
        <v>0</v>
      </c>
      <c r="AK724" s="408">
        <v>0</v>
      </c>
      <c r="AL724" s="408">
        <v>-0.75611973260953924</v>
      </c>
      <c r="AM724" s="408"/>
      <c r="AN724" s="408">
        <v>-0.12412335798797519</v>
      </c>
      <c r="AO724" s="408">
        <v>-0.46388030233083521</v>
      </c>
      <c r="AP724" s="408">
        <v>-1.5191452681287121</v>
      </c>
      <c r="AQ724" s="408">
        <v>0</v>
      </c>
      <c r="AR724" s="408">
        <v>0</v>
      </c>
      <c r="AS724" s="408">
        <v>0</v>
      </c>
      <c r="AT724" s="408">
        <v>0</v>
      </c>
      <c r="AU724" s="408">
        <v>0</v>
      </c>
      <c r="AV724" s="408">
        <v>0</v>
      </c>
      <c r="AW724" s="408">
        <v>0</v>
      </c>
      <c r="AX724" s="408">
        <v>0</v>
      </c>
      <c r="AY724" s="408">
        <v>0</v>
      </c>
      <c r="AZ724" s="408">
        <v>0</v>
      </c>
      <c r="BA724" s="408"/>
      <c r="BB724" s="408">
        <v>0</v>
      </c>
      <c r="BC724" s="408">
        <v>0</v>
      </c>
      <c r="BD724" s="408">
        <v>0</v>
      </c>
      <c r="BE724" s="408">
        <v>-4.4385009364168483E-2</v>
      </c>
      <c r="BF724" s="408">
        <v>-0.38445506699689835</v>
      </c>
      <c r="BG724" s="408">
        <v>-1.486265856491656</v>
      </c>
      <c r="BH724" s="408">
        <v>0</v>
      </c>
      <c r="BI724" s="408">
        <v>-0.31</v>
      </c>
      <c r="BJ724" s="408">
        <v>-1.44</v>
      </c>
      <c r="BK724" s="408">
        <v>-14.48</v>
      </c>
      <c r="BL724" s="408">
        <v>0</v>
      </c>
      <c r="BM724" s="408"/>
      <c r="BN724" s="408"/>
      <c r="BO724" s="408"/>
      <c r="BP724" s="408"/>
      <c r="BQ724" s="408"/>
      <c r="BR724" s="408"/>
      <c r="BS724" s="408"/>
      <c r="BT724" s="408"/>
      <c r="BU724" s="408"/>
      <c r="BV724" s="408">
        <v>-14.788876776167841</v>
      </c>
      <c r="BW724" s="408"/>
      <c r="BX724" s="408"/>
      <c r="BY724" s="408"/>
      <c r="BZ724" s="408"/>
      <c r="CA724" s="408"/>
      <c r="CB724" s="408"/>
      <c r="CC724" s="408"/>
      <c r="CD724" s="408"/>
      <c r="CE724" s="408"/>
      <c r="CF724" s="408"/>
      <c r="CG724" s="408"/>
      <c r="CH724" s="408"/>
      <c r="CI724" s="408">
        <v>-41.716000000000001</v>
      </c>
      <c r="CJ724" s="408">
        <v>13.506000000000007</v>
      </c>
      <c r="CK724" s="408"/>
      <c r="CL724" s="408"/>
      <c r="CM724" s="408"/>
      <c r="CN724" s="408"/>
      <c r="CO724" s="408">
        <v>15.231200000000003</v>
      </c>
      <c r="CP724" s="408">
        <v>-1.6951999999999998</v>
      </c>
      <c r="CQ724" s="408">
        <v>30</v>
      </c>
      <c r="CR724" s="408">
        <v>-1.8644703211206526</v>
      </c>
      <c r="CS724" s="408">
        <v>-4.5039846691433572E-2</v>
      </c>
      <c r="CT724" s="408">
        <v>-0.14749940800403216</v>
      </c>
      <c r="CU724" s="408">
        <v>0</v>
      </c>
      <c r="CV724" s="408">
        <v>0</v>
      </c>
      <c r="CW724" s="408">
        <v>0</v>
      </c>
      <c r="CX724" s="408">
        <v>0</v>
      </c>
      <c r="CY724" s="408">
        <v>0</v>
      </c>
      <c r="CZ724" s="408">
        <v>5.2808240681503804E-2</v>
      </c>
      <c r="DA724" s="408">
        <v>0</v>
      </c>
      <c r="DB724" s="408">
        <v>0</v>
      </c>
      <c r="DC724" s="408">
        <v>-1.6524907693284803</v>
      </c>
      <c r="DD724" s="408">
        <v>-4.9349056866567265E-2</v>
      </c>
      <c r="DE724" s="408">
        <v>-5.6973064973367196E-3</v>
      </c>
      <c r="DF724" s="408">
        <v>0</v>
      </c>
      <c r="DG724" s="408">
        <v>-0.19077864896871222</v>
      </c>
      <c r="DH724" s="408">
        <v>0</v>
      </c>
      <c r="DI724" s="408">
        <v>0.1429699005476559</v>
      </c>
      <c r="DJ724" s="408"/>
      <c r="DK724" s="408">
        <v>0</v>
      </c>
      <c r="DL724" s="408">
        <v>0</v>
      </c>
      <c r="DM724" s="408">
        <v>7.1986058004159803E-3</v>
      </c>
      <c r="DN724" s="408">
        <v>0</v>
      </c>
      <c r="DO724" s="408">
        <v>1.9583239906877603E-2</v>
      </c>
      <c r="DP724" s="408">
        <v>3.8247282994599979E-3</v>
      </c>
      <c r="DQ724" s="408">
        <v>0</v>
      </c>
      <c r="DR724" s="408">
        <v>0</v>
      </c>
      <c r="DS724" s="408"/>
      <c r="DT724" s="408"/>
      <c r="DU724" s="408"/>
      <c r="DV724" s="408">
        <v>-29.08926361333592</v>
      </c>
      <c r="DW724" s="408">
        <v>0</v>
      </c>
      <c r="DX724" s="408">
        <v>0</v>
      </c>
      <c r="DY724" s="408">
        <v>15.231200000000001</v>
      </c>
      <c r="DZ724" s="408">
        <v>-1.6951999999999998</v>
      </c>
      <c r="EA724" s="408">
        <v>0</v>
      </c>
      <c r="EB724" s="408">
        <v>0</v>
      </c>
      <c r="EC724" s="408">
        <v>15.401222902166079</v>
      </c>
      <c r="ED724" s="408">
        <v>0</v>
      </c>
      <c r="EE724" s="408">
        <v>0</v>
      </c>
      <c r="EF724" s="408">
        <v>0</v>
      </c>
      <c r="EG724" s="408">
        <v>0</v>
      </c>
      <c r="EH724" s="408">
        <v>0</v>
      </c>
      <c r="EI724" s="408">
        <v>0</v>
      </c>
      <c r="EJ724" s="408">
        <v>0</v>
      </c>
      <c r="EK724" s="408">
        <v>0</v>
      </c>
      <c r="EL724" s="408">
        <v>0</v>
      </c>
      <c r="EM724" s="408">
        <v>0</v>
      </c>
      <c r="EN724" s="408">
        <v>0</v>
      </c>
      <c r="EO724" s="408">
        <v>0</v>
      </c>
      <c r="EP724" s="408">
        <v>0</v>
      </c>
      <c r="EQ724" s="408">
        <v>0</v>
      </c>
      <c r="ER724" s="408">
        <v>0</v>
      </c>
      <c r="ES724" s="408">
        <v>0</v>
      </c>
      <c r="ET724" s="408">
        <v>0</v>
      </c>
      <c r="EU724" s="408">
        <v>0</v>
      </c>
      <c r="EV724" s="408">
        <v>239</v>
      </c>
      <c r="EW724" s="408">
        <v>0</v>
      </c>
      <c r="EX724" s="408">
        <v>0</v>
      </c>
      <c r="EY724" s="408">
        <v>0</v>
      </c>
      <c r="EZ724" s="408"/>
      <c r="FA724" s="408">
        <v>0</v>
      </c>
      <c r="FB724" s="408"/>
      <c r="FC724" s="408"/>
      <c r="FD724" s="408"/>
      <c r="FE724" s="408"/>
      <c r="FF724" s="408">
        <v>0</v>
      </c>
      <c r="FG724" s="408">
        <v>0</v>
      </c>
      <c r="FH724" s="408">
        <v>0</v>
      </c>
      <c r="FI724" s="408">
        <v>0</v>
      </c>
    </row>
    <row r="725" spans="1:165">
      <c r="A725" s="408">
        <v>731</v>
      </c>
      <c r="B725" s="408" t="s">
        <v>2236</v>
      </c>
      <c r="C725" s="408" t="s">
        <v>2233</v>
      </c>
      <c r="D725" s="408" t="s">
        <v>1956</v>
      </c>
      <c r="E725" s="408" t="s">
        <v>996</v>
      </c>
      <c r="F725" s="408" t="s">
        <v>1320</v>
      </c>
      <c r="G725" s="408" t="s">
        <v>1320</v>
      </c>
      <c r="H725" s="408" t="s">
        <v>1320</v>
      </c>
      <c r="I725" s="408" t="s">
        <v>1320</v>
      </c>
      <c r="J725" s="408" t="s">
        <v>2234</v>
      </c>
      <c r="K725" s="827">
        <v>44713</v>
      </c>
      <c r="L725" s="408">
        <v>0</v>
      </c>
      <c r="M725" s="408">
        <v>0</v>
      </c>
      <c r="N725" s="408">
        <v>60.875</v>
      </c>
      <c r="O725" s="408">
        <v>60.875</v>
      </c>
      <c r="P725" s="408">
        <v>60.875</v>
      </c>
      <c r="Q725" s="408">
        <v>60.875</v>
      </c>
      <c r="R725" s="408"/>
      <c r="S725" s="408">
        <v>516.83000000000004</v>
      </c>
      <c r="T725" s="408">
        <v>173.82</v>
      </c>
      <c r="U725" s="408"/>
      <c r="V725" s="408">
        <v>42043.318750000006</v>
      </c>
      <c r="W725" s="408">
        <v>42043.318750000006</v>
      </c>
      <c r="X725" s="408">
        <v>31743.268749999999</v>
      </c>
      <c r="Y725" s="408">
        <v>0</v>
      </c>
      <c r="Z725" s="408">
        <v>3722.4731192696927</v>
      </c>
      <c r="AA725" s="408">
        <v>0</v>
      </c>
      <c r="AB725" s="408">
        <v>0</v>
      </c>
      <c r="AC725" s="408">
        <v>165.48528296766921</v>
      </c>
      <c r="AD725" s="408">
        <v>2095.7199764057677</v>
      </c>
      <c r="AE725" s="408">
        <v>22135.111530772803</v>
      </c>
      <c r="AF725" s="408">
        <v>9796.1350010850983</v>
      </c>
      <c r="AG725" s="408">
        <v>492.83580574206212</v>
      </c>
      <c r="AH725" s="408">
        <v>0</v>
      </c>
      <c r="AI725" s="408">
        <v>0</v>
      </c>
      <c r="AJ725" s="408">
        <v>0</v>
      </c>
      <c r="AK725" s="408">
        <v>0</v>
      </c>
      <c r="AL725" s="408">
        <v>575.35985903257119</v>
      </c>
      <c r="AM725" s="408"/>
      <c r="AN725" s="408">
        <v>94.45011771897488</v>
      </c>
      <c r="AO725" s="408">
        <v>352.98391755486989</v>
      </c>
      <c r="AP725" s="408">
        <v>1155.9746024666917</v>
      </c>
      <c r="AQ725" s="408">
        <v>0</v>
      </c>
      <c r="AR725" s="408">
        <v>0</v>
      </c>
      <c r="AS725" s="408">
        <v>0</v>
      </c>
      <c r="AT725" s="408">
        <v>0</v>
      </c>
      <c r="AU725" s="408">
        <v>0</v>
      </c>
      <c r="AV725" s="408">
        <v>0</v>
      </c>
      <c r="AW725" s="408">
        <v>0</v>
      </c>
      <c r="AX725" s="408">
        <v>0</v>
      </c>
      <c r="AY725" s="408">
        <v>0</v>
      </c>
      <c r="AZ725" s="408">
        <v>0</v>
      </c>
      <c r="BA725" s="408"/>
      <c r="BB725" s="408">
        <v>0</v>
      </c>
      <c r="BC725" s="408">
        <v>0</v>
      </c>
      <c r="BD725" s="408">
        <v>0</v>
      </c>
      <c r="BE725" s="408">
        <v>33.774218063046959</v>
      </c>
      <c r="BF725" s="408">
        <v>292.54627754295234</v>
      </c>
      <c r="BG725" s="408">
        <v>1130.9554251741195</v>
      </c>
      <c r="BH725" s="408">
        <v>0</v>
      </c>
      <c r="BI725" s="408">
        <v>175.18</v>
      </c>
      <c r="BJ725" s="408">
        <v>805.29</v>
      </c>
      <c r="BK725" s="408">
        <v>15101.85</v>
      </c>
      <c r="BL725" s="408">
        <v>53</v>
      </c>
      <c r="BM725" s="408"/>
      <c r="BN725" s="408"/>
      <c r="BO725" s="408"/>
      <c r="BP725" s="408"/>
      <c r="BQ725" s="408"/>
      <c r="BR725" s="408"/>
      <c r="BS725" s="408"/>
      <c r="BT725" s="408"/>
      <c r="BU725" s="408"/>
      <c r="BV725" s="408">
        <v>11253.410921865217</v>
      </c>
      <c r="BW725" s="408"/>
      <c r="BX725" s="408"/>
      <c r="BY725" s="408"/>
      <c r="BZ725" s="408"/>
      <c r="CA725" s="408"/>
      <c r="CB725" s="408"/>
      <c r="CC725" s="408"/>
      <c r="CD725" s="408"/>
      <c r="CE725" s="408"/>
      <c r="CF725" s="408"/>
      <c r="CG725" s="408"/>
      <c r="CH725" s="408"/>
      <c r="CI725" s="408">
        <v>31745.876</v>
      </c>
      <c r="CJ725" s="408">
        <v>-10297.472749999997</v>
      </c>
      <c r="CK725" s="408"/>
      <c r="CL725" s="408"/>
      <c r="CM725" s="408"/>
      <c r="CN725" s="408"/>
      <c r="CO725" s="408">
        <v>-11589.991250000003</v>
      </c>
      <c r="CP725" s="408">
        <v>1289.9412499999999</v>
      </c>
      <c r="CQ725" s="408">
        <v>30</v>
      </c>
      <c r="CR725" s="408">
        <v>1418.7453849777485</v>
      </c>
      <c r="CS725" s="408">
        <v>34.272508341762773</v>
      </c>
      <c r="CT725" s="408">
        <v>112.2378307780682</v>
      </c>
      <c r="CU725" s="408">
        <v>0</v>
      </c>
      <c r="CV725" s="408">
        <v>0</v>
      </c>
      <c r="CW725" s="408">
        <v>0</v>
      </c>
      <c r="CX725" s="408">
        <v>0</v>
      </c>
      <c r="CY725" s="408">
        <v>0</v>
      </c>
      <c r="CZ725" s="408">
        <v>-40.183770643581738</v>
      </c>
      <c r="DA725" s="408">
        <v>0</v>
      </c>
      <c r="DB725" s="408">
        <v>0</v>
      </c>
      <c r="DC725" s="408">
        <v>1257.4421947858918</v>
      </c>
      <c r="DD725" s="408">
        <v>37.551547959403536</v>
      </c>
      <c r="DE725" s="408">
        <v>4.3352941628171564</v>
      </c>
      <c r="DF725" s="408">
        <v>0</v>
      </c>
      <c r="DG725" s="408">
        <v>145.17062819962939</v>
      </c>
      <c r="DH725" s="408">
        <v>0</v>
      </c>
      <c r="DI725" s="408">
        <v>-108.79115869798215</v>
      </c>
      <c r="DJ725" s="408"/>
      <c r="DK725" s="408">
        <v>0</v>
      </c>
      <c r="DL725" s="408">
        <v>0</v>
      </c>
      <c r="DM725" s="408">
        <v>-5.4776891012539863</v>
      </c>
      <c r="DN725" s="408">
        <v>0</v>
      </c>
      <c r="DO725" s="408">
        <v>-14.901621616639659</v>
      </c>
      <c r="DP725" s="408">
        <v>-2.9103791903703495</v>
      </c>
      <c r="DQ725" s="408">
        <v>0</v>
      </c>
      <c r="DR725" s="408">
        <v>0</v>
      </c>
      <c r="DS725" s="408"/>
      <c r="DT725" s="408"/>
      <c r="DU725" s="408"/>
      <c r="DV725" s="408">
        <v>22135.111530772803</v>
      </c>
      <c r="DW725" s="408">
        <v>0</v>
      </c>
      <c r="DX725" s="408">
        <v>0</v>
      </c>
      <c r="DY725" s="408">
        <v>-11589.991250000003</v>
      </c>
      <c r="DZ725" s="408">
        <v>1289.9412499999999</v>
      </c>
      <c r="EA725" s="408">
        <v>0</v>
      </c>
      <c r="EB725" s="408">
        <v>0</v>
      </c>
      <c r="EC725" s="408">
        <v>-11719.368052117003</v>
      </c>
      <c r="ED725" s="408">
        <v>0</v>
      </c>
      <c r="EE725" s="408">
        <v>0</v>
      </c>
      <c r="EF725" s="408">
        <v>0</v>
      </c>
      <c r="EG725" s="408">
        <v>0</v>
      </c>
      <c r="EH725" s="408">
        <v>0</v>
      </c>
      <c r="EI725" s="408">
        <v>0</v>
      </c>
      <c r="EJ725" s="408">
        <v>0</v>
      </c>
      <c r="EK725" s="408">
        <v>0</v>
      </c>
      <c r="EL725" s="408">
        <v>0</v>
      </c>
      <c r="EM725" s="408">
        <v>0</v>
      </c>
      <c r="EN725" s="408">
        <v>0</v>
      </c>
      <c r="EO725" s="408">
        <v>0</v>
      </c>
      <c r="EP725" s="408">
        <v>0</v>
      </c>
      <c r="EQ725" s="408">
        <v>0</v>
      </c>
      <c r="ER725" s="408">
        <v>0</v>
      </c>
      <c r="ES725" s="408">
        <v>0</v>
      </c>
      <c r="ET725" s="408">
        <v>0</v>
      </c>
      <c r="EU725" s="408">
        <v>0</v>
      </c>
      <c r="EV725" s="408">
        <v>239</v>
      </c>
      <c r="EW725" s="408">
        <v>0</v>
      </c>
      <c r="EX725" s="408">
        <v>0</v>
      </c>
      <c r="EY725" s="408">
        <v>0</v>
      </c>
      <c r="EZ725" s="408"/>
      <c r="FA725" s="408">
        <v>0</v>
      </c>
      <c r="FB725" s="408"/>
      <c r="FC725" s="408"/>
      <c r="FD725" s="408"/>
      <c r="FE725" s="408"/>
      <c r="FF725" s="408">
        <v>0</v>
      </c>
      <c r="FG725" s="408">
        <v>0</v>
      </c>
      <c r="FH725" s="408">
        <v>0</v>
      </c>
      <c r="FI725" s="408">
        <v>0</v>
      </c>
    </row>
    <row r="726" spans="1:165">
      <c r="A726" s="408">
        <v>732</v>
      </c>
      <c r="B726" s="408" t="s">
        <v>2236</v>
      </c>
      <c r="C726" s="408" t="s">
        <v>2233</v>
      </c>
      <c r="D726" s="408" t="s">
        <v>1956</v>
      </c>
      <c r="E726" s="408" t="s">
        <v>996</v>
      </c>
      <c r="F726" s="408" t="s">
        <v>1320</v>
      </c>
      <c r="G726" s="408" t="s">
        <v>1320</v>
      </c>
      <c r="H726" s="408" t="s">
        <v>1320</v>
      </c>
      <c r="I726" s="408" t="s">
        <v>1320</v>
      </c>
      <c r="J726" s="408" t="s">
        <v>2234</v>
      </c>
      <c r="K726" s="827">
        <v>44713</v>
      </c>
      <c r="L726" s="408">
        <v>0</v>
      </c>
      <c r="M726" s="408">
        <v>0</v>
      </c>
      <c r="N726" s="408">
        <v>3.4020000000000001</v>
      </c>
      <c r="O726" s="408">
        <v>3.4020000000000001</v>
      </c>
      <c r="P726" s="408">
        <v>3.4020000000000001</v>
      </c>
      <c r="Q726" s="408">
        <v>3.4020000000000001</v>
      </c>
      <c r="R726" s="408"/>
      <c r="S726" s="408">
        <v>516.83000000000004</v>
      </c>
      <c r="T726" s="408">
        <v>173.82</v>
      </c>
      <c r="U726" s="408"/>
      <c r="V726" s="408">
        <v>2349.5913</v>
      </c>
      <c r="W726" s="408">
        <v>2349.5913</v>
      </c>
      <c r="X726" s="408">
        <v>1773.9729000000002</v>
      </c>
      <c r="Y726" s="408">
        <v>0</v>
      </c>
      <c r="Z726" s="408">
        <v>208.03044848879662</v>
      </c>
      <c r="AA726" s="408">
        <v>0</v>
      </c>
      <c r="AB726" s="408">
        <v>0</v>
      </c>
      <c r="AC726" s="408">
        <v>9.2481467376757411</v>
      </c>
      <c r="AD726" s="408">
        <v>117.11933239806852</v>
      </c>
      <c r="AE726" s="408">
        <v>1237.02093515711</v>
      </c>
      <c r="AF726" s="408">
        <v>547.45710511197547</v>
      </c>
      <c r="AG726" s="408">
        <v>27.542134063811012</v>
      </c>
      <c r="AH726" s="408">
        <v>0</v>
      </c>
      <c r="AI726" s="408">
        <v>0</v>
      </c>
      <c r="AJ726" s="408">
        <v>0</v>
      </c>
      <c r="AK726" s="408">
        <v>0</v>
      </c>
      <c r="AL726" s="408">
        <v>32.153991629220656</v>
      </c>
      <c r="AM726" s="408"/>
      <c r="AN726" s="408">
        <v>5.2783457984386457</v>
      </c>
      <c r="AO726" s="408">
        <v>19.726509856618769</v>
      </c>
      <c r="AP726" s="408">
        <v>64.601652527173485</v>
      </c>
      <c r="AQ726" s="408">
        <v>0</v>
      </c>
      <c r="AR726" s="408">
        <v>0</v>
      </c>
      <c r="AS726" s="408">
        <v>0</v>
      </c>
      <c r="AT726" s="408">
        <v>0</v>
      </c>
      <c r="AU726" s="408">
        <v>0</v>
      </c>
      <c r="AV726" s="408">
        <v>0</v>
      </c>
      <c r="AW726" s="408">
        <v>0</v>
      </c>
      <c r="AX726" s="408">
        <v>0</v>
      </c>
      <c r="AY726" s="408">
        <v>0</v>
      </c>
      <c r="AZ726" s="408">
        <v>0</v>
      </c>
      <c r="BA726" s="408"/>
      <c r="BB726" s="408">
        <v>0</v>
      </c>
      <c r="BC726" s="408">
        <v>0</v>
      </c>
      <c r="BD726" s="408">
        <v>0</v>
      </c>
      <c r="BE726" s="408">
        <v>1.8874725232112648</v>
      </c>
      <c r="BF726" s="408">
        <v>16.348951724043104</v>
      </c>
      <c r="BG726" s="408">
        <v>63.203455547307676</v>
      </c>
      <c r="BH726" s="408">
        <v>0</v>
      </c>
      <c r="BI726" s="408">
        <v>11.08</v>
      </c>
      <c r="BJ726" s="408">
        <v>51</v>
      </c>
      <c r="BK726" s="408">
        <v>267.79000000000002</v>
      </c>
      <c r="BL726" s="408">
        <v>4</v>
      </c>
      <c r="BM726" s="408"/>
      <c r="BN726" s="408"/>
      <c r="BO726" s="408"/>
      <c r="BP726" s="408"/>
      <c r="BQ726" s="408"/>
      <c r="BR726" s="408"/>
      <c r="BS726" s="408"/>
      <c r="BT726" s="408"/>
      <c r="BU726" s="408"/>
      <c r="BV726" s="408">
        <v>628.89698490653757</v>
      </c>
      <c r="BW726" s="408"/>
      <c r="BX726" s="408"/>
      <c r="BY726" s="408"/>
      <c r="BZ726" s="408"/>
      <c r="CA726" s="408"/>
      <c r="CB726" s="408"/>
      <c r="CC726" s="408"/>
      <c r="CD726" s="408"/>
      <c r="CE726" s="408"/>
      <c r="CF726" s="408"/>
      <c r="CG726" s="408"/>
      <c r="CH726" s="408"/>
      <c r="CI726" s="408">
        <v>1772.9299999999998</v>
      </c>
      <c r="CJ726" s="408">
        <v>-576.69130000000087</v>
      </c>
      <c r="CK726" s="408"/>
      <c r="CL726" s="408"/>
      <c r="CM726" s="408"/>
      <c r="CN726" s="408"/>
      <c r="CO726" s="408">
        <v>-647.70678000000021</v>
      </c>
      <c r="CP726" s="408">
        <v>72.088380000000001</v>
      </c>
      <c r="CQ726" s="408">
        <v>30</v>
      </c>
      <c r="CR726" s="408">
        <v>79.28660040565569</v>
      </c>
      <c r="CS726" s="408">
        <v>1.9153194805532152</v>
      </c>
      <c r="CT726" s="408">
        <v>6.2724123253714623</v>
      </c>
      <c r="CU726" s="408">
        <v>0</v>
      </c>
      <c r="CV726" s="408">
        <v>0</v>
      </c>
      <c r="CW726" s="408">
        <v>0</v>
      </c>
      <c r="CX726" s="408">
        <v>0</v>
      </c>
      <c r="CY726" s="408">
        <v>0</v>
      </c>
      <c r="CZ726" s="408">
        <v>-2.2456704349809371</v>
      </c>
      <c r="DA726" s="408">
        <v>0</v>
      </c>
      <c r="DB726" s="408">
        <v>0</v>
      </c>
      <c r="DC726" s="408">
        <v>70.272169965693706</v>
      </c>
      <c r="DD726" s="408">
        <v>2.098568643250772</v>
      </c>
      <c r="DE726" s="408">
        <v>0.24227795879924408</v>
      </c>
      <c r="DF726" s="408">
        <v>0</v>
      </c>
      <c r="DG726" s="408">
        <v>8.1128620473944792</v>
      </c>
      <c r="DH726" s="408">
        <v>0</v>
      </c>
      <c r="DI726" s="408">
        <v>-6.0797950207890779</v>
      </c>
      <c r="DJ726" s="408"/>
      <c r="DK726" s="408">
        <v>0</v>
      </c>
      <c r="DL726" s="408">
        <v>0</v>
      </c>
      <c r="DM726" s="408">
        <v>-0.30612071166268962</v>
      </c>
      <c r="DN726" s="408">
        <v>0</v>
      </c>
      <c r="DO726" s="408">
        <v>-0.83277727703996973</v>
      </c>
      <c r="DP726" s="408">
        <v>-0.16264657093453661</v>
      </c>
      <c r="DQ726" s="408">
        <v>0</v>
      </c>
      <c r="DR726" s="408">
        <v>0</v>
      </c>
      <c r="DS726" s="408"/>
      <c r="DT726" s="408"/>
      <c r="DU726" s="408"/>
      <c r="DV726" s="408">
        <v>1237.02093515711</v>
      </c>
      <c r="DW726" s="408">
        <v>0</v>
      </c>
      <c r="DX726" s="408">
        <v>0</v>
      </c>
      <c r="DY726" s="408">
        <v>-647.70678000000021</v>
      </c>
      <c r="DZ726" s="408">
        <v>72.088380000000029</v>
      </c>
      <c r="EA726" s="408">
        <v>0</v>
      </c>
      <c r="EB726" s="408">
        <v>0</v>
      </c>
      <c r="EC726" s="408">
        <v>-654.93700391461255</v>
      </c>
      <c r="ED726" s="408">
        <v>0</v>
      </c>
      <c r="EE726" s="408">
        <v>0</v>
      </c>
      <c r="EF726" s="408">
        <v>0</v>
      </c>
      <c r="EG726" s="408">
        <v>0</v>
      </c>
      <c r="EH726" s="408">
        <v>0</v>
      </c>
      <c r="EI726" s="408">
        <v>0</v>
      </c>
      <c r="EJ726" s="408">
        <v>0</v>
      </c>
      <c r="EK726" s="408">
        <v>0</v>
      </c>
      <c r="EL726" s="408">
        <v>0</v>
      </c>
      <c r="EM726" s="408">
        <v>0</v>
      </c>
      <c r="EN726" s="408">
        <v>0</v>
      </c>
      <c r="EO726" s="408">
        <v>0</v>
      </c>
      <c r="EP726" s="408">
        <v>0</v>
      </c>
      <c r="EQ726" s="408">
        <v>0</v>
      </c>
      <c r="ER726" s="408">
        <v>0</v>
      </c>
      <c r="ES726" s="408">
        <v>0</v>
      </c>
      <c r="ET726" s="408">
        <v>0</v>
      </c>
      <c r="EU726" s="408">
        <v>0</v>
      </c>
      <c r="EV726" s="408">
        <v>239</v>
      </c>
      <c r="EW726" s="408">
        <v>0</v>
      </c>
      <c r="EX726" s="408">
        <v>0</v>
      </c>
      <c r="EY726" s="408">
        <v>0</v>
      </c>
      <c r="EZ726" s="408"/>
      <c r="FA726" s="408">
        <v>0</v>
      </c>
      <c r="FB726" s="408"/>
      <c r="FC726" s="408"/>
      <c r="FD726" s="408"/>
      <c r="FE726" s="408"/>
      <c r="FF726" s="408">
        <v>0</v>
      </c>
      <c r="FG726" s="408">
        <v>0</v>
      </c>
      <c r="FH726" s="408">
        <v>0</v>
      </c>
      <c r="FI726" s="408">
        <v>0</v>
      </c>
    </row>
    <row r="727" spans="1:165">
      <c r="A727" s="408">
        <v>733</v>
      </c>
      <c r="B727" s="408" t="s">
        <v>1034</v>
      </c>
      <c r="C727" s="408" t="s">
        <v>2241</v>
      </c>
      <c r="D727" s="408" t="s">
        <v>596</v>
      </c>
      <c r="E727" s="408" t="s">
        <v>996</v>
      </c>
      <c r="F727" s="408" t="s">
        <v>1320</v>
      </c>
      <c r="G727" s="408" t="s">
        <v>1320</v>
      </c>
      <c r="H727" s="408" t="s">
        <v>1320</v>
      </c>
      <c r="I727" s="408" t="s">
        <v>971</v>
      </c>
      <c r="J727" s="408" t="s">
        <v>2234</v>
      </c>
      <c r="K727" s="827">
        <v>44713</v>
      </c>
      <c r="L727" s="408">
        <v>0</v>
      </c>
      <c r="M727" s="408">
        <v>0</v>
      </c>
      <c r="N727" s="408">
        <v>10.036</v>
      </c>
      <c r="O727" s="408">
        <v>10.036</v>
      </c>
      <c r="P727" s="408">
        <v>10.036</v>
      </c>
      <c r="Q727" s="408">
        <v>10.036</v>
      </c>
      <c r="R727" s="408"/>
      <c r="S727" s="408">
        <v>1684.16</v>
      </c>
      <c r="T727" s="408">
        <v>173.82</v>
      </c>
      <c r="U727" s="408"/>
      <c r="V727" s="408">
        <v>18646.687279999998</v>
      </c>
      <c r="W727" s="408">
        <v>18646.687279999998</v>
      </c>
      <c r="X727" s="408">
        <v>12800.51656</v>
      </c>
      <c r="Y727" s="408">
        <v>0</v>
      </c>
      <c r="Z727" s="408">
        <v>533.91546604914834</v>
      </c>
      <c r="AA727" s="408">
        <v>0</v>
      </c>
      <c r="AB727" s="408">
        <v>0</v>
      </c>
      <c r="AC727" s="408">
        <v>180.64197699230448</v>
      </c>
      <c r="AD727" s="408">
        <v>2755.7443852507909</v>
      </c>
      <c r="AE727" s="408">
        <v>11624.623083354343</v>
      </c>
      <c r="AF727" s="408">
        <v>1615.0145522938817</v>
      </c>
      <c r="AG727" s="408">
        <v>81.250105074781686</v>
      </c>
      <c r="AH727" s="408">
        <v>0</v>
      </c>
      <c r="AI727" s="408">
        <v>0</v>
      </c>
      <c r="AJ727" s="408">
        <v>0</v>
      </c>
      <c r="AK727" s="408">
        <v>0</v>
      </c>
      <c r="AL727" s="408">
        <v>94.855220455866686</v>
      </c>
      <c r="AM727" s="408"/>
      <c r="AN727" s="408">
        <v>12.472044960752035</v>
      </c>
      <c r="AO727" s="408">
        <v>387.95305746139064</v>
      </c>
      <c r="AP727" s="408">
        <v>1247.4614622440358</v>
      </c>
      <c r="AQ727" s="408">
        <v>0</v>
      </c>
      <c r="AR727" s="408">
        <v>0</v>
      </c>
      <c r="AS727" s="408">
        <v>0</v>
      </c>
      <c r="AT727" s="408">
        <v>0</v>
      </c>
      <c r="AU727" s="408">
        <v>0</v>
      </c>
      <c r="AV727" s="408">
        <v>0</v>
      </c>
      <c r="AW727" s="408">
        <v>0</v>
      </c>
      <c r="AX727" s="408">
        <v>0</v>
      </c>
      <c r="AY727" s="408">
        <v>0</v>
      </c>
      <c r="AZ727" s="408">
        <v>0</v>
      </c>
      <c r="BA727" s="408"/>
      <c r="BB727" s="408">
        <v>0</v>
      </c>
      <c r="BC727" s="408">
        <v>0</v>
      </c>
      <c r="BD727" s="408">
        <v>0</v>
      </c>
      <c r="BE727" s="408">
        <v>1.8726536174525283</v>
      </c>
      <c r="BF727" s="408">
        <v>48.2298881547609</v>
      </c>
      <c r="BG727" s="408">
        <v>62.707233197120239</v>
      </c>
      <c r="BH727" s="408">
        <v>0</v>
      </c>
      <c r="BI727" s="408">
        <v>0</v>
      </c>
      <c r="BJ727" s="408">
        <v>0</v>
      </c>
      <c r="BK727" s="408">
        <v>0</v>
      </c>
      <c r="BL727" s="408">
        <v>0</v>
      </c>
      <c r="BM727" s="408"/>
      <c r="BN727" s="408"/>
      <c r="BO727" s="408"/>
      <c r="BP727" s="408"/>
      <c r="BQ727" s="408"/>
      <c r="BR727" s="408"/>
      <c r="BS727" s="408"/>
      <c r="BT727" s="408"/>
      <c r="BU727" s="408"/>
      <c r="BV727" s="408">
        <v>1727.8243272632153</v>
      </c>
      <c r="BW727" s="408"/>
      <c r="BX727" s="408"/>
      <c r="BY727" s="408"/>
      <c r="BZ727" s="408"/>
      <c r="CA727" s="408"/>
      <c r="CB727" s="408"/>
      <c r="CC727" s="408"/>
      <c r="CD727" s="408"/>
      <c r="CE727" s="408"/>
      <c r="CF727" s="408"/>
      <c r="CG727" s="408"/>
      <c r="CH727" s="408"/>
      <c r="CI727" s="408">
        <v>12805.618399999999</v>
      </c>
      <c r="CJ727" s="408">
        <v>-5841.0988799999941</v>
      </c>
      <c r="CK727" s="408"/>
      <c r="CL727" s="408"/>
      <c r="CM727" s="408"/>
      <c r="CN727" s="408"/>
      <c r="CO727" s="408">
        <v>-6058.83356</v>
      </c>
      <c r="CP727" s="408">
        <v>212.66283999999996</v>
      </c>
      <c r="CQ727" s="408">
        <v>30</v>
      </c>
      <c r="CR727" s="408">
        <v>308.38650562217572</v>
      </c>
      <c r="CS727" s="408">
        <v>37.667790901523801</v>
      </c>
      <c r="CT727" s="408">
        <v>121.12062687427647</v>
      </c>
      <c r="CU727" s="408">
        <v>0</v>
      </c>
      <c r="CV727" s="408">
        <v>0</v>
      </c>
      <c r="CW727" s="408">
        <v>0</v>
      </c>
      <c r="CX727" s="408">
        <v>0</v>
      </c>
      <c r="CY727" s="408">
        <v>0</v>
      </c>
      <c r="CZ727" s="408">
        <v>-52.83921591432636</v>
      </c>
      <c r="DA727" s="408">
        <v>0</v>
      </c>
      <c r="DB727" s="408">
        <v>0</v>
      </c>
      <c r="DC727" s="408">
        <v>207.30496701225775</v>
      </c>
      <c r="DD727" s="408">
        <v>6.1908391839108603</v>
      </c>
      <c r="DE727" s="408">
        <v>0.240375788465792</v>
      </c>
      <c r="DF727" s="408">
        <v>0</v>
      </c>
      <c r="DG727" s="408">
        <v>8.0491664244725527</v>
      </c>
      <c r="DH727" s="408">
        <v>0</v>
      </c>
      <c r="DI727" s="408">
        <v>-15.603949400622469</v>
      </c>
      <c r="DJ727" s="408"/>
      <c r="DK727" s="408">
        <v>0</v>
      </c>
      <c r="DL727" s="408">
        <v>0</v>
      </c>
      <c r="DM727" s="408">
        <v>-0.90306509766217857</v>
      </c>
      <c r="DN727" s="408">
        <v>0</v>
      </c>
      <c r="DO727" s="408">
        <v>-2.4567174463177963</v>
      </c>
      <c r="DP727" s="408">
        <v>-0.384312703803527</v>
      </c>
      <c r="DQ727" s="408">
        <v>0</v>
      </c>
      <c r="DR727" s="408">
        <v>0</v>
      </c>
      <c r="DS727" s="408"/>
      <c r="DT727" s="408"/>
      <c r="DU727" s="408"/>
      <c r="DV727" s="408">
        <v>11624.623083354343</v>
      </c>
      <c r="DW727" s="408">
        <v>0</v>
      </c>
      <c r="DX727" s="408">
        <v>0</v>
      </c>
      <c r="DY727" s="408">
        <v>-6058.8335599999991</v>
      </c>
      <c r="DZ727" s="408">
        <v>212.66283999999996</v>
      </c>
      <c r="EA727" s="408">
        <v>0</v>
      </c>
      <c r="EB727" s="408">
        <v>0</v>
      </c>
      <c r="EC727" s="408">
        <v>-6154.6216377346746</v>
      </c>
      <c r="ED727" s="408">
        <v>0</v>
      </c>
      <c r="EE727" s="408">
        <v>0</v>
      </c>
      <c r="EF727" s="408">
        <v>0</v>
      </c>
      <c r="EG727" s="408">
        <v>0</v>
      </c>
      <c r="EH727" s="408">
        <v>0</v>
      </c>
      <c r="EI727" s="408">
        <v>0</v>
      </c>
      <c r="EJ727" s="408">
        <v>0</v>
      </c>
      <c r="EK727" s="408">
        <v>0</v>
      </c>
      <c r="EL727" s="408">
        <v>0</v>
      </c>
      <c r="EM727" s="408">
        <v>0</v>
      </c>
      <c r="EN727" s="408">
        <v>0</v>
      </c>
      <c r="EO727" s="408">
        <v>0</v>
      </c>
      <c r="EP727" s="408">
        <v>0</v>
      </c>
      <c r="EQ727" s="408">
        <v>0</v>
      </c>
      <c r="ER727" s="408">
        <v>0</v>
      </c>
      <c r="ES727" s="408">
        <v>0</v>
      </c>
      <c r="ET727" s="408">
        <v>0</v>
      </c>
      <c r="EU727" s="408">
        <v>0</v>
      </c>
      <c r="EV727" s="408">
        <v>239</v>
      </c>
      <c r="EW727" s="408">
        <v>0</v>
      </c>
      <c r="EX727" s="408">
        <v>0</v>
      </c>
      <c r="EY727" s="408">
        <v>0</v>
      </c>
      <c r="EZ727" s="408"/>
      <c r="FA727" s="408">
        <v>0</v>
      </c>
      <c r="FB727" s="408"/>
      <c r="FC727" s="408"/>
      <c r="FD727" s="408"/>
      <c r="FE727" s="408"/>
      <c r="FF727" s="408">
        <v>0</v>
      </c>
      <c r="FG727" s="408">
        <v>0</v>
      </c>
      <c r="FH727" s="408">
        <v>0</v>
      </c>
      <c r="FI727" s="408">
        <v>0</v>
      </c>
    </row>
    <row r="728" spans="1:165">
      <c r="A728" s="408">
        <v>734</v>
      </c>
      <c r="B728" s="408" t="s">
        <v>2236</v>
      </c>
      <c r="C728" s="408" t="s">
        <v>2241</v>
      </c>
      <c r="D728" s="408" t="s">
        <v>596</v>
      </c>
      <c r="E728" s="408" t="s">
        <v>996</v>
      </c>
      <c r="F728" s="408" t="s">
        <v>1320</v>
      </c>
      <c r="G728" s="408" t="s">
        <v>1320</v>
      </c>
      <c r="H728" s="408" t="s">
        <v>1320</v>
      </c>
      <c r="I728" s="408" t="s">
        <v>971</v>
      </c>
      <c r="J728" s="408" t="s">
        <v>2234</v>
      </c>
      <c r="K728" s="827">
        <v>44713</v>
      </c>
      <c r="L728" s="408">
        <v>0</v>
      </c>
      <c r="M728" s="408">
        <v>0</v>
      </c>
      <c r="N728" s="408">
        <v>10.279</v>
      </c>
      <c r="O728" s="408">
        <v>10.279</v>
      </c>
      <c r="P728" s="408">
        <v>10.279</v>
      </c>
      <c r="Q728" s="408">
        <v>10.279</v>
      </c>
      <c r="R728" s="408"/>
      <c r="S728" s="408">
        <v>1684.16</v>
      </c>
      <c r="T728" s="408">
        <v>173.82</v>
      </c>
      <c r="U728" s="408"/>
      <c r="V728" s="408">
        <v>19098.176420000003</v>
      </c>
      <c r="W728" s="408">
        <v>19098.176420000003</v>
      </c>
      <c r="X728" s="408">
        <v>13110.45334</v>
      </c>
      <c r="Y728" s="408">
        <v>0</v>
      </c>
      <c r="Z728" s="408">
        <v>546.84307249095207</v>
      </c>
      <c r="AA728" s="408">
        <v>0</v>
      </c>
      <c r="AB728" s="408">
        <v>0</v>
      </c>
      <c r="AC728" s="408">
        <v>185.01583115822018</v>
      </c>
      <c r="AD728" s="408">
        <v>2822.4687660415384</v>
      </c>
      <c r="AE728" s="408">
        <v>11906.088150039786</v>
      </c>
      <c r="AF728" s="408">
        <v>1654.1186312304515</v>
      </c>
      <c r="AG728" s="408">
        <v>83.217400365053905</v>
      </c>
      <c r="AH728" s="408">
        <v>0</v>
      </c>
      <c r="AI728" s="408">
        <v>0</v>
      </c>
      <c r="AJ728" s="408">
        <v>0</v>
      </c>
      <c r="AK728" s="408">
        <v>0</v>
      </c>
      <c r="AL728" s="408">
        <v>97.151934143668157</v>
      </c>
      <c r="AM728" s="408"/>
      <c r="AN728" s="408">
        <v>12.774028512511974</v>
      </c>
      <c r="AO728" s="408">
        <v>397.34650036325576</v>
      </c>
      <c r="AP728" s="408">
        <v>1277.6660392991673</v>
      </c>
      <c r="AQ728" s="408">
        <v>0</v>
      </c>
      <c r="AR728" s="408">
        <v>0</v>
      </c>
      <c r="AS728" s="408">
        <v>0</v>
      </c>
      <c r="AT728" s="408">
        <v>0</v>
      </c>
      <c r="AU728" s="408">
        <v>0</v>
      </c>
      <c r="AV728" s="408">
        <v>0</v>
      </c>
      <c r="AW728" s="408">
        <v>0</v>
      </c>
      <c r="AX728" s="408">
        <v>0</v>
      </c>
      <c r="AY728" s="408">
        <v>0</v>
      </c>
      <c r="AZ728" s="408">
        <v>0</v>
      </c>
      <c r="BA728" s="408"/>
      <c r="BB728" s="408">
        <v>0</v>
      </c>
      <c r="BC728" s="408">
        <v>0</v>
      </c>
      <c r="BD728" s="408">
        <v>0</v>
      </c>
      <c r="BE728" s="408">
        <v>1.9179958682537404</v>
      </c>
      <c r="BF728" s="408">
        <v>49.39767042076398</v>
      </c>
      <c r="BG728" s="408">
        <v>64.22555301247499</v>
      </c>
      <c r="BH728" s="408">
        <v>0</v>
      </c>
      <c r="BI728" s="408">
        <v>0</v>
      </c>
      <c r="BJ728" s="408">
        <v>0</v>
      </c>
      <c r="BK728" s="408">
        <v>0</v>
      </c>
      <c r="BL728" s="408">
        <v>0</v>
      </c>
      <c r="BM728" s="408"/>
      <c r="BN728" s="408"/>
      <c r="BO728" s="408"/>
      <c r="BP728" s="408"/>
      <c r="BQ728" s="408"/>
      <c r="BR728" s="408"/>
      <c r="BS728" s="408"/>
      <c r="BT728" s="408"/>
      <c r="BU728" s="408"/>
      <c r="BV728" s="408">
        <v>1769.6598505319441</v>
      </c>
      <c r="BW728" s="408"/>
      <c r="BX728" s="408"/>
      <c r="BY728" s="408"/>
      <c r="BZ728" s="408"/>
      <c r="CA728" s="408"/>
      <c r="CB728" s="408"/>
      <c r="CC728" s="408"/>
      <c r="CD728" s="408"/>
      <c r="CE728" s="408"/>
      <c r="CF728" s="408"/>
      <c r="CG728" s="408"/>
      <c r="CH728" s="408"/>
      <c r="CI728" s="408">
        <v>13111.728799999999</v>
      </c>
      <c r="CJ728" s="408">
        <v>-5986.4776199999997</v>
      </c>
      <c r="CK728" s="408"/>
      <c r="CL728" s="408"/>
      <c r="CM728" s="408"/>
      <c r="CN728" s="408"/>
      <c r="CO728" s="408">
        <v>-6205.5350900000003</v>
      </c>
      <c r="CP728" s="408">
        <v>217.81200999999999</v>
      </c>
      <c r="CQ728" s="408">
        <v>30</v>
      </c>
      <c r="CR728" s="408">
        <v>315.85341682845319</v>
      </c>
      <c r="CS728" s="408">
        <v>38.579834862172504</v>
      </c>
      <c r="CT728" s="408">
        <v>124.05330048233236</v>
      </c>
      <c r="CU728" s="408">
        <v>0</v>
      </c>
      <c r="CV728" s="408">
        <v>0</v>
      </c>
      <c r="CW728" s="408">
        <v>0</v>
      </c>
      <c r="CX728" s="408">
        <v>0</v>
      </c>
      <c r="CY728" s="408">
        <v>0</v>
      </c>
      <c r="CZ728" s="408">
        <v>-54.118603067293407</v>
      </c>
      <c r="DA728" s="408">
        <v>0</v>
      </c>
      <c r="DB728" s="408">
        <v>0</v>
      </c>
      <c r="DC728" s="408">
        <v>212.32440772409313</v>
      </c>
      <c r="DD728" s="408">
        <v>6.3407369441430603</v>
      </c>
      <c r="DE728" s="408">
        <v>0.24619596748105632</v>
      </c>
      <c r="DF728" s="408">
        <v>0</v>
      </c>
      <c r="DG728" s="408">
        <v>8.2440595533233676</v>
      </c>
      <c r="DH728" s="408">
        <v>0</v>
      </c>
      <c r="DI728" s="408">
        <v>-15.981765234057093</v>
      </c>
      <c r="DJ728" s="408"/>
      <c r="DK728" s="408">
        <v>0</v>
      </c>
      <c r="DL728" s="408">
        <v>0</v>
      </c>
      <c r="DM728" s="408">
        <v>-0.92493086278093983</v>
      </c>
      <c r="DN728" s="408">
        <v>0</v>
      </c>
      <c r="DO728" s="408">
        <v>-2.5162015375349256</v>
      </c>
      <c r="DP728" s="408">
        <v>-0.39361800342730646</v>
      </c>
      <c r="DQ728" s="408">
        <v>0</v>
      </c>
      <c r="DR728" s="408">
        <v>0</v>
      </c>
      <c r="DS728" s="408"/>
      <c r="DT728" s="408"/>
      <c r="DU728" s="408"/>
      <c r="DV728" s="408">
        <v>11906.088150039786</v>
      </c>
      <c r="DW728" s="408">
        <v>0</v>
      </c>
      <c r="DX728" s="408">
        <v>0</v>
      </c>
      <c r="DY728" s="408">
        <v>-6205.5350900000012</v>
      </c>
      <c r="DZ728" s="408">
        <v>217.81200999999987</v>
      </c>
      <c r="EA728" s="408">
        <v>0</v>
      </c>
      <c r="EB728" s="408">
        <v>0</v>
      </c>
      <c r="EC728" s="408">
        <v>-6303.6424685407255</v>
      </c>
      <c r="ED728" s="408">
        <v>0</v>
      </c>
      <c r="EE728" s="408">
        <v>0</v>
      </c>
      <c r="EF728" s="408">
        <v>0</v>
      </c>
      <c r="EG728" s="408">
        <v>0</v>
      </c>
      <c r="EH728" s="408">
        <v>0</v>
      </c>
      <c r="EI728" s="408">
        <v>0</v>
      </c>
      <c r="EJ728" s="408">
        <v>0</v>
      </c>
      <c r="EK728" s="408">
        <v>0</v>
      </c>
      <c r="EL728" s="408">
        <v>0</v>
      </c>
      <c r="EM728" s="408">
        <v>0</v>
      </c>
      <c r="EN728" s="408">
        <v>0</v>
      </c>
      <c r="EO728" s="408">
        <v>0</v>
      </c>
      <c r="EP728" s="408">
        <v>0</v>
      </c>
      <c r="EQ728" s="408">
        <v>0</v>
      </c>
      <c r="ER728" s="408">
        <v>0</v>
      </c>
      <c r="ES728" s="408">
        <v>0</v>
      </c>
      <c r="ET728" s="408">
        <v>0</v>
      </c>
      <c r="EU728" s="408">
        <v>0</v>
      </c>
      <c r="EV728" s="408">
        <v>239</v>
      </c>
      <c r="EW728" s="408">
        <v>0</v>
      </c>
      <c r="EX728" s="408">
        <v>0</v>
      </c>
      <c r="EY728" s="408">
        <v>0</v>
      </c>
      <c r="EZ728" s="408"/>
      <c r="FA728" s="408">
        <v>0</v>
      </c>
      <c r="FB728" s="408"/>
      <c r="FC728" s="408"/>
      <c r="FD728" s="408"/>
      <c r="FE728" s="408"/>
      <c r="FF728" s="408">
        <v>0</v>
      </c>
      <c r="FG728" s="408">
        <v>0</v>
      </c>
      <c r="FH728" s="408">
        <v>0</v>
      </c>
      <c r="FI728" s="408">
        <v>0</v>
      </c>
    </row>
    <row r="729" spans="1:165">
      <c r="A729" s="408">
        <v>735</v>
      </c>
      <c r="B729" s="408" t="s">
        <v>1034</v>
      </c>
      <c r="C729" s="408" t="s">
        <v>2241</v>
      </c>
      <c r="D729" s="408" t="s">
        <v>596</v>
      </c>
      <c r="E729" s="408" t="s">
        <v>996</v>
      </c>
      <c r="F729" s="408" t="s">
        <v>1320</v>
      </c>
      <c r="G729" s="408" t="s">
        <v>1320</v>
      </c>
      <c r="H729" s="408" t="s">
        <v>1320</v>
      </c>
      <c r="I729" s="408" t="s">
        <v>2242</v>
      </c>
      <c r="J729" s="408" t="s">
        <v>2234</v>
      </c>
      <c r="K729" s="827">
        <v>44713</v>
      </c>
      <c r="L729" s="408">
        <v>0</v>
      </c>
      <c r="M729" s="408">
        <v>0</v>
      </c>
      <c r="N729" s="408">
        <v>230.04</v>
      </c>
      <c r="O729" s="408">
        <v>230.04</v>
      </c>
      <c r="P729" s="408">
        <v>230.04</v>
      </c>
      <c r="Q729" s="408">
        <v>230.04</v>
      </c>
      <c r="R729" s="408"/>
      <c r="S729" s="408">
        <v>70.33</v>
      </c>
      <c r="T729" s="408">
        <v>173.82</v>
      </c>
      <c r="U729" s="408"/>
      <c r="V729" s="408">
        <v>56164.265999999996</v>
      </c>
      <c r="W729" s="408">
        <v>56164.265999999996</v>
      </c>
      <c r="X729" s="408">
        <v>60806.473199999993</v>
      </c>
      <c r="Y729" s="408">
        <v>0</v>
      </c>
      <c r="Z729" s="408">
        <v>12238.13409824094</v>
      </c>
      <c r="AA729" s="408">
        <v>0</v>
      </c>
      <c r="AB729" s="408">
        <v>0</v>
      </c>
      <c r="AC729" s="408">
        <v>0</v>
      </c>
      <c r="AD729" s="408">
        <v>0</v>
      </c>
      <c r="AE729" s="408">
        <v>0</v>
      </c>
      <c r="AF729" s="408">
        <v>37018.528059952623</v>
      </c>
      <c r="AG729" s="408">
        <v>1862.3728747910304</v>
      </c>
      <c r="AH729" s="408">
        <v>0</v>
      </c>
      <c r="AI729" s="408">
        <v>0</v>
      </c>
      <c r="AJ729" s="408">
        <v>0</v>
      </c>
      <c r="AK729" s="408">
        <v>0</v>
      </c>
      <c r="AL729" s="408">
        <v>2174.22229111873</v>
      </c>
      <c r="AM729" s="408"/>
      <c r="AN729" s="408">
        <v>285.87776233274195</v>
      </c>
      <c r="AO729" s="408">
        <v>0</v>
      </c>
      <c r="AP729" s="408">
        <v>0</v>
      </c>
      <c r="AQ729" s="408">
        <v>0</v>
      </c>
      <c r="AR729" s="408">
        <v>0</v>
      </c>
      <c r="AS729" s="408">
        <v>0</v>
      </c>
      <c r="AT729" s="408">
        <v>0</v>
      </c>
      <c r="AU729" s="408">
        <v>0</v>
      </c>
      <c r="AV729" s="408">
        <v>0</v>
      </c>
      <c r="AW729" s="408">
        <v>0</v>
      </c>
      <c r="AX729" s="408">
        <v>0</v>
      </c>
      <c r="AY729" s="408">
        <v>0</v>
      </c>
      <c r="AZ729" s="408">
        <v>0</v>
      </c>
      <c r="BA729" s="408"/>
      <c r="BB729" s="408">
        <v>0</v>
      </c>
      <c r="BC729" s="408">
        <v>0</v>
      </c>
      <c r="BD729" s="408">
        <v>0</v>
      </c>
      <c r="BE729" s="408">
        <v>42.923997425147434</v>
      </c>
      <c r="BF729" s="408">
        <v>1105.5005451495813</v>
      </c>
      <c r="BG729" s="408">
        <v>1437.3427585358249</v>
      </c>
      <c r="BH729" s="408">
        <v>0</v>
      </c>
      <c r="BI729" s="408">
        <v>0</v>
      </c>
      <c r="BJ729" s="408">
        <v>0</v>
      </c>
      <c r="BK729" s="408">
        <v>0</v>
      </c>
      <c r="BL729" s="408">
        <v>0</v>
      </c>
      <c r="BM729" s="408"/>
      <c r="BN729" s="408"/>
      <c r="BO729" s="408"/>
      <c r="BP729" s="408"/>
      <c r="BQ729" s="408"/>
      <c r="BR729" s="408"/>
      <c r="BS729" s="408"/>
      <c r="BT729" s="408"/>
      <c r="BU729" s="408"/>
      <c r="BV729" s="408">
        <v>39604.295361063174</v>
      </c>
      <c r="BW729" s="408"/>
      <c r="BX729" s="408"/>
      <c r="BY729" s="408"/>
      <c r="BZ729" s="408"/>
      <c r="CA729" s="408"/>
      <c r="CB729" s="408"/>
      <c r="CC729" s="408"/>
      <c r="CD729" s="408"/>
      <c r="CE729" s="408"/>
      <c r="CF729" s="408"/>
      <c r="CG729" s="408"/>
      <c r="CH729" s="408"/>
      <c r="CI729" s="408">
        <v>60806.473199999993</v>
      </c>
      <c r="CJ729" s="408">
        <v>4642.1771999999983</v>
      </c>
      <c r="CK729" s="408"/>
      <c r="CL729" s="408"/>
      <c r="CM729" s="408"/>
      <c r="CN729" s="408"/>
      <c r="CO729" s="408">
        <v>-232.34040000000118</v>
      </c>
      <c r="CP729" s="408">
        <v>4874.547599999999</v>
      </c>
      <c r="CQ729" s="408">
        <v>30</v>
      </c>
      <c r="CR729" s="408">
        <v>4640.1631483770252</v>
      </c>
      <c r="CS729" s="408">
        <v>0</v>
      </c>
      <c r="CT729" s="408">
        <v>0</v>
      </c>
      <c r="CU729" s="408">
        <v>0</v>
      </c>
      <c r="CV729" s="408">
        <v>0</v>
      </c>
      <c r="CW729" s="408">
        <v>0</v>
      </c>
      <c r="CX729" s="408">
        <v>0</v>
      </c>
      <c r="CY729" s="408">
        <v>0</v>
      </c>
      <c r="CZ729" s="408">
        <v>0</v>
      </c>
      <c r="DA729" s="408">
        <v>0</v>
      </c>
      <c r="DB729" s="408">
        <v>0</v>
      </c>
      <c r="DC729" s="408">
        <v>4751.7372072040453</v>
      </c>
      <c r="DD729" s="408">
        <v>141.90321301981407</v>
      </c>
      <c r="DE729" s="408">
        <v>5.5097694677830589</v>
      </c>
      <c r="DF729" s="408">
        <v>0</v>
      </c>
      <c r="DG729" s="408">
        <v>184.49882864544293</v>
      </c>
      <c r="DH729" s="408">
        <v>0</v>
      </c>
      <c r="DI729" s="408">
        <v>-357.6656556515718</v>
      </c>
      <c r="DJ729" s="408"/>
      <c r="DK729" s="408">
        <v>0</v>
      </c>
      <c r="DL729" s="408">
        <v>0</v>
      </c>
      <c r="DM729" s="408">
        <v>-20.699590979096229</v>
      </c>
      <c r="DN729" s="408">
        <v>0</v>
      </c>
      <c r="DO729" s="408">
        <v>-56.31160635222659</v>
      </c>
      <c r="DP729" s="408">
        <v>-8.8090169771784872</v>
      </c>
      <c r="DQ729" s="408">
        <v>0</v>
      </c>
      <c r="DR729" s="408">
        <v>0</v>
      </c>
      <c r="DS729" s="408"/>
      <c r="DT729" s="408"/>
      <c r="DU729" s="408"/>
      <c r="DV729" s="408">
        <v>0</v>
      </c>
      <c r="DW729" s="408">
        <v>0</v>
      </c>
      <c r="DX729" s="408">
        <v>0</v>
      </c>
      <c r="DY729" s="408">
        <v>-232.34040000000095</v>
      </c>
      <c r="DZ729" s="408">
        <v>4874.5475999999981</v>
      </c>
      <c r="EA729" s="408">
        <v>0</v>
      </c>
      <c r="EB729" s="408">
        <v>0</v>
      </c>
      <c r="EC729" s="408">
        <v>0</v>
      </c>
      <c r="ED729" s="408">
        <v>0</v>
      </c>
      <c r="EE729" s="408">
        <v>0</v>
      </c>
      <c r="EF729" s="408">
        <v>0</v>
      </c>
      <c r="EG729" s="408">
        <v>0</v>
      </c>
      <c r="EH729" s="408">
        <v>0</v>
      </c>
      <c r="EI729" s="408">
        <v>0</v>
      </c>
      <c r="EJ729" s="408">
        <v>0</v>
      </c>
      <c r="EK729" s="408">
        <v>0</v>
      </c>
      <c r="EL729" s="408">
        <v>0</v>
      </c>
      <c r="EM729" s="408">
        <v>0</v>
      </c>
      <c r="EN729" s="408">
        <v>0</v>
      </c>
      <c r="EO729" s="408">
        <v>0</v>
      </c>
      <c r="EP729" s="408">
        <v>0</v>
      </c>
      <c r="EQ729" s="408">
        <v>0</v>
      </c>
      <c r="ER729" s="408">
        <v>0</v>
      </c>
      <c r="ES729" s="408">
        <v>0</v>
      </c>
      <c r="ET729" s="408">
        <v>0</v>
      </c>
      <c r="EU729" s="408">
        <v>0</v>
      </c>
      <c r="EV729" s="408">
        <v>239</v>
      </c>
      <c r="EW729" s="408">
        <v>0</v>
      </c>
      <c r="EX729" s="408">
        <v>0</v>
      </c>
      <c r="EY729" s="408">
        <v>0</v>
      </c>
      <c r="EZ729" s="408"/>
      <c r="FA729" s="408">
        <v>0</v>
      </c>
      <c r="FB729" s="408"/>
      <c r="FC729" s="408"/>
      <c r="FD729" s="408"/>
      <c r="FE729" s="408"/>
      <c r="FF729" s="408">
        <v>0</v>
      </c>
      <c r="FG729" s="408">
        <v>0</v>
      </c>
      <c r="FH729" s="408">
        <v>0</v>
      </c>
      <c r="FI729" s="408">
        <v>0</v>
      </c>
    </row>
    <row r="730" spans="1:165">
      <c r="A730" s="408">
        <v>736</v>
      </c>
      <c r="B730" s="408" t="s">
        <v>2236</v>
      </c>
      <c r="C730" s="408" t="s">
        <v>2241</v>
      </c>
      <c r="D730" s="408" t="s">
        <v>596</v>
      </c>
      <c r="E730" s="408" t="s">
        <v>996</v>
      </c>
      <c r="F730" s="408" t="s">
        <v>1320</v>
      </c>
      <c r="G730" s="408" t="s">
        <v>1320</v>
      </c>
      <c r="H730" s="408" t="s">
        <v>1320</v>
      </c>
      <c r="I730" s="408" t="s">
        <v>2242</v>
      </c>
      <c r="J730" s="408" t="s">
        <v>2234</v>
      </c>
      <c r="K730" s="827">
        <v>44713</v>
      </c>
      <c r="L730" s="408">
        <v>0</v>
      </c>
      <c r="M730" s="408">
        <v>0</v>
      </c>
      <c r="N730" s="408">
        <v>54.973999999999997</v>
      </c>
      <c r="O730" s="408">
        <v>54.973999999999997</v>
      </c>
      <c r="P730" s="408">
        <v>54.973999999999997</v>
      </c>
      <c r="Q730" s="408">
        <v>54.973999999999997</v>
      </c>
      <c r="R730" s="408"/>
      <c r="S730" s="408">
        <v>70.33</v>
      </c>
      <c r="T730" s="408">
        <v>173.82</v>
      </c>
      <c r="U730" s="408"/>
      <c r="V730" s="408">
        <v>13421.902099999999</v>
      </c>
      <c r="W730" s="408">
        <v>13421.902099999999</v>
      </c>
      <c r="X730" s="408">
        <v>14531.277419999999</v>
      </c>
      <c r="Y730" s="408">
        <v>0</v>
      </c>
      <c r="Z730" s="408">
        <v>2924.6182573321917</v>
      </c>
      <c r="AA730" s="408">
        <v>0</v>
      </c>
      <c r="AB730" s="408">
        <v>0</v>
      </c>
      <c r="AC730" s="408">
        <v>0</v>
      </c>
      <c r="AD730" s="408">
        <v>0</v>
      </c>
      <c r="AE730" s="408">
        <v>0</v>
      </c>
      <c r="AF730" s="408">
        <v>8846.5334792550657</v>
      </c>
      <c r="AG730" s="408">
        <v>445.06210406347634</v>
      </c>
      <c r="AH730" s="408">
        <v>0</v>
      </c>
      <c r="AI730" s="408">
        <v>0</v>
      </c>
      <c r="AJ730" s="408">
        <v>0</v>
      </c>
      <c r="AK730" s="408">
        <v>0</v>
      </c>
      <c r="AL730" s="408">
        <v>519.58657725596004</v>
      </c>
      <c r="AM730" s="408"/>
      <c r="AN730" s="408">
        <v>68.31787561502415</v>
      </c>
      <c r="AO730" s="408">
        <v>0</v>
      </c>
      <c r="AP730" s="408">
        <v>0</v>
      </c>
      <c r="AQ730" s="408">
        <v>0</v>
      </c>
      <c r="AR730" s="408">
        <v>0</v>
      </c>
      <c r="AS730" s="408">
        <v>0</v>
      </c>
      <c r="AT730" s="408">
        <v>0</v>
      </c>
      <c r="AU730" s="408">
        <v>0</v>
      </c>
      <c r="AV730" s="408">
        <v>0</v>
      </c>
      <c r="AW730" s="408">
        <v>0</v>
      </c>
      <c r="AX730" s="408">
        <v>0</v>
      </c>
      <c r="AY730" s="408">
        <v>0</v>
      </c>
      <c r="AZ730" s="408">
        <v>0</v>
      </c>
      <c r="BA730" s="408"/>
      <c r="BB730" s="408">
        <v>0</v>
      </c>
      <c r="BC730" s="408">
        <v>0</v>
      </c>
      <c r="BD730" s="408">
        <v>0</v>
      </c>
      <c r="BE730" s="408">
        <v>10.257797924056923</v>
      </c>
      <c r="BF730" s="408">
        <v>264.18791066359364</v>
      </c>
      <c r="BG730" s="408">
        <v>343.49017913297013</v>
      </c>
      <c r="BH730" s="408">
        <v>0</v>
      </c>
      <c r="BI730" s="408">
        <v>0</v>
      </c>
      <c r="BJ730" s="408">
        <v>0</v>
      </c>
      <c r="BK730" s="408">
        <v>0</v>
      </c>
      <c r="BL730" s="408">
        <v>0</v>
      </c>
      <c r="BM730" s="408"/>
      <c r="BN730" s="408"/>
      <c r="BO730" s="408"/>
      <c r="BP730" s="408"/>
      <c r="BQ730" s="408"/>
      <c r="BR730" s="408"/>
      <c r="BS730" s="408"/>
      <c r="BT730" s="408"/>
      <c r="BU730" s="408"/>
      <c r="BV730" s="408">
        <v>9464.4693669756871</v>
      </c>
      <c r="BW730" s="408"/>
      <c r="BX730" s="408"/>
      <c r="BY730" s="408"/>
      <c r="BZ730" s="408"/>
      <c r="CA730" s="408"/>
      <c r="CB730" s="408"/>
      <c r="CC730" s="408"/>
      <c r="CD730" s="408"/>
      <c r="CE730" s="408"/>
      <c r="CF730" s="408"/>
      <c r="CG730" s="408"/>
      <c r="CH730" s="408"/>
      <c r="CI730" s="408">
        <v>14530.220099999999</v>
      </c>
      <c r="CJ730" s="408">
        <v>1108.2879999999986</v>
      </c>
      <c r="CK730" s="408"/>
      <c r="CL730" s="408"/>
      <c r="CM730" s="408"/>
      <c r="CN730" s="408"/>
      <c r="CO730" s="408">
        <v>-55.523740000000281</v>
      </c>
      <c r="CP730" s="408">
        <v>1164.8990599999997</v>
      </c>
      <c r="CQ730" s="408">
        <v>30</v>
      </c>
      <c r="CR730" s="408">
        <v>1108.8868410662399</v>
      </c>
      <c r="CS730" s="408">
        <v>0</v>
      </c>
      <c r="CT730" s="408">
        <v>0</v>
      </c>
      <c r="CU730" s="408">
        <v>0</v>
      </c>
      <c r="CV730" s="408">
        <v>0</v>
      </c>
      <c r="CW730" s="408">
        <v>0</v>
      </c>
      <c r="CX730" s="408">
        <v>0</v>
      </c>
      <c r="CY730" s="408">
        <v>0</v>
      </c>
      <c r="CZ730" s="408">
        <v>0</v>
      </c>
      <c r="DA730" s="408">
        <v>0</v>
      </c>
      <c r="DB730" s="408">
        <v>0</v>
      </c>
      <c r="DC730" s="408">
        <v>1135.5503444132992</v>
      </c>
      <c r="DD730" s="408">
        <v>33.911438152283324</v>
      </c>
      <c r="DE730" s="408">
        <v>1.3167017332720672</v>
      </c>
      <c r="DF730" s="408">
        <v>0</v>
      </c>
      <c r="DG730" s="408">
        <v>44.090760763148012</v>
      </c>
      <c r="DH730" s="408">
        <v>0</v>
      </c>
      <c r="DI730" s="408">
        <v>-85.473447025688984</v>
      </c>
      <c r="DJ730" s="408"/>
      <c r="DK730" s="408">
        <v>0</v>
      </c>
      <c r="DL730" s="408">
        <v>0</v>
      </c>
      <c r="DM730" s="408">
        <v>-4.946701940900823</v>
      </c>
      <c r="DN730" s="408">
        <v>0</v>
      </c>
      <c r="DO730" s="408">
        <v>-13.45711288300862</v>
      </c>
      <c r="DP730" s="408">
        <v>-2.1051421461633169</v>
      </c>
      <c r="DQ730" s="408">
        <v>0</v>
      </c>
      <c r="DR730" s="408">
        <v>0</v>
      </c>
      <c r="DS730" s="408"/>
      <c r="DT730" s="408"/>
      <c r="DU730" s="408"/>
      <c r="DV730" s="408">
        <v>0</v>
      </c>
      <c r="DW730" s="408">
        <v>0</v>
      </c>
      <c r="DX730" s="408">
        <v>0</v>
      </c>
      <c r="DY730" s="408">
        <v>-55.523740000000544</v>
      </c>
      <c r="DZ730" s="408">
        <v>1164.8990599999997</v>
      </c>
      <c r="EA730" s="408">
        <v>0</v>
      </c>
      <c r="EB730" s="408">
        <v>0</v>
      </c>
      <c r="EC730" s="408">
        <v>0</v>
      </c>
      <c r="ED730" s="408">
        <v>0</v>
      </c>
      <c r="EE730" s="408">
        <v>0</v>
      </c>
      <c r="EF730" s="408">
        <v>0</v>
      </c>
      <c r="EG730" s="408">
        <v>0</v>
      </c>
      <c r="EH730" s="408">
        <v>0</v>
      </c>
      <c r="EI730" s="408">
        <v>0</v>
      </c>
      <c r="EJ730" s="408">
        <v>0</v>
      </c>
      <c r="EK730" s="408">
        <v>0</v>
      </c>
      <c r="EL730" s="408">
        <v>0</v>
      </c>
      <c r="EM730" s="408">
        <v>0</v>
      </c>
      <c r="EN730" s="408">
        <v>0</v>
      </c>
      <c r="EO730" s="408">
        <v>0</v>
      </c>
      <c r="EP730" s="408">
        <v>0</v>
      </c>
      <c r="EQ730" s="408">
        <v>0</v>
      </c>
      <c r="ER730" s="408">
        <v>0</v>
      </c>
      <c r="ES730" s="408">
        <v>0</v>
      </c>
      <c r="ET730" s="408">
        <v>0</v>
      </c>
      <c r="EU730" s="408">
        <v>0</v>
      </c>
      <c r="EV730" s="408">
        <v>239</v>
      </c>
      <c r="EW730" s="408">
        <v>0</v>
      </c>
      <c r="EX730" s="408">
        <v>0</v>
      </c>
      <c r="EY730" s="408">
        <v>0</v>
      </c>
      <c r="EZ730" s="408"/>
      <c r="FA730" s="408">
        <v>0</v>
      </c>
      <c r="FB730" s="408"/>
      <c r="FC730" s="408"/>
      <c r="FD730" s="408"/>
      <c r="FE730" s="408"/>
      <c r="FF730" s="408">
        <v>0</v>
      </c>
      <c r="FG730" s="408">
        <v>0</v>
      </c>
      <c r="FH730" s="408">
        <v>0</v>
      </c>
      <c r="FI730" s="408">
        <v>0</v>
      </c>
    </row>
    <row r="731" spans="1:165">
      <c r="A731" s="408">
        <v>737</v>
      </c>
      <c r="B731" s="408" t="s">
        <v>1034</v>
      </c>
      <c r="C731" s="408" t="s">
        <v>2241</v>
      </c>
      <c r="D731" s="408" t="s">
        <v>596</v>
      </c>
      <c r="E731" s="408" t="s">
        <v>996</v>
      </c>
      <c r="F731" s="408" t="s">
        <v>1320</v>
      </c>
      <c r="G731" s="408" t="s">
        <v>1320</v>
      </c>
      <c r="H731" s="408" t="s">
        <v>1320</v>
      </c>
      <c r="I731" s="408" t="s">
        <v>1320</v>
      </c>
      <c r="J731" s="408" t="s">
        <v>2234</v>
      </c>
      <c r="K731" s="827">
        <v>44713</v>
      </c>
      <c r="L731" s="408">
        <v>2411</v>
      </c>
      <c r="M731" s="408">
        <v>2411</v>
      </c>
      <c r="N731" s="408">
        <v>0</v>
      </c>
      <c r="O731" s="408">
        <v>0</v>
      </c>
      <c r="P731" s="408">
        <v>0</v>
      </c>
      <c r="Q731" s="408">
        <v>0</v>
      </c>
      <c r="R731" s="408">
        <v>59.12</v>
      </c>
      <c r="S731" s="408"/>
      <c r="T731" s="408"/>
      <c r="U731" s="408">
        <v>142538.32</v>
      </c>
      <c r="V731" s="408"/>
      <c r="W731" s="408">
        <v>142538.32</v>
      </c>
      <c r="X731" s="408">
        <v>82046.33</v>
      </c>
      <c r="Y731" s="408">
        <v>0</v>
      </c>
      <c r="Z731" s="408">
        <v>0</v>
      </c>
      <c r="AA731" s="408">
        <v>0</v>
      </c>
      <c r="AB731" s="408">
        <v>0</v>
      </c>
      <c r="AC731" s="408">
        <v>1379.2375359975074</v>
      </c>
      <c r="AD731" s="408">
        <v>12337.141610874904</v>
      </c>
      <c r="AE731" s="408">
        <v>116118.09438115865</v>
      </c>
      <c r="AF731" s="408"/>
      <c r="AG731" s="408"/>
      <c r="AH731" s="408"/>
      <c r="AI731" s="408">
        <v>0</v>
      </c>
      <c r="AJ731" s="408">
        <v>0</v>
      </c>
      <c r="AK731" s="408">
        <v>0</v>
      </c>
      <c r="AL731" s="408">
        <v>0</v>
      </c>
      <c r="AM731" s="408"/>
      <c r="AN731" s="408">
        <v>0</v>
      </c>
      <c r="AO731" s="408">
        <v>2912.6618709287345</v>
      </c>
      <c r="AP731" s="408">
        <v>9791.0417401520754</v>
      </c>
      <c r="AQ731" s="408">
        <v>0</v>
      </c>
      <c r="AR731" s="408">
        <v>0</v>
      </c>
      <c r="AS731" s="408"/>
      <c r="AT731" s="408"/>
      <c r="AU731" s="408">
        <v>0</v>
      </c>
      <c r="AV731" s="408">
        <v>0</v>
      </c>
      <c r="AW731" s="408">
        <v>0</v>
      </c>
      <c r="AX731" s="408"/>
      <c r="AY731" s="408"/>
      <c r="AZ731" s="408">
        <v>0</v>
      </c>
      <c r="BA731" s="408"/>
      <c r="BB731" s="408">
        <v>0</v>
      </c>
      <c r="BC731" s="408">
        <v>0</v>
      </c>
      <c r="BD731" s="408">
        <v>0</v>
      </c>
      <c r="BE731" s="408">
        <v>0</v>
      </c>
      <c r="BF731" s="408"/>
      <c r="BG731" s="408">
        <v>0</v>
      </c>
      <c r="BH731" s="408">
        <v>0</v>
      </c>
      <c r="BI731" s="408">
        <v>866.9</v>
      </c>
      <c r="BJ731" s="408">
        <v>3977.49</v>
      </c>
      <c r="BK731" s="408">
        <v>49402.36</v>
      </c>
      <c r="BL731" s="408">
        <v>12</v>
      </c>
      <c r="BM731" s="408"/>
      <c r="BN731" s="408"/>
      <c r="BO731" s="408"/>
      <c r="BP731" s="408"/>
      <c r="BQ731" s="408"/>
      <c r="BR731" s="408"/>
      <c r="BS731" s="408"/>
      <c r="BT731" s="408"/>
      <c r="BU731" s="408"/>
      <c r="BV731" s="408">
        <v>0</v>
      </c>
      <c r="BW731" s="408"/>
      <c r="BX731" s="408"/>
      <c r="BY731" s="408"/>
      <c r="BZ731" s="408"/>
      <c r="CA731" s="408"/>
      <c r="CB731" s="408"/>
      <c r="CC731" s="408"/>
      <c r="CD731" s="408"/>
      <c r="CE731" s="408"/>
      <c r="CF731" s="408"/>
      <c r="CG731" s="408"/>
      <c r="CH731" s="408"/>
      <c r="CI731" s="408">
        <v>82046.33</v>
      </c>
      <c r="CJ731" s="408">
        <v>-60492.020000000033</v>
      </c>
      <c r="CK731" s="408"/>
      <c r="CL731" s="408"/>
      <c r="CM731" s="408"/>
      <c r="CN731" s="408"/>
      <c r="CO731" s="408">
        <v>-60491.989999999991</v>
      </c>
      <c r="CP731" s="408">
        <v>0</v>
      </c>
      <c r="CQ731" s="408">
        <v>30</v>
      </c>
      <c r="CR731" s="408">
        <v>996.89444339986949</v>
      </c>
      <c r="CS731" s="408">
        <v>282.8010662911297</v>
      </c>
      <c r="CT731" s="408">
        <v>950.64829592906608</v>
      </c>
      <c r="CU731" s="408">
        <v>0</v>
      </c>
      <c r="CV731" s="408">
        <v>0</v>
      </c>
      <c r="CW731" s="408"/>
      <c r="CX731" s="408"/>
      <c r="CY731" s="408"/>
      <c r="CZ731" s="408">
        <v>-236.55491882032766</v>
      </c>
      <c r="DA731" s="408">
        <v>0</v>
      </c>
      <c r="DB731" s="408">
        <v>0</v>
      </c>
      <c r="DC731" s="408"/>
      <c r="DD731" s="408"/>
      <c r="DE731" s="408">
        <v>0</v>
      </c>
      <c r="DF731" s="408">
        <v>0</v>
      </c>
      <c r="DG731" s="408">
        <v>0</v>
      </c>
      <c r="DH731" s="408">
        <v>0</v>
      </c>
      <c r="DI731" s="408">
        <v>0</v>
      </c>
      <c r="DJ731" s="408"/>
      <c r="DK731" s="408">
        <v>0</v>
      </c>
      <c r="DL731" s="408">
        <v>0</v>
      </c>
      <c r="DM731" s="408"/>
      <c r="DN731" s="408">
        <v>0</v>
      </c>
      <c r="DO731" s="408">
        <v>0</v>
      </c>
      <c r="DP731" s="408">
        <v>0</v>
      </c>
      <c r="DQ731" s="408">
        <v>0</v>
      </c>
      <c r="DR731" s="408">
        <v>0</v>
      </c>
      <c r="DS731" s="408"/>
      <c r="DT731" s="408"/>
      <c r="DU731" s="408">
        <v>116118.09438115865</v>
      </c>
      <c r="DV731" s="408"/>
      <c r="DW731" s="408">
        <v>0</v>
      </c>
      <c r="DX731" s="408">
        <v>0</v>
      </c>
      <c r="DY731" s="408">
        <v>-60491.990000000005</v>
      </c>
      <c r="DZ731" s="408"/>
      <c r="EA731" s="408">
        <v>0</v>
      </c>
      <c r="EB731" s="408"/>
      <c r="EC731" s="408">
        <v>-61478.374919023881</v>
      </c>
      <c r="ED731" s="408"/>
      <c r="EE731" s="408">
        <v>0</v>
      </c>
      <c r="EF731" s="408">
        <v>0</v>
      </c>
      <c r="EG731" s="408"/>
      <c r="EH731" s="408">
        <v>0</v>
      </c>
      <c r="EI731" s="408">
        <v>0</v>
      </c>
      <c r="EJ731" s="408">
        <v>0</v>
      </c>
      <c r="EK731" s="408">
        <v>0</v>
      </c>
      <c r="EL731" s="408">
        <v>0</v>
      </c>
      <c r="EM731" s="408"/>
      <c r="EN731" s="408"/>
      <c r="EO731" s="408">
        <v>0</v>
      </c>
      <c r="EP731" s="408">
        <v>0</v>
      </c>
      <c r="EQ731" s="408"/>
      <c r="ER731" s="408">
        <v>0</v>
      </c>
      <c r="ES731" s="408"/>
      <c r="ET731" s="408">
        <v>0</v>
      </c>
      <c r="EU731" s="408"/>
      <c r="EV731" s="408">
        <v>239</v>
      </c>
      <c r="EW731" s="408"/>
      <c r="EX731" s="408"/>
      <c r="EY731" s="408"/>
      <c r="EZ731" s="408"/>
      <c r="FA731" s="408">
        <v>0</v>
      </c>
      <c r="FB731" s="408"/>
      <c r="FC731" s="408"/>
      <c r="FD731" s="408"/>
      <c r="FE731" s="408"/>
      <c r="FF731" s="408">
        <v>0</v>
      </c>
      <c r="FG731" s="408">
        <v>0</v>
      </c>
      <c r="FH731" s="408">
        <v>0</v>
      </c>
      <c r="FI731" s="408">
        <v>0</v>
      </c>
    </row>
    <row r="732" spans="1:165">
      <c r="A732" s="408">
        <v>738</v>
      </c>
      <c r="B732" s="408" t="s">
        <v>2236</v>
      </c>
      <c r="C732" s="408" t="s">
        <v>2241</v>
      </c>
      <c r="D732" s="408" t="s">
        <v>596</v>
      </c>
      <c r="E732" s="408" t="s">
        <v>996</v>
      </c>
      <c r="F732" s="408" t="s">
        <v>1320</v>
      </c>
      <c r="G732" s="408" t="s">
        <v>1320</v>
      </c>
      <c r="H732" s="408" t="s">
        <v>1320</v>
      </c>
      <c r="I732" s="408" t="s">
        <v>1320</v>
      </c>
      <c r="J732" s="408" t="s">
        <v>2234</v>
      </c>
      <c r="K732" s="827">
        <v>44713</v>
      </c>
      <c r="L732" s="408">
        <v>315</v>
      </c>
      <c r="M732" s="408">
        <v>315</v>
      </c>
      <c r="N732" s="408">
        <v>0</v>
      </c>
      <c r="O732" s="408">
        <v>0</v>
      </c>
      <c r="P732" s="408">
        <v>0</v>
      </c>
      <c r="Q732" s="408">
        <v>0</v>
      </c>
      <c r="R732" s="408">
        <v>59.12</v>
      </c>
      <c r="S732" s="408"/>
      <c r="T732" s="408"/>
      <c r="U732" s="408">
        <v>18622.8</v>
      </c>
      <c r="V732" s="408"/>
      <c r="W732" s="408">
        <v>18622.8</v>
      </c>
      <c r="X732" s="408">
        <v>10719.45</v>
      </c>
      <c r="Y732" s="408">
        <v>0</v>
      </c>
      <c r="Z732" s="408">
        <v>0</v>
      </c>
      <c r="AA732" s="408">
        <v>0</v>
      </c>
      <c r="AB732" s="408">
        <v>0</v>
      </c>
      <c r="AC732" s="408">
        <v>180.19901445010984</v>
      </c>
      <c r="AD732" s="408">
        <v>1611.8621349753605</v>
      </c>
      <c r="AE732" s="408">
        <v>15170.966292021971</v>
      </c>
      <c r="AF732" s="408"/>
      <c r="AG732" s="408"/>
      <c r="AH732" s="408"/>
      <c r="AI732" s="408">
        <v>0</v>
      </c>
      <c r="AJ732" s="408">
        <v>0</v>
      </c>
      <c r="AK732" s="408">
        <v>0</v>
      </c>
      <c r="AL732" s="408">
        <v>0</v>
      </c>
      <c r="AM732" s="408"/>
      <c r="AN732" s="408">
        <v>0</v>
      </c>
      <c r="AO732" s="408">
        <v>380.54271644236889</v>
      </c>
      <c r="AP732" s="408">
        <v>1279.211177166281</v>
      </c>
      <c r="AQ732" s="408">
        <v>0</v>
      </c>
      <c r="AR732" s="408">
        <v>0</v>
      </c>
      <c r="AS732" s="408"/>
      <c r="AT732" s="408"/>
      <c r="AU732" s="408">
        <v>0</v>
      </c>
      <c r="AV732" s="408">
        <v>0</v>
      </c>
      <c r="AW732" s="408">
        <v>0</v>
      </c>
      <c r="AX732" s="408"/>
      <c r="AY732" s="408"/>
      <c r="AZ732" s="408">
        <v>0</v>
      </c>
      <c r="BA732" s="408"/>
      <c r="BB732" s="408">
        <v>0</v>
      </c>
      <c r="BC732" s="408">
        <v>0</v>
      </c>
      <c r="BD732" s="408">
        <v>0</v>
      </c>
      <c r="BE732" s="408">
        <v>0</v>
      </c>
      <c r="BF732" s="408"/>
      <c r="BG732" s="408">
        <v>0</v>
      </c>
      <c r="BH732" s="408">
        <v>0</v>
      </c>
      <c r="BI732" s="408">
        <v>218.2</v>
      </c>
      <c r="BJ732" s="408">
        <v>1001.21</v>
      </c>
      <c r="BK732" s="408">
        <v>13198.94</v>
      </c>
      <c r="BL732" s="408">
        <v>4</v>
      </c>
      <c r="BM732" s="408"/>
      <c r="BN732" s="408"/>
      <c r="BO732" s="408"/>
      <c r="BP732" s="408"/>
      <c r="BQ732" s="408"/>
      <c r="BR732" s="408"/>
      <c r="BS732" s="408"/>
      <c r="BT732" s="408"/>
      <c r="BU732" s="408"/>
      <c r="BV732" s="408">
        <v>0</v>
      </c>
      <c r="BW732" s="408"/>
      <c r="BX732" s="408"/>
      <c r="BY732" s="408"/>
      <c r="BZ732" s="408"/>
      <c r="CA732" s="408"/>
      <c r="CB732" s="408"/>
      <c r="CC732" s="408"/>
      <c r="CD732" s="408"/>
      <c r="CE732" s="408"/>
      <c r="CF732" s="408"/>
      <c r="CG732" s="408"/>
      <c r="CH732" s="408"/>
      <c r="CI732" s="408">
        <v>10719.45</v>
      </c>
      <c r="CJ732" s="408">
        <v>-7903.3799999999937</v>
      </c>
      <c r="CK732" s="408"/>
      <c r="CL732" s="408"/>
      <c r="CM732" s="408"/>
      <c r="CN732" s="408"/>
      <c r="CO732" s="408">
        <v>-7903.3499999999985</v>
      </c>
      <c r="CP732" s="408">
        <v>0</v>
      </c>
      <c r="CQ732" s="408">
        <v>30</v>
      </c>
      <c r="CR732" s="408">
        <v>130.24543744129369</v>
      </c>
      <c r="CS732" s="408">
        <v>36.948293605021036</v>
      </c>
      <c r="CT732" s="408">
        <v>124.20332360748898</v>
      </c>
      <c r="CU732" s="408">
        <v>0</v>
      </c>
      <c r="CV732" s="408">
        <v>0</v>
      </c>
      <c r="CW732" s="408"/>
      <c r="CX732" s="408"/>
      <c r="CY732" s="408"/>
      <c r="CZ732" s="408">
        <v>-30.906179771216557</v>
      </c>
      <c r="DA732" s="408">
        <v>0</v>
      </c>
      <c r="DB732" s="408">
        <v>0</v>
      </c>
      <c r="DC732" s="408"/>
      <c r="DD732" s="408"/>
      <c r="DE732" s="408">
        <v>0</v>
      </c>
      <c r="DF732" s="408">
        <v>0</v>
      </c>
      <c r="DG732" s="408">
        <v>0</v>
      </c>
      <c r="DH732" s="408">
        <v>0</v>
      </c>
      <c r="DI732" s="408">
        <v>0</v>
      </c>
      <c r="DJ732" s="408"/>
      <c r="DK732" s="408">
        <v>0</v>
      </c>
      <c r="DL732" s="408">
        <v>0</v>
      </c>
      <c r="DM732" s="408"/>
      <c r="DN732" s="408">
        <v>0</v>
      </c>
      <c r="DO732" s="408">
        <v>0</v>
      </c>
      <c r="DP732" s="408">
        <v>0</v>
      </c>
      <c r="DQ732" s="408">
        <v>0</v>
      </c>
      <c r="DR732" s="408">
        <v>0</v>
      </c>
      <c r="DS732" s="408"/>
      <c r="DT732" s="408"/>
      <c r="DU732" s="408">
        <v>15170.966292021971</v>
      </c>
      <c r="DV732" s="408"/>
      <c r="DW732" s="408">
        <v>0</v>
      </c>
      <c r="DX732" s="408">
        <v>0</v>
      </c>
      <c r="DY732" s="408">
        <v>-7903.3499999999985</v>
      </c>
      <c r="DZ732" s="408"/>
      <c r="EA732" s="408">
        <v>0</v>
      </c>
      <c r="EB732" s="408"/>
      <c r="EC732" s="408">
        <v>-8032.2223556584486</v>
      </c>
      <c r="ED732" s="408"/>
      <c r="EE732" s="408">
        <v>0</v>
      </c>
      <c r="EF732" s="408">
        <v>0</v>
      </c>
      <c r="EG732" s="408"/>
      <c r="EH732" s="408">
        <v>0</v>
      </c>
      <c r="EI732" s="408">
        <v>0</v>
      </c>
      <c r="EJ732" s="408">
        <v>0</v>
      </c>
      <c r="EK732" s="408">
        <v>0</v>
      </c>
      <c r="EL732" s="408">
        <v>0</v>
      </c>
      <c r="EM732" s="408"/>
      <c r="EN732" s="408"/>
      <c r="EO732" s="408">
        <v>0</v>
      </c>
      <c r="EP732" s="408">
        <v>0</v>
      </c>
      <c r="EQ732" s="408"/>
      <c r="ER732" s="408">
        <v>0</v>
      </c>
      <c r="ES732" s="408"/>
      <c r="ET732" s="408">
        <v>0</v>
      </c>
      <c r="EU732" s="408"/>
      <c r="EV732" s="408">
        <v>239</v>
      </c>
      <c r="EW732" s="408"/>
      <c r="EX732" s="408"/>
      <c r="EY732" s="408"/>
      <c r="EZ732" s="408"/>
      <c r="FA732" s="408">
        <v>0</v>
      </c>
      <c r="FB732" s="408"/>
      <c r="FC732" s="408"/>
      <c r="FD732" s="408"/>
      <c r="FE732" s="408"/>
      <c r="FF732" s="408">
        <v>0</v>
      </c>
      <c r="FG732" s="408">
        <v>0</v>
      </c>
      <c r="FH732" s="408">
        <v>0</v>
      </c>
      <c r="FI732" s="408">
        <v>0</v>
      </c>
    </row>
    <row r="733" spans="1:165">
      <c r="A733" s="408">
        <v>739</v>
      </c>
      <c r="B733" s="408" t="s">
        <v>1034</v>
      </c>
      <c r="C733" s="408" t="s">
        <v>2233</v>
      </c>
      <c r="D733" s="408" t="s">
        <v>2243</v>
      </c>
      <c r="E733" s="408" t="s">
        <v>972</v>
      </c>
      <c r="F733" s="408" t="s">
        <v>1320</v>
      </c>
      <c r="G733" s="408" t="s">
        <v>1320</v>
      </c>
      <c r="H733" s="408" t="s">
        <v>1320</v>
      </c>
      <c r="I733" s="408" t="s">
        <v>1320</v>
      </c>
      <c r="J733" s="408" t="s">
        <v>2234</v>
      </c>
      <c r="K733" s="827">
        <v>44713</v>
      </c>
      <c r="L733" s="408">
        <v>0</v>
      </c>
      <c r="M733" s="408">
        <v>0</v>
      </c>
      <c r="N733" s="408">
        <v>2276.8200000000002</v>
      </c>
      <c r="O733" s="408">
        <v>2276.8200000000002</v>
      </c>
      <c r="P733" s="408">
        <v>2276.8200000000002</v>
      </c>
      <c r="Q733" s="408">
        <v>2276.8200000000002</v>
      </c>
      <c r="R733" s="408"/>
      <c r="S733" s="408">
        <v>516.83000000000004</v>
      </c>
      <c r="T733" s="408">
        <v>173.82</v>
      </c>
      <c r="U733" s="408"/>
      <c r="V733" s="408">
        <v>1572485.7330000002</v>
      </c>
      <c r="W733" s="408">
        <v>1572485.7330000002</v>
      </c>
      <c r="X733" s="408">
        <v>1187247.7890000001</v>
      </c>
      <c r="Y733" s="408">
        <v>0</v>
      </c>
      <c r="Z733" s="408">
        <v>139226.30385898353</v>
      </c>
      <c r="AA733" s="408">
        <v>0</v>
      </c>
      <c r="AB733" s="408">
        <v>0</v>
      </c>
      <c r="AC733" s="408">
        <v>6189.4078351778016</v>
      </c>
      <c r="AD733" s="408">
        <v>78383.197645670312</v>
      </c>
      <c r="AE733" s="408">
        <v>827887.71475144371</v>
      </c>
      <c r="AF733" s="408">
        <v>366390.73664345912</v>
      </c>
      <c r="AG733" s="408">
        <v>18432.828241965373</v>
      </c>
      <c r="AH733" s="408">
        <v>0</v>
      </c>
      <c r="AI733" s="408">
        <v>0</v>
      </c>
      <c r="AJ733" s="408">
        <v>0</v>
      </c>
      <c r="AK733" s="408">
        <v>0</v>
      </c>
      <c r="AL733" s="408">
        <v>21519.356620000639</v>
      </c>
      <c r="AM733" s="408"/>
      <c r="AN733" s="408">
        <v>3532.5817991772715</v>
      </c>
      <c r="AO733" s="408">
        <v>13202.149374411154</v>
      </c>
      <c r="AP733" s="408">
        <v>43235.254117260178</v>
      </c>
      <c r="AQ733" s="408">
        <v>0</v>
      </c>
      <c r="AR733" s="408">
        <v>0</v>
      </c>
      <c r="AS733" s="408">
        <v>0</v>
      </c>
      <c r="AT733" s="408">
        <v>0</v>
      </c>
      <c r="AU733" s="408">
        <v>0</v>
      </c>
      <c r="AV733" s="408">
        <v>0</v>
      </c>
      <c r="AW733" s="408">
        <v>0</v>
      </c>
      <c r="AX733" s="408">
        <v>0</v>
      </c>
      <c r="AY733" s="408">
        <v>0</v>
      </c>
      <c r="AZ733" s="408">
        <v>0</v>
      </c>
      <c r="BA733" s="408"/>
      <c r="BB733" s="408">
        <v>0</v>
      </c>
      <c r="BC733" s="408">
        <v>0</v>
      </c>
      <c r="BD733" s="408">
        <v>0</v>
      </c>
      <c r="BE733" s="408">
        <v>1263.2084627565762</v>
      </c>
      <c r="BF733" s="408">
        <v>10941.687320498477</v>
      </c>
      <c r="BG733" s="408">
        <v>42299.497842216661</v>
      </c>
      <c r="BH733" s="408">
        <v>0</v>
      </c>
      <c r="BI733" s="408">
        <v>6503.93</v>
      </c>
      <c r="BJ733" s="408">
        <v>30089.69</v>
      </c>
      <c r="BK733" s="408">
        <v>71383.67</v>
      </c>
      <c r="BL733" s="408">
        <v>10184</v>
      </c>
      <c r="BM733" s="408"/>
      <c r="BN733" s="408"/>
      <c r="BO733" s="408"/>
      <c r="BP733" s="408"/>
      <c r="BQ733" s="408"/>
      <c r="BR733" s="408">
        <v>142460.6274</v>
      </c>
      <c r="BS733" s="408"/>
      <c r="BT733" s="408"/>
      <c r="BU733" s="408"/>
      <c r="BV733" s="408">
        <v>420895.13026893081</v>
      </c>
      <c r="BW733" s="408"/>
      <c r="BX733" s="408"/>
      <c r="BY733" s="408"/>
      <c r="BZ733" s="408"/>
      <c r="CA733" s="408"/>
      <c r="CB733" s="408"/>
      <c r="CC733" s="408"/>
      <c r="CD733" s="408"/>
      <c r="CE733" s="408"/>
      <c r="CF733" s="408"/>
      <c r="CG733" s="408"/>
      <c r="CH733" s="408"/>
      <c r="CI733" s="408">
        <v>1044787.1616000001</v>
      </c>
      <c r="CJ733" s="408">
        <v>-338995.7598</v>
      </c>
      <c r="CK733" s="408"/>
      <c r="CL733" s="408"/>
      <c r="CM733" s="408"/>
      <c r="CN733" s="408"/>
      <c r="CO733" s="408">
        <v>-433483.75980000012</v>
      </c>
      <c r="CP733" s="408">
        <v>48245.815799999997</v>
      </c>
      <c r="CQ733" s="408">
        <v>30</v>
      </c>
      <c r="CR733" s="408">
        <v>53063.291456674109</v>
      </c>
      <c r="CS733" s="408">
        <v>1281.8452967998728</v>
      </c>
      <c r="CT733" s="408">
        <v>4197.8700266467567</v>
      </c>
      <c r="CU733" s="408">
        <v>0</v>
      </c>
      <c r="CV733" s="408">
        <v>0</v>
      </c>
      <c r="CW733" s="408">
        <v>0</v>
      </c>
      <c r="CX733" s="408">
        <v>0</v>
      </c>
      <c r="CY733" s="408">
        <v>0</v>
      </c>
      <c r="CZ733" s="408">
        <v>-1502.9357318557741</v>
      </c>
      <c r="DA733" s="408">
        <v>0</v>
      </c>
      <c r="DB733" s="408">
        <v>0</v>
      </c>
      <c r="DC733" s="408">
        <v>47030.300417780934</v>
      </c>
      <c r="DD733" s="408">
        <v>1404.4864956867223</v>
      </c>
      <c r="DE733" s="408">
        <v>162.14676724082733</v>
      </c>
      <c r="DF733" s="408">
        <v>0</v>
      </c>
      <c r="DG733" s="408">
        <v>5429.6080443117826</v>
      </c>
      <c r="DH733" s="408">
        <v>0</v>
      </c>
      <c r="DI733" s="408">
        <v>-4068.9591120614496</v>
      </c>
      <c r="DJ733" s="408"/>
      <c r="DK733" s="408">
        <v>0</v>
      </c>
      <c r="DL733" s="408">
        <v>0</v>
      </c>
      <c r="DM733" s="408">
        <v>-204.87412073128871</v>
      </c>
      <c r="DN733" s="408">
        <v>0</v>
      </c>
      <c r="DO733" s="408">
        <v>-557.34390355971482</v>
      </c>
      <c r="DP733" s="408">
        <v>-108.85272358470684</v>
      </c>
      <c r="DQ733" s="408">
        <v>0</v>
      </c>
      <c r="DR733" s="408">
        <v>0</v>
      </c>
      <c r="DS733" s="408"/>
      <c r="DT733" s="408"/>
      <c r="DU733" s="408"/>
      <c r="DV733" s="408">
        <v>827887.71475144371</v>
      </c>
      <c r="DW733" s="408">
        <v>0</v>
      </c>
      <c r="DX733" s="408">
        <v>0</v>
      </c>
      <c r="DY733" s="408">
        <v>-433483.75980000023</v>
      </c>
      <c r="DZ733" s="408">
        <v>48245.815799999982</v>
      </c>
      <c r="EA733" s="408">
        <v>0</v>
      </c>
      <c r="EB733" s="408">
        <v>0</v>
      </c>
      <c r="EC733" s="408">
        <v>-438322.65410137223</v>
      </c>
      <c r="ED733" s="408">
        <v>0</v>
      </c>
      <c r="EE733" s="408">
        <v>0</v>
      </c>
      <c r="EF733" s="408">
        <v>0</v>
      </c>
      <c r="EG733" s="408">
        <v>0</v>
      </c>
      <c r="EH733" s="408">
        <v>0</v>
      </c>
      <c r="EI733" s="408">
        <v>0</v>
      </c>
      <c r="EJ733" s="408">
        <v>0</v>
      </c>
      <c r="EK733" s="408">
        <v>0</v>
      </c>
      <c r="EL733" s="408">
        <v>0</v>
      </c>
      <c r="EM733" s="408">
        <v>0</v>
      </c>
      <c r="EN733" s="408">
        <v>0</v>
      </c>
      <c r="EO733" s="408">
        <v>0</v>
      </c>
      <c r="EP733" s="408">
        <v>0</v>
      </c>
      <c r="EQ733" s="408">
        <v>0</v>
      </c>
      <c r="ER733" s="408">
        <v>0</v>
      </c>
      <c r="ES733" s="408">
        <v>0</v>
      </c>
      <c r="ET733" s="408">
        <v>0</v>
      </c>
      <c r="EU733" s="408">
        <v>0</v>
      </c>
      <c r="EV733" s="408">
        <v>239</v>
      </c>
      <c r="EW733" s="408">
        <v>0</v>
      </c>
      <c r="EX733" s="408">
        <v>0</v>
      </c>
      <c r="EY733" s="408">
        <v>0</v>
      </c>
      <c r="EZ733" s="408"/>
      <c r="FA733" s="408">
        <v>0</v>
      </c>
      <c r="FB733" s="408"/>
      <c r="FC733" s="408"/>
      <c r="FD733" s="408"/>
      <c r="FE733" s="408"/>
      <c r="FF733" s="408">
        <v>0</v>
      </c>
      <c r="FG733" s="408">
        <v>0</v>
      </c>
      <c r="FH733" s="408">
        <v>0</v>
      </c>
      <c r="FI733" s="408">
        <v>0</v>
      </c>
    </row>
    <row r="734" spans="1:165">
      <c r="A734" s="408">
        <v>740</v>
      </c>
      <c r="B734" s="408" t="s">
        <v>2235</v>
      </c>
      <c r="C734" s="408" t="s">
        <v>2233</v>
      </c>
      <c r="D734" s="408" t="s">
        <v>2243</v>
      </c>
      <c r="E734" s="408" t="s">
        <v>972</v>
      </c>
      <c r="F734" s="408" t="s">
        <v>1320</v>
      </c>
      <c r="G734" s="408" t="s">
        <v>1320</v>
      </c>
      <c r="H734" s="408" t="s">
        <v>1320</v>
      </c>
      <c r="I734" s="408" t="s">
        <v>1320</v>
      </c>
      <c r="J734" s="408" t="s">
        <v>2234</v>
      </c>
      <c r="K734" s="827">
        <v>44713</v>
      </c>
      <c r="L734" s="408">
        <v>0</v>
      </c>
      <c r="M734" s="408">
        <v>0</v>
      </c>
      <c r="N734" s="408">
        <v>-4.585</v>
      </c>
      <c r="O734" s="408">
        <v>-4.585</v>
      </c>
      <c r="P734" s="408">
        <v>-4.585</v>
      </c>
      <c r="Q734" s="408">
        <v>-4.585</v>
      </c>
      <c r="R734" s="408"/>
      <c r="S734" s="408">
        <v>516.83000000000004</v>
      </c>
      <c r="T734" s="408">
        <v>173.82</v>
      </c>
      <c r="U734" s="408"/>
      <c r="V734" s="408">
        <v>-3166.6302500000002</v>
      </c>
      <c r="W734" s="408">
        <v>-3166.6302500000002</v>
      </c>
      <c r="X734" s="408">
        <v>-2390.84825</v>
      </c>
      <c r="Y734" s="408">
        <v>0</v>
      </c>
      <c r="Z734" s="408">
        <v>-280.37025465053864</v>
      </c>
      <c r="AA734" s="408">
        <v>0</v>
      </c>
      <c r="AB734" s="408">
        <v>0</v>
      </c>
      <c r="AC734" s="408">
        <v>-12.46406607649714</v>
      </c>
      <c r="AD734" s="408">
        <v>-157.8460138286726</v>
      </c>
      <c r="AE734" s="408">
        <v>-1667.1784208393149</v>
      </c>
      <c r="AF734" s="408">
        <v>-737.82799145749777</v>
      </c>
      <c r="AG734" s="408">
        <v>-37.119542822625952</v>
      </c>
      <c r="AH734" s="408">
        <v>0</v>
      </c>
      <c r="AI734" s="408">
        <v>0</v>
      </c>
      <c r="AJ734" s="408">
        <v>0</v>
      </c>
      <c r="AK734" s="408">
        <v>0</v>
      </c>
      <c r="AL734" s="408">
        <v>-43.335112175184214</v>
      </c>
      <c r="AM734" s="408"/>
      <c r="AN734" s="408">
        <v>-7.1138199546858285</v>
      </c>
      <c r="AO734" s="408">
        <v>-26.586139827335991</v>
      </c>
      <c r="AP734" s="408">
        <v>-87.066013179626808</v>
      </c>
      <c r="AQ734" s="408">
        <v>0</v>
      </c>
      <c r="AR734" s="408">
        <v>0</v>
      </c>
      <c r="AS734" s="408">
        <v>0</v>
      </c>
      <c r="AT734" s="408">
        <v>0</v>
      </c>
      <c r="AU734" s="408">
        <v>0</v>
      </c>
      <c r="AV734" s="408">
        <v>0</v>
      </c>
      <c r="AW734" s="408">
        <v>0</v>
      </c>
      <c r="AX734" s="408">
        <v>0</v>
      </c>
      <c r="AY734" s="408">
        <v>0</v>
      </c>
      <c r="AZ734" s="408">
        <v>0</v>
      </c>
      <c r="BA734" s="408"/>
      <c r="BB734" s="408">
        <v>0</v>
      </c>
      <c r="BC734" s="408">
        <v>0</v>
      </c>
      <c r="BD734" s="408">
        <v>0</v>
      </c>
      <c r="BE734" s="408">
        <v>-2.5438158491839062</v>
      </c>
      <c r="BF734" s="408">
        <v>-22.034081027259738</v>
      </c>
      <c r="BG734" s="408">
        <v>-85.181611900178041</v>
      </c>
      <c r="BH734" s="408">
        <v>0</v>
      </c>
      <c r="BI734" s="408">
        <v>-14.43</v>
      </c>
      <c r="BJ734" s="408">
        <v>-66.53</v>
      </c>
      <c r="BK734" s="408">
        <v>-25.93</v>
      </c>
      <c r="BL734" s="408">
        <v>0</v>
      </c>
      <c r="BM734" s="408"/>
      <c r="BN734" s="408"/>
      <c r="BO734" s="408"/>
      <c r="BP734" s="408"/>
      <c r="BQ734" s="408"/>
      <c r="BR734" s="408">
        <v>-286.88344999999998</v>
      </c>
      <c r="BS734" s="408"/>
      <c r="BT734" s="408"/>
      <c r="BU734" s="408"/>
      <c r="BV734" s="408">
        <v>-847.58750023411949</v>
      </c>
      <c r="BW734" s="408"/>
      <c r="BX734" s="408"/>
      <c r="BY734" s="408"/>
      <c r="BZ734" s="408"/>
      <c r="CA734" s="408"/>
      <c r="CB734" s="408"/>
      <c r="CC734" s="408"/>
      <c r="CD734" s="408"/>
      <c r="CE734" s="408"/>
      <c r="CF734" s="408"/>
      <c r="CG734" s="408"/>
      <c r="CH734" s="408"/>
      <c r="CI734" s="408">
        <v>-2106.2592</v>
      </c>
      <c r="CJ734" s="408">
        <v>680.33624999999893</v>
      </c>
      <c r="CK734" s="408"/>
      <c r="CL734" s="408"/>
      <c r="CM734" s="408"/>
      <c r="CN734" s="408"/>
      <c r="CO734" s="408">
        <v>872.93815000000018</v>
      </c>
      <c r="CP734" s="408">
        <v>-97.156149999999982</v>
      </c>
      <c r="CQ734" s="408">
        <v>30</v>
      </c>
      <c r="CR734" s="408">
        <v>-106.85745527922745</v>
      </c>
      <c r="CS734" s="408">
        <v>-2.5813462135027905</v>
      </c>
      <c r="CT734" s="408">
        <v>-8.4535598212310816</v>
      </c>
      <c r="CU734" s="408">
        <v>0</v>
      </c>
      <c r="CV734" s="408">
        <v>0</v>
      </c>
      <c r="CW734" s="408">
        <v>0</v>
      </c>
      <c r="CX734" s="408">
        <v>0</v>
      </c>
      <c r="CY734" s="408">
        <v>0</v>
      </c>
      <c r="CZ734" s="408">
        <v>3.026572294058667</v>
      </c>
      <c r="DA734" s="408">
        <v>0</v>
      </c>
      <c r="DB734" s="408">
        <v>0</v>
      </c>
      <c r="DC734" s="408">
        <v>-94.708377217138604</v>
      </c>
      <c r="DD734" s="408">
        <v>-2.8283178216651343</v>
      </c>
      <c r="DE734" s="408">
        <v>-0.32652687862861063</v>
      </c>
      <c r="DF734" s="408">
        <v>0</v>
      </c>
      <c r="DG734" s="408">
        <v>-10.934001319019302</v>
      </c>
      <c r="DH734" s="408">
        <v>0</v>
      </c>
      <c r="DI734" s="408">
        <v>8.1939624251375562</v>
      </c>
      <c r="DJ734" s="408"/>
      <c r="DK734" s="408">
        <v>0</v>
      </c>
      <c r="DL734" s="408">
        <v>0</v>
      </c>
      <c r="DM734" s="408">
        <v>0.412570094936342</v>
      </c>
      <c r="DN734" s="408">
        <v>0</v>
      </c>
      <c r="DO734" s="408">
        <v>1.122364437162922</v>
      </c>
      <c r="DP734" s="408">
        <v>0.21920474066280171</v>
      </c>
      <c r="DQ734" s="408">
        <v>0</v>
      </c>
      <c r="DR734" s="408">
        <v>0</v>
      </c>
      <c r="DS734" s="408"/>
      <c r="DT734" s="408"/>
      <c r="DU734" s="408"/>
      <c r="DV734" s="408">
        <v>-1667.1784208393149</v>
      </c>
      <c r="DW734" s="408">
        <v>0</v>
      </c>
      <c r="DX734" s="408">
        <v>0</v>
      </c>
      <c r="DY734" s="408">
        <v>872.93815000000018</v>
      </c>
      <c r="DZ734" s="408">
        <v>-97.156149999999911</v>
      </c>
      <c r="EA734" s="408">
        <v>0</v>
      </c>
      <c r="EB734" s="408">
        <v>0</v>
      </c>
      <c r="EC734" s="408">
        <v>882.68258758039337</v>
      </c>
      <c r="ED734" s="408">
        <v>0</v>
      </c>
      <c r="EE734" s="408">
        <v>0</v>
      </c>
      <c r="EF734" s="408">
        <v>0</v>
      </c>
      <c r="EG734" s="408">
        <v>0</v>
      </c>
      <c r="EH734" s="408">
        <v>0</v>
      </c>
      <c r="EI734" s="408">
        <v>0</v>
      </c>
      <c r="EJ734" s="408">
        <v>0</v>
      </c>
      <c r="EK734" s="408">
        <v>0</v>
      </c>
      <c r="EL734" s="408">
        <v>0</v>
      </c>
      <c r="EM734" s="408">
        <v>0</v>
      </c>
      <c r="EN734" s="408">
        <v>0</v>
      </c>
      <c r="EO734" s="408">
        <v>0</v>
      </c>
      <c r="EP734" s="408">
        <v>0</v>
      </c>
      <c r="EQ734" s="408">
        <v>0</v>
      </c>
      <c r="ER734" s="408">
        <v>0</v>
      </c>
      <c r="ES734" s="408">
        <v>0</v>
      </c>
      <c r="ET734" s="408">
        <v>0</v>
      </c>
      <c r="EU734" s="408">
        <v>0</v>
      </c>
      <c r="EV734" s="408">
        <v>239</v>
      </c>
      <c r="EW734" s="408">
        <v>0</v>
      </c>
      <c r="EX734" s="408">
        <v>0</v>
      </c>
      <c r="EY734" s="408">
        <v>0</v>
      </c>
      <c r="EZ734" s="408"/>
      <c r="FA734" s="408">
        <v>0</v>
      </c>
      <c r="FB734" s="408"/>
      <c r="FC734" s="408"/>
      <c r="FD734" s="408"/>
      <c r="FE734" s="408"/>
      <c r="FF734" s="408">
        <v>0</v>
      </c>
      <c r="FG734" s="408">
        <v>0</v>
      </c>
      <c r="FH734" s="408">
        <v>0</v>
      </c>
      <c r="FI734" s="408">
        <v>0</v>
      </c>
    </row>
    <row r="735" spans="1:165">
      <c r="A735" s="408">
        <v>741</v>
      </c>
      <c r="B735" s="408" t="s">
        <v>2236</v>
      </c>
      <c r="C735" s="408" t="s">
        <v>2233</v>
      </c>
      <c r="D735" s="408" t="s">
        <v>2243</v>
      </c>
      <c r="E735" s="408" t="s">
        <v>972</v>
      </c>
      <c r="F735" s="408" t="s">
        <v>1320</v>
      </c>
      <c r="G735" s="408" t="s">
        <v>1320</v>
      </c>
      <c r="H735" s="408" t="s">
        <v>1320</v>
      </c>
      <c r="I735" s="408" t="s">
        <v>1320</v>
      </c>
      <c r="J735" s="408" t="s">
        <v>2234</v>
      </c>
      <c r="K735" s="827">
        <v>44713</v>
      </c>
      <c r="L735" s="408">
        <v>0</v>
      </c>
      <c r="M735" s="408">
        <v>0</v>
      </c>
      <c r="N735" s="408">
        <v>68.031999999999996</v>
      </c>
      <c r="O735" s="408">
        <v>68.031999999999996</v>
      </c>
      <c r="P735" s="408">
        <v>68.031999999999996</v>
      </c>
      <c r="Q735" s="408">
        <v>68.031999999999996</v>
      </c>
      <c r="R735" s="408"/>
      <c r="S735" s="408">
        <v>516.83000000000004</v>
      </c>
      <c r="T735" s="408">
        <v>173.82</v>
      </c>
      <c r="U735" s="408"/>
      <c r="V735" s="408">
        <v>46986.300800000005</v>
      </c>
      <c r="W735" s="408">
        <v>46986.300800000005</v>
      </c>
      <c r="X735" s="408">
        <v>35475.286399999997</v>
      </c>
      <c r="Y735" s="408">
        <v>0</v>
      </c>
      <c r="Z735" s="408">
        <v>4160.1197741298683</v>
      </c>
      <c r="AA735" s="408">
        <v>0</v>
      </c>
      <c r="AB735" s="408">
        <v>0</v>
      </c>
      <c r="AC735" s="408">
        <v>184.94118720092766</v>
      </c>
      <c r="AD735" s="408">
        <v>2342.1112350691938</v>
      </c>
      <c r="AE735" s="408">
        <v>24737.509776780866</v>
      </c>
      <c r="AF735" s="408">
        <v>10947.854725155177</v>
      </c>
      <c r="AG735" s="408">
        <v>550.7779143530837</v>
      </c>
      <c r="AH735" s="408">
        <v>0</v>
      </c>
      <c r="AI735" s="408">
        <v>0</v>
      </c>
      <c r="AJ735" s="408">
        <v>0</v>
      </c>
      <c r="AK735" s="408">
        <v>0</v>
      </c>
      <c r="AL735" s="408">
        <v>643.00422061115205</v>
      </c>
      <c r="AM735" s="408"/>
      <c r="AN735" s="408">
        <v>105.5545036329741</v>
      </c>
      <c r="AO735" s="408">
        <v>394.48380910214223</v>
      </c>
      <c r="AP735" s="408">
        <v>1291.8811360166567</v>
      </c>
      <c r="AQ735" s="408">
        <v>0</v>
      </c>
      <c r="AR735" s="408">
        <v>0</v>
      </c>
      <c r="AS735" s="408">
        <v>0</v>
      </c>
      <c r="AT735" s="408">
        <v>0</v>
      </c>
      <c r="AU735" s="408">
        <v>0</v>
      </c>
      <c r="AV735" s="408">
        <v>0</v>
      </c>
      <c r="AW735" s="408">
        <v>0</v>
      </c>
      <c r="AX735" s="408">
        <v>0</v>
      </c>
      <c r="AY735" s="408">
        <v>0</v>
      </c>
      <c r="AZ735" s="408">
        <v>0</v>
      </c>
      <c r="BA735" s="408"/>
      <c r="BB735" s="408">
        <v>0</v>
      </c>
      <c r="BC735" s="408">
        <v>0</v>
      </c>
      <c r="BD735" s="408">
        <v>0</v>
      </c>
      <c r="BE735" s="408">
        <v>37.745011963288874</v>
      </c>
      <c r="BF735" s="408">
        <v>326.94058897416238</v>
      </c>
      <c r="BG735" s="408">
        <v>1263.9204843605041</v>
      </c>
      <c r="BH735" s="408">
        <v>0</v>
      </c>
      <c r="BI735" s="408">
        <v>210.35</v>
      </c>
      <c r="BJ735" s="408">
        <v>974.14</v>
      </c>
      <c r="BK735" s="408">
        <v>2201.4499999999998</v>
      </c>
      <c r="BL735" s="408">
        <v>329</v>
      </c>
      <c r="BM735" s="408"/>
      <c r="BN735" s="408"/>
      <c r="BO735" s="408"/>
      <c r="BP735" s="408"/>
      <c r="BQ735" s="408"/>
      <c r="BR735" s="408">
        <v>4256.7622399999991</v>
      </c>
      <c r="BS735" s="408"/>
      <c r="BT735" s="408"/>
      <c r="BU735" s="408"/>
      <c r="BV735" s="408">
        <v>12576.460810453133</v>
      </c>
      <c r="BW735" s="408"/>
      <c r="BX735" s="408"/>
      <c r="BY735" s="408"/>
      <c r="BZ735" s="408"/>
      <c r="CA735" s="408"/>
      <c r="CB735" s="408"/>
      <c r="CC735" s="408"/>
      <c r="CD735" s="408"/>
      <c r="CE735" s="408"/>
      <c r="CF735" s="408"/>
      <c r="CG735" s="408"/>
      <c r="CH735" s="408"/>
      <c r="CI735" s="408">
        <v>31217.606400000001</v>
      </c>
      <c r="CJ735" s="408">
        <v>-10130.232240000001</v>
      </c>
      <c r="CK735" s="408"/>
      <c r="CL735" s="408"/>
      <c r="CM735" s="408"/>
      <c r="CN735" s="408"/>
      <c r="CO735" s="408">
        <v>-12952.612480000002</v>
      </c>
      <c r="CP735" s="408">
        <v>1441.5980799999998</v>
      </c>
      <c r="CQ735" s="408">
        <v>30</v>
      </c>
      <c r="CR735" s="408">
        <v>1585.5455610809986</v>
      </c>
      <c r="CS735" s="408">
        <v>38.301885626395176</v>
      </c>
      <c r="CT735" s="408">
        <v>125.43349656662895</v>
      </c>
      <c r="CU735" s="408">
        <v>0</v>
      </c>
      <c r="CV735" s="408">
        <v>0</v>
      </c>
      <c r="CW735" s="408">
        <v>0</v>
      </c>
      <c r="CX735" s="408">
        <v>0</v>
      </c>
      <c r="CY735" s="408">
        <v>0</v>
      </c>
      <c r="CZ735" s="408">
        <v>-44.90812787555069</v>
      </c>
      <c r="DA735" s="408">
        <v>0</v>
      </c>
      <c r="DB735" s="408">
        <v>0</v>
      </c>
      <c r="DC735" s="408">
        <v>1405.2781502369398</v>
      </c>
      <c r="DD735" s="408">
        <v>41.9664379593288</v>
      </c>
      <c r="DE735" s="408">
        <v>4.8449894453351519</v>
      </c>
      <c r="DF735" s="408">
        <v>0</v>
      </c>
      <c r="DG735" s="408">
        <v>162.23816308299274</v>
      </c>
      <c r="DH735" s="408">
        <v>0</v>
      </c>
      <c r="DI735" s="408">
        <v>-121.58160342572728</v>
      </c>
      <c r="DJ735" s="408"/>
      <c r="DK735" s="408">
        <v>0</v>
      </c>
      <c r="DL735" s="408">
        <v>0</v>
      </c>
      <c r="DM735" s="408">
        <v>-6.1216943726738009</v>
      </c>
      <c r="DN735" s="408">
        <v>0</v>
      </c>
      <c r="DO735" s="408">
        <v>-16.65358721680866</v>
      </c>
      <c r="DP735" s="408">
        <v>-3.2525489458607808</v>
      </c>
      <c r="DQ735" s="408">
        <v>0</v>
      </c>
      <c r="DR735" s="408">
        <v>0</v>
      </c>
      <c r="DS735" s="408"/>
      <c r="DT735" s="408"/>
      <c r="DU735" s="408"/>
      <c r="DV735" s="408">
        <v>24737.509776780866</v>
      </c>
      <c r="DW735" s="408">
        <v>0</v>
      </c>
      <c r="DX735" s="408">
        <v>0</v>
      </c>
      <c r="DY735" s="408">
        <v>-12952.612480000003</v>
      </c>
      <c r="DZ735" s="408">
        <v>1441.5980799999998</v>
      </c>
      <c r="EA735" s="408">
        <v>0</v>
      </c>
      <c r="EB735" s="408">
        <v>0</v>
      </c>
      <c r="EC735" s="408">
        <v>-13097.199956002034</v>
      </c>
      <c r="ED735" s="408">
        <v>0</v>
      </c>
      <c r="EE735" s="408">
        <v>0</v>
      </c>
      <c r="EF735" s="408">
        <v>0</v>
      </c>
      <c r="EG735" s="408">
        <v>0</v>
      </c>
      <c r="EH735" s="408">
        <v>0</v>
      </c>
      <c r="EI735" s="408">
        <v>0</v>
      </c>
      <c r="EJ735" s="408">
        <v>0</v>
      </c>
      <c r="EK735" s="408">
        <v>0</v>
      </c>
      <c r="EL735" s="408">
        <v>0</v>
      </c>
      <c r="EM735" s="408">
        <v>0</v>
      </c>
      <c r="EN735" s="408">
        <v>0</v>
      </c>
      <c r="EO735" s="408">
        <v>0</v>
      </c>
      <c r="EP735" s="408">
        <v>0</v>
      </c>
      <c r="EQ735" s="408">
        <v>0</v>
      </c>
      <c r="ER735" s="408">
        <v>0</v>
      </c>
      <c r="ES735" s="408">
        <v>0</v>
      </c>
      <c r="ET735" s="408">
        <v>0</v>
      </c>
      <c r="EU735" s="408">
        <v>0</v>
      </c>
      <c r="EV735" s="408">
        <v>239</v>
      </c>
      <c r="EW735" s="408">
        <v>0</v>
      </c>
      <c r="EX735" s="408">
        <v>0</v>
      </c>
      <c r="EY735" s="408">
        <v>0</v>
      </c>
      <c r="EZ735" s="408"/>
      <c r="FA735" s="408">
        <v>0</v>
      </c>
      <c r="FB735" s="408"/>
      <c r="FC735" s="408"/>
      <c r="FD735" s="408"/>
      <c r="FE735" s="408"/>
      <c r="FF735" s="408">
        <v>0</v>
      </c>
      <c r="FG735" s="408">
        <v>0</v>
      </c>
      <c r="FH735" s="408">
        <v>0</v>
      </c>
      <c r="FI735" s="408">
        <v>0</v>
      </c>
    </row>
    <row r="736" spans="1:165">
      <c r="A736" s="408">
        <v>742</v>
      </c>
      <c r="B736" s="408" t="s">
        <v>2236</v>
      </c>
      <c r="C736" s="408" t="s">
        <v>2233</v>
      </c>
      <c r="D736" s="408" t="s">
        <v>2243</v>
      </c>
      <c r="E736" s="408" t="s">
        <v>972</v>
      </c>
      <c r="F736" s="408" t="s">
        <v>1320</v>
      </c>
      <c r="G736" s="408" t="s">
        <v>1320</v>
      </c>
      <c r="H736" s="408" t="s">
        <v>1320</v>
      </c>
      <c r="I736" s="408" t="s">
        <v>1320</v>
      </c>
      <c r="J736" s="408" t="s">
        <v>2234</v>
      </c>
      <c r="K736" s="827">
        <v>44713</v>
      </c>
      <c r="L736" s="408">
        <v>0</v>
      </c>
      <c r="M736" s="408">
        <v>0</v>
      </c>
      <c r="N736" s="408">
        <v>0</v>
      </c>
      <c r="O736" s="408">
        <v>0</v>
      </c>
      <c r="P736" s="408">
        <v>0</v>
      </c>
      <c r="Q736" s="408">
        <v>0</v>
      </c>
      <c r="R736" s="408"/>
      <c r="S736" s="408"/>
      <c r="T736" s="408"/>
      <c r="U736" s="408"/>
      <c r="V736" s="408"/>
      <c r="W736" s="408"/>
      <c r="X736" s="408"/>
      <c r="Y736" s="408"/>
      <c r="Z736" s="408"/>
      <c r="AA736" s="408">
        <v>0</v>
      </c>
      <c r="AB736" s="408"/>
      <c r="AC736" s="408"/>
      <c r="AD736" s="408"/>
      <c r="AE736" s="408"/>
      <c r="AF736" s="408"/>
      <c r="AG736" s="408"/>
      <c r="AH736" s="408"/>
      <c r="AI736" s="408"/>
      <c r="AJ736" s="408"/>
      <c r="AK736" s="408"/>
      <c r="AL736" s="408"/>
      <c r="AM736" s="408"/>
      <c r="AN736" s="408"/>
      <c r="AO736" s="408"/>
      <c r="AP736" s="408"/>
      <c r="AQ736" s="408"/>
      <c r="AR736" s="408"/>
      <c r="AS736" s="408"/>
      <c r="AT736" s="408"/>
      <c r="AU736" s="408"/>
      <c r="AV736" s="408"/>
      <c r="AW736" s="408"/>
      <c r="AX736" s="408"/>
      <c r="AY736" s="408"/>
      <c r="AZ736" s="408">
        <v>0</v>
      </c>
      <c r="BA736" s="408"/>
      <c r="BB736" s="408"/>
      <c r="BC736" s="408"/>
      <c r="BD736" s="408"/>
      <c r="BE736" s="408"/>
      <c r="BF736" s="408"/>
      <c r="BG736" s="408"/>
      <c r="BH736" s="408"/>
      <c r="BI736" s="408">
        <v>0</v>
      </c>
      <c r="BJ736" s="408">
        <v>0</v>
      </c>
      <c r="BK736" s="408">
        <v>-0.84</v>
      </c>
      <c r="BL736" s="408">
        <v>2</v>
      </c>
      <c r="BM736" s="408"/>
      <c r="BN736" s="408"/>
      <c r="BO736" s="408"/>
      <c r="BP736" s="408"/>
      <c r="BQ736" s="408"/>
      <c r="BR736" s="408"/>
      <c r="BS736" s="408"/>
      <c r="BT736" s="408"/>
      <c r="BU736" s="408"/>
      <c r="BV736" s="408"/>
      <c r="BW736" s="408"/>
      <c r="BX736" s="408"/>
      <c r="BY736" s="408"/>
      <c r="BZ736" s="408"/>
      <c r="CA736" s="408"/>
      <c r="CB736" s="408"/>
      <c r="CC736" s="408"/>
      <c r="CD736" s="408"/>
      <c r="CE736" s="408"/>
      <c r="CF736" s="408"/>
      <c r="CG736" s="408"/>
      <c r="CH736" s="408"/>
      <c r="CI736" s="408"/>
      <c r="CJ736" s="408">
        <v>-0.03</v>
      </c>
      <c r="CK736" s="408"/>
      <c r="CL736" s="408"/>
      <c r="CM736" s="408"/>
      <c r="CN736" s="408"/>
      <c r="CO736" s="408">
        <v>0</v>
      </c>
      <c r="CP736" s="408">
        <v>0</v>
      </c>
      <c r="CQ736" s="408">
        <v>30</v>
      </c>
      <c r="CR736" s="408"/>
      <c r="CS736" s="408"/>
      <c r="CT736" s="408"/>
      <c r="CU736" s="408"/>
      <c r="CV736" s="408"/>
      <c r="CW736" s="408"/>
      <c r="CX736" s="408"/>
      <c r="CY736" s="408"/>
      <c r="CZ736" s="408"/>
      <c r="DA736" s="408"/>
      <c r="DB736" s="408"/>
      <c r="DC736" s="408"/>
      <c r="DD736" s="408"/>
      <c r="DE736" s="408"/>
      <c r="DF736" s="408"/>
      <c r="DG736" s="408"/>
      <c r="DH736" s="408"/>
      <c r="DI736" s="408"/>
      <c r="DJ736" s="408"/>
      <c r="DK736" s="408">
        <v>0</v>
      </c>
      <c r="DL736" s="408"/>
      <c r="DM736" s="408"/>
      <c r="DN736" s="408"/>
      <c r="DO736" s="408"/>
      <c r="DP736" s="408"/>
      <c r="DQ736" s="408"/>
      <c r="DR736" s="408"/>
      <c r="DS736" s="408"/>
      <c r="DT736" s="408"/>
      <c r="DU736" s="408"/>
      <c r="DV736" s="408"/>
      <c r="DW736" s="408"/>
      <c r="DX736" s="408"/>
      <c r="DY736" s="408"/>
      <c r="DZ736" s="408"/>
      <c r="EA736" s="408"/>
      <c r="EB736" s="408"/>
      <c r="EC736" s="408"/>
      <c r="ED736" s="408"/>
      <c r="EE736" s="408"/>
      <c r="EF736" s="408"/>
      <c r="EG736" s="408"/>
      <c r="EH736" s="408"/>
      <c r="EI736" s="408"/>
      <c r="EJ736" s="408"/>
      <c r="EK736" s="408"/>
      <c r="EL736" s="408"/>
      <c r="EM736" s="408"/>
      <c r="EN736" s="408"/>
      <c r="EO736" s="408"/>
      <c r="EP736" s="408"/>
      <c r="EQ736" s="408"/>
      <c r="ER736" s="408"/>
      <c r="ES736" s="408"/>
      <c r="ET736" s="408"/>
      <c r="EU736" s="408"/>
      <c r="EV736" s="408">
        <v>239</v>
      </c>
      <c r="EW736" s="408"/>
      <c r="EX736" s="408"/>
      <c r="EY736" s="408"/>
      <c r="EZ736" s="408"/>
      <c r="FA736" s="408">
        <v>0</v>
      </c>
      <c r="FB736" s="408"/>
      <c r="FC736" s="408"/>
      <c r="FD736" s="408"/>
      <c r="FE736" s="408"/>
      <c r="FF736" s="408">
        <v>0</v>
      </c>
      <c r="FG736" s="408">
        <v>0</v>
      </c>
      <c r="FH736" s="408">
        <v>0</v>
      </c>
      <c r="FI736" s="408">
        <v>0</v>
      </c>
    </row>
    <row r="737" spans="1:165">
      <c r="A737" s="408">
        <v>743</v>
      </c>
      <c r="B737" s="408" t="s">
        <v>1034</v>
      </c>
      <c r="C737" s="408" t="s">
        <v>2241</v>
      </c>
      <c r="D737" s="408" t="s">
        <v>596</v>
      </c>
      <c r="E737" s="408" t="s">
        <v>972</v>
      </c>
      <c r="F737" s="408" t="s">
        <v>1320</v>
      </c>
      <c r="G737" s="408" t="s">
        <v>1320</v>
      </c>
      <c r="H737" s="408" t="s">
        <v>1320</v>
      </c>
      <c r="I737" s="408" t="s">
        <v>971</v>
      </c>
      <c r="J737" s="408" t="s">
        <v>2234</v>
      </c>
      <c r="K737" s="827">
        <v>44713</v>
      </c>
      <c r="L737" s="408">
        <v>0</v>
      </c>
      <c r="M737" s="408">
        <v>0</v>
      </c>
      <c r="N737" s="408">
        <v>38.819000000000003</v>
      </c>
      <c r="O737" s="408">
        <v>37.266240000000003</v>
      </c>
      <c r="P737" s="408">
        <v>38.819000000000003</v>
      </c>
      <c r="Q737" s="408">
        <v>37.266240000000003</v>
      </c>
      <c r="R737" s="408"/>
      <c r="S737" s="408">
        <v>1684.16</v>
      </c>
      <c r="T737" s="408">
        <v>173.82</v>
      </c>
      <c r="U737" s="408"/>
      <c r="V737" s="408">
        <v>72124.925620000009</v>
      </c>
      <c r="W737" s="408">
        <v>72124.925620000009</v>
      </c>
      <c r="X737" s="408">
        <v>49512.081740000001</v>
      </c>
      <c r="Y737" s="408">
        <v>0</v>
      </c>
      <c r="Z737" s="408">
        <v>2065.1718290715316</v>
      </c>
      <c r="AA737" s="408">
        <v>0</v>
      </c>
      <c r="AB737" s="408">
        <v>0</v>
      </c>
      <c r="AC737" s="408">
        <v>698.71870315506862</v>
      </c>
      <c r="AD737" s="408">
        <v>10659.151184839624</v>
      </c>
      <c r="AE737" s="408">
        <v>44963.754829885642</v>
      </c>
      <c r="AF737" s="408">
        <v>6246.836379583121</v>
      </c>
      <c r="AG737" s="408">
        <v>314.27339865463836</v>
      </c>
      <c r="AH737" s="408">
        <v>0</v>
      </c>
      <c r="AI737" s="408">
        <v>0</v>
      </c>
      <c r="AJ737" s="408">
        <v>0</v>
      </c>
      <c r="AK737" s="408">
        <v>0</v>
      </c>
      <c r="AL737" s="408">
        <v>366.89764875212131</v>
      </c>
      <c r="AM737" s="408"/>
      <c r="AN737" s="408">
        <v>48.241561710983788</v>
      </c>
      <c r="AO737" s="408">
        <v>1500.5928395370393</v>
      </c>
      <c r="AP737" s="408">
        <v>4825.1501098895205</v>
      </c>
      <c r="AQ737" s="408">
        <v>0</v>
      </c>
      <c r="AR737" s="408">
        <v>0</v>
      </c>
      <c r="AS737" s="408">
        <v>0</v>
      </c>
      <c r="AT737" s="408">
        <v>0</v>
      </c>
      <c r="AU737" s="408">
        <v>0</v>
      </c>
      <c r="AV737" s="408">
        <v>0</v>
      </c>
      <c r="AW737" s="408">
        <v>0</v>
      </c>
      <c r="AX737" s="408">
        <v>0</v>
      </c>
      <c r="AY737" s="408">
        <v>0</v>
      </c>
      <c r="AZ737" s="408">
        <v>0</v>
      </c>
      <c r="BA737" s="408"/>
      <c r="BB737" s="408">
        <v>0</v>
      </c>
      <c r="BC737" s="408">
        <v>0</v>
      </c>
      <c r="BD737" s="408">
        <v>0</v>
      </c>
      <c r="BE737" s="408">
        <v>7.2433779170874555</v>
      </c>
      <c r="BF737" s="408">
        <v>186.55201557190748</v>
      </c>
      <c r="BG737" s="408">
        <v>242.5500284454973</v>
      </c>
      <c r="BH737" s="408">
        <v>0</v>
      </c>
      <c r="BI737" s="408">
        <v>0</v>
      </c>
      <c r="BJ737" s="408">
        <v>0</v>
      </c>
      <c r="BK737" s="408">
        <v>0</v>
      </c>
      <c r="BL737" s="408">
        <v>0</v>
      </c>
      <c r="BM737" s="408"/>
      <c r="BN737" s="408"/>
      <c r="BO737" s="408"/>
      <c r="BP737" s="408"/>
      <c r="BQ737" s="408"/>
      <c r="BR737" s="408">
        <v>1980.4832695999989</v>
      </c>
      <c r="BS737" s="408"/>
      <c r="BT737" s="408"/>
      <c r="BU737" s="408"/>
      <c r="BV737" s="408">
        <v>6683.1818015176141</v>
      </c>
      <c r="BW737" s="408"/>
      <c r="BX737" s="408"/>
      <c r="BY737" s="408"/>
      <c r="BZ737" s="408"/>
      <c r="CA737" s="408"/>
      <c r="CB737" s="408"/>
      <c r="CC737" s="408"/>
      <c r="CD737" s="408"/>
      <c r="CE737" s="408"/>
      <c r="CF737" s="408"/>
      <c r="CG737" s="408"/>
      <c r="CH737" s="408"/>
      <c r="CI737" s="408">
        <v>47536.39420000001</v>
      </c>
      <c r="CJ737" s="408">
        <v>-21703.564395199995</v>
      </c>
      <c r="CK737" s="408"/>
      <c r="CL737" s="408"/>
      <c r="CM737" s="408"/>
      <c r="CN737" s="408"/>
      <c r="CO737" s="408">
        <v>-23435.418490000004</v>
      </c>
      <c r="CP737" s="408">
        <v>822.57461000000001</v>
      </c>
      <c r="CQ737" s="408">
        <v>30</v>
      </c>
      <c r="CR737" s="408">
        <v>1192.8313831952182</v>
      </c>
      <c r="CS737" s="408">
        <v>145.69808439679673</v>
      </c>
      <c r="CT737" s="408">
        <v>468.49159173301541</v>
      </c>
      <c r="CU737" s="408">
        <v>0</v>
      </c>
      <c r="CV737" s="408">
        <v>0</v>
      </c>
      <c r="CW737" s="408">
        <v>0</v>
      </c>
      <c r="CX737" s="408">
        <v>0</v>
      </c>
      <c r="CY737" s="408">
        <v>0</v>
      </c>
      <c r="CZ737" s="408">
        <v>-204.3807814446227</v>
      </c>
      <c r="DA737" s="408">
        <v>0</v>
      </c>
      <c r="DB737" s="408">
        <v>0</v>
      </c>
      <c r="DC737" s="408">
        <v>801.85048968202864</v>
      </c>
      <c r="DD737" s="408">
        <v>23.946012981290949</v>
      </c>
      <c r="DE737" s="408">
        <v>0.92976760984989859</v>
      </c>
      <c r="DF737" s="408">
        <v>0</v>
      </c>
      <c r="DG737" s="408">
        <v>31.133976826584245</v>
      </c>
      <c r="DH737" s="408">
        <v>0</v>
      </c>
      <c r="DI737" s="408">
        <v>-60.355690691785867</v>
      </c>
      <c r="DJ737" s="408"/>
      <c r="DK737" s="408">
        <v>0</v>
      </c>
      <c r="DL737" s="408">
        <v>0</v>
      </c>
      <c r="DM737" s="408">
        <v>-3.4930334820793405</v>
      </c>
      <c r="DN737" s="408">
        <v>0</v>
      </c>
      <c r="DO737" s="408">
        <v>-9.5025223743135143</v>
      </c>
      <c r="DP737" s="408">
        <v>-1.4865120415453461</v>
      </c>
      <c r="DQ737" s="408">
        <v>0</v>
      </c>
      <c r="DR737" s="408">
        <v>0</v>
      </c>
      <c r="DS737" s="408"/>
      <c r="DT737" s="408"/>
      <c r="DU737" s="408"/>
      <c r="DV737" s="408">
        <v>44963.754829885642</v>
      </c>
      <c r="DW737" s="408">
        <v>0</v>
      </c>
      <c r="DX737" s="408">
        <v>0</v>
      </c>
      <c r="DY737" s="408">
        <v>-23435.418490000004</v>
      </c>
      <c r="DZ737" s="408">
        <v>822.57461000000058</v>
      </c>
      <c r="EA737" s="408">
        <v>0</v>
      </c>
      <c r="EB737" s="408">
        <v>0</v>
      </c>
      <c r="EC737" s="408">
        <v>-23805.924407654682</v>
      </c>
      <c r="ED737" s="408">
        <v>0</v>
      </c>
      <c r="EE737" s="408">
        <v>0</v>
      </c>
      <c r="EF737" s="408">
        <v>0</v>
      </c>
      <c r="EG737" s="408">
        <v>0</v>
      </c>
      <c r="EH737" s="408">
        <v>0</v>
      </c>
      <c r="EI737" s="408">
        <v>0</v>
      </c>
      <c r="EJ737" s="408">
        <v>0</v>
      </c>
      <c r="EK737" s="408">
        <v>0</v>
      </c>
      <c r="EL737" s="408">
        <v>0</v>
      </c>
      <c r="EM737" s="408">
        <v>0</v>
      </c>
      <c r="EN737" s="408">
        <v>0</v>
      </c>
      <c r="EO737" s="408">
        <v>0</v>
      </c>
      <c r="EP737" s="408">
        <v>0</v>
      </c>
      <c r="EQ737" s="408">
        <v>0</v>
      </c>
      <c r="ER737" s="408">
        <v>0</v>
      </c>
      <c r="ES737" s="408">
        <v>0</v>
      </c>
      <c r="ET737" s="408">
        <v>0</v>
      </c>
      <c r="EU737" s="408">
        <v>0</v>
      </c>
      <c r="EV737" s="408">
        <v>239</v>
      </c>
      <c r="EW737" s="408">
        <v>0</v>
      </c>
      <c r="EX737" s="408">
        <v>0</v>
      </c>
      <c r="EY737" s="408">
        <v>0</v>
      </c>
      <c r="EZ737" s="408"/>
      <c r="FA737" s="408">
        <v>0</v>
      </c>
      <c r="FB737" s="408"/>
      <c r="FC737" s="408"/>
      <c r="FD737" s="408"/>
      <c r="FE737" s="408"/>
      <c r="FF737" s="408">
        <v>0</v>
      </c>
      <c r="FG737" s="408">
        <v>0</v>
      </c>
      <c r="FH737" s="408">
        <v>0</v>
      </c>
      <c r="FI737" s="408">
        <v>0</v>
      </c>
    </row>
    <row r="738" spans="1:165">
      <c r="A738" s="408">
        <v>744</v>
      </c>
      <c r="B738" s="408" t="s">
        <v>2236</v>
      </c>
      <c r="C738" s="408" t="s">
        <v>2241</v>
      </c>
      <c r="D738" s="408" t="s">
        <v>596</v>
      </c>
      <c r="E738" s="408" t="s">
        <v>972</v>
      </c>
      <c r="F738" s="408" t="s">
        <v>1320</v>
      </c>
      <c r="G738" s="408" t="s">
        <v>1320</v>
      </c>
      <c r="H738" s="408" t="s">
        <v>1320</v>
      </c>
      <c r="I738" s="408" t="s">
        <v>971</v>
      </c>
      <c r="J738" s="408" t="s">
        <v>2234</v>
      </c>
      <c r="K738" s="827">
        <v>44713</v>
      </c>
      <c r="L738" s="408">
        <v>0</v>
      </c>
      <c r="M738" s="408">
        <v>0</v>
      </c>
      <c r="N738" s="408">
        <v>4.3049999999999997</v>
      </c>
      <c r="O738" s="408">
        <v>4.1327999999999996</v>
      </c>
      <c r="P738" s="408">
        <v>4.3049999999999997</v>
      </c>
      <c r="Q738" s="408">
        <v>4.1327999999999996</v>
      </c>
      <c r="R738" s="408"/>
      <c r="S738" s="408">
        <v>1684.16</v>
      </c>
      <c r="T738" s="408">
        <v>173.82</v>
      </c>
      <c r="U738" s="408"/>
      <c r="V738" s="408">
        <v>7998.6039000000001</v>
      </c>
      <c r="W738" s="408">
        <v>7998.6039000000001</v>
      </c>
      <c r="X738" s="408">
        <v>5490.8552999999993</v>
      </c>
      <c r="Y738" s="408">
        <v>0</v>
      </c>
      <c r="Z738" s="408">
        <v>229.02611412331441</v>
      </c>
      <c r="AA738" s="408">
        <v>0</v>
      </c>
      <c r="AB738" s="408">
        <v>0</v>
      </c>
      <c r="AC738" s="408">
        <v>77.487416396160896</v>
      </c>
      <c r="AD738" s="408">
        <v>1182.0924251200333</v>
      </c>
      <c r="AE738" s="408">
        <v>4986.4490209087735</v>
      </c>
      <c r="AF738" s="408">
        <v>692.76979350589477</v>
      </c>
      <c r="AG738" s="408">
        <v>34.852700512847264</v>
      </c>
      <c r="AH738" s="408">
        <v>0</v>
      </c>
      <c r="AI738" s="408">
        <v>0</v>
      </c>
      <c r="AJ738" s="408">
        <v>0</v>
      </c>
      <c r="AK738" s="408">
        <v>0</v>
      </c>
      <c r="AL738" s="408">
        <v>40.688693111050824</v>
      </c>
      <c r="AM738" s="408"/>
      <c r="AN738" s="408">
        <v>5.3499555157470615</v>
      </c>
      <c r="AO738" s="408">
        <v>166.41469832316528</v>
      </c>
      <c r="AP738" s="408">
        <v>535.10577869276347</v>
      </c>
      <c r="AQ738" s="408">
        <v>0</v>
      </c>
      <c r="AR738" s="408">
        <v>0</v>
      </c>
      <c r="AS738" s="408">
        <v>0</v>
      </c>
      <c r="AT738" s="408">
        <v>0</v>
      </c>
      <c r="AU738" s="408">
        <v>0</v>
      </c>
      <c r="AV738" s="408">
        <v>0</v>
      </c>
      <c r="AW738" s="408">
        <v>0</v>
      </c>
      <c r="AX738" s="408">
        <v>0</v>
      </c>
      <c r="AY738" s="408">
        <v>0</v>
      </c>
      <c r="AZ738" s="408">
        <v>0</v>
      </c>
      <c r="BA738" s="408"/>
      <c r="BB738" s="408">
        <v>0</v>
      </c>
      <c r="BC738" s="408">
        <v>0</v>
      </c>
      <c r="BD738" s="408">
        <v>0</v>
      </c>
      <c r="BE738" s="408">
        <v>0.80328555431776949</v>
      </c>
      <c r="BF738" s="408">
        <v>20.688488292770593</v>
      </c>
      <c r="BG738" s="408">
        <v>26.898628827580971</v>
      </c>
      <c r="BH738" s="408">
        <v>0</v>
      </c>
      <c r="BI738" s="408">
        <v>0</v>
      </c>
      <c r="BJ738" s="408">
        <v>0</v>
      </c>
      <c r="BK738" s="408">
        <v>0</v>
      </c>
      <c r="BL738" s="408">
        <v>0</v>
      </c>
      <c r="BM738" s="408"/>
      <c r="BN738" s="408"/>
      <c r="BO738" s="408"/>
      <c r="BP738" s="408"/>
      <c r="BQ738" s="408"/>
      <c r="BR738" s="408">
        <v>219.63421200000016</v>
      </c>
      <c r="BS738" s="408"/>
      <c r="BT738" s="408"/>
      <c r="BU738" s="408"/>
      <c r="BV738" s="408">
        <v>741.16019618056407</v>
      </c>
      <c r="BW738" s="408"/>
      <c r="BX738" s="408"/>
      <c r="BY738" s="408"/>
      <c r="BZ738" s="408"/>
      <c r="CA738" s="408"/>
      <c r="CB738" s="408"/>
      <c r="CC738" s="408"/>
      <c r="CD738" s="408"/>
      <c r="CE738" s="408"/>
      <c r="CF738" s="408"/>
      <c r="CG738" s="408"/>
      <c r="CH738" s="408"/>
      <c r="CI738" s="408">
        <v>5267.6498000000001</v>
      </c>
      <c r="CJ738" s="408">
        <v>-2411.0399440000001</v>
      </c>
      <c r="CK738" s="408"/>
      <c r="CL738" s="408"/>
      <c r="CM738" s="408"/>
      <c r="CN738" s="408"/>
      <c r="CO738" s="408">
        <v>-2598.9715500000002</v>
      </c>
      <c r="CP738" s="408">
        <v>91.222949999999983</v>
      </c>
      <c r="CQ738" s="408">
        <v>30</v>
      </c>
      <c r="CR738" s="408">
        <v>132.28416766674627</v>
      </c>
      <c r="CS738" s="408">
        <v>16.157815846060174</v>
      </c>
      <c r="CT738" s="408">
        <v>51.955390463706635</v>
      </c>
      <c r="CU738" s="408">
        <v>0</v>
      </c>
      <c r="CV738" s="408">
        <v>0</v>
      </c>
      <c r="CW738" s="408">
        <v>0</v>
      </c>
      <c r="CX738" s="408">
        <v>0</v>
      </c>
      <c r="CY738" s="408">
        <v>0</v>
      </c>
      <c r="CZ738" s="408">
        <v>-22.665685981583692</v>
      </c>
      <c r="DA738" s="408">
        <v>0</v>
      </c>
      <c r="DB738" s="408">
        <v>0</v>
      </c>
      <c r="DC738" s="408">
        <v>88.924659524488902</v>
      </c>
      <c r="DD738" s="408">
        <v>2.6555961226321507</v>
      </c>
      <c r="DE738" s="408">
        <v>0.10311057885066111</v>
      </c>
      <c r="DF738" s="408">
        <v>0</v>
      </c>
      <c r="DG738" s="408">
        <v>3.4527362950731693</v>
      </c>
      <c r="DH738" s="408">
        <v>0</v>
      </c>
      <c r="DI738" s="408">
        <v>-6.6934039627022344</v>
      </c>
      <c r="DJ738" s="408"/>
      <c r="DK738" s="408">
        <v>0</v>
      </c>
      <c r="DL738" s="408">
        <v>0</v>
      </c>
      <c r="DM738" s="408">
        <v>-0.38737497463488069</v>
      </c>
      <c r="DN738" s="408">
        <v>0</v>
      </c>
      <c r="DO738" s="408">
        <v>-1.0538230974888521</v>
      </c>
      <c r="DP738" s="408">
        <v>-0.16485314765585724</v>
      </c>
      <c r="DQ738" s="408">
        <v>0</v>
      </c>
      <c r="DR738" s="408">
        <v>0</v>
      </c>
      <c r="DS738" s="408"/>
      <c r="DT738" s="408"/>
      <c r="DU738" s="408"/>
      <c r="DV738" s="408">
        <v>4986.4490209087735</v>
      </c>
      <c r="DW738" s="408">
        <v>0</v>
      </c>
      <c r="DX738" s="408">
        <v>0</v>
      </c>
      <c r="DY738" s="408">
        <v>-2598.9715500000002</v>
      </c>
      <c r="DZ738" s="408">
        <v>91.222949999999969</v>
      </c>
      <c r="EA738" s="408">
        <v>0</v>
      </c>
      <c r="EB738" s="408">
        <v>0</v>
      </c>
      <c r="EC738" s="408">
        <v>-2640.0603976133698</v>
      </c>
      <c r="ED738" s="408">
        <v>0</v>
      </c>
      <c r="EE738" s="408">
        <v>0</v>
      </c>
      <c r="EF738" s="408">
        <v>0</v>
      </c>
      <c r="EG738" s="408">
        <v>0</v>
      </c>
      <c r="EH738" s="408">
        <v>0</v>
      </c>
      <c r="EI738" s="408">
        <v>0</v>
      </c>
      <c r="EJ738" s="408">
        <v>0</v>
      </c>
      <c r="EK738" s="408">
        <v>0</v>
      </c>
      <c r="EL738" s="408">
        <v>0</v>
      </c>
      <c r="EM738" s="408">
        <v>0</v>
      </c>
      <c r="EN738" s="408">
        <v>0</v>
      </c>
      <c r="EO738" s="408">
        <v>0</v>
      </c>
      <c r="EP738" s="408">
        <v>0</v>
      </c>
      <c r="EQ738" s="408">
        <v>0</v>
      </c>
      <c r="ER738" s="408">
        <v>0</v>
      </c>
      <c r="ES738" s="408">
        <v>0</v>
      </c>
      <c r="ET738" s="408">
        <v>0</v>
      </c>
      <c r="EU738" s="408">
        <v>0</v>
      </c>
      <c r="EV738" s="408">
        <v>239</v>
      </c>
      <c r="EW738" s="408">
        <v>0</v>
      </c>
      <c r="EX738" s="408">
        <v>0</v>
      </c>
      <c r="EY738" s="408">
        <v>0</v>
      </c>
      <c r="EZ738" s="408"/>
      <c r="FA738" s="408">
        <v>0</v>
      </c>
      <c r="FB738" s="408"/>
      <c r="FC738" s="408"/>
      <c r="FD738" s="408"/>
      <c r="FE738" s="408"/>
      <c r="FF738" s="408">
        <v>0</v>
      </c>
      <c r="FG738" s="408">
        <v>0</v>
      </c>
      <c r="FH738" s="408">
        <v>0</v>
      </c>
      <c r="FI738" s="408">
        <v>0</v>
      </c>
    </row>
    <row r="739" spans="1:165">
      <c r="A739" s="408">
        <v>745</v>
      </c>
      <c r="B739" s="408" t="s">
        <v>1034</v>
      </c>
      <c r="C739" s="408" t="s">
        <v>2241</v>
      </c>
      <c r="D739" s="408" t="s">
        <v>596</v>
      </c>
      <c r="E739" s="408" t="s">
        <v>972</v>
      </c>
      <c r="F739" s="408" t="s">
        <v>1320</v>
      </c>
      <c r="G739" s="408" t="s">
        <v>1320</v>
      </c>
      <c r="H739" s="408" t="s">
        <v>1320</v>
      </c>
      <c r="I739" s="408" t="s">
        <v>2242</v>
      </c>
      <c r="J739" s="408" t="s">
        <v>2234</v>
      </c>
      <c r="K739" s="827">
        <v>44713</v>
      </c>
      <c r="L739" s="408">
        <v>0</v>
      </c>
      <c r="M739" s="408">
        <v>0</v>
      </c>
      <c r="N739" s="408">
        <v>444.404</v>
      </c>
      <c r="O739" s="408">
        <v>426.62783999999999</v>
      </c>
      <c r="P739" s="408">
        <v>444.404</v>
      </c>
      <c r="Q739" s="408">
        <v>426.62783999999999</v>
      </c>
      <c r="R739" s="408"/>
      <c r="S739" s="408">
        <v>70.33</v>
      </c>
      <c r="T739" s="408">
        <v>173.82</v>
      </c>
      <c r="U739" s="408"/>
      <c r="V739" s="408">
        <v>108501.23659999999</v>
      </c>
      <c r="W739" s="408">
        <v>108501.23659999999</v>
      </c>
      <c r="X739" s="408">
        <v>117469.30932</v>
      </c>
      <c r="Y739" s="408">
        <v>0</v>
      </c>
      <c r="Z739" s="408">
        <v>23642.304580919263</v>
      </c>
      <c r="AA739" s="408">
        <v>0</v>
      </c>
      <c r="AB739" s="408">
        <v>0</v>
      </c>
      <c r="AC739" s="408">
        <v>0</v>
      </c>
      <c r="AD739" s="408">
        <v>0</v>
      </c>
      <c r="AE739" s="408">
        <v>0</v>
      </c>
      <c r="AF739" s="408">
        <v>71514.440723157648</v>
      </c>
      <c r="AG739" s="408">
        <v>3597.8349636960229</v>
      </c>
      <c r="AH739" s="408">
        <v>0</v>
      </c>
      <c r="AI739" s="408">
        <v>0</v>
      </c>
      <c r="AJ739" s="408">
        <v>0</v>
      </c>
      <c r="AK739" s="408">
        <v>0</v>
      </c>
      <c r="AL739" s="408">
        <v>4200.2829206326205</v>
      </c>
      <c r="AM739" s="408"/>
      <c r="AN739" s="408">
        <v>552.27447875030362</v>
      </c>
      <c r="AO739" s="408">
        <v>0</v>
      </c>
      <c r="AP739" s="408">
        <v>0</v>
      </c>
      <c r="AQ739" s="408">
        <v>0</v>
      </c>
      <c r="AR739" s="408">
        <v>0</v>
      </c>
      <c r="AS739" s="408">
        <v>0</v>
      </c>
      <c r="AT739" s="408">
        <v>0</v>
      </c>
      <c r="AU739" s="408">
        <v>0</v>
      </c>
      <c r="AV739" s="408">
        <v>0</v>
      </c>
      <c r="AW739" s="408">
        <v>0</v>
      </c>
      <c r="AX739" s="408">
        <v>0</v>
      </c>
      <c r="AY739" s="408">
        <v>0</v>
      </c>
      <c r="AZ739" s="408">
        <v>0</v>
      </c>
      <c r="BA739" s="408"/>
      <c r="BB739" s="408">
        <v>0</v>
      </c>
      <c r="BC739" s="408">
        <v>0</v>
      </c>
      <c r="BD739" s="408">
        <v>0</v>
      </c>
      <c r="BE739" s="408">
        <v>82.922953189554946</v>
      </c>
      <c r="BF739" s="408">
        <v>2135.66711992112</v>
      </c>
      <c r="BG739" s="408">
        <v>2776.7382684070371</v>
      </c>
      <c r="BH739" s="408">
        <v>0</v>
      </c>
      <c r="BI739" s="408">
        <v>0</v>
      </c>
      <c r="BJ739" s="408">
        <v>0</v>
      </c>
      <c r="BK739" s="408">
        <v>0</v>
      </c>
      <c r="BL739" s="408">
        <v>0</v>
      </c>
      <c r="BM739" s="408"/>
      <c r="BN739" s="408"/>
      <c r="BO739" s="408"/>
      <c r="BP739" s="408"/>
      <c r="BQ739" s="408"/>
      <c r="BR739" s="408">
        <v>4698.772372800001</v>
      </c>
      <c r="BS739" s="408"/>
      <c r="BT739" s="408"/>
      <c r="BU739" s="408"/>
      <c r="BV739" s="408">
        <v>76509.769064675362</v>
      </c>
      <c r="BW739" s="408"/>
      <c r="BX739" s="408"/>
      <c r="BY739" s="408"/>
      <c r="BZ739" s="408"/>
      <c r="CA739" s="408"/>
      <c r="CB739" s="408"/>
      <c r="CC739" s="408"/>
      <c r="CD739" s="408"/>
      <c r="CE739" s="408"/>
      <c r="CF739" s="408"/>
      <c r="CG739" s="408"/>
      <c r="CH739" s="408"/>
      <c r="CI739" s="408">
        <v>112771.10789999999</v>
      </c>
      <c r="CJ739" s="408">
        <v>8609.8907639999961</v>
      </c>
      <c r="CK739" s="408"/>
      <c r="CL739" s="408"/>
      <c r="CM739" s="408"/>
      <c r="CN739" s="408"/>
      <c r="CO739" s="408">
        <v>-448.84804000000224</v>
      </c>
      <c r="CP739" s="408">
        <v>9416.9207599999991</v>
      </c>
      <c r="CQ739" s="408">
        <v>30</v>
      </c>
      <c r="CR739" s="408">
        <v>8964.1239079783554</v>
      </c>
      <c r="CS739" s="408">
        <v>0</v>
      </c>
      <c r="CT739" s="408">
        <v>0</v>
      </c>
      <c r="CU739" s="408">
        <v>0</v>
      </c>
      <c r="CV739" s="408">
        <v>0</v>
      </c>
      <c r="CW739" s="408">
        <v>0</v>
      </c>
      <c r="CX739" s="408">
        <v>0</v>
      </c>
      <c r="CY739" s="408">
        <v>0</v>
      </c>
      <c r="CZ739" s="408">
        <v>0</v>
      </c>
      <c r="DA739" s="408">
        <v>0</v>
      </c>
      <c r="DB739" s="408">
        <v>0</v>
      </c>
      <c r="DC739" s="408">
        <v>9179.6688481581805</v>
      </c>
      <c r="DD739" s="408">
        <v>274.1364783466247</v>
      </c>
      <c r="DE739" s="408">
        <v>10.64407751069669</v>
      </c>
      <c r="DF739" s="408">
        <v>0</v>
      </c>
      <c r="DG739" s="408">
        <v>356.4250454066655</v>
      </c>
      <c r="DH739" s="408">
        <v>0</v>
      </c>
      <c r="DI739" s="408">
        <v>-690.95830305243362</v>
      </c>
      <c r="DJ739" s="408"/>
      <c r="DK739" s="408">
        <v>0</v>
      </c>
      <c r="DL739" s="408">
        <v>0</v>
      </c>
      <c r="DM739" s="408">
        <v>-39.988615151601152</v>
      </c>
      <c r="DN739" s="408">
        <v>0</v>
      </c>
      <c r="DO739" s="408">
        <v>-108.7858768447004</v>
      </c>
      <c r="DP739" s="408">
        <v>-17.017746395087897</v>
      </c>
      <c r="DQ739" s="408">
        <v>0</v>
      </c>
      <c r="DR739" s="408">
        <v>0</v>
      </c>
      <c r="DS739" s="408"/>
      <c r="DT739" s="408"/>
      <c r="DU739" s="408"/>
      <c r="DV739" s="408">
        <v>0</v>
      </c>
      <c r="DW739" s="408">
        <v>0</v>
      </c>
      <c r="DX739" s="408">
        <v>0</v>
      </c>
      <c r="DY739" s="408">
        <v>-448.8480400000044</v>
      </c>
      <c r="DZ739" s="408">
        <v>9416.9207600000082</v>
      </c>
      <c r="EA739" s="408">
        <v>0</v>
      </c>
      <c r="EB739" s="408">
        <v>0</v>
      </c>
      <c r="EC739" s="408">
        <v>0</v>
      </c>
      <c r="ED739" s="408">
        <v>0</v>
      </c>
      <c r="EE739" s="408">
        <v>0</v>
      </c>
      <c r="EF739" s="408">
        <v>0</v>
      </c>
      <c r="EG739" s="408">
        <v>0</v>
      </c>
      <c r="EH739" s="408">
        <v>0</v>
      </c>
      <c r="EI739" s="408">
        <v>0</v>
      </c>
      <c r="EJ739" s="408">
        <v>0</v>
      </c>
      <c r="EK739" s="408">
        <v>0</v>
      </c>
      <c r="EL739" s="408">
        <v>0</v>
      </c>
      <c r="EM739" s="408">
        <v>0</v>
      </c>
      <c r="EN739" s="408">
        <v>0</v>
      </c>
      <c r="EO739" s="408">
        <v>0</v>
      </c>
      <c r="EP739" s="408">
        <v>0</v>
      </c>
      <c r="EQ739" s="408">
        <v>0</v>
      </c>
      <c r="ER739" s="408">
        <v>0</v>
      </c>
      <c r="ES739" s="408">
        <v>0</v>
      </c>
      <c r="ET739" s="408">
        <v>0</v>
      </c>
      <c r="EU739" s="408">
        <v>0</v>
      </c>
      <c r="EV739" s="408">
        <v>239</v>
      </c>
      <c r="EW739" s="408">
        <v>0</v>
      </c>
      <c r="EX739" s="408">
        <v>0</v>
      </c>
      <c r="EY739" s="408">
        <v>0</v>
      </c>
      <c r="EZ739" s="408"/>
      <c r="FA739" s="408">
        <v>0</v>
      </c>
      <c r="FB739" s="408"/>
      <c r="FC739" s="408"/>
      <c r="FD739" s="408"/>
      <c r="FE739" s="408"/>
      <c r="FF739" s="408">
        <v>0</v>
      </c>
      <c r="FG739" s="408">
        <v>0</v>
      </c>
      <c r="FH739" s="408">
        <v>0</v>
      </c>
      <c r="FI739" s="408">
        <v>0</v>
      </c>
    </row>
    <row r="740" spans="1:165">
      <c r="A740" s="408">
        <v>746</v>
      </c>
      <c r="B740" s="408" t="s">
        <v>2236</v>
      </c>
      <c r="C740" s="408" t="s">
        <v>2241</v>
      </c>
      <c r="D740" s="408" t="s">
        <v>596</v>
      </c>
      <c r="E740" s="408" t="s">
        <v>972</v>
      </c>
      <c r="F740" s="408" t="s">
        <v>1320</v>
      </c>
      <c r="G740" s="408" t="s">
        <v>1320</v>
      </c>
      <c r="H740" s="408" t="s">
        <v>1320</v>
      </c>
      <c r="I740" s="408" t="s">
        <v>2242</v>
      </c>
      <c r="J740" s="408" t="s">
        <v>2234</v>
      </c>
      <c r="K740" s="827">
        <v>44713</v>
      </c>
      <c r="L740" s="408">
        <v>0</v>
      </c>
      <c r="M740" s="408">
        <v>0</v>
      </c>
      <c r="N740" s="408">
        <v>27.54</v>
      </c>
      <c r="O740" s="408">
        <v>26.438399999999998</v>
      </c>
      <c r="P740" s="408">
        <v>27.54</v>
      </c>
      <c r="Q740" s="408">
        <v>26.438399999999998</v>
      </c>
      <c r="R740" s="408"/>
      <c r="S740" s="408">
        <v>70.33</v>
      </c>
      <c r="T740" s="408">
        <v>173.82</v>
      </c>
      <c r="U740" s="408"/>
      <c r="V740" s="408">
        <v>6723.8909999999996</v>
      </c>
      <c r="W740" s="408">
        <v>6723.8909999999996</v>
      </c>
      <c r="X740" s="408">
        <v>7279.6481999999996</v>
      </c>
      <c r="Y740" s="408">
        <v>0</v>
      </c>
      <c r="Z740" s="408">
        <v>1465.1287300710985</v>
      </c>
      <c r="AA740" s="408">
        <v>0</v>
      </c>
      <c r="AB740" s="408">
        <v>0</v>
      </c>
      <c r="AC740" s="408">
        <v>0</v>
      </c>
      <c r="AD740" s="408">
        <v>0</v>
      </c>
      <c r="AE740" s="408">
        <v>0</v>
      </c>
      <c r="AF740" s="408">
        <v>4431.7956128112301</v>
      </c>
      <c r="AG740" s="408">
        <v>222.96013289751772</v>
      </c>
      <c r="AH740" s="408">
        <v>0</v>
      </c>
      <c r="AI740" s="408">
        <v>0</v>
      </c>
      <c r="AJ740" s="408">
        <v>0</v>
      </c>
      <c r="AK740" s="408">
        <v>0</v>
      </c>
      <c r="AL740" s="408">
        <v>260.29421795083385</v>
      </c>
      <c r="AM740" s="408"/>
      <c r="AN740" s="408">
        <v>34.224802532793049</v>
      </c>
      <c r="AO740" s="408">
        <v>0</v>
      </c>
      <c r="AP740" s="408">
        <v>0</v>
      </c>
      <c r="AQ740" s="408">
        <v>0</v>
      </c>
      <c r="AR740" s="408">
        <v>0</v>
      </c>
      <c r="AS740" s="408">
        <v>0</v>
      </c>
      <c r="AT740" s="408">
        <v>0</v>
      </c>
      <c r="AU740" s="408">
        <v>0</v>
      </c>
      <c r="AV740" s="408">
        <v>0</v>
      </c>
      <c r="AW740" s="408">
        <v>0</v>
      </c>
      <c r="AX740" s="408">
        <v>0</v>
      </c>
      <c r="AY740" s="408">
        <v>0</v>
      </c>
      <c r="AZ740" s="408">
        <v>0</v>
      </c>
      <c r="BA740" s="408"/>
      <c r="BB740" s="408">
        <v>0</v>
      </c>
      <c r="BC740" s="408">
        <v>0</v>
      </c>
      <c r="BD740" s="408">
        <v>0</v>
      </c>
      <c r="BE740" s="408">
        <v>5.1387884241373687</v>
      </c>
      <c r="BF740" s="408">
        <v>132.34865681368225</v>
      </c>
      <c r="BG740" s="408">
        <v>172.0762457402044</v>
      </c>
      <c r="BH740" s="408">
        <v>0</v>
      </c>
      <c r="BI740" s="408">
        <v>0</v>
      </c>
      <c r="BJ740" s="408">
        <v>0</v>
      </c>
      <c r="BK740" s="408">
        <v>0</v>
      </c>
      <c r="BL740" s="408">
        <v>0</v>
      </c>
      <c r="BM740" s="408"/>
      <c r="BN740" s="408"/>
      <c r="BO740" s="408"/>
      <c r="BP740" s="408"/>
      <c r="BQ740" s="408"/>
      <c r="BR740" s="408">
        <v>291.18592800000033</v>
      </c>
      <c r="BS740" s="408"/>
      <c r="BT740" s="408"/>
      <c r="BU740" s="408"/>
      <c r="BV740" s="408">
        <v>4741.3593037892542</v>
      </c>
      <c r="BW740" s="408"/>
      <c r="BX740" s="408"/>
      <c r="BY740" s="408"/>
      <c r="BZ740" s="408"/>
      <c r="CA740" s="408"/>
      <c r="CB740" s="408"/>
      <c r="CC740" s="408"/>
      <c r="CD740" s="408"/>
      <c r="CE740" s="408"/>
      <c r="CF740" s="408"/>
      <c r="CG740" s="408"/>
      <c r="CH740" s="408"/>
      <c r="CI740" s="408">
        <v>6988.8852000000006</v>
      </c>
      <c r="CJ740" s="408">
        <v>533.91984000000139</v>
      </c>
      <c r="CK740" s="408"/>
      <c r="CL740" s="408"/>
      <c r="CM740" s="408"/>
      <c r="CN740" s="408"/>
      <c r="CO740" s="408">
        <v>-27.815400000000139</v>
      </c>
      <c r="CP740" s="408">
        <v>583.57259999999997</v>
      </c>
      <c r="CQ740" s="408">
        <v>30</v>
      </c>
      <c r="CR740" s="408">
        <v>555.51248959443092</v>
      </c>
      <c r="CS740" s="408">
        <v>0</v>
      </c>
      <c r="CT740" s="408">
        <v>0</v>
      </c>
      <c r="CU740" s="408">
        <v>0</v>
      </c>
      <c r="CV740" s="408">
        <v>0</v>
      </c>
      <c r="CW740" s="408">
        <v>0</v>
      </c>
      <c r="CX740" s="408">
        <v>0</v>
      </c>
      <c r="CY740" s="408">
        <v>0</v>
      </c>
      <c r="CZ740" s="408">
        <v>0</v>
      </c>
      <c r="DA740" s="408">
        <v>0</v>
      </c>
      <c r="DB740" s="408">
        <v>0</v>
      </c>
      <c r="DC740" s="408">
        <v>568.86994734132895</v>
      </c>
      <c r="DD740" s="408">
        <v>16.988412826315795</v>
      </c>
      <c r="DE740" s="408">
        <v>0.65962028839656384</v>
      </c>
      <c r="DF740" s="408">
        <v>0</v>
      </c>
      <c r="DG740" s="408">
        <v>22.087887936426256</v>
      </c>
      <c r="DH740" s="408">
        <v>0</v>
      </c>
      <c r="DI740" s="408">
        <v>-42.81912778927267</v>
      </c>
      <c r="DJ740" s="408"/>
      <c r="DK740" s="408">
        <v>0</v>
      </c>
      <c r="DL740" s="408">
        <v>0</v>
      </c>
      <c r="DM740" s="408">
        <v>-2.4781200467932081</v>
      </c>
      <c r="DN740" s="408">
        <v>0</v>
      </c>
      <c r="DO740" s="408">
        <v>-6.7415303379426064</v>
      </c>
      <c r="DP740" s="408">
        <v>-1.05460062402841</v>
      </c>
      <c r="DQ740" s="408">
        <v>0</v>
      </c>
      <c r="DR740" s="408">
        <v>0</v>
      </c>
      <c r="DS740" s="408"/>
      <c r="DT740" s="408"/>
      <c r="DU740" s="408"/>
      <c r="DV740" s="408">
        <v>0</v>
      </c>
      <c r="DW740" s="408">
        <v>0</v>
      </c>
      <c r="DX740" s="408">
        <v>0</v>
      </c>
      <c r="DY740" s="408">
        <v>-27.815400000000182</v>
      </c>
      <c r="DZ740" s="408">
        <v>583.57260000000042</v>
      </c>
      <c r="EA740" s="408">
        <v>0</v>
      </c>
      <c r="EB740" s="408">
        <v>0</v>
      </c>
      <c r="EC740" s="408">
        <v>0</v>
      </c>
      <c r="ED740" s="408">
        <v>0</v>
      </c>
      <c r="EE740" s="408">
        <v>0</v>
      </c>
      <c r="EF740" s="408">
        <v>0</v>
      </c>
      <c r="EG740" s="408">
        <v>0</v>
      </c>
      <c r="EH740" s="408">
        <v>0</v>
      </c>
      <c r="EI740" s="408">
        <v>0</v>
      </c>
      <c r="EJ740" s="408">
        <v>0</v>
      </c>
      <c r="EK740" s="408">
        <v>0</v>
      </c>
      <c r="EL740" s="408">
        <v>0</v>
      </c>
      <c r="EM740" s="408">
        <v>0</v>
      </c>
      <c r="EN740" s="408">
        <v>0</v>
      </c>
      <c r="EO740" s="408">
        <v>0</v>
      </c>
      <c r="EP740" s="408">
        <v>0</v>
      </c>
      <c r="EQ740" s="408">
        <v>0</v>
      </c>
      <c r="ER740" s="408">
        <v>0</v>
      </c>
      <c r="ES740" s="408">
        <v>0</v>
      </c>
      <c r="ET740" s="408">
        <v>0</v>
      </c>
      <c r="EU740" s="408">
        <v>0</v>
      </c>
      <c r="EV740" s="408">
        <v>239</v>
      </c>
      <c r="EW740" s="408">
        <v>0</v>
      </c>
      <c r="EX740" s="408">
        <v>0</v>
      </c>
      <c r="EY740" s="408">
        <v>0</v>
      </c>
      <c r="EZ740" s="408"/>
      <c r="FA740" s="408">
        <v>0</v>
      </c>
      <c r="FB740" s="408"/>
      <c r="FC740" s="408"/>
      <c r="FD740" s="408"/>
      <c r="FE740" s="408"/>
      <c r="FF740" s="408">
        <v>0</v>
      </c>
      <c r="FG740" s="408">
        <v>0</v>
      </c>
      <c r="FH740" s="408">
        <v>0</v>
      </c>
      <c r="FI740" s="408">
        <v>0</v>
      </c>
    </row>
    <row r="741" spans="1:165">
      <c r="A741" s="408">
        <v>747</v>
      </c>
      <c r="B741" s="408" t="s">
        <v>1034</v>
      </c>
      <c r="C741" s="408" t="s">
        <v>2241</v>
      </c>
      <c r="D741" s="408" t="s">
        <v>596</v>
      </c>
      <c r="E741" s="408" t="s">
        <v>972</v>
      </c>
      <c r="F741" s="408" t="s">
        <v>1320</v>
      </c>
      <c r="G741" s="408" t="s">
        <v>1320</v>
      </c>
      <c r="H741" s="408" t="s">
        <v>1320</v>
      </c>
      <c r="I741" s="408" t="s">
        <v>1320</v>
      </c>
      <c r="J741" s="408" t="s">
        <v>2234</v>
      </c>
      <c r="K741" s="827">
        <v>44713</v>
      </c>
      <c r="L741" s="408">
        <v>1596</v>
      </c>
      <c r="M741" s="408">
        <v>1532.16</v>
      </c>
      <c r="N741" s="408">
        <v>0</v>
      </c>
      <c r="O741" s="408">
        <v>0</v>
      </c>
      <c r="P741" s="408">
        <v>0</v>
      </c>
      <c r="Q741" s="408">
        <v>0</v>
      </c>
      <c r="R741" s="408">
        <v>59.12</v>
      </c>
      <c r="S741" s="408"/>
      <c r="T741" s="408"/>
      <c r="U741" s="408">
        <v>94355.51999999999</v>
      </c>
      <c r="V741" s="408"/>
      <c r="W741" s="408">
        <v>94355.51999999999</v>
      </c>
      <c r="X741" s="408">
        <v>54311.880000000005</v>
      </c>
      <c r="Y741" s="408">
        <v>0</v>
      </c>
      <c r="Z741" s="408">
        <v>0</v>
      </c>
      <c r="AA741" s="408">
        <v>0</v>
      </c>
      <c r="AB741" s="408">
        <v>0</v>
      </c>
      <c r="AC741" s="408">
        <v>913.00833988055649</v>
      </c>
      <c r="AD741" s="408">
        <v>8166.7681505418268</v>
      </c>
      <c r="AE741" s="408">
        <v>76866.229212911319</v>
      </c>
      <c r="AF741" s="408"/>
      <c r="AG741" s="408"/>
      <c r="AH741" s="408"/>
      <c r="AI741" s="408">
        <v>0</v>
      </c>
      <c r="AJ741" s="408">
        <v>0</v>
      </c>
      <c r="AK741" s="408">
        <v>0</v>
      </c>
      <c r="AL741" s="408">
        <v>0</v>
      </c>
      <c r="AM741" s="408"/>
      <c r="AN741" s="408">
        <v>0</v>
      </c>
      <c r="AO741" s="408">
        <v>1928.0830966413357</v>
      </c>
      <c r="AP741" s="408">
        <v>6481.3366309758239</v>
      </c>
      <c r="AQ741" s="408">
        <v>0</v>
      </c>
      <c r="AR741" s="408">
        <v>0</v>
      </c>
      <c r="AS741" s="408"/>
      <c r="AT741" s="408"/>
      <c r="AU741" s="408">
        <v>0</v>
      </c>
      <c r="AV741" s="408">
        <v>0</v>
      </c>
      <c r="AW741" s="408">
        <v>0</v>
      </c>
      <c r="AX741" s="408"/>
      <c r="AY741" s="408"/>
      <c r="AZ741" s="408">
        <v>0</v>
      </c>
      <c r="BA741" s="408"/>
      <c r="BB741" s="408">
        <v>0</v>
      </c>
      <c r="BC741" s="408">
        <v>0</v>
      </c>
      <c r="BD741" s="408">
        <v>0</v>
      </c>
      <c r="BE741" s="408">
        <v>0</v>
      </c>
      <c r="BF741" s="408"/>
      <c r="BG741" s="408">
        <v>0</v>
      </c>
      <c r="BH741" s="408">
        <v>0</v>
      </c>
      <c r="BI741" s="408">
        <v>1235.4100000000001</v>
      </c>
      <c r="BJ741" s="408">
        <v>5667.2</v>
      </c>
      <c r="BK741" s="408">
        <v>6011.42</v>
      </c>
      <c r="BL741" s="408">
        <v>14</v>
      </c>
      <c r="BM741" s="408"/>
      <c r="BN741" s="408"/>
      <c r="BO741" s="408"/>
      <c r="BP741" s="408"/>
      <c r="BQ741" s="408"/>
      <c r="BR741" s="408">
        <v>2172.4751999999971</v>
      </c>
      <c r="BS741" s="408"/>
      <c r="BT741" s="408"/>
      <c r="BU741" s="408"/>
      <c r="BV741" s="408">
        <v>0</v>
      </c>
      <c r="BW741" s="408"/>
      <c r="BX741" s="408"/>
      <c r="BY741" s="408"/>
      <c r="BZ741" s="408"/>
      <c r="CA741" s="408"/>
      <c r="CB741" s="408"/>
      <c r="CC741" s="408"/>
      <c r="CD741" s="408"/>
      <c r="CE741" s="408"/>
      <c r="CF741" s="408"/>
      <c r="CG741" s="408"/>
      <c r="CH741" s="408"/>
      <c r="CI741" s="408">
        <v>52139.404800000004</v>
      </c>
      <c r="CJ741" s="408">
        <v>-38441.924399999974</v>
      </c>
      <c r="CK741" s="408"/>
      <c r="CL741" s="408"/>
      <c r="CM741" s="408"/>
      <c r="CN741" s="408"/>
      <c r="CO741" s="408">
        <v>-40043.639999999992</v>
      </c>
      <c r="CP741" s="408">
        <v>0</v>
      </c>
      <c r="CQ741" s="408">
        <v>30</v>
      </c>
      <c r="CR741" s="408">
        <v>659.91021636922233</v>
      </c>
      <c r="CS741" s="408">
        <v>187.20468759877326</v>
      </c>
      <c r="CT741" s="408">
        <v>629.29683961127739</v>
      </c>
      <c r="CU741" s="408">
        <v>0</v>
      </c>
      <c r="CV741" s="408">
        <v>0</v>
      </c>
      <c r="CW741" s="408"/>
      <c r="CX741" s="408"/>
      <c r="CY741" s="408"/>
      <c r="CZ741" s="408">
        <v>-156.59131084083037</v>
      </c>
      <c r="DA741" s="408">
        <v>0</v>
      </c>
      <c r="DB741" s="408">
        <v>0</v>
      </c>
      <c r="DC741" s="408"/>
      <c r="DD741" s="408"/>
      <c r="DE741" s="408">
        <v>0</v>
      </c>
      <c r="DF741" s="408">
        <v>0</v>
      </c>
      <c r="DG741" s="408">
        <v>0</v>
      </c>
      <c r="DH741" s="408">
        <v>0</v>
      </c>
      <c r="DI741" s="408">
        <v>0</v>
      </c>
      <c r="DJ741" s="408"/>
      <c r="DK741" s="408">
        <v>0</v>
      </c>
      <c r="DL741" s="408">
        <v>0</v>
      </c>
      <c r="DM741" s="408"/>
      <c r="DN741" s="408">
        <v>0</v>
      </c>
      <c r="DO741" s="408">
        <v>0</v>
      </c>
      <c r="DP741" s="408">
        <v>0</v>
      </c>
      <c r="DQ741" s="408">
        <v>0</v>
      </c>
      <c r="DR741" s="408">
        <v>0</v>
      </c>
      <c r="DS741" s="408"/>
      <c r="DT741" s="408"/>
      <c r="DU741" s="408">
        <v>76866.229212911319</v>
      </c>
      <c r="DV741" s="408"/>
      <c r="DW741" s="408">
        <v>0</v>
      </c>
      <c r="DX741" s="408">
        <v>0</v>
      </c>
      <c r="DY741" s="408">
        <v>-40043.639999999985</v>
      </c>
      <c r="DZ741" s="408"/>
      <c r="EA741" s="408">
        <v>0</v>
      </c>
      <c r="EB741" s="408"/>
      <c r="EC741" s="408">
        <v>-40696.593268669472</v>
      </c>
      <c r="ED741" s="408"/>
      <c r="EE741" s="408">
        <v>0</v>
      </c>
      <c r="EF741" s="408">
        <v>0</v>
      </c>
      <c r="EG741" s="408"/>
      <c r="EH741" s="408">
        <v>0</v>
      </c>
      <c r="EI741" s="408">
        <v>0</v>
      </c>
      <c r="EJ741" s="408">
        <v>0</v>
      </c>
      <c r="EK741" s="408">
        <v>0</v>
      </c>
      <c r="EL741" s="408">
        <v>0</v>
      </c>
      <c r="EM741" s="408"/>
      <c r="EN741" s="408"/>
      <c r="EO741" s="408">
        <v>0</v>
      </c>
      <c r="EP741" s="408">
        <v>0</v>
      </c>
      <c r="EQ741" s="408"/>
      <c r="ER741" s="408">
        <v>0</v>
      </c>
      <c r="ES741" s="408"/>
      <c r="ET741" s="408">
        <v>0</v>
      </c>
      <c r="EU741" s="408"/>
      <c r="EV741" s="408">
        <v>239</v>
      </c>
      <c r="EW741" s="408"/>
      <c r="EX741" s="408"/>
      <c r="EY741" s="408"/>
      <c r="EZ741" s="408"/>
      <c r="FA741" s="408">
        <v>0</v>
      </c>
      <c r="FB741" s="408"/>
      <c r="FC741" s="408"/>
      <c r="FD741" s="408"/>
      <c r="FE741" s="408"/>
      <c r="FF741" s="408">
        <v>0</v>
      </c>
      <c r="FG741" s="408">
        <v>0</v>
      </c>
      <c r="FH741" s="408">
        <v>0</v>
      </c>
      <c r="FI741" s="408">
        <v>0</v>
      </c>
    </row>
    <row r="742" spans="1:165">
      <c r="A742" s="408">
        <v>748</v>
      </c>
      <c r="B742" s="408" t="s">
        <v>2236</v>
      </c>
      <c r="C742" s="408" t="s">
        <v>2241</v>
      </c>
      <c r="D742" s="408" t="s">
        <v>596</v>
      </c>
      <c r="E742" s="408" t="s">
        <v>972</v>
      </c>
      <c r="F742" s="408" t="s">
        <v>1320</v>
      </c>
      <c r="G742" s="408" t="s">
        <v>1320</v>
      </c>
      <c r="H742" s="408" t="s">
        <v>1320</v>
      </c>
      <c r="I742" s="408" t="s">
        <v>1320</v>
      </c>
      <c r="J742" s="408" t="s">
        <v>2234</v>
      </c>
      <c r="K742" s="827">
        <v>44713</v>
      </c>
      <c r="L742" s="408">
        <v>170</v>
      </c>
      <c r="M742" s="408">
        <v>163.19999999999999</v>
      </c>
      <c r="N742" s="408">
        <v>0</v>
      </c>
      <c r="O742" s="408">
        <v>0</v>
      </c>
      <c r="P742" s="408">
        <v>0</v>
      </c>
      <c r="Q742" s="408">
        <v>0</v>
      </c>
      <c r="R742" s="408">
        <v>59.12</v>
      </c>
      <c r="S742" s="408"/>
      <c r="T742" s="408"/>
      <c r="U742" s="408">
        <v>10050.4</v>
      </c>
      <c r="V742" s="408"/>
      <c r="W742" s="408">
        <v>10050.4</v>
      </c>
      <c r="X742" s="408">
        <v>5785.1</v>
      </c>
      <c r="Y742" s="408">
        <v>0</v>
      </c>
      <c r="Z742" s="408">
        <v>0</v>
      </c>
      <c r="AA742" s="408">
        <v>0</v>
      </c>
      <c r="AB742" s="408">
        <v>0</v>
      </c>
      <c r="AC742" s="408">
        <v>97.250261766725941</v>
      </c>
      <c r="AD742" s="408">
        <v>869.89385062162319</v>
      </c>
      <c r="AE742" s="408">
        <v>8187.5056179166195</v>
      </c>
      <c r="AF742" s="408"/>
      <c r="AG742" s="408"/>
      <c r="AH742" s="408"/>
      <c r="AI742" s="408">
        <v>0</v>
      </c>
      <c r="AJ742" s="408">
        <v>0</v>
      </c>
      <c r="AK742" s="408">
        <v>0</v>
      </c>
      <c r="AL742" s="408">
        <v>0</v>
      </c>
      <c r="AM742" s="408"/>
      <c r="AN742" s="408">
        <v>0</v>
      </c>
      <c r="AO742" s="408">
        <v>205.3722596673102</v>
      </c>
      <c r="AP742" s="408">
        <v>690.3679368833898</v>
      </c>
      <c r="AQ742" s="408">
        <v>0</v>
      </c>
      <c r="AR742" s="408">
        <v>0</v>
      </c>
      <c r="AS742" s="408"/>
      <c r="AT742" s="408"/>
      <c r="AU742" s="408">
        <v>0</v>
      </c>
      <c r="AV742" s="408">
        <v>0</v>
      </c>
      <c r="AW742" s="408">
        <v>0</v>
      </c>
      <c r="AX742" s="408"/>
      <c r="AY742" s="408"/>
      <c r="AZ742" s="408">
        <v>0</v>
      </c>
      <c r="BA742" s="408"/>
      <c r="BB742" s="408">
        <v>0</v>
      </c>
      <c r="BC742" s="408">
        <v>0</v>
      </c>
      <c r="BD742" s="408">
        <v>0</v>
      </c>
      <c r="BE742" s="408">
        <v>0</v>
      </c>
      <c r="BF742" s="408"/>
      <c r="BG742" s="408">
        <v>0</v>
      </c>
      <c r="BH742" s="408">
        <v>0</v>
      </c>
      <c r="BI742" s="408">
        <v>106.47</v>
      </c>
      <c r="BJ742" s="408">
        <v>488.51</v>
      </c>
      <c r="BK742" s="408">
        <v>5.71</v>
      </c>
      <c r="BL742" s="408">
        <v>1</v>
      </c>
      <c r="BM742" s="408"/>
      <c r="BN742" s="408"/>
      <c r="BO742" s="408"/>
      <c r="BP742" s="408"/>
      <c r="BQ742" s="408"/>
      <c r="BR742" s="408">
        <v>231.40400000000039</v>
      </c>
      <c r="BS742" s="408"/>
      <c r="BT742" s="408"/>
      <c r="BU742" s="408"/>
      <c r="BV742" s="408">
        <v>0</v>
      </c>
      <c r="BW742" s="408"/>
      <c r="BX742" s="408"/>
      <c r="BY742" s="408"/>
      <c r="BZ742" s="408"/>
      <c r="CA742" s="408"/>
      <c r="CB742" s="408"/>
      <c r="CC742" s="408"/>
      <c r="CD742" s="408"/>
      <c r="CE742" s="408"/>
      <c r="CF742" s="408"/>
      <c r="CG742" s="408"/>
      <c r="CH742" s="408"/>
      <c r="CI742" s="408">
        <v>5553.6959999999999</v>
      </c>
      <c r="CJ742" s="408">
        <v>-4094.7179999999989</v>
      </c>
      <c r="CK742" s="408"/>
      <c r="CL742" s="408"/>
      <c r="CM742" s="408"/>
      <c r="CN742" s="408"/>
      <c r="CO742" s="408">
        <v>-4265.2999999999993</v>
      </c>
      <c r="CP742" s="408">
        <v>0</v>
      </c>
      <c r="CQ742" s="408">
        <v>30</v>
      </c>
      <c r="CR742" s="408">
        <v>70.291188460380681</v>
      </c>
      <c r="CS742" s="408">
        <v>19.940348929693897</v>
      </c>
      <c r="CT742" s="408">
        <v>67.030365121501973</v>
      </c>
      <c r="CU742" s="408">
        <v>0</v>
      </c>
      <c r="CV742" s="408">
        <v>0</v>
      </c>
      <c r="CW742" s="408"/>
      <c r="CX742" s="408"/>
      <c r="CY742" s="408"/>
      <c r="CZ742" s="408">
        <v>-16.679525590815274</v>
      </c>
      <c r="DA742" s="408">
        <v>0</v>
      </c>
      <c r="DB742" s="408">
        <v>0</v>
      </c>
      <c r="DC742" s="408"/>
      <c r="DD742" s="408"/>
      <c r="DE742" s="408">
        <v>0</v>
      </c>
      <c r="DF742" s="408">
        <v>0</v>
      </c>
      <c r="DG742" s="408">
        <v>0</v>
      </c>
      <c r="DH742" s="408">
        <v>0</v>
      </c>
      <c r="DI742" s="408">
        <v>0</v>
      </c>
      <c r="DJ742" s="408"/>
      <c r="DK742" s="408">
        <v>0</v>
      </c>
      <c r="DL742" s="408">
        <v>0</v>
      </c>
      <c r="DM742" s="408"/>
      <c r="DN742" s="408">
        <v>0</v>
      </c>
      <c r="DO742" s="408">
        <v>0</v>
      </c>
      <c r="DP742" s="408">
        <v>0</v>
      </c>
      <c r="DQ742" s="408">
        <v>0</v>
      </c>
      <c r="DR742" s="408">
        <v>0</v>
      </c>
      <c r="DS742" s="408"/>
      <c r="DT742" s="408"/>
      <c r="DU742" s="408">
        <v>8187.5056179166195</v>
      </c>
      <c r="DV742" s="408"/>
      <c r="DW742" s="408">
        <v>0</v>
      </c>
      <c r="DX742" s="408">
        <v>0</v>
      </c>
      <c r="DY742" s="408">
        <v>-4265.2999999999993</v>
      </c>
      <c r="DZ742" s="408"/>
      <c r="EA742" s="408">
        <v>0</v>
      </c>
      <c r="EB742" s="408"/>
      <c r="EC742" s="408">
        <v>-4334.8501601966236</v>
      </c>
      <c r="ED742" s="408"/>
      <c r="EE742" s="408">
        <v>0</v>
      </c>
      <c r="EF742" s="408">
        <v>0</v>
      </c>
      <c r="EG742" s="408"/>
      <c r="EH742" s="408">
        <v>0</v>
      </c>
      <c r="EI742" s="408">
        <v>0</v>
      </c>
      <c r="EJ742" s="408">
        <v>0</v>
      </c>
      <c r="EK742" s="408">
        <v>0</v>
      </c>
      <c r="EL742" s="408">
        <v>0</v>
      </c>
      <c r="EM742" s="408"/>
      <c r="EN742" s="408"/>
      <c r="EO742" s="408">
        <v>0</v>
      </c>
      <c r="EP742" s="408">
        <v>0</v>
      </c>
      <c r="EQ742" s="408"/>
      <c r="ER742" s="408">
        <v>0</v>
      </c>
      <c r="ES742" s="408"/>
      <c r="ET742" s="408">
        <v>0</v>
      </c>
      <c r="EU742" s="408"/>
      <c r="EV742" s="408">
        <v>239</v>
      </c>
      <c r="EW742" s="408"/>
      <c r="EX742" s="408"/>
      <c r="EY742" s="408"/>
      <c r="EZ742" s="408"/>
      <c r="FA742" s="408">
        <v>0</v>
      </c>
      <c r="FB742" s="408"/>
      <c r="FC742" s="408"/>
      <c r="FD742" s="408"/>
      <c r="FE742" s="408"/>
      <c r="FF742" s="408">
        <v>0</v>
      </c>
      <c r="FG742" s="408">
        <v>0</v>
      </c>
      <c r="FH742" s="408">
        <v>0</v>
      </c>
      <c r="FI742" s="408">
        <v>0</v>
      </c>
    </row>
    <row r="743" spans="1:165">
      <c r="A743" s="408">
        <v>749</v>
      </c>
      <c r="B743" s="408" t="s">
        <v>1034</v>
      </c>
      <c r="C743" s="408" t="s">
        <v>2233</v>
      </c>
      <c r="D743" s="408" t="s">
        <v>1956</v>
      </c>
      <c r="E743" s="408" t="s">
        <v>2244</v>
      </c>
      <c r="F743" s="408" t="s">
        <v>1320</v>
      </c>
      <c r="G743" s="408" t="s">
        <v>1320</v>
      </c>
      <c r="H743" s="408" t="s">
        <v>1320</v>
      </c>
      <c r="I743" s="408" t="s">
        <v>1320</v>
      </c>
      <c r="J743" s="408" t="s">
        <v>2234</v>
      </c>
      <c r="K743" s="827">
        <v>44713</v>
      </c>
      <c r="L743" s="408">
        <v>0</v>
      </c>
      <c r="M743" s="408">
        <v>0</v>
      </c>
      <c r="N743" s="408">
        <v>203.38800000000001</v>
      </c>
      <c r="O743" s="408">
        <v>203.38800000000001</v>
      </c>
      <c r="P743" s="408">
        <v>203.38800000000001</v>
      </c>
      <c r="Q743" s="408">
        <v>203.38800000000001</v>
      </c>
      <c r="R743" s="408"/>
      <c r="S743" s="408">
        <v>516.83000000000004</v>
      </c>
      <c r="T743" s="408">
        <v>173.82</v>
      </c>
      <c r="U743" s="408"/>
      <c r="V743" s="408">
        <v>140469.92220000003</v>
      </c>
      <c r="W743" s="408">
        <v>140469.92220000003</v>
      </c>
      <c r="X743" s="408">
        <v>106056.67259999999</v>
      </c>
      <c r="Y743" s="408">
        <v>0</v>
      </c>
      <c r="Z743" s="408">
        <v>12437.065507712925</v>
      </c>
      <c r="AA743" s="408">
        <v>0</v>
      </c>
      <c r="AB743" s="408">
        <v>0</v>
      </c>
      <c r="AC743" s="408">
        <v>552.89890319882227</v>
      </c>
      <c r="AD743" s="408">
        <v>7001.9596642499591</v>
      </c>
      <c r="AE743" s="408">
        <v>73955.089347364585</v>
      </c>
      <c r="AF743" s="408">
        <v>32729.631303502196</v>
      </c>
      <c r="AG743" s="408">
        <v>1646.601870361668</v>
      </c>
      <c r="AH743" s="408">
        <v>0</v>
      </c>
      <c r="AI743" s="408">
        <v>0</v>
      </c>
      <c r="AJ743" s="408">
        <v>0</v>
      </c>
      <c r="AK743" s="408">
        <v>0</v>
      </c>
      <c r="AL743" s="408">
        <v>1922.3210021998621</v>
      </c>
      <c r="AM743" s="408"/>
      <c r="AN743" s="408">
        <v>315.56501918072877</v>
      </c>
      <c r="AO743" s="408">
        <v>1179.3460866307989</v>
      </c>
      <c r="AP743" s="408">
        <v>3862.1989724270311</v>
      </c>
      <c r="AQ743" s="408">
        <v>0</v>
      </c>
      <c r="AR743" s="408">
        <v>0</v>
      </c>
      <c r="AS743" s="408">
        <v>0</v>
      </c>
      <c r="AT743" s="408">
        <v>0</v>
      </c>
      <c r="AU743" s="408">
        <v>0</v>
      </c>
      <c r="AV743" s="408">
        <v>0</v>
      </c>
      <c r="AW743" s="408">
        <v>0</v>
      </c>
      <c r="AX743" s="408">
        <v>0</v>
      </c>
      <c r="AY743" s="408">
        <v>0</v>
      </c>
      <c r="AZ743" s="408">
        <v>0</v>
      </c>
      <c r="BA743" s="408"/>
      <c r="BB743" s="408">
        <v>0</v>
      </c>
      <c r="BC743" s="408">
        <v>0</v>
      </c>
      <c r="BD743" s="408">
        <v>0</v>
      </c>
      <c r="BE743" s="408">
        <v>112.84222855699375</v>
      </c>
      <c r="BF743" s="408">
        <v>977.41933957956462</v>
      </c>
      <c r="BG743" s="408">
        <v>3778.6080002515619</v>
      </c>
      <c r="BH743" s="408">
        <v>0</v>
      </c>
      <c r="BI743" s="408">
        <v>584</v>
      </c>
      <c r="BJ743" s="408">
        <v>2686.09</v>
      </c>
      <c r="BK743" s="408">
        <v>34786.75</v>
      </c>
      <c r="BL743" s="408">
        <v>263</v>
      </c>
      <c r="BM743" s="408"/>
      <c r="BN743" s="408"/>
      <c r="BO743" s="408"/>
      <c r="BP743" s="408"/>
      <c r="BQ743" s="408"/>
      <c r="BR743" s="408"/>
      <c r="BS743" s="408"/>
      <c r="BT743" s="408"/>
      <c r="BU743" s="408"/>
      <c r="BV743" s="408">
        <v>37598.500871890312</v>
      </c>
      <c r="BW743" s="408"/>
      <c r="BX743" s="408"/>
      <c r="BY743" s="408"/>
      <c r="BZ743" s="408"/>
      <c r="CA743" s="408"/>
      <c r="CB743" s="408"/>
      <c r="CC743" s="408"/>
      <c r="CD743" s="408"/>
      <c r="CE743" s="408"/>
      <c r="CF743" s="408"/>
      <c r="CG743" s="408"/>
      <c r="CH743" s="408"/>
      <c r="CI743" s="408">
        <v>106057.71549999999</v>
      </c>
      <c r="CJ743" s="408">
        <v>-34412.236700000009</v>
      </c>
      <c r="CK743" s="408"/>
      <c r="CL743" s="408"/>
      <c r="CM743" s="408"/>
      <c r="CN743" s="408"/>
      <c r="CO743" s="408">
        <v>-38723.041320000011</v>
      </c>
      <c r="CP743" s="408">
        <v>4309.7917199999993</v>
      </c>
      <c r="CQ743" s="408">
        <v>30</v>
      </c>
      <c r="CR743" s="408">
        <v>4740.1361209010938</v>
      </c>
      <c r="CS743" s="408">
        <v>114.50705423596628</v>
      </c>
      <c r="CT743" s="408">
        <v>374.99511993905116</v>
      </c>
      <c r="CU743" s="408">
        <v>0</v>
      </c>
      <c r="CV743" s="408">
        <v>0</v>
      </c>
      <c r="CW743" s="408">
        <v>0</v>
      </c>
      <c r="CX743" s="408">
        <v>0</v>
      </c>
      <c r="CY743" s="408">
        <v>0</v>
      </c>
      <c r="CZ743" s="408">
        <v>-134.25703069662086</v>
      </c>
      <c r="DA743" s="408">
        <v>0</v>
      </c>
      <c r="DB743" s="408">
        <v>0</v>
      </c>
      <c r="DC743" s="408">
        <v>4201.2099074022626</v>
      </c>
      <c r="DD743" s="408">
        <v>125.46257472471734</v>
      </c>
      <c r="DE743" s="408">
        <v>14.484547173504012</v>
      </c>
      <c r="DF743" s="408">
        <v>0</v>
      </c>
      <c r="DG743" s="408">
        <v>485.02609820560519</v>
      </c>
      <c r="DH743" s="408">
        <v>0</v>
      </c>
      <c r="DI743" s="408">
        <v>-363.47952665733465</v>
      </c>
      <c r="DJ743" s="408"/>
      <c r="DK743" s="408">
        <v>0</v>
      </c>
      <c r="DL743" s="408">
        <v>0</v>
      </c>
      <c r="DM743" s="408">
        <v>-18.301375456687538</v>
      </c>
      <c r="DN743" s="408">
        <v>0</v>
      </c>
      <c r="DO743" s="408">
        <v>-49.78744997725039</v>
      </c>
      <c r="DP743" s="408">
        <v>-9.7237979921321767</v>
      </c>
      <c r="DQ743" s="408">
        <v>0</v>
      </c>
      <c r="DR743" s="408">
        <v>0</v>
      </c>
      <c r="DS743" s="408"/>
      <c r="DT743" s="408"/>
      <c r="DU743" s="408"/>
      <c r="DV743" s="408">
        <v>73955.089347364585</v>
      </c>
      <c r="DW743" s="408">
        <v>0</v>
      </c>
      <c r="DX743" s="408">
        <v>0</v>
      </c>
      <c r="DY743" s="408">
        <v>-38723.041320000018</v>
      </c>
      <c r="DZ743" s="408">
        <v>4309.7917200000011</v>
      </c>
      <c r="EA743" s="408">
        <v>0</v>
      </c>
      <c r="EB743" s="408">
        <v>0</v>
      </c>
      <c r="EC743" s="408">
        <v>-39155.299045321939</v>
      </c>
      <c r="ED743" s="408">
        <v>0</v>
      </c>
      <c r="EE743" s="408">
        <v>0</v>
      </c>
      <c r="EF743" s="408">
        <v>0</v>
      </c>
      <c r="EG743" s="408">
        <v>0</v>
      </c>
      <c r="EH743" s="408">
        <v>0</v>
      </c>
      <c r="EI743" s="408">
        <v>0</v>
      </c>
      <c r="EJ743" s="408">
        <v>0</v>
      </c>
      <c r="EK743" s="408">
        <v>0</v>
      </c>
      <c r="EL743" s="408">
        <v>0</v>
      </c>
      <c r="EM743" s="408">
        <v>0</v>
      </c>
      <c r="EN743" s="408">
        <v>0</v>
      </c>
      <c r="EO743" s="408">
        <v>0</v>
      </c>
      <c r="EP743" s="408">
        <v>0</v>
      </c>
      <c r="EQ743" s="408">
        <v>0</v>
      </c>
      <c r="ER743" s="408">
        <v>0</v>
      </c>
      <c r="ES743" s="408">
        <v>0</v>
      </c>
      <c r="ET743" s="408">
        <v>0</v>
      </c>
      <c r="EU743" s="408">
        <v>0</v>
      </c>
      <c r="EV743" s="408">
        <v>239</v>
      </c>
      <c r="EW743" s="408">
        <v>0</v>
      </c>
      <c r="EX743" s="408">
        <v>0</v>
      </c>
      <c r="EY743" s="408">
        <v>0</v>
      </c>
      <c r="EZ743" s="408"/>
      <c r="FA743" s="408">
        <v>0</v>
      </c>
      <c r="FB743" s="408"/>
      <c r="FC743" s="408"/>
      <c r="FD743" s="408"/>
      <c r="FE743" s="408"/>
      <c r="FF743" s="408">
        <v>0</v>
      </c>
      <c r="FG743" s="408">
        <v>0</v>
      </c>
      <c r="FH743" s="408">
        <v>0</v>
      </c>
      <c r="FI743" s="408">
        <v>0</v>
      </c>
    </row>
    <row r="744" spans="1:165">
      <c r="A744" s="408">
        <v>750</v>
      </c>
      <c r="B744" s="408" t="s">
        <v>2235</v>
      </c>
      <c r="C744" s="408" t="s">
        <v>2233</v>
      </c>
      <c r="D744" s="408" t="s">
        <v>1956</v>
      </c>
      <c r="E744" s="408" t="s">
        <v>2244</v>
      </c>
      <c r="F744" s="408" t="s">
        <v>1320</v>
      </c>
      <c r="G744" s="408" t="s">
        <v>1320</v>
      </c>
      <c r="H744" s="408" t="s">
        <v>1320</v>
      </c>
      <c r="I744" s="408" t="s">
        <v>1320</v>
      </c>
      <c r="J744" s="408" t="s">
        <v>2234</v>
      </c>
      <c r="K744" s="827">
        <v>44713</v>
      </c>
      <c r="L744" s="408">
        <v>0</v>
      </c>
      <c r="M744" s="408">
        <v>0</v>
      </c>
      <c r="N744" s="408">
        <v>-0.20599999999999999</v>
      </c>
      <c r="O744" s="408">
        <v>-0.20599999999999999</v>
      </c>
      <c r="P744" s="408">
        <v>-0.20599999999999999</v>
      </c>
      <c r="Q744" s="408">
        <v>-0.20599999999999999</v>
      </c>
      <c r="R744" s="408"/>
      <c r="S744" s="408">
        <v>516.83000000000004</v>
      </c>
      <c r="T744" s="408">
        <v>173.82</v>
      </c>
      <c r="U744" s="408"/>
      <c r="V744" s="408">
        <v>-142.2739</v>
      </c>
      <c r="W744" s="408">
        <v>-142.2739</v>
      </c>
      <c r="X744" s="408">
        <v>-107.4187</v>
      </c>
      <c r="Y744" s="408">
        <v>0</v>
      </c>
      <c r="Z744" s="408">
        <v>-12.596787886152882</v>
      </c>
      <c r="AA744" s="408">
        <v>0</v>
      </c>
      <c r="AB744" s="408">
        <v>0</v>
      </c>
      <c r="AC744" s="408">
        <v>-0.55999947911851922</v>
      </c>
      <c r="AD744" s="408">
        <v>-7.0918819735455951</v>
      </c>
      <c r="AE744" s="408">
        <v>-74.904853804339993</v>
      </c>
      <c r="AF744" s="408">
        <v>-33.149959921536428</v>
      </c>
      <c r="AG744" s="408">
        <v>-1.6677482707657461</v>
      </c>
      <c r="AH744" s="408">
        <v>0</v>
      </c>
      <c r="AI744" s="408">
        <v>0</v>
      </c>
      <c r="AJ744" s="408">
        <v>0</v>
      </c>
      <c r="AK744" s="408">
        <v>0</v>
      </c>
      <c r="AL744" s="408">
        <v>-1.9470083114695633</v>
      </c>
      <c r="AM744" s="408"/>
      <c r="AN744" s="408">
        <v>-0.31961764681903609</v>
      </c>
      <c r="AO744" s="408">
        <v>-1.1944917785019005</v>
      </c>
      <c r="AP744" s="408">
        <v>-3.9117990654314334</v>
      </c>
      <c r="AQ744" s="408">
        <v>0</v>
      </c>
      <c r="AR744" s="408">
        <v>0</v>
      </c>
      <c r="AS744" s="408">
        <v>0</v>
      </c>
      <c r="AT744" s="408">
        <v>0</v>
      </c>
      <c r="AU744" s="408">
        <v>0</v>
      </c>
      <c r="AV744" s="408">
        <v>0</v>
      </c>
      <c r="AW744" s="408">
        <v>0</v>
      </c>
      <c r="AX744" s="408">
        <v>0</v>
      </c>
      <c r="AY744" s="408">
        <v>0</v>
      </c>
      <c r="AZ744" s="408">
        <v>0</v>
      </c>
      <c r="BA744" s="408"/>
      <c r="BB744" s="408">
        <v>0</v>
      </c>
      <c r="BC744" s="408">
        <v>0</v>
      </c>
      <c r="BD744" s="408">
        <v>0</v>
      </c>
      <c r="BE744" s="408">
        <v>-0.11429139911273384</v>
      </c>
      <c r="BF744" s="408">
        <v>-0.98997179751701325</v>
      </c>
      <c r="BG744" s="408">
        <v>-3.827134580466014</v>
      </c>
      <c r="BH744" s="408">
        <v>0</v>
      </c>
      <c r="BI744" s="408">
        <v>-0.24</v>
      </c>
      <c r="BJ744" s="408">
        <v>-1.1399999999999999</v>
      </c>
      <c r="BK744" s="408">
        <v>-44.4</v>
      </c>
      <c r="BL744" s="408">
        <v>0</v>
      </c>
      <c r="BM744" s="408"/>
      <c r="BN744" s="408"/>
      <c r="BO744" s="408"/>
      <c r="BP744" s="408"/>
      <c r="BQ744" s="408"/>
      <c r="BR744" s="408"/>
      <c r="BS744" s="408"/>
      <c r="BT744" s="408"/>
      <c r="BU744" s="408"/>
      <c r="BV744" s="408">
        <v>-38.081357698632196</v>
      </c>
      <c r="BW744" s="408"/>
      <c r="BX744" s="408"/>
      <c r="BY744" s="408"/>
      <c r="BZ744" s="408"/>
      <c r="CA744" s="408"/>
      <c r="CB744" s="408"/>
      <c r="CC744" s="408"/>
      <c r="CD744" s="408"/>
      <c r="CE744" s="408"/>
      <c r="CF744" s="408"/>
      <c r="CG744" s="408"/>
      <c r="CH744" s="408"/>
      <c r="CI744" s="408">
        <v>-109.50449999999998</v>
      </c>
      <c r="CJ744" s="408">
        <v>32.739400000000018</v>
      </c>
      <c r="CK744" s="408"/>
      <c r="CL744" s="408"/>
      <c r="CM744" s="408"/>
      <c r="CN744" s="408"/>
      <c r="CO744" s="408">
        <v>39.220340000000007</v>
      </c>
      <c r="CP744" s="408">
        <v>-4.3651399999999994</v>
      </c>
      <c r="CQ744" s="408">
        <v>30</v>
      </c>
      <c r="CR744" s="408">
        <v>-4.801011076885672</v>
      </c>
      <c r="CS744" s="408">
        <v>-0.11597760523044176</v>
      </c>
      <c r="CT744" s="408">
        <v>-0.37981097561038224</v>
      </c>
      <c r="CU744" s="408">
        <v>0</v>
      </c>
      <c r="CV744" s="408">
        <v>0</v>
      </c>
      <c r="CW744" s="408">
        <v>0</v>
      </c>
      <c r="CX744" s="408">
        <v>0</v>
      </c>
      <c r="CY744" s="408">
        <v>0</v>
      </c>
      <c r="CZ744" s="408">
        <v>0.13598121975487221</v>
      </c>
      <c r="DA744" s="408">
        <v>0</v>
      </c>
      <c r="DB744" s="408">
        <v>0</v>
      </c>
      <c r="DC744" s="408">
        <v>-4.2551637310208363</v>
      </c>
      <c r="DD744" s="408">
        <v>-0.12707382143141066</v>
      </c>
      <c r="DE744" s="408">
        <v>-1.4670564230642058E-2</v>
      </c>
      <c r="DF744" s="408">
        <v>0</v>
      </c>
      <c r="DG744" s="408">
        <v>-0.49125502109443353</v>
      </c>
      <c r="DH744" s="408">
        <v>0</v>
      </c>
      <c r="DI744" s="408">
        <v>0.36814749391021451</v>
      </c>
      <c r="DJ744" s="408"/>
      <c r="DK744" s="408">
        <v>0</v>
      </c>
      <c r="DL744" s="408">
        <v>0</v>
      </c>
      <c r="DM744" s="408">
        <v>1.8536409936070974E-2</v>
      </c>
      <c r="DN744" s="408">
        <v>0</v>
      </c>
      <c r="DO744" s="408">
        <v>5.0426842760209922E-2</v>
      </c>
      <c r="DP744" s="408">
        <v>9.8486753711095054E-3</v>
      </c>
      <c r="DQ744" s="408">
        <v>0</v>
      </c>
      <c r="DR744" s="408">
        <v>0</v>
      </c>
      <c r="DS744" s="408"/>
      <c r="DT744" s="408"/>
      <c r="DU744" s="408"/>
      <c r="DV744" s="408">
        <v>-74.904853804339993</v>
      </c>
      <c r="DW744" s="408">
        <v>0</v>
      </c>
      <c r="DX744" s="408">
        <v>0</v>
      </c>
      <c r="DY744" s="408">
        <v>39.220340000000007</v>
      </c>
      <c r="DZ744" s="408">
        <v>-4.3651399999999967</v>
      </c>
      <c r="EA744" s="408">
        <v>0</v>
      </c>
      <c r="EB744" s="408">
        <v>0</v>
      </c>
      <c r="EC744" s="408">
        <v>39.658148973077658</v>
      </c>
      <c r="ED744" s="408">
        <v>0</v>
      </c>
      <c r="EE744" s="408">
        <v>0</v>
      </c>
      <c r="EF744" s="408">
        <v>0</v>
      </c>
      <c r="EG744" s="408">
        <v>0</v>
      </c>
      <c r="EH744" s="408">
        <v>0</v>
      </c>
      <c r="EI744" s="408">
        <v>0</v>
      </c>
      <c r="EJ744" s="408">
        <v>0</v>
      </c>
      <c r="EK744" s="408">
        <v>0</v>
      </c>
      <c r="EL744" s="408">
        <v>0</v>
      </c>
      <c r="EM744" s="408">
        <v>0</v>
      </c>
      <c r="EN744" s="408">
        <v>0</v>
      </c>
      <c r="EO744" s="408">
        <v>0</v>
      </c>
      <c r="EP744" s="408">
        <v>0</v>
      </c>
      <c r="EQ744" s="408">
        <v>0</v>
      </c>
      <c r="ER744" s="408">
        <v>0</v>
      </c>
      <c r="ES744" s="408">
        <v>0</v>
      </c>
      <c r="ET744" s="408">
        <v>0</v>
      </c>
      <c r="EU744" s="408">
        <v>0</v>
      </c>
      <c r="EV744" s="408">
        <v>239</v>
      </c>
      <c r="EW744" s="408">
        <v>0</v>
      </c>
      <c r="EX744" s="408">
        <v>0</v>
      </c>
      <c r="EY744" s="408">
        <v>0</v>
      </c>
      <c r="EZ744" s="408"/>
      <c r="FA744" s="408">
        <v>0</v>
      </c>
      <c r="FB744" s="408"/>
      <c r="FC744" s="408"/>
      <c r="FD744" s="408"/>
      <c r="FE744" s="408"/>
      <c r="FF744" s="408">
        <v>0</v>
      </c>
      <c r="FG744" s="408">
        <v>0</v>
      </c>
      <c r="FH744" s="408">
        <v>0</v>
      </c>
      <c r="FI744" s="408">
        <v>0</v>
      </c>
    </row>
    <row r="745" spans="1:165">
      <c r="A745" s="408">
        <v>751</v>
      </c>
      <c r="B745" s="408" t="s">
        <v>2236</v>
      </c>
      <c r="C745" s="408" t="s">
        <v>2233</v>
      </c>
      <c r="D745" s="408" t="s">
        <v>1956</v>
      </c>
      <c r="E745" s="408" t="s">
        <v>2244</v>
      </c>
      <c r="F745" s="408" t="s">
        <v>1320</v>
      </c>
      <c r="G745" s="408" t="s">
        <v>1320</v>
      </c>
      <c r="H745" s="408" t="s">
        <v>1320</v>
      </c>
      <c r="I745" s="408" t="s">
        <v>1320</v>
      </c>
      <c r="J745" s="408" t="s">
        <v>2234</v>
      </c>
      <c r="K745" s="827">
        <v>44713</v>
      </c>
      <c r="L745" s="408">
        <v>0</v>
      </c>
      <c r="M745" s="408">
        <v>0</v>
      </c>
      <c r="N745" s="408">
        <v>0.1</v>
      </c>
      <c r="O745" s="408">
        <v>0.1</v>
      </c>
      <c r="P745" s="408">
        <v>0.1</v>
      </c>
      <c r="Q745" s="408">
        <v>0.1</v>
      </c>
      <c r="R745" s="408"/>
      <c r="S745" s="408">
        <v>516.83000000000004</v>
      </c>
      <c r="T745" s="408">
        <v>173.82</v>
      </c>
      <c r="U745" s="408"/>
      <c r="V745" s="408">
        <v>69.065000000000012</v>
      </c>
      <c r="W745" s="408">
        <v>69.065000000000012</v>
      </c>
      <c r="X745" s="408">
        <v>52.144999999999996</v>
      </c>
      <c r="Y745" s="408">
        <v>0</v>
      </c>
      <c r="Z745" s="408">
        <v>6.1149455758023699</v>
      </c>
      <c r="AA745" s="408">
        <v>0</v>
      </c>
      <c r="AB745" s="408">
        <v>0</v>
      </c>
      <c r="AC745" s="408">
        <v>0.27184440733908705</v>
      </c>
      <c r="AD745" s="408">
        <v>3.4426611522066</v>
      </c>
      <c r="AE745" s="408">
        <v>36.361579516669899</v>
      </c>
      <c r="AF745" s="408">
        <v>16.0922135541439</v>
      </c>
      <c r="AG745" s="408">
        <v>0.80958653920667301</v>
      </c>
      <c r="AH745" s="408">
        <v>0</v>
      </c>
      <c r="AI745" s="408">
        <v>0</v>
      </c>
      <c r="AJ745" s="408">
        <v>0</v>
      </c>
      <c r="AK745" s="408">
        <v>0</v>
      </c>
      <c r="AL745" s="408">
        <v>0.94514966576192405</v>
      </c>
      <c r="AM745" s="408"/>
      <c r="AN745" s="408">
        <v>0.155154197484969</v>
      </c>
      <c r="AO745" s="408">
        <v>0.57985037791354399</v>
      </c>
      <c r="AP745" s="408">
        <v>1.8989315851608901</v>
      </c>
      <c r="AQ745" s="408">
        <v>0</v>
      </c>
      <c r="AR745" s="408">
        <v>0</v>
      </c>
      <c r="AS745" s="408">
        <v>0</v>
      </c>
      <c r="AT745" s="408">
        <v>0</v>
      </c>
      <c r="AU745" s="408">
        <v>0</v>
      </c>
      <c r="AV745" s="408">
        <v>0</v>
      </c>
      <c r="AW745" s="408">
        <v>0</v>
      </c>
      <c r="AX745" s="408">
        <v>0</v>
      </c>
      <c r="AY745" s="408">
        <v>0</v>
      </c>
      <c r="AZ745" s="408">
        <v>0</v>
      </c>
      <c r="BA745" s="408"/>
      <c r="BB745" s="408">
        <v>0</v>
      </c>
      <c r="BC745" s="408">
        <v>0</v>
      </c>
      <c r="BD745" s="408">
        <v>0</v>
      </c>
      <c r="BE745" s="408">
        <v>5.5481261705210609E-2</v>
      </c>
      <c r="BF745" s="408">
        <v>0.48056883374612297</v>
      </c>
      <c r="BG745" s="408">
        <v>1.8578323206145702</v>
      </c>
      <c r="BH745" s="408">
        <v>0</v>
      </c>
      <c r="BI745" s="408">
        <v>0.28000000000000003</v>
      </c>
      <c r="BJ745" s="408">
        <v>1.32</v>
      </c>
      <c r="BK745" s="408">
        <v>166.76</v>
      </c>
      <c r="BL745" s="408">
        <v>1</v>
      </c>
      <c r="BM745" s="408"/>
      <c r="BN745" s="408"/>
      <c r="BO745" s="408"/>
      <c r="BP745" s="408"/>
      <c r="BQ745" s="408"/>
      <c r="BR745" s="408"/>
      <c r="BS745" s="408"/>
      <c r="BT745" s="408"/>
      <c r="BU745" s="408"/>
      <c r="BV745" s="408">
        <v>18.486095970209803</v>
      </c>
      <c r="BW745" s="408"/>
      <c r="BX745" s="408"/>
      <c r="BY745" s="408"/>
      <c r="BZ745" s="408"/>
      <c r="CA745" s="408"/>
      <c r="CB745" s="408"/>
      <c r="CC745" s="408"/>
      <c r="CD745" s="408"/>
      <c r="CE745" s="408"/>
      <c r="CF745" s="408"/>
      <c r="CG745" s="408"/>
      <c r="CH745" s="408"/>
      <c r="CI745" s="408">
        <v>52.144999999999996</v>
      </c>
      <c r="CJ745" s="408">
        <v>-16.950000000000017</v>
      </c>
      <c r="CK745" s="408"/>
      <c r="CL745" s="408"/>
      <c r="CM745" s="408"/>
      <c r="CN745" s="408"/>
      <c r="CO745" s="408">
        <v>-19.039000000000005</v>
      </c>
      <c r="CP745" s="408">
        <v>2.1189999999999998</v>
      </c>
      <c r="CQ745" s="408">
        <v>30</v>
      </c>
      <c r="CR745" s="408">
        <v>2.3305879014008113</v>
      </c>
      <c r="CS745" s="408">
        <v>5.6299808364292048E-2</v>
      </c>
      <c r="CT745" s="408">
        <v>0.1843742600050402</v>
      </c>
      <c r="CU745" s="408">
        <v>0</v>
      </c>
      <c r="CV745" s="408">
        <v>0</v>
      </c>
      <c r="CW745" s="408">
        <v>0</v>
      </c>
      <c r="CX745" s="408">
        <v>0</v>
      </c>
      <c r="CY745" s="408">
        <v>0</v>
      </c>
      <c r="CZ745" s="408">
        <v>-6.6010300851879755E-2</v>
      </c>
      <c r="DA745" s="408">
        <v>0</v>
      </c>
      <c r="DB745" s="408">
        <v>0</v>
      </c>
      <c r="DC745" s="408">
        <v>2.0656134616606003</v>
      </c>
      <c r="DD745" s="408">
        <v>6.1686321083209095E-2</v>
      </c>
      <c r="DE745" s="408">
        <v>7.1216331216709047E-3</v>
      </c>
      <c r="DF745" s="408">
        <v>0</v>
      </c>
      <c r="DG745" s="408">
        <v>0.23847331121088988</v>
      </c>
      <c r="DH745" s="408">
        <v>0</v>
      </c>
      <c r="DI745" s="408">
        <v>-0.17871237568456966</v>
      </c>
      <c r="DJ745" s="408"/>
      <c r="DK745" s="408">
        <v>0</v>
      </c>
      <c r="DL745" s="408">
        <v>0</v>
      </c>
      <c r="DM745" s="408">
        <v>-8.9982572505200586E-3</v>
      </c>
      <c r="DN745" s="408">
        <v>0</v>
      </c>
      <c r="DO745" s="408">
        <v>-2.4479049883597059E-2</v>
      </c>
      <c r="DP745" s="408">
        <v>-4.780910374324987E-3</v>
      </c>
      <c r="DQ745" s="408">
        <v>0</v>
      </c>
      <c r="DR745" s="408">
        <v>0</v>
      </c>
      <c r="DS745" s="408"/>
      <c r="DT745" s="408"/>
      <c r="DU745" s="408"/>
      <c r="DV745" s="408">
        <v>36.361579516669899</v>
      </c>
      <c r="DW745" s="408">
        <v>0</v>
      </c>
      <c r="DX745" s="408">
        <v>0</v>
      </c>
      <c r="DY745" s="408">
        <v>-19.039000000000009</v>
      </c>
      <c r="DZ745" s="408">
        <v>2.1189999999999998</v>
      </c>
      <c r="EA745" s="408">
        <v>0</v>
      </c>
      <c r="EB745" s="408">
        <v>0</v>
      </c>
      <c r="EC745" s="408">
        <v>-19.251528627707597</v>
      </c>
      <c r="ED745" s="408">
        <v>0</v>
      </c>
      <c r="EE745" s="408">
        <v>0</v>
      </c>
      <c r="EF745" s="408">
        <v>0</v>
      </c>
      <c r="EG745" s="408">
        <v>0</v>
      </c>
      <c r="EH745" s="408">
        <v>0</v>
      </c>
      <c r="EI745" s="408">
        <v>0</v>
      </c>
      <c r="EJ745" s="408">
        <v>0</v>
      </c>
      <c r="EK745" s="408">
        <v>0</v>
      </c>
      <c r="EL745" s="408">
        <v>0</v>
      </c>
      <c r="EM745" s="408">
        <v>0</v>
      </c>
      <c r="EN745" s="408">
        <v>0</v>
      </c>
      <c r="EO745" s="408">
        <v>0</v>
      </c>
      <c r="EP745" s="408">
        <v>0</v>
      </c>
      <c r="EQ745" s="408">
        <v>0</v>
      </c>
      <c r="ER745" s="408">
        <v>0</v>
      </c>
      <c r="ES745" s="408">
        <v>0</v>
      </c>
      <c r="ET745" s="408">
        <v>0</v>
      </c>
      <c r="EU745" s="408">
        <v>0</v>
      </c>
      <c r="EV745" s="408">
        <v>239</v>
      </c>
      <c r="EW745" s="408">
        <v>0</v>
      </c>
      <c r="EX745" s="408">
        <v>0</v>
      </c>
      <c r="EY745" s="408">
        <v>0</v>
      </c>
      <c r="EZ745" s="408"/>
      <c r="FA745" s="408">
        <v>0</v>
      </c>
      <c r="FB745" s="408"/>
      <c r="FC745" s="408"/>
      <c r="FD745" s="408"/>
      <c r="FE745" s="408"/>
      <c r="FF745" s="408">
        <v>0</v>
      </c>
      <c r="FG745" s="408">
        <v>0</v>
      </c>
      <c r="FH745" s="408">
        <v>0</v>
      </c>
      <c r="FI745" s="408">
        <v>0</v>
      </c>
    </row>
    <row r="746" spans="1:165">
      <c r="A746" s="408">
        <v>752</v>
      </c>
      <c r="B746" s="408" t="s">
        <v>1034</v>
      </c>
      <c r="C746" s="408" t="s">
        <v>2245</v>
      </c>
      <c r="D746" s="408" t="s">
        <v>596</v>
      </c>
      <c r="E746" s="408" t="s">
        <v>2244</v>
      </c>
      <c r="F746" s="408" t="s">
        <v>1320</v>
      </c>
      <c r="G746" s="408" t="s">
        <v>1320</v>
      </c>
      <c r="H746" s="408" t="s">
        <v>1320</v>
      </c>
      <c r="I746" s="408" t="s">
        <v>971</v>
      </c>
      <c r="J746" s="408" t="s">
        <v>2234</v>
      </c>
      <c r="K746" s="827">
        <v>44713</v>
      </c>
      <c r="L746" s="408">
        <v>620</v>
      </c>
      <c r="M746" s="408">
        <v>620</v>
      </c>
      <c r="N746" s="408">
        <v>25.751000000000001</v>
      </c>
      <c r="O746" s="408">
        <v>25.751000000000001</v>
      </c>
      <c r="P746" s="408">
        <v>25.751000000000001</v>
      </c>
      <c r="Q746" s="408">
        <v>25.751000000000001</v>
      </c>
      <c r="R746" s="408">
        <v>67.099999999999994</v>
      </c>
      <c r="S746" s="408">
        <v>70.33</v>
      </c>
      <c r="T746" s="408">
        <v>173.82</v>
      </c>
      <c r="U746" s="408">
        <v>41602</v>
      </c>
      <c r="V746" s="408">
        <v>6287.1066499999997</v>
      </c>
      <c r="W746" s="408">
        <v>47889.106650000002</v>
      </c>
      <c r="X746" s="408">
        <v>32871.561829999999</v>
      </c>
      <c r="Y746" s="408">
        <v>0</v>
      </c>
      <c r="Z746" s="408">
        <v>1369.9538826456376</v>
      </c>
      <c r="AA746" s="408">
        <v>0</v>
      </c>
      <c r="AB746" s="408">
        <v>0</v>
      </c>
      <c r="AC746" s="408">
        <v>464.01921340310855</v>
      </c>
      <c r="AD746" s="408">
        <v>7078.6845471939478</v>
      </c>
      <c r="AE746" s="408">
        <v>29860.314606519434</v>
      </c>
      <c r="AF746" s="408">
        <v>4143.9059123275956</v>
      </c>
      <c r="AG746" s="408">
        <v>208.47662971111035</v>
      </c>
      <c r="AH746" s="408">
        <v>0</v>
      </c>
      <c r="AI746" s="408">
        <v>0</v>
      </c>
      <c r="AJ746" s="408">
        <v>0</v>
      </c>
      <c r="AK746" s="408">
        <v>0</v>
      </c>
      <c r="AL746" s="408">
        <v>243.38549043035306</v>
      </c>
      <c r="AM746" s="408"/>
      <c r="AN746" s="408">
        <v>32.001557371893753</v>
      </c>
      <c r="AO746" s="408">
        <v>996.52618854704053</v>
      </c>
      <c r="AP746" s="408">
        <v>3204.3442446425338</v>
      </c>
      <c r="AQ746" s="408">
        <v>0</v>
      </c>
      <c r="AR746" s="408">
        <v>0</v>
      </c>
      <c r="AS746" s="408">
        <v>0</v>
      </c>
      <c r="AT746" s="408">
        <v>0</v>
      </c>
      <c r="AU746" s="408">
        <v>0</v>
      </c>
      <c r="AV746" s="408">
        <v>0</v>
      </c>
      <c r="AW746" s="408">
        <v>0</v>
      </c>
      <c r="AX746" s="408">
        <v>0</v>
      </c>
      <c r="AY746" s="408">
        <v>0</v>
      </c>
      <c r="AZ746" s="408">
        <v>0</v>
      </c>
      <c r="BA746" s="408"/>
      <c r="BB746" s="408">
        <v>0</v>
      </c>
      <c r="BC746" s="408">
        <v>0</v>
      </c>
      <c r="BD746" s="408">
        <v>0</v>
      </c>
      <c r="BE746" s="408">
        <v>4.8049724295556056</v>
      </c>
      <c r="BF746" s="408">
        <v>123.75128037796414</v>
      </c>
      <c r="BG746" s="408">
        <v>160.89816281975322</v>
      </c>
      <c r="BH746" s="408">
        <v>0</v>
      </c>
      <c r="BI746" s="408">
        <v>0</v>
      </c>
      <c r="BJ746" s="408">
        <v>0</v>
      </c>
      <c r="BK746" s="408">
        <v>0</v>
      </c>
      <c r="BL746" s="408">
        <v>0</v>
      </c>
      <c r="BM746" s="408"/>
      <c r="BN746" s="408"/>
      <c r="BO746" s="408"/>
      <c r="BP746" s="408"/>
      <c r="BQ746" s="408"/>
      <c r="BR746" s="408"/>
      <c r="BS746" s="408"/>
      <c r="BT746" s="408"/>
      <c r="BU746" s="408"/>
      <c r="BV746" s="408">
        <v>4433.3603279548688</v>
      </c>
      <c r="BW746" s="408"/>
      <c r="BX746" s="408"/>
      <c r="BY746" s="408"/>
      <c r="BZ746" s="408"/>
      <c r="CA746" s="408"/>
      <c r="CB746" s="408"/>
      <c r="CC746" s="408"/>
      <c r="CD746" s="408"/>
      <c r="CE746" s="408"/>
      <c r="CF746" s="408"/>
      <c r="CG746" s="408"/>
      <c r="CH746" s="408"/>
      <c r="CI746" s="408">
        <v>32871.297500000001</v>
      </c>
      <c r="CJ746" s="408">
        <v>-15017.839150000007</v>
      </c>
      <c r="CK746" s="408"/>
      <c r="CL746" s="408"/>
      <c r="CM746" s="408"/>
      <c r="CN746" s="408"/>
      <c r="CO746" s="408">
        <v>-15563.208509999997</v>
      </c>
      <c r="CP746" s="408">
        <v>545.66368999999997</v>
      </c>
      <c r="CQ746" s="408">
        <v>30</v>
      </c>
      <c r="CR746" s="408">
        <v>791.57617558745551</v>
      </c>
      <c r="CS746" s="408">
        <v>96.75639713657381</v>
      </c>
      <c r="CT746" s="408">
        <v>311.12158201178818</v>
      </c>
      <c r="CU746" s="408">
        <v>0</v>
      </c>
      <c r="CV746" s="408">
        <v>0</v>
      </c>
      <c r="CW746" s="408">
        <v>0</v>
      </c>
      <c r="CX746" s="408">
        <v>0</v>
      </c>
      <c r="CY746" s="408">
        <v>0</v>
      </c>
      <c r="CZ746" s="408">
        <v>-135.72816955750204</v>
      </c>
      <c r="DA746" s="408">
        <v>0</v>
      </c>
      <c r="DB746" s="408">
        <v>0</v>
      </c>
      <c r="DC746" s="408">
        <v>531.91612251222159</v>
      </c>
      <c r="DD746" s="408">
        <v>15.884844542137174</v>
      </c>
      <c r="DE746" s="408">
        <v>0.61677131614015757</v>
      </c>
      <c r="DF746" s="408">
        <v>0</v>
      </c>
      <c r="DG746" s="408">
        <v>20.653057452829074</v>
      </c>
      <c r="DH746" s="408">
        <v>0</v>
      </c>
      <c r="DI746" s="408">
        <v>-40.037594760405227</v>
      </c>
      <c r="DJ746" s="408"/>
      <c r="DK746" s="408">
        <v>0</v>
      </c>
      <c r="DL746" s="408">
        <v>0</v>
      </c>
      <c r="DM746" s="408">
        <v>-2.3171412245814054</v>
      </c>
      <c r="DN746" s="408">
        <v>0</v>
      </c>
      <c r="DO746" s="408">
        <v>-6.3036001355250733</v>
      </c>
      <c r="DP746" s="408">
        <v>-0.98609370622206782</v>
      </c>
      <c r="DQ746" s="408">
        <v>0</v>
      </c>
      <c r="DR746" s="408">
        <v>0</v>
      </c>
      <c r="DS746" s="408"/>
      <c r="DT746" s="408"/>
      <c r="DU746" s="408">
        <v>29860.314606519434</v>
      </c>
      <c r="DV746" s="408">
        <v>0</v>
      </c>
      <c r="DW746" s="408">
        <v>0</v>
      </c>
      <c r="DX746" s="408">
        <v>0</v>
      </c>
      <c r="DY746" s="408">
        <v>-15563.20851</v>
      </c>
      <c r="DZ746" s="408">
        <v>545.66369000000032</v>
      </c>
      <c r="EA746" s="408">
        <v>0</v>
      </c>
      <c r="EB746" s="408">
        <v>0</v>
      </c>
      <c r="EC746" s="408">
        <v>-15809.453525422978</v>
      </c>
      <c r="ED746" s="408">
        <v>0</v>
      </c>
      <c r="EE746" s="408">
        <v>0</v>
      </c>
      <c r="EF746" s="408">
        <v>0</v>
      </c>
      <c r="EG746" s="408">
        <v>0</v>
      </c>
      <c r="EH746" s="408">
        <v>0</v>
      </c>
      <c r="EI746" s="408">
        <v>0</v>
      </c>
      <c r="EJ746" s="408">
        <v>0</v>
      </c>
      <c r="EK746" s="408">
        <v>0</v>
      </c>
      <c r="EL746" s="408">
        <v>0</v>
      </c>
      <c r="EM746" s="408">
        <v>0</v>
      </c>
      <c r="EN746" s="408">
        <v>0</v>
      </c>
      <c r="EO746" s="408">
        <v>0</v>
      </c>
      <c r="EP746" s="408">
        <v>0</v>
      </c>
      <c r="EQ746" s="408">
        <v>0</v>
      </c>
      <c r="ER746" s="408">
        <v>0</v>
      </c>
      <c r="ES746" s="408">
        <v>0</v>
      </c>
      <c r="ET746" s="408">
        <v>0</v>
      </c>
      <c r="EU746" s="408">
        <v>0</v>
      </c>
      <c r="EV746" s="408">
        <v>239</v>
      </c>
      <c r="EW746" s="408">
        <v>0</v>
      </c>
      <c r="EX746" s="408">
        <v>0</v>
      </c>
      <c r="EY746" s="408">
        <v>0</v>
      </c>
      <c r="EZ746" s="408"/>
      <c r="FA746" s="408">
        <v>0</v>
      </c>
      <c r="FB746" s="408"/>
      <c r="FC746" s="408"/>
      <c r="FD746" s="408"/>
      <c r="FE746" s="408"/>
      <c r="FF746" s="408">
        <v>0</v>
      </c>
      <c r="FG746" s="408">
        <v>0</v>
      </c>
      <c r="FH746" s="408">
        <v>0</v>
      </c>
      <c r="FI746" s="408">
        <v>0</v>
      </c>
    </row>
    <row r="747" spans="1:165">
      <c r="A747" s="408">
        <v>753</v>
      </c>
      <c r="B747" s="408" t="s">
        <v>1034</v>
      </c>
      <c r="C747" s="408" t="s">
        <v>2245</v>
      </c>
      <c r="D747" s="408" t="s">
        <v>596</v>
      </c>
      <c r="E747" s="408" t="s">
        <v>2244</v>
      </c>
      <c r="F747" s="408" t="s">
        <v>1320</v>
      </c>
      <c r="G747" s="408" t="s">
        <v>1320</v>
      </c>
      <c r="H747" s="408" t="s">
        <v>1320</v>
      </c>
      <c r="I747" s="408" t="s">
        <v>2242</v>
      </c>
      <c r="J747" s="408" t="s">
        <v>2234</v>
      </c>
      <c r="K747" s="827">
        <v>44713</v>
      </c>
      <c r="L747" s="408">
        <v>544</v>
      </c>
      <c r="M747" s="408">
        <v>544</v>
      </c>
      <c r="N747" s="408">
        <v>151.947</v>
      </c>
      <c r="O747" s="408">
        <v>151.947</v>
      </c>
      <c r="P747" s="408">
        <v>151.947</v>
      </c>
      <c r="Q747" s="408">
        <v>151.947</v>
      </c>
      <c r="R747" s="408">
        <v>59.12</v>
      </c>
      <c r="S747" s="408">
        <v>70.33</v>
      </c>
      <c r="T747" s="408">
        <v>173.82</v>
      </c>
      <c r="U747" s="408">
        <v>32161.279999999999</v>
      </c>
      <c r="V747" s="408">
        <v>37097.860050000003</v>
      </c>
      <c r="W747" s="408">
        <v>69259.140050000002</v>
      </c>
      <c r="X747" s="408">
        <v>58676.470509999999</v>
      </c>
      <c r="Y747" s="408">
        <v>0</v>
      </c>
      <c r="Z747" s="408">
        <v>8083.5844280360643</v>
      </c>
      <c r="AA747" s="408">
        <v>0</v>
      </c>
      <c r="AB747" s="408">
        <v>0</v>
      </c>
      <c r="AC747" s="408">
        <v>311.20083765352302</v>
      </c>
      <c r="AD747" s="408">
        <v>2783.660321989194</v>
      </c>
      <c r="AE747" s="408">
        <v>26200.017977333184</v>
      </c>
      <c r="AF747" s="408">
        <v>24451.635729115031</v>
      </c>
      <c r="AG747" s="408">
        <v>1230.1424587283634</v>
      </c>
      <c r="AH747" s="408">
        <v>0</v>
      </c>
      <c r="AI747" s="408">
        <v>0</v>
      </c>
      <c r="AJ747" s="408">
        <v>0</v>
      </c>
      <c r="AK747" s="408">
        <v>0</v>
      </c>
      <c r="AL747" s="408">
        <v>1436.1265626352706</v>
      </c>
      <c r="AM747" s="408"/>
      <c r="AN747" s="408">
        <v>188.82919645789056</v>
      </c>
      <c r="AO747" s="408">
        <v>657.1912309353927</v>
      </c>
      <c r="AP747" s="408">
        <v>2209.1773980268472</v>
      </c>
      <c r="AQ747" s="408">
        <v>0</v>
      </c>
      <c r="AR747" s="408">
        <v>0</v>
      </c>
      <c r="AS747" s="408">
        <v>0</v>
      </c>
      <c r="AT747" s="408">
        <v>0</v>
      </c>
      <c r="AU747" s="408">
        <v>0</v>
      </c>
      <c r="AV747" s="408">
        <v>0</v>
      </c>
      <c r="AW747" s="408">
        <v>0</v>
      </c>
      <c r="AX747" s="408">
        <v>0</v>
      </c>
      <c r="AY747" s="408">
        <v>0</v>
      </c>
      <c r="AZ747" s="408">
        <v>0</v>
      </c>
      <c r="BA747" s="408"/>
      <c r="BB747" s="408">
        <v>0</v>
      </c>
      <c r="BC747" s="408">
        <v>0</v>
      </c>
      <c r="BD747" s="408">
        <v>0</v>
      </c>
      <c r="BE747" s="408">
        <v>28.352341491735686</v>
      </c>
      <c r="BF747" s="408">
        <v>730.20992581222151</v>
      </c>
      <c r="BG747" s="408">
        <v>949.39975713459842</v>
      </c>
      <c r="BH747" s="408">
        <v>0</v>
      </c>
      <c r="BI747" s="408">
        <v>0</v>
      </c>
      <c r="BJ747" s="408">
        <v>0</v>
      </c>
      <c r="BK747" s="408">
        <v>0</v>
      </c>
      <c r="BL747" s="408">
        <v>0</v>
      </c>
      <c r="BM747" s="408"/>
      <c r="BN747" s="408"/>
      <c r="BO747" s="408"/>
      <c r="BP747" s="408"/>
      <c r="BQ747" s="408"/>
      <c r="BR747" s="408"/>
      <c r="BS747" s="408"/>
      <c r="BT747" s="408"/>
      <c r="BU747" s="408"/>
      <c r="BV747" s="408">
        <v>26159.597753553586</v>
      </c>
      <c r="BW747" s="408"/>
      <c r="BX747" s="408"/>
      <c r="BY747" s="408"/>
      <c r="BZ747" s="408"/>
      <c r="CA747" s="408"/>
      <c r="CB747" s="408"/>
      <c r="CC747" s="408"/>
      <c r="CD747" s="408"/>
      <c r="CE747" s="408"/>
      <c r="CF747" s="408"/>
      <c r="CG747" s="408"/>
      <c r="CH747" s="408"/>
      <c r="CI747" s="408">
        <v>58677.263499999994</v>
      </c>
      <c r="CJ747" s="408">
        <v>-10581.906550000007</v>
      </c>
      <c r="CK747" s="408"/>
      <c r="CL747" s="408"/>
      <c r="CM747" s="408"/>
      <c r="CN747" s="408"/>
      <c r="CO747" s="408">
        <v>-13802.426469999999</v>
      </c>
      <c r="CP747" s="408">
        <v>3219.7569299999996</v>
      </c>
      <c r="CQ747" s="408">
        <v>30</v>
      </c>
      <c r="CR747" s="408">
        <v>3289.8721173943995</v>
      </c>
      <c r="CS747" s="408">
        <v>63.809116575020425</v>
      </c>
      <c r="CT747" s="408">
        <v>214.49716838880659</v>
      </c>
      <c r="CU747" s="408">
        <v>0</v>
      </c>
      <c r="CV747" s="408">
        <v>0</v>
      </c>
      <c r="CW747" s="408">
        <v>0</v>
      </c>
      <c r="CX747" s="408">
        <v>0</v>
      </c>
      <c r="CY747" s="408">
        <v>0</v>
      </c>
      <c r="CZ747" s="408">
        <v>-53.374481890608877</v>
      </c>
      <c r="DA747" s="408">
        <v>0</v>
      </c>
      <c r="DB747" s="408">
        <v>0</v>
      </c>
      <c r="DC747" s="408">
        <v>3138.6376865894345</v>
      </c>
      <c r="DD747" s="408">
        <v>93.730514296303681</v>
      </c>
      <c r="DE747" s="408">
        <v>3.6393363820258777</v>
      </c>
      <c r="DF747" s="408">
        <v>0</v>
      </c>
      <c r="DG747" s="408">
        <v>121.86595164401444</v>
      </c>
      <c r="DH747" s="408">
        <v>0</v>
      </c>
      <c r="DI747" s="408">
        <v>-236.24684132885341</v>
      </c>
      <c r="DJ747" s="408"/>
      <c r="DK747" s="408">
        <v>0</v>
      </c>
      <c r="DL747" s="408">
        <v>0</v>
      </c>
      <c r="DM747" s="408">
        <v>-13.672581944447757</v>
      </c>
      <c r="DN747" s="408">
        <v>0</v>
      </c>
      <c r="DO747" s="408">
        <v>-37.195181926629175</v>
      </c>
      <c r="DP747" s="408">
        <v>-5.8185693906770268</v>
      </c>
      <c r="DQ747" s="408">
        <v>0</v>
      </c>
      <c r="DR747" s="408">
        <v>0</v>
      </c>
      <c r="DS747" s="408"/>
      <c r="DT747" s="408"/>
      <c r="DU747" s="408">
        <v>26200.017977333184</v>
      </c>
      <c r="DV747" s="408">
        <v>0</v>
      </c>
      <c r="DW747" s="408">
        <v>0</v>
      </c>
      <c r="DX747" s="408">
        <v>0</v>
      </c>
      <c r="DY747" s="408">
        <v>-13802.426469999999</v>
      </c>
      <c r="DZ747" s="408">
        <v>3219.7569299999996</v>
      </c>
      <c r="EA747" s="408">
        <v>0</v>
      </c>
      <c r="EB747" s="408">
        <v>0</v>
      </c>
      <c r="EC747" s="408">
        <v>-13871.520512629197</v>
      </c>
      <c r="ED747" s="408">
        <v>0</v>
      </c>
      <c r="EE747" s="408">
        <v>0</v>
      </c>
      <c r="EF747" s="408">
        <v>0</v>
      </c>
      <c r="EG747" s="408">
        <v>0</v>
      </c>
      <c r="EH747" s="408">
        <v>0</v>
      </c>
      <c r="EI747" s="408">
        <v>0</v>
      </c>
      <c r="EJ747" s="408">
        <v>0</v>
      </c>
      <c r="EK747" s="408">
        <v>0</v>
      </c>
      <c r="EL747" s="408">
        <v>0</v>
      </c>
      <c r="EM747" s="408">
        <v>0</v>
      </c>
      <c r="EN747" s="408">
        <v>0</v>
      </c>
      <c r="EO747" s="408">
        <v>0</v>
      </c>
      <c r="EP747" s="408">
        <v>0</v>
      </c>
      <c r="EQ747" s="408">
        <v>0</v>
      </c>
      <c r="ER747" s="408">
        <v>0</v>
      </c>
      <c r="ES747" s="408">
        <v>0</v>
      </c>
      <c r="ET747" s="408">
        <v>0</v>
      </c>
      <c r="EU747" s="408">
        <v>0</v>
      </c>
      <c r="EV747" s="408">
        <v>239</v>
      </c>
      <c r="EW747" s="408">
        <v>0</v>
      </c>
      <c r="EX747" s="408">
        <v>0</v>
      </c>
      <c r="EY747" s="408">
        <v>0</v>
      </c>
      <c r="EZ747" s="408"/>
      <c r="FA747" s="408">
        <v>0</v>
      </c>
      <c r="FB747" s="408"/>
      <c r="FC747" s="408"/>
      <c r="FD747" s="408"/>
      <c r="FE747" s="408"/>
      <c r="FF747" s="408">
        <v>0</v>
      </c>
      <c r="FG747" s="408">
        <v>0</v>
      </c>
      <c r="FH747" s="408">
        <v>0</v>
      </c>
      <c r="FI747" s="408">
        <v>0</v>
      </c>
    </row>
    <row r="748" spans="1:165">
      <c r="A748" s="408">
        <v>754</v>
      </c>
      <c r="B748" s="408" t="s">
        <v>1034</v>
      </c>
      <c r="C748" s="408" t="s">
        <v>2245</v>
      </c>
      <c r="D748" s="408" t="s">
        <v>596</v>
      </c>
      <c r="E748" s="408" t="s">
        <v>2244</v>
      </c>
      <c r="F748" s="408" t="s">
        <v>1320</v>
      </c>
      <c r="G748" s="408" t="s">
        <v>1320</v>
      </c>
      <c r="H748" s="408" t="s">
        <v>1320</v>
      </c>
      <c r="I748" s="408" t="s">
        <v>1320</v>
      </c>
      <c r="J748" s="408" t="s">
        <v>2234</v>
      </c>
      <c r="K748" s="827">
        <v>44713</v>
      </c>
      <c r="L748" s="408">
        <v>0</v>
      </c>
      <c r="M748" s="408">
        <v>0</v>
      </c>
      <c r="N748" s="408">
        <v>0</v>
      </c>
      <c r="O748" s="408">
        <v>0</v>
      </c>
      <c r="P748" s="408">
        <v>0</v>
      </c>
      <c r="Q748" s="408">
        <v>0</v>
      </c>
      <c r="R748" s="408"/>
      <c r="S748" s="408"/>
      <c r="T748" s="408"/>
      <c r="U748" s="408"/>
      <c r="V748" s="408"/>
      <c r="W748" s="408"/>
      <c r="X748" s="408"/>
      <c r="Y748" s="408"/>
      <c r="Z748" s="408"/>
      <c r="AA748" s="408">
        <v>0</v>
      </c>
      <c r="AB748" s="408"/>
      <c r="AC748" s="408"/>
      <c r="AD748" s="408"/>
      <c r="AE748" s="408"/>
      <c r="AF748" s="408"/>
      <c r="AG748" s="408"/>
      <c r="AH748" s="408"/>
      <c r="AI748" s="408"/>
      <c r="AJ748" s="408"/>
      <c r="AK748" s="408"/>
      <c r="AL748" s="408"/>
      <c r="AM748" s="408"/>
      <c r="AN748" s="408"/>
      <c r="AO748" s="408"/>
      <c r="AP748" s="408"/>
      <c r="AQ748" s="408"/>
      <c r="AR748" s="408"/>
      <c r="AS748" s="408"/>
      <c r="AT748" s="408"/>
      <c r="AU748" s="408"/>
      <c r="AV748" s="408"/>
      <c r="AW748" s="408"/>
      <c r="AX748" s="408"/>
      <c r="AY748" s="408"/>
      <c r="AZ748" s="408">
        <v>0</v>
      </c>
      <c r="BA748" s="408"/>
      <c r="BB748" s="408"/>
      <c r="BC748" s="408"/>
      <c r="BD748" s="408"/>
      <c r="BE748" s="408"/>
      <c r="BF748" s="408"/>
      <c r="BG748" s="408"/>
      <c r="BH748" s="408"/>
      <c r="BI748" s="408">
        <v>629.13</v>
      </c>
      <c r="BJ748" s="408">
        <v>2886.67</v>
      </c>
      <c r="BK748" s="408">
        <v>0</v>
      </c>
      <c r="BL748" s="408">
        <v>1</v>
      </c>
      <c r="BM748" s="408"/>
      <c r="BN748" s="408"/>
      <c r="BO748" s="408"/>
      <c r="BP748" s="408"/>
      <c r="BQ748" s="408"/>
      <c r="BR748" s="408"/>
      <c r="BS748" s="408"/>
      <c r="BT748" s="408"/>
      <c r="BU748" s="408"/>
      <c r="BV748" s="408"/>
      <c r="BW748" s="408"/>
      <c r="BX748" s="408"/>
      <c r="BY748" s="408"/>
      <c r="BZ748" s="408"/>
      <c r="CA748" s="408"/>
      <c r="CB748" s="408"/>
      <c r="CC748" s="408"/>
      <c r="CD748" s="408"/>
      <c r="CE748" s="408"/>
      <c r="CF748" s="408"/>
      <c r="CG748" s="408"/>
      <c r="CH748" s="408"/>
      <c r="CI748" s="408"/>
      <c r="CJ748" s="408">
        <v>-0.03</v>
      </c>
      <c r="CK748" s="408"/>
      <c r="CL748" s="408"/>
      <c r="CM748" s="408"/>
      <c r="CN748" s="408"/>
      <c r="CO748" s="408">
        <v>0</v>
      </c>
      <c r="CP748" s="408">
        <v>0</v>
      </c>
      <c r="CQ748" s="408">
        <v>30</v>
      </c>
      <c r="CR748" s="408"/>
      <c r="CS748" s="408"/>
      <c r="CT748" s="408"/>
      <c r="CU748" s="408"/>
      <c r="CV748" s="408"/>
      <c r="CW748" s="408"/>
      <c r="CX748" s="408"/>
      <c r="CY748" s="408"/>
      <c r="CZ748" s="408"/>
      <c r="DA748" s="408"/>
      <c r="DB748" s="408"/>
      <c r="DC748" s="408"/>
      <c r="DD748" s="408"/>
      <c r="DE748" s="408"/>
      <c r="DF748" s="408"/>
      <c r="DG748" s="408"/>
      <c r="DH748" s="408"/>
      <c r="DI748" s="408"/>
      <c r="DJ748" s="408"/>
      <c r="DK748" s="408">
        <v>0</v>
      </c>
      <c r="DL748" s="408"/>
      <c r="DM748" s="408"/>
      <c r="DN748" s="408"/>
      <c r="DO748" s="408"/>
      <c r="DP748" s="408"/>
      <c r="DQ748" s="408"/>
      <c r="DR748" s="408"/>
      <c r="DS748" s="408"/>
      <c r="DT748" s="408"/>
      <c r="DU748" s="408"/>
      <c r="DV748" s="408"/>
      <c r="DW748" s="408"/>
      <c r="DX748" s="408"/>
      <c r="DY748" s="408"/>
      <c r="DZ748" s="408"/>
      <c r="EA748" s="408"/>
      <c r="EB748" s="408"/>
      <c r="EC748" s="408"/>
      <c r="ED748" s="408"/>
      <c r="EE748" s="408"/>
      <c r="EF748" s="408"/>
      <c r="EG748" s="408"/>
      <c r="EH748" s="408"/>
      <c r="EI748" s="408"/>
      <c r="EJ748" s="408"/>
      <c r="EK748" s="408"/>
      <c r="EL748" s="408"/>
      <c r="EM748" s="408"/>
      <c r="EN748" s="408"/>
      <c r="EO748" s="408"/>
      <c r="EP748" s="408"/>
      <c r="EQ748" s="408"/>
      <c r="ER748" s="408"/>
      <c r="ES748" s="408"/>
      <c r="ET748" s="408"/>
      <c r="EU748" s="408"/>
      <c r="EV748" s="408">
        <v>239</v>
      </c>
      <c r="EW748" s="408"/>
      <c r="EX748" s="408"/>
      <c r="EY748" s="408"/>
      <c r="EZ748" s="408"/>
      <c r="FA748" s="408">
        <v>0</v>
      </c>
      <c r="FB748" s="408"/>
      <c r="FC748" s="408"/>
      <c r="FD748" s="408"/>
      <c r="FE748" s="408"/>
      <c r="FF748" s="408">
        <v>0</v>
      </c>
      <c r="FG748" s="408">
        <v>0</v>
      </c>
      <c r="FH748" s="408">
        <v>0</v>
      </c>
      <c r="FI748" s="408">
        <v>0</v>
      </c>
    </row>
    <row r="749" spans="1:165">
      <c r="A749" s="408">
        <v>755</v>
      </c>
      <c r="B749" s="408" t="s">
        <v>1034</v>
      </c>
      <c r="C749" s="408" t="s">
        <v>2233</v>
      </c>
      <c r="D749" s="408" t="s">
        <v>2246</v>
      </c>
      <c r="E749" s="408" t="s">
        <v>2247</v>
      </c>
      <c r="F749" s="408" t="s">
        <v>2248</v>
      </c>
      <c r="G749" s="408" t="s">
        <v>1320</v>
      </c>
      <c r="H749" s="408" t="s">
        <v>1320</v>
      </c>
      <c r="I749" s="408" t="s">
        <v>1320</v>
      </c>
      <c r="J749" s="408" t="s">
        <v>2234</v>
      </c>
      <c r="K749" s="827">
        <v>44713</v>
      </c>
      <c r="L749" s="408">
        <v>0</v>
      </c>
      <c r="M749" s="408">
        <v>0</v>
      </c>
      <c r="N749" s="408">
        <v>396.74200000000002</v>
      </c>
      <c r="O749" s="408">
        <v>396.74200000000002</v>
      </c>
      <c r="P749" s="408">
        <v>396.74200000000002</v>
      </c>
      <c r="Q749" s="408">
        <v>396.74200000000002</v>
      </c>
      <c r="R749" s="408"/>
      <c r="S749" s="408">
        <v>284.26</v>
      </c>
      <c r="T749" s="408">
        <v>95.6</v>
      </c>
      <c r="U749" s="408"/>
      <c r="V749" s="408">
        <v>150706.41612000001</v>
      </c>
      <c r="W749" s="408">
        <v>150706.41612000001</v>
      </c>
      <c r="X749" s="408">
        <v>113781.63818000001</v>
      </c>
      <c r="Y749" s="408">
        <v>0</v>
      </c>
      <c r="Z749" s="408">
        <v>13343.306556992438</v>
      </c>
      <c r="AA749" s="408">
        <v>0</v>
      </c>
      <c r="AB749" s="408">
        <v>0</v>
      </c>
      <c r="AC749" s="408">
        <v>593.18651621088293</v>
      </c>
      <c r="AD749" s="408">
        <v>7512.1654896681302</v>
      </c>
      <c r="AE749" s="408">
        <v>79343.911793314401</v>
      </c>
      <c r="AF749" s="408">
        <v>35114.513444439937</v>
      </c>
      <c r="AG749" s="408">
        <v>1766.5834050586359</v>
      </c>
      <c r="AH749" s="408">
        <v>0</v>
      </c>
      <c r="AI749" s="408">
        <v>0</v>
      </c>
      <c r="AJ749" s="408">
        <v>0</v>
      </c>
      <c r="AK749" s="408">
        <v>0</v>
      </c>
      <c r="AL749" s="408">
        <v>2062.3931278154441</v>
      </c>
      <c r="AM749" s="408"/>
      <c r="AN749" s="408">
        <v>338.55902640219966</v>
      </c>
      <c r="AO749" s="408">
        <v>1265.2804924879633</v>
      </c>
      <c r="AP749" s="408">
        <v>4143.6225322794617</v>
      </c>
      <c r="AQ749" s="408">
        <v>0</v>
      </c>
      <c r="AR749" s="408">
        <v>0</v>
      </c>
      <c r="AS749" s="408">
        <v>0</v>
      </c>
      <c r="AT749" s="408">
        <v>0</v>
      </c>
      <c r="AU749" s="408">
        <v>0</v>
      </c>
      <c r="AV749" s="408">
        <v>0</v>
      </c>
      <c r="AW749" s="408">
        <v>0</v>
      </c>
      <c r="AX749" s="408">
        <v>0</v>
      </c>
      <c r="AY749" s="408">
        <v>0</v>
      </c>
      <c r="AZ749" s="408">
        <v>0</v>
      </c>
      <c r="BA749" s="408"/>
      <c r="BB749" s="408">
        <v>0</v>
      </c>
      <c r="BC749" s="408">
        <v>0</v>
      </c>
      <c r="BD749" s="408">
        <v>0</v>
      </c>
      <c r="BE749" s="408">
        <v>121.06460702296754</v>
      </c>
      <c r="BF749" s="408">
        <v>1048.6401213095753</v>
      </c>
      <c r="BG749" s="408">
        <v>4053.9406079989476</v>
      </c>
      <c r="BH749" s="408">
        <v>0</v>
      </c>
      <c r="BI749" s="408">
        <v>627.37</v>
      </c>
      <c r="BJ749" s="408">
        <v>2878.59</v>
      </c>
      <c r="BK749" s="408">
        <v>29321.94</v>
      </c>
      <c r="BL749" s="408">
        <v>15</v>
      </c>
      <c r="BM749" s="408"/>
      <c r="BN749" s="408"/>
      <c r="BO749" s="408"/>
      <c r="BP749" s="408"/>
      <c r="BQ749" s="408"/>
      <c r="BR749" s="408"/>
      <c r="BS749" s="408"/>
      <c r="BT749" s="408"/>
      <c r="BU749" s="408"/>
      <c r="BV749" s="408">
        <v>40338.158780771431</v>
      </c>
      <c r="BW749" s="408"/>
      <c r="BX749" s="408"/>
      <c r="BY749" s="408"/>
      <c r="BZ749" s="408"/>
      <c r="CA749" s="408"/>
      <c r="CB749" s="408"/>
      <c r="CC749" s="408"/>
      <c r="CD749" s="408"/>
      <c r="CE749" s="408"/>
      <c r="CF749" s="408"/>
      <c r="CG749" s="408"/>
      <c r="CH749" s="408"/>
      <c r="CI749" s="408">
        <v>113781.06459999998</v>
      </c>
      <c r="CJ749" s="408">
        <v>-36925.381519999995</v>
      </c>
      <c r="CK749" s="408"/>
      <c r="CL749" s="408"/>
      <c r="CM749" s="408"/>
      <c r="CN749" s="408"/>
      <c r="CO749" s="408">
        <v>-41546.822240000001</v>
      </c>
      <c r="CP749" s="408">
        <v>4622.0443000000023</v>
      </c>
      <c r="CQ749" s="408">
        <v>30</v>
      </c>
      <c r="CR749" s="408">
        <v>5085.5315784764243</v>
      </c>
      <c r="CS749" s="408">
        <v>122.85074213536427</v>
      </c>
      <c r="CT749" s="408">
        <v>402.3195696460507</v>
      </c>
      <c r="CU749" s="408">
        <v>0</v>
      </c>
      <c r="CV749" s="408">
        <v>0</v>
      </c>
      <c r="CW749" s="408">
        <v>0</v>
      </c>
      <c r="CX749" s="408">
        <v>0</v>
      </c>
      <c r="CY749" s="408">
        <v>0</v>
      </c>
      <c r="CZ749" s="408">
        <v>-144.03982329315568</v>
      </c>
      <c r="DA749" s="408">
        <v>0</v>
      </c>
      <c r="DB749" s="408">
        <v>0</v>
      </c>
      <c r="DC749" s="408">
        <v>4507.3358880336673</v>
      </c>
      <c r="DD749" s="408">
        <v>134.60454919556992</v>
      </c>
      <c r="DE749" s="408">
        <v>15.539980323768773</v>
      </c>
      <c r="DF749" s="408">
        <v>0</v>
      </c>
      <c r="DG749" s="408">
        <v>520.36808140037192</v>
      </c>
      <c r="DH749" s="408">
        <v>0</v>
      </c>
      <c r="DI749" s="408">
        <v>-389.96487944618821</v>
      </c>
      <c r="DJ749" s="408"/>
      <c r="DK749" s="408">
        <v>0</v>
      </c>
      <c r="DL749" s="408">
        <v>0</v>
      </c>
      <c r="DM749" s="408">
        <v>-19.634926179472131</v>
      </c>
      <c r="DN749" s="408">
        <v>0</v>
      </c>
      <c r="DO749" s="408">
        <v>-53.415269649047559</v>
      </c>
      <c r="DP749" s="408">
        <v>-10.432333690518078</v>
      </c>
      <c r="DQ749" s="408">
        <v>0</v>
      </c>
      <c r="DR749" s="408">
        <v>0</v>
      </c>
      <c r="DS749" s="408"/>
      <c r="DT749" s="408"/>
      <c r="DU749" s="408"/>
      <c r="DV749" s="408">
        <v>79343.911793314401</v>
      </c>
      <c r="DW749" s="408">
        <v>0</v>
      </c>
      <c r="DX749" s="408">
        <v>0</v>
      </c>
      <c r="DY749" s="408">
        <v>-41546.822239999994</v>
      </c>
      <c r="DZ749" s="408">
        <v>4622.0443000000014</v>
      </c>
      <c r="EA749" s="408">
        <v>0</v>
      </c>
      <c r="EB749" s="408">
        <v>0</v>
      </c>
      <c r="EC749" s="408">
        <v>-42008.394839476714</v>
      </c>
      <c r="ED749" s="408">
        <v>0</v>
      </c>
      <c r="EE749" s="408">
        <v>0</v>
      </c>
      <c r="EF749" s="408">
        <v>0</v>
      </c>
      <c r="EG749" s="408">
        <v>0</v>
      </c>
      <c r="EH749" s="408">
        <v>0</v>
      </c>
      <c r="EI749" s="408">
        <v>0</v>
      </c>
      <c r="EJ749" s="408">
        <v>0</v>
      </c>
      <c r="EK749" s="408">
        <v>0</v>
      </c>
      <c r="EL749" s="408">
        <v>0</v>
      </c>
      <c r="EM749" s="408">
        <v>0</v>
      </c>
      <c r="EN749" s="408">
        <v>0</v>
      </c>
      <c r="EO749" s="408">
        <v>0</v>
      </c>
      <c r="EP749" s="408">
        <v>0</v>
      </c>
      <c r="EQ749" s="408">
        <v>0</v>
      </c>
      <c r="ER749" s="408">
        <v>0</v>
      </c>
      <c r="ES749" s="408">
        <v>0</v>
      </c>
      <c r="ET749" s="408">
        <v>0</v>
      </c>
      <c r="EU749" s="408">
        <v>0</v>
      </c>
      <c r="EV749" s="408">
        <v>239</v>
      </c>
      <c r="EW749" s="408">
        <v>0</v>
      </c>
      <c r="EX749" s="408">
        <v>0</v>
      </c>
      <c r="EY749" s="408">
        <v>0</v>
      </c>
      <c r="EZ749" s="408"/>
      <c r="FA749" s="408">
        <v>0</v>
      </c>
      <c r="FB749" s="408"/>
      <c r="FC749" s="408"/>
      <c r="FD749" s="408"/>
      <c r="FE749" s="408"/>
      <c r="FF749" s="408">
        <v>0</v>
      </c>
      <c r="FG749" s="408">
        <v>0</v>
      </c>
      <c r="FH749" s="408">
        <v>0</v>
      </c>
      <c r="FI749" s="408">
        <v>0</v>
      </c>
    </row>
    <row r="750" spans="1:165">
      <c r="A750" s="408">
        <v>756</v>
      </c>
      <c r="B750" s="408" t="s">
        <v>1034</v>
      </c>
      <c r="C750" s="408" t="s">
        <v>2233</v>
      </c>
      <c r="D750" s="408" t="s">
        <v>1956</v>
      </c>
      <c r="E750" s="408" t="s">
        <v>999</v>
      </c>
      <c r="F750" s="408" t="s">
        <v>2249</v>
      </c>
      <c r="G750" s="408" t="s">
        <v>1320</v>
      </c>
      <c r="H750" s="408" t="s">
        <v>1320</v>
      </c>
      <c r="I750" s="408" t="s">
        <v>1320</v>
      </c>
      <c r="J750" s="408" t="s">
        <v>2234</v>
      </c>
      <c r="K750" s="827">
        <v>44713</v>
      </c>
      <c r="L750" s="408">
        <v>0</v>
      </c>
      <c r="M750" s="408">
        <v>0</v>
      </c>
      <c r="N750" s="408">
        <v>7.4320000000000004</v>
      </c>
      <c r="O750" s="408">
        <v>6.9860800000000003</v>
      </c>
      <c r="P750" s="408">
        <v>7.4320000000000004</v>
      </c>
      <c r="Q750" s="408">
        <v>6.9860800000000003</v>
      </c>
      <c r="R750" s="408"/>
      <c r="S750" s="408">
        <v>516.83000000000004</v>
      </c>
      <c r="T750" s="408">
        <v>173.82</v>
      </c>
      <c r="U750" s="408"/>
      <c r="V750" s="408">
        <v>5132.9108000000006</v>
      </c>
      <c r="W750" s="408">
        <v>5132.9108000000006</v>
      </c>
      <c r="X750" s="408">
        <v>3875.4164000000001</v>
      </c>
      <c r="Y750" s="408">
        <v>0</v>
      </c>
      <c r="Z750" s="408">
        <v>454.46275519363218</v>
      </c>
      <c r="AA750" s="408">
        <v>0</v>
      </c>
      <c r="AB750" s="408">
        <v>0</v>
      </c>
      <c r="AC750" s="408">
        <v>20.203476353440948</v>
      </c>
      <c r="AD750" s="408">
        <v>255.8585768319945</v>
      </c>
      <c r="AE750" s="408">
        <v>2702.3925896789069</v>
      </c>
      <c r="AF750" s="408">
        <v>1195.9733113439747</v>
      </c>
      <c r="AG750" s="408">
        <v>60.168471593839932</v>
      </c>
      <c r="AH750" s="408">
        <v>0</v>
      </c>
      <c r="AI750" s="408">
        <v>0</v>
      </c>
      <c r="AJ750" s="408">
        <v>0</v>
      </c>
      <c r="AK750" s="408">
        <v>0</v>
      </c>
      <c r="AL750" s="408">
        <v>70.243523159426189</v>
      </c>
      <c r="AM750" s="408"/>
      <c r="AN750" s="408">
        <v>11.531059957082896</v>
      </c>
      <c r="AO750" s="408">
        <v>43.094480086534588</v>
      </c>
      <c r="AP750" s="408">
        <v>141.12859540915736</v>
      </c>
      <c r="AQ750" s="408">
        <v>0</v>
      </c>
      <c r="AR750" s="408">
        <v>0</v>
      </c>
      <c r="AS750" s="408">
        <v>0</v>
      </c>
      <c r="AT750" s="408">
        <v>0</v>
      </c>
      <c r="AU750" s="408">
        <v>0</v>
      </c>
      <c r="AV750" s="408">
        <v>0</v>
      </c>
      <c r="AW750" s="408">
        <v>0</v>
      </c>
      <c r="AX750" s="408">
        <v>0</v>
      </c>
      <c r="AY750" s="408">
        <v>0</v>
      </c>
      <c r="AZ750" s="408">
        <v>0</v>
      </c>
      <c r="BA750" s="408"/>
      <c r="BB750" s="408">
        <v>0</v>
      </c>
      <c r="BC750" s="408">
        <v>0</v>
      </c>
      <c r="BD750" s="408">
        <v>0</v>
      </c>
      <c r="BE750" s="408">
        <v>4.1233673699312527</v>
      </c>
      <c r="BF750" s="408">
        <v>35.715875724011859</v>
      </c>
      <c r="BG750" s="408">
        <v>138.07409806807485</v>
      </c>
      <c r="BH750" s="408">
        <v>0</v>
      </c>
      <c r="BI750" s="408">
        <v>21.33</v>
      </c>
      <c r="BJ750" s="408">
        <v>98.07</v>
      </c>
      <c r="BK750" s="408">
        <v>1331.57</v>
      </c>
      <c r="BL750" s="408">
        <v>7</v>
      </c>
      <c r="BM750" s="408"/>
      <c r="BN750" s="408"/>
      <c r="BO750" s="408"/>
      <c r="BP750" s="408"/>
      <c r="BQ750" s="408">
        <v>232.52498400000007</v>
      </c>
      <c r="BR750" s="408"/>
      <c r="BS750" s="408"/>
      <c r="BT750" s="408"/>
      <c r="BU750" s="408"/>
      <c r="BV750" s="408">
        <v>1373.8866525059925</v>
      </c>
      <c r="BW750" s="408"/>
      <c r="BX750" s="408"/>
      <c r="BY750" s="408"/>
      <c r="BZ750" s="408"/>
      <c r="CA750" s="408"/>
      <c r="CB750" s="408"/>
      <c r="CC750" s="408"/>
      <c r="CD750" s="408"/>
      <c r="CE750" s="408"/>
      <c r="CF750" s="408"/>
      <c r="CG750" s="408"/>
      <c r="CH750" s="408"/>
      <c r="CI750" s="408">
        <v>3644.9354999999996</v>
      </c>
      <c r="CJ750" s="408">
        <v>-1180.0306520000013</v>
      </c>
      <c r="CK750" s="408"/>
      <c r="CL750" s="408"/>
      <c r="CM750" s="408"/>
      <c r="CN750" s="408"/>
      <c r="CO750" s="408">
        <v>-1414.9784800000004</v>
      </c>
      <c r="CP750" s="408">
        <v>157.48407999999998</v>
      </c>
      <c r="CQ750" s="408">
        <v>30</v>
      </c>
      <c r="CR750" s="408">
        <v>173.20929283210762</v>
      </c>
      <c r="CS750" s="408">
        <v>4.1842017576341917</v>
      </c>
      <c r="CT750" s="408">
        <v>13.702695003574576</v>
      </c>
      <c r="CU750" s="408">
        <v>0</v>
      </c>
      <c r="CV750" s="408">
        <v>0</v>
      </c>
      <c r="CW750" s="408">
        <v>0</v>
      </c>
      <c r="CX750" s="408">
        <v>0</v>
      </c>
      <c r="CY750" s="408">
        <v>0</v>
      </c>
      <c r="CZ750" s="408">
        <v>-4.9058855593116846</v>
      </c>
      <c r="DA750" s="408">
        <v>0</v>
      </c>
      <c r="DB750" s="408">
        <v>0</v>
      </c>
      <c r="DC750" s="408">
        <v>153.51639247061576</v>
      </c>
      <c r="DD750" s="408">
        <v>4.5845273829040991</v>
      </c>
      <c r="DE750" s="408">
        <v>0.52927977360258094</v>
      </c>
      <c r="DF750" s="408">
        <v>0</v>
      </c>
      <c r="DG750" s="408">
        <v>17.723336489193372</v>
      </c>
      <c r="DH750" s="408">
        <v>0</v>
      </c>
      <c r="DI750" s="408">
        <v>-13.281903760877299</v>
      </c>
      <c r="DJ750" s="408"/>
      <c r="DK750" s="408">
        <v>0</v>
      </c>
      <c r="DL750" s="408">
        <v>0</v>
      </c>
      <c r="DM750" s="408">
        <v>-0.66875047885864092</v>
      </c>
      <c r="DN750" s="408">
        <v>0</v>
      </c>
      <c r="DO750" s="408">
        <v>-1.8192829873489273</v>
      </c>
      <c r="DP750" s="408">
        <v>-0.35531725901983258</v>
      </c>
      <c r="DQ750" s="408">
        <v>0</v>
      </c>
      <c r="DR750" s="408">
        <v>0</v>
      </c>
      <c r="DS750" s="408"/>
      <c r="DT750" s="408"/>
      <c r="DU750" s="408"/>
      <c r="DV750" s="408">
        <v>2702.3925896789069</v>
      </c>
      <c r="DW750" s="408">
        <v>0</v>
      </c>
      <c r="DX750" s="408">
        <v>0</v>
      </c>
      <c r="DY750" s="408">
        <v>-1414.9784800000002</v>
      </c>
      <c r="DZ750" s="408">
        <v>157.48407999999995</v>
      </c>
      <c r="EA750" s="408">
        <v>0</v>
      </c>
      <c r="EB750" s="408">
        <v>0</v>
      </c>
      <c r="EC750" s="408">
        <v>-1430.7736076112287</v>
      </c>
      <c r="ED750" s="408">
        <v>0</v>
      </c>
      <c r="EE750" s="408">
        <v>0</v>
      </c>
      <c r="EF750" s="408">
        <v>0</v>
      </c>
      <c r="EG750" s="408">
        <v>0</v>
      </c>
      <c r="EH750" s="408">
        <v>0</v>
      </c>
      <c r="EI750" s="408">
        <v>0</v>
      </c>
      <c r="EJ750" s="408">
        <v>0</v>
      </c>
      <c r="EK750" s="408">
        <v>0</v>
      </c>
      <c r="EL750" s="408">
        <v>0</v>
      </c>
      <c r="EM750" s="408">
        <v>0</v>
      </c>
      <c r="EN750" s="408">
        <v>0</v>
      </c>
      <c r="EO750" s="408">
        <v>0</v>
      </c>
      <c r="EP750" s="408">
        <v>0</v>
      </c>
      <c r="EQ750" s="408">
        <v>0</v>
      </c>
      <c r="ER750" s="408">
        <v>0</v>
      </c>
      <c r="ES750" s="408">
        <v>0</v>
      </c>
      <c r="ET750" s="408">
        <v>0</v>
      </c>
      <c r="EU750" s="408">
        <v>0</v>
      </c>
      <c r="EV750" s="408">
        <v>239</v>
      </c>
      <c r="EW750" s="408">
        <v>0</v>
      </c>
      <c r="EX750" s="408">
        <v>0</v>
      </c>
      <c r="EY750" s="408">
        <v>0</v>
      </c>
      <c r="EZ750" s="408"/>
      <c r="FA750" s="408">
        <v>0</v>
      </c>
      <c r="FB750" s="408"/>
      <c r="FC750" s="408"/>
      <c r="FD750" s="408"/>
      <c r="FE750" s="408"/>
      <c r="FF750" s="408">
        <v>0</v>
      </c>
      <c r="FG750" s="408">
        <v>0</v>
      </c>
      <c r="FH750" s="408">
        <v>0</v>
      </c>
      <c r="FI750" s="408">
        <v>0</v>
      </c>
    </row>
    <row r="751" spans="1:165">
      <c r="A751" s="408">
        <v>757</v>
      </c>
      <c r="B751" s="408" t="s">
        <v>1034</v>
      </c>
      <c r="C751" s="408" t="s">
        <v>2245</v>
      </c>
      <c r="D751" s="408" t="s">
        <v>596</v>
      </c>
      <c r="E751" s="408" t="s">
        <v>999</v>
      </c>
      <c r="F751" s="408" t="s">
        <v>2249</v>
      </c>
      <c r="G751" s="408" t="s">
        <v>1320</v>
      </c>
      <c r="H751" s="408" t="s">
        <v>1320</v>
      </c>
      <c r="I751" s="408" t="s">
        <v>971</v>
      </c>
      <c r="J751" s="408" t="s">
        <v>2234</v>
      </c>
      <c r="K751" s="827">
        <v>44713</v>
      </c>
      <c r="L751" s="408">
        <v>100</v>
      </c>
      <c r="M751" s="408">
        <v>94</v>
      </c>
      <c r="N751" s="408">
        <v>3.6669999999999998</v>
      </c>
      <c r="O751" s="408">
        <v>3.4469799999999999</v>
      </c>
      <c r="P751" s="408">
        <v>3.6669999999999998</v>
      </c>
      <c r="Q751" s="408">
        <v>3.4469799999999999</v>
      </c>
      <c r="R751" s="408">
        <v>67.099999999999994</v>
      </c>
      <c r="S751" s="408">
        <v>70.33</v>
      </c>
      <c r="T751" s="408">
        <v>173.82</v>
      </c>
      <c r="U751" s="408">
        <v>6709.9999999999991</v>
      </c>
      <c r="V751" s="408">
        <v>895.29804999999988</v>
      </c>
      <c r="W751" s="408">
        <v>7605.2980499999985</v>
      </c>
      <c r="X751" s="408">
        <v>5173.2981099999997</v>
      </c>
      <c r="Y751" s="408">
        <v>0</v>
      </c>
      <c r="Z751" s="408">
        <v>195.08449721026571</v>
      </c>
      <c r="AA751" s="408">
        <v>0</v>
      </c>
      <c r="AB751" s="408">
        <v>0</v>
      </c>
      <c r="AC751" s="408">
        <v>74.841808613404609</v>
      </c>
      <c r="AD751" s="408">
        <v>1141.7233140635399</v>
      </c>
      <c r="AE751" s="408">
        <v>4816.1797752450702</v>
      </c>
      <c r="AF751" s="408">
        <v>590.10147103045676</v>
      </c>
      <c r="AG751" s="408">
        <v>29.687538392708696</v>
      </c>
      <c r="AH751" s="408">
        <v>0</v>
      </c>
      <c r="AI751" s="408">
        <v>0</v>
      </c>
      <c r="AJ751" s="408">
        <v>0</v>
      </c>
      <c r="AK751" s="408">
        <v>0</v>
      </c>
      <c r="AL751" s="408">
        <v>34.658638243489747</v>
      </c>
      <c r="AM751" s="408"/>
      <c r="AN751" s="408">
        <v>4.5570933510440126</v>
      </c>
      <c r="AO751" s="408">
        <v>160.73003041081299</v>
      </c>
      <c r="AP751" s="408">
        <v>516.82971687782799</v>
      </c>
      <c r="AQ751" s="408">
        <v>0</v>
      </c>
      <c r="AR751" s="408">
        <v>0</v>
      </c>
      <c r="AS751" s="408">
        <v>0</v>
      </c>
      <c r="AT751" s="408">
        <v>0</v>
      </c>
      <c r="AU751" s="408">
        <v>0</v>
      </c>
      <c r="AV751" s="408">
        <v>0</v>
      </c>
      <c r="AW751" s="408">
        <v>0</v>
      </c>
      <c r="AX751" s="408">
        <v>0</v>
      </c>
      <c r="AY751" s="408">
        <v>0</v>
      </c>
      <c r="AZ751" s="408">
        <v>0</v>
      </c>
      <c r="BA751" s="408"/>
      <c r="BB751" s="408">
        <v>0</v>
      </c>
      <c r="BC751" s="408">
        <v>0</v>
      </c>
      <c r="BD751" s="408">
        <v>0</v>
      </c>
      <c r="BE751" s="408">
        <v>0.68423882176150075</v>
      </c>
      <c r="BF751" s="408">
        <v>17.622459133470329</v>
      </c>
      <c r="BG751" s="408">
        <v>22.912258283563165</v>
      </c>
      <c r="BH751" s="408">
        <v>0</v>
      </c>
      <c r="BI751" s="408">
        <v>0</v>
      </c>
      <c r="BJ751" s="408">
        <v>0</v>
      </c>
      <c r="BK751" s="408">
        <v>0</v>
      </c>
      <c r="BL751" s="408">
        <v>0</v>
      </c>
      <c r="BM751" s="408"/>
      <c r="BN751" s="408"/>
      <c r="BO751" s="408"/>
      <c r="BP751" s="408"/>
      <c r="BQ751" s="408">
        <v>310.39788659999999</v>
      </c>
      <c r="BR751" s="408"/>
      <c r="BS751" s="408"/>
      <c r="BT751" s="408"/>
      <c r="BU751" s="408"/>
      <c r="BV751" s="408">
        <v>631.3204272692517</v>
      </c>
      <c r="BW751" s="408"/>
      <c r="BX751" s="408"/>
      <c r="BY751" s="408"/>
      <c r="BZ751" s="408"/>
      <c r="CA751" s="408"/>
      <c r="CB751" s="408"/>
      <c r="CC751" s="408"/>
      <c r="CD751" s="408"/>
      <c r="CE751" s="408"/>
      <c r="CF751" s="408"/>
      <c r="CG751" s="408"/>
      <c r="CH751" s="408"/>
      <c r="CI751" s="408">
        <v>4863.6984999999995</v>
      </c>
      <c r="CJ751" s="408">
        <v>-2285.3116670000009</v>
      </c>
      <c r="CK751" s="408"/>
      <c r="CL751" s="408"/>
      <c r="CM751" s="408"/>
      <c r="CN751" s="408"/>
      <c r="CO751" s="408">
        <v>-2509.7036699999994</v>
      </c>
      <c r="CP751" s="408">
        <v>77.703729999999993</v>
      </c>
      <c r="CQ751" s="408">
        <v>30</v>
      </c>
      <c r="CR751" s="408">
        <v>117.86260695327383</v>
      </c>
      <c r="CS751" s="408">
        <v>15.60587050589902</v>
      </c>
      <c r="CT751" s="408">
        <v>50.180900324482081</v>
      </c>
      <c r="CU751" s="408">
        <v>0</v>
      </c>
      <c r="CV751" s="408">
        <v>0</v>
      </c>
      <c r="CW751" s="408">
        <v>0</v>
      </c>
      <c r="CX751" s="408">
        <v>0</v>
      </c>
      <c r="CY751" s="408">
        <v>0</v>
      </c>
      <c r="CZ751" s="408">
        <v>-21.891640251209992</v>
      </c>
      <c r="DA751" s="408">
        <v>0</v>
      </c>
      <c r="DB751" s="408">
        <v>0</v>
      </c>
      <c r="DC751" s="408">
        <v>75.746045639094177</v>
      </c>
      <c r="DD751" s="408">
        <v>2.2620373941212755</v>
      </c>
      <c r="DE751" s="408">
        <v>8.7829615016347118E-2</v>
      </c>
      <c r="DF751" s="408">
        <v>0</v>
      </c>
      <c r="DG751" s="408">
        <v>2.9410415781726584</v>
      </c>
      <c r="DH751" s="408">
        <v>0</v>
      </c>
      <c r="DI751" s="408">
        <v>-5.7014430502273967</v>
      </c>
      <c r="DJ751" s="408"/>
      <c r="DK751" s="408">
        <v>0</v>
      </c>
      <c r="DL751" s="408">
        <v>0</v>
      </c>
      <c r="DM751" s="408">
        <v>-0.32996609337656935</v>
      </c>
      <c r="DN751" s="408">
        <v>0</v>
      </c>
      <c r="DO751" s="408">
        <v>-0.89764675923149895</v>
      </c>
      <c r="DP751" s="408">
        <v>-0.14042194946667319</v>
      </c>
      <c r="DQ751" s="408">
        <v>0</v>
      </c>
      <c r="DR751" s="408">
        <v>0</v>
      </c>
      <c r="DS751" s="408"/>
      <c r="DT751" s="408"/>
      <c r="DU751" s="408">
        <v>4816.1797752450702</v>
      </c>
      <c r="DV751" s="408">
        <v>0</v>
      </c>
      <c r="DW751" s="408">
        <v>0</v>
      </c>
      <c r="DX751" s="408">
        <v>0</v>
      </c>
      <c r="DY751" s="408">
        <v>-2509.703669999999</v>
      </c>
      <c r="DZ751" s="408">
        <v>77.70372999999995</v>
      </c>
      <c r="EA751" s="408">
        <v>0</v>
      </c>
      <c r="EB751" s="408">
        <v>0</v>
      </c>
      <c r="EC751" s="408">
        <v>-2549.9118589391901</v>
      </c>
      <c r="ED751" s="408">
        <v>0</v>
      </c>
      <c r="EE751" s="408">
        <v>0</v>
      </c>
      <c r="EF751" s="408">
        <v>0</v>
      </c>
      <c r="EG751" s="408">
        <v>0</v>
      </c>
      <c r="EH751" s="408">
        <v>0</v>
      </c>
      <c r="EI751" s="408">
        <v>0</v>
      </c>
      <c r="EJ751" s="408">
        <v>0</v>
      </c>
      <c r="EK751" s="408">
        <v>0</v>
      </c>
      <c r="EL751" s="408">
        <v>0</v>
      </c>
      <c r="EM751" s="408">
        <v>0</v>
      </c>
      <c r="EN751" s="408">
        <v>0</v>
      </c>
      <c r="EO751" s="408">
        <v>0</v>
      </c>
      <c r="EP751" s="408">
        <v>0</v>
      </c>
      <c r="EQ751" s="408">
        <v>0</v>
      </c>
      <c r="ER751" s="408">
        <v>0</v>
      </c>
      <c r="ES751" s="408">
        <v>0</v>
      </c>
      <c r="ET751" s="408">
        <v>0</v>
      </c>
      <c r="EU751" s="408">
        <v>0</v>
      </c>
      <c r="EV751" s="408">
        <v>239</v>
      </c>
      <c r="EW751" s="408">
        <v>0</v>
      </c>
      <c r="EX751" s="408">
        <v>0</v>
      </c>
      <c r="EY751" s="408">
        <v>0</v>
      </c>
      <c r="EZ751" s="408"/>
      <c r="FA751" s="408">
        <v>0</v>
      </c>
      <c r="FB751" s="408"/>
      <c r="FC751" s="408"/>
      <c r="FD751" s="408"/>
      <c r="FE751" s="408"/>
      <c r="FF751" s="408">
        <v>0</v>
      </c>
      <c r="FG751" s="408">
        <v>0</v>
      </c>
      <c r="FH751" s="408">
        <v>0</v>
      </c>
      <c r="FI751" s="408">
        <v>0</v>
      </c>
    </row>
    <row r="752" spans="1:165">
      <c r="A752" s="408">
        <v>758</v>
      </c>
      <c r="B752" s="408" t="s">
        <v>1034</v>
      </c>
      <c r="C752" s="408" t="s">
        <v>2245</v>
      </c>
      <c r="D752" s="408" t="s">
        <v>596</v>
      </c>
      <c r="E752" s="408" t="s">
        <v>999</v>
      </c>
      <c r="F752" s="408" t="s">
        <v>2249</v>
      </c>
      <c r="G752" s="408" t="s">
        <v>1320</v>
      </c>
      <c r="H752" s="408" t="s">
        <v>1320</v>
      </c>
      <c r="I752" s="408" t="s">
        <v>2242</v>
      </c>
      <c r="J752" s="408" t="s">
        <v>2234</v>
      </c>
      <c r="K752" s="827">
        <v>44713</v>
      </c>
      <c r="L752" s="408">
        <v>100</v>
      </c>
      <c r="M752" s="408">
        <v>94</v>
      </c>
      <c r="N752" s="408">
        <v>33.052</v>
      </c>
      <c r="O752" s="408">
        <v>31.06888</v>
      </c>
      <c r="P752" s="408">
        <v>33.052</v>
      </c>
      <c r="Q752" s="408">
        <v>31.06888</v>
      </c>
      <c r="R752" s="408">
        <v>59.12</v>
      </c>
      <c r="S752" s="408">
        <v>70.33</v>
      </c>
      <c r="T752" s="408">
        <v>173.82</v>
      </c>
      <c r="U752" s="408">
        <v>5912</v>
      </c>
      <c r="V752" s="408">
        <v>8069.6458000000002</v>
      </c>
      <c r="W752" s="408">
        <v>13981.6458</v>
      </c>
      <c r="X752" s="408">
        <v>12139.63516</v>
      </c>
      <c r="Y752" s="408">
        <v>0</v>
      </c>
      <c r="Z752" s="408">
        <v>1758.367276191356</v>
      </c>
      <c r="AA752" s="408">
        <v>0</v>
      </c>
      <c r="AB752" s="408">
        <v>0</v>
      </c>
      <c r="AC752" s="408">
        <v>57.206036333368203</v>
      </c>
      <c r="AD752" s="408">
        <v>511.70226507154302</v>
      </c>
      <c r="AE752" s="408">
        <v>4816.1797752450702</v>
      </c>
      <c r="AF752" s="408">
        <v>5318.7984239156413</v>
      </c>
      <c r="AG752" s="408">
        <v>267.58454293858955</v>
      </c>
      <c r="AH752" s="408">
        <v>0</v>
      </c>
      <c r="AI752" s="408">
        <v>0</v>
      </c>
      <c r="AJ752" s="408">
        <v>0</v>
      </c>
      <c r="AK752" s="408">
        <v>0</v>
      </c>
      <c r="AL752" s="408">
        <v>312.39086752763109</v>
      </c>
      <c r="AM752" s="408"/>
      <c r="AN752" s="408">
        <v>41.074733962014378</v>
      </c>
      <c r="AO752" s="408">
        <v>120.807211569006</v>
      </c>
      <c r="AP752" s="408">
        <v>406.098786401994</v>
      </c>
      <c r="AQ752" s="408">
        <v>0</v>
      </c>
      <c r="AR752" s="408">
        <v>0</v>
      </c>
      <c r="AS752" s="408">
        <v>0</v>
      </c>
      <c r="AT752" s="408">
        <v>0</v>
      </c>
      <c r="AU752" s="408">
        <v>0</v>
      </c>
      <c r="AV752" s="408">
        <v>0</v>
      </c>
      <c r="AW752" s="408">
        <v>0</v>
      </c>
      <c r="AX752" s="408">
        <v>0</v>
      </c>
      <c r="AY752" s="408">
        <v>0</v>
      </c>
      <c r="AZ752" s="408">
        <v>0</v>
      </c>
      <c r="BA752" s="408"/>
      <c r="BB752" s="408">
        <v>0</v>
      </c>
      <c r="BC752" s="408">
        <v>0</v>
      </c>
      <c r="BD752" s="408">
        <v>0</v>
      </c>
      <c r="BE752" s="408">
        <v>6.167292483463628</v>
      </c>
      <c r="BF752" s="408">
        <v>158.83761092976854</v>
      </c>
      <c r="BG752" s="408">
        <v>206.51648780701655</v>
      </c>
      <c r="BH752" s="408">
        <v>0</v>
      </c>
      <c r="BI752" s="408">
        <v>0</v>
      </c>
      <c r="BJ752" s="408">
        <v>0</v>
      </c>
      <c r="BK752" s="408">
        <v>0</v>
      </c>
      <c r="BL752" s="408">
        <v>0</v>
      </c>
      <c r="BM752" s="408"/>
      <c r="BN752" s="408"/>
      <c r="BO752" s="408"/>
      <c r="BP752" s="408"/>
      <c r="BQ752" s="408">
        <v>728.37810959999979</v>
      </c>
      <c r="BR752" s="408"/>
      <c r="BS752" s="408"/>
      <c r="BT752" s="408"/>
      <c r="BU752" s="408"/>
      <c r="BV752" s="408">
        <v>5690.3198151358902</v>
      </c>
      <c r="BW752" s="408"/>
      <c r="BX752" s="408"/>
      <c r="BY752" s="408"/>
      <c r="BZ752" s="408"/>
      <c r="CA752" s="408"/>
      <c r="CB752" s="408"/>
      <c r="CC752" s="408"/>
      <c r="CD752" s="408"/>
      <c r="CE752" s="408"/>
      <c r="CF752" s="408"/>
      <c r="CG752" s="408"/>
      <c r="CH752" s="408"/>
      <c r="CI752" s="408">
        <v>11411.553099999999</v>
      </c>
      <c r="CJ752" s="408">
        <v>-1731.2239520000003</v>
      </c>
      <c r="CK752" s="408"/>
      <c r="CL752" s="408"/>
      <c r="CM752" s="408"/>
      <c r="CN752" s="408"/>
      <c r="CO752" s="408">
        <v>-2542.3825199999997</v>
      </c>
      <c r="CP752" s="408">
        <v>700.37187999999992</v>
      </c>
      <c r="CQ752" s="408">
        <v>30</v>
      </c>
      <c r="CR752" s="408">
        <v>708.04342988864664</v>
      </c>
      <c r="CS752" s="408">
        <v>11.729617017467007</v>
      </c>
      <c r="CT752" s="408">
        <v>39.429626542059964</v>
      </c>
      <c r="CU752" s="408">
        <v>0</v>
      </c>
      <c r="CV752" s="408">
        <v>0</v>
      </c>
      <c r="CW752" s="408">
        <v>0</v>
      </c>
      <c r="CX752" s="408">
        <v>0</v>
      </c>
      <c r="CY752" s="408">
        <v>0</v>
      </c>
      <c r="CZ752" s="408">
        <v>-9.8114856416560201</v>
      </c>
      <c r="DA752" s="408">
        <v>0</v>
      </c>
      <c r="DB752" s="408">
        <v>0</v>
      </c>
      <c r="DC752" s="408">
        <v>682.72656134806221</v>
      </c>
      <c r="DD752" s="408">
        <v>20.388562844422268</v>
      </c>
      <c r="DE752" s="408">
        <v>0.79164015149176592</v>
      </c>
      <c r="DF752" s="408">
        <v>0</v>
      </c>
      <c r="DG752" s="408">
        <v>26.508673641058863</v>
      </c>
      <c r="DH752" s="408">
        <v>0</v>
      </c>
      <c r="DI752" s="408">
        <v>-51.38917253780096</v>
      </c>
      <c r="DJ752" s="408"/>
      <c r="DK752" s="408">
        <v>0</v>
      </c>
      <c r="DL752" s="408">
        <v>0</v>
      </c>
      <c r="DM752" s="408">
        <v>-2.9741039864418894</v>
      </c>
      <c r="DN752" s="408">
        <v>0</v>
      </c>
      <c r="DO752" s="408">
        <v>-8.0908155675264766</v>
      </c>
      <c r="DP752" s="408">
        <v>-1.265673922490457</v>
      </c>
      <c r="DQ752" s="408">
        <v>0</v>
      </c>
      <c r="DR752" s="408">
        <v>0</v>
      </c>
      <c r="DS752" s="408"/>
      <c r="DT752" s="408"/>
      <c r="DU752" s="408">
        <v>4816.1797752450702</v>
      </c>
      <c r="DV752" s="408">
        <v>0</v>
      </c>
      <c r="DW752" s="408">
        <v>0</v>
      </c>
      <c r="DX752" s="408">
        <v>0</v>
      </c>
      <c r="DY752" s="408">
        <v>-2542.3825200000001</v>
      </c>
      <c r="DZ752" s="408">
        <v>700.37187999999969</v>
      </c>
      <c r="EA752" s="408">
        <v>0</v>
      </c>
      <c r="EB752" s="408">
        <v>0</v>
      </c>
      <c r="EC752" s="408">
        <v>-2549.9118589391901</v>
      </c>
      <c r="ED752" s="408">
        <v>0</v>
      </c>
      <c r="EE752" s="408">
        <v>0</v>
      </c>
      <c r="EF752" s="408">
        <v>0</v>
      </c>
      <c r="EG752" s="408">
        <v>0</v>
      </c>
      <c r="EH752" s="408">
        <v>0</v>
      </c>
      <c r="EI752" s="408">
        <v>0</v>
      </c>
      <c r="EJ752" s="408">
        <v>0</v>
      </c>
      <c r="EK752" s="408">
        <v>0</v>
      </c>
      <c r="EL752" s="408">
        <v>0</v>
      </c>
      <c r="EM752" s="408">
        <v>0</v>
      </c>
      <c r="EN752" s="408">
        <v>0</v>
      </c>
      <c r="EO752" s="408">
        <v>0</v>
      </c>
      <c r="EP752" s="408">
        <v>0</v>
      </c>
      <c r="EQ752" s="408">
        <v>0</v>
      </c>
      <c r="ER752" s="408">
        <v>0</v>
      </c>
      <c r="ES752" s="408">
        <v>0</v>
      </c>
      <c r="ET752" s="408">
        <v>0</v>
      </c>
      <c r="EU752" s="408">
        <v>0</v>
      </c>
      <c r="EV752" s="408">
        <v>239</v>
      </c>
      <c r="EW752" s="408">
        <v>0</v>
      </c>
      <c r="EX752" s="408">
        <v>0</v>
      </c>
      <c r="EY752" s="408">
        <v>0</v>
      </c>
      <c r="EZ752" s="408"/>
      <c r="FA752" s="408">
        <v>0</v>
      </c>
      <c r="FB752" s="408"/>
      <c r="FC752" s="408"/>
      <c r="FD752" s="408"/>
      <c r="FE752" s="408"/>
      <c r="FF752" s="408">
        <v>0</v>
      </c>
      <c r="FG752" s="408">
        <v>0</v>
      </c>
      <c r="FH752" s="408">
        <v>0</v>
      </c>
      <c r="FI752" s="408">
        <v>0</v>
      </c>
    </row>
    <row r="753" spans="1:165">
      <c r="A753" s="408">
        <v>759</v>
      </c>
      <c r="B753" s="408" t="s">
        <v>1034</v>
      </c>
      <c r="C753" s="408" t="s">
        <v>2245</v>
      </c>
      <c r="D753" s="408" t="s">
        <v>596</v>
      </c>
      <c r="E753" s="408" t="s">
        <v>999</v>
      </c>
      <c r="F753" s="408" t="s">
        <v>2249</v>
      </c>
      <c r="G753" s="408" t="s">
        <v>1320</v>
      </c>
      <c r="H753" s="408" t="s">
        <v>1320</v>
      </c>
      <c r="I753" s="408" t="s">
        <v>1320</v>
      </c>
      <c r="J753" s="408" t="s">
        <v>2234</v>
      </c>
      <c r="K753" s="827">
        <v>44713</v>
      </c>
      <c r="L753" s="408">
        <v>0</v>
      </c>
      <c r="M753" s="408">
        <v>0</v>
      </c>
      <c r="N753" s="408">
        <v>0</v>
      </c>
      <c r="O753" s="408">
        <v>0</v>
      </c>
      <c r="P753" s="408">
        <v>0</v>
      </c>
      <c r="Q753" s="408">
        <v>0</v>
      </c>
      <c r="R753" s="408"/>
      <c r="S753" s="408"/>
      <c r="T753" s="408"/>
      <c r="U753" s="408"/>
      <c r="V753" s="408"/>
      <c r="W753" s="408"/>
      <c r="X753" s="408"/>
      <c r="Y753" s="408"/>
      <c r="Z753" s="408"/>
      <c r="AA753" s="408">
        <v>0</v>
      </c>
      <c r="AB753" s="408"/>
      <c r="AC753" s="408"/>
      <c r="AD753" s="408"/>
      <c r="AE753" s="408"/>
      <c r="AF753" s="408"/>
      <c r="AG753" s="408"/>
      <c r="AH753" s="408"/>
      <c r="AI753" s="408"/>
      <c r="AJ753" s="408"/>
      <c r="AK753" s="408"/>
      <c r="AL753" s="408"/>
      <c r="AM753" s="408"/>
      <c r="AN753" s="408"/>
      <c r="AO753" s="408"/>
      <c r="AP753" s="408"/>
      <c r="AQ753" s="408"/>
      <c r="AR753" s="408"/>
      <c r="AS753" s="408"/>
      <c r="AT753" s="408"/>
      <c r="AU753" s="408"/>
      <c r="AV753" s="408"/>
      <c r="AW753" s="408"/>
      <c r="AX753" s="408"/>
      <c r="AY753" s="408"/>
      <c r="AZ753" s="408">
        <v>0</v>
      </c>
      <c r="BA753" s="408"/>
      <c r="BB753" s="408"/>
      <c r="BC753" s="408"/>
      <c r="BD753" s="408"/>
      <c r="BE753" s="408"/>
      <c r="BF753" s="408"/>
      <c r="BG753" s="408"/>
      <c r="BH753" s="408"/>
      <c r="BI753" s="408">
        <v>95.46</v>
      </c>
      <c r="BJ753" s="408">
        <v>438</v>
      </c>
      <c r="BK753" s="408">
        <v>5739.7</v>
      </c>
      <c r="BL753" s="408">
        <v>1</v>
      </c>
      <c r="BM753" s="408"/>
      <c r="BN753" s="408"/>
      <c r="BO753" s="408"/>
      <c r="BP753" s="408"/>
      <c r="BQ753" s="408"/>
      <c r="BR753" s="408"/>
      <c r="BS753" s="408"/>
      <c r="BT753" s="408"/>
      <c r="BU753" s="408"/>
      <c r="BV753" s="408"/>
      <c r="BW753" s="408"/>
      <c r="BX753" s="408"/>
      <c r="BY753" s="408"/>
      <c r="BZ753" s="408"/>
      <c r="CA753" s="408"/>
      <c r="CB753" s="408"/>
      <c r="CC753" s="408"/>
      <c r="CD753" s="408"/>
      <c r="CE753" s="408"/>
      <c r="CF753" s="408"/>
      <c r="CG753" s="408"/>
      <c r="CH753" s="408"/>
      <c r="CI753" s="408"/>
      <c r="CJ753" s="408">
        <v>-0.03</v>
      </c>
      <c r="CK753" s="408"/>
      <c r="CL753" s="408"/>
      <c r="CM753" s="408"/>
      <c r="CN753" s="408"/>
      <c r="CO753" s="408">
        <v>0</v>
      </c>
      <c r="CP753" s="408">
        <v>0</v>
      </c>
      <c r="CQ753" s="408">
        <v>30</v>
      </c>
      <c r="CR753" s="408"/>
      <c r="CS753" s="408"/>
      <c r="CT753" s="408"/>
      <c r="CU753" s="408"/>
      <c r="CV753" s="408"/>
      <c r="CW753" s="408"/>
      <c r="CX753" s="408"/>
      <c r="CY753" s="408"/>
      <c r="CZ753" s="408"/>
      <c r="DA753" s="408"/>
      <c r="DB753" s="408"/>
      <c r="DC753" s="408"/>
      <c r="DD753" s="408"/>
      <c r="DE753" s="408"/>
      <c r="DF753" s="408"/>
      <c r="DG753" s="408"/>
      <c r="DH753" s="408"/>
      <c r="DI753" s="408"/>
      <c r="DJ753" s="408"/>
      <c r="DK753" s="408">
        <v>0</v>
      </c>
      <c r="DL753" s="408"/>
      <c r="DM753" s="408"/>
      <c r="DN753" s="408"/>
      <c r="DO753" s="408"/>
      <c r="DP753" s="408"/>
      <c r="DQ753" s="408"/>
      <c r="DR753" s="408"/>
      <c r="DS753" s="408"/>
      <c r="DT753" s="408"/>
      <c r="DU753" s="408"/>
      <c r="DV753" s="408"/>
      <c r="DW753" s="408"/>
      <c r="DX753" s="408"/>
      <c r="DY753" s="408"/>
      <c r="DZ753" s="408"/>
      <c r="EA753" s="408"/>
      <c r="EB753" s="408"/>
      <c r="EC753" s="408"/>
      <c r="ED753" s="408"/>
      <c r="EE753" s="408"/>
      <c r="EF753" s="408"/>
      <c r="EG753" s="408"/>
      <c r="EH753" s="408"/>
      <c r="EI753" s="408"/>
      <c r="EJ753" s="408"/>
      <c r="EK753" s="408"/>
      <c r="EL753" s="408"/>
      <c r="EM753" s="408"/>
      <c r="EN753" s="408"/>
      <c r="EO753" s="408"/>
      <c r="EP753" s="408"/>
      <c r="EQ753" s="408"/>
      <c r="ER753" s="408"/>
      <c r="ES753" s="408"/>
      <c r="ET753" s="408"/>
      <c r="EU753" s="408"/>
      <c r="EV753" s="408">
        <v>239</v>
      </c>
      <c r="EW753" s="408"/>
      <c r="EX753" s="408"/>
      <c r="EY753" s="408"/>
      <c r="EZ753" s="408"/>
      <c r="FA753" s="408">
        <v>0</v>
      </c>
      <c r="FB753" s="408"/>
      <c r="FC753" s="408"/>
      <c r="FD753" s="408"/>
      <c r="FE753" s="408"/>
      <c r="FF753" s="408">
        <v>0</v>
      </c>
      <c r="FG753" s="408">
        <v>0</v>
      </c>
      <c r="FH753" s="408">
        <v>0</v>
      </c>
      <c r="FI753" s="408">
        <v>0</v>
      </c>
    </row>
    <row r="754" spans="1:165">
      <c r="A754" s="408">
        <v>760</v>
      </c>
      <c r="B754" s="408" t="s">
        <v>1034</v>
      </c>
      <c r="C754" s="408" t="s">
        <v>2233</v>
      </c>
      <c r="D754" s="408" t="s">
        <v>1956</v>
      </c>
      <c r="E754" s="408" t="s">
        <v>2250</v>
      </c>
      <c r="F754" s="408" t="s">
        <v>1320</v>
      </c>
      <c r="G754" s="408" t="s">
        <v>1320</v>
      </c>
      <c r="H754" s="408" t="s">
        <v>1320</v>
      </c>
      <c r="I754" s="408" t="s">
        <v>1320</v>
      </c>
      <c r="J754" s="408" t="s">
        <v>2234</v>
      </c>
      <c r="K754" s="827">
        <v>44713</v>
      </c>
      <c r="L754" s="408">
        <v>0</v>
      </c>
      <c r="M754" s="408">
        <v>0</v>
      </c>
      <c r="N754" s="408">
        <v>1.74</v>
      </c>
      <c r="O754" s="408">
        <v>1.74</v>
      </c>
      <c r="P754" s="408">
        <v>1.74</v>
      </c>
      <c r="Q754" s="408">
        <v>1.74</v>
      </c>
      <c r="R754" s="408"/>
      <c r="S754" s="408">
        <v>516.83000000000004</v>
      </c>
      <c r="T754" s="408">
        <v>173.82</v>
      </c>
      <c r="U754" s="408"/>
      <c r="V754" s="408">
        <v>1201.731</v>
      </c>
      <c r="W754" s="408">
        <v>1201.731</v>
      </c>
      <c r="X754" s="408">
        <v>907.32299999999987</v>
      </c>
      <c r="Y754" s="408">
        <v>0</v>
      </c>
      <c r="Z754" s="408">
        <v>106.40005301896123</v>
      </c>
      <c r="AA754" s="408">
        <v>0</v>
      </c>
      <c r="AB754" s="408">
        <v>0</v>
      </c>
      <c r="AC754" s="408">
        <v>4.7300926877001137</v>
      </c>
      <c r="AD754" s="408">
        <v>59.902304048394832</v>
      </c>
      <c r="AE754" s="408">
        <v>632.69148359005624</v>
      </c>
      <c r="AF754" s="408">
        <v>280.00451584210384</v>
      </c>
      <c r="AG754" s="408">
        <v>14.086805782196109</v>
      </c>
      <c r="AH754" s="408">
        <v>0</v>
      </c>
      <c r="AI754" s="408">
        <v>0</v>
      </c>
      <c r="AJ754" s="408">
        <v>0</v>
      </c>
      <c r="AK754" s="408">
        <v>0</v>
      </c>
      <c r="AL754" s="408">
        <v>16.445604184257476</v>
      </c>
      <c r="AM754" s="408"/>
      <c r="AN754" s="408">
        <v>2.6996830362384605</v>
      </c>
      <c r="AO754" s="408">
        <v>10.089396575695666</v>
      </c>
      <c r="AP754" s="408">
        <v>33.041409581799485</v>
      </c>
      <c r="AQ754" s="408">
        <v>0</v>
      </c>
      <c r="AR754" s="408">
        <v>0</v>
      </c>
      <c r="AS754" s="408">
        <v>0</v>
      </c>
      <c r="AT754" s="408">
        <v>0</v>
      </c>
      <c r="AU754" s="408">
        <v>0</v>
      </c>
      <c r="AV754" s="408">
        <v>0</v>
      </c>
      <c r="AW754" s="408">
        <v>0</v>
      </c>
      <c r="AX754" s="408">
        <v>0</v>
      </c>
      <c r="AY754" s="408">
        <v>0</v>
      </c>
      <c r="AZ754" s="408">
        <v>0</v>
      </c>
      <c r="BA754" s="408"/>
      <c r="BB754" s="408">
        <v>0</v>
      </c>
      <c r="BC754" s="408">
        <v>0</v>
      </c>
      <c r="BD754" s="408">
        <v>0</v>
      </c>
      <c r="BE754" s="408">
        <v>0.96537395367066448</v>
      </c>
      <c r="BF754" s="408">
        <v>8.3618977071825391</v>
      </c>
      <c r="BG754" s="408">
        <v>32.32628237869352</v>
      </c>
      <c r="BH754" s="408">
        <v>0</v>
      </c>
      <c r="BI754" s="408">
        <v>4.96</v>
      </c>
      <c r="BJ754" s="408">
        <v>22.96</v>
      </c>
      <c r="BK754" s="408">
        <v>311.72000000000003</v>
      </c>
      <c r="BL754" s="408">
        <v>7</v>
      </c>
      <c r="BM754" s="408"/>
      <c r="BN754" s="408"/>
      <c r="BO754" s="408"/>
      <c r="BP754" s="408"/>
      <c r="BQ754" s="408"/>
      <c r="BR754" s="408"/>
      <c r="BS754" s="408"/>
      <c r="BT754" s="408"/>
      <c r="BU754" s="408"/>
      <c r="BV754" s="408">
        <v>321.65806988165059</v>
      </c>
      <c r="BW754" s="408"/>
      <c r="BX754" s="408"/>
      <c r="BY754" s="408"/>
      <c r="BZ754" s="408"/>
      <c r="CA754" s="408"/>
      <c r="CB754" s="408"/>
      <c r="CC754" s="408"/>
      <c r="CD754" s="408"/>
      <c r="CE754" s="408"/>
      <c r="CF754" s="408"/>
      <c r="CG754" s="408"/>
      <c r="CH754" s="408"/>
      <c r="CI754" s="408">
        <v>907.32299999999987</v>
      </c>
      <c r="CJ754" s="408">
        <v>-294.4380000000001</v>
      </c>
      <c r="CK754" s="408"/>
      <c r="CL754" s="408"/>
      <c r="CM754" s="408"/>
      <c r="CN754" s="408"/>
      <c r="CO754" s="408">
        <v>-331.2786000000001</v>
      </c>
      <c r="CP754" s="408">
        <v>36.870599999999996</v>
      </c>
      <c r="CQ754" s="408">
        <v>30</v>
      </c>
      <c r="CR754" s="408">
        <v>40.552229484374152</v>
      </c>
      <c r="CS754" s="408">
        <v>0.97961666553868021</v>
      </c>
      <c r="CT754" s="408">
        <v>3.2081121240876982</v>
      </c>
      <c r="CU754" s="408">
        <v>0</v>
      </c>
      <c r="CV754" s="408">
        <v>0</v>
      </c>
      <c r="CW754" s="408">
        <v>0</v>
      </c>
      <c r="CX754" s="408">
        <v>0</v>
      </c>
      <c r="CY754" s="408">
        <v>0</v>
      </c>
      <c r="CZ754" s="408">
        <v>-1.1485792348227051</v>
      </c>
      <c r="DA754" s="408">
        <v>0</v>
      </c>
      <c r="DB754" s="408">
        <v>0</v>
      </c>
      <c r="DC754" s="408">
        <v>35.941674232894457</v>
      </c>
      <c r="DD754" s="408">
        <v>1.0733419868478382</v>
      </c>
      <c r="DE754" s="408">
        <v>0.12391641631707362</v>
      </c>
      <c r="DF754" s="408">
        <v>0</v>
      </c>
      <c r="DG754" s="408">
        <v>4.1494356150694856</v>
      </c>
      <c r="DH754" s="408">
        <v>0</v>
      </c>
      <c r="DI754" s="408">
        <v>-3.1095953369115108</v>
      </c>
      <c r="DJ754" s="408"/>
      <c r="DK754" s="408">
        <v>0</v>
      </c>
      <c r="DL754" s="408">
        <v>0</v>
      </c>
      <c r="DM754" s="408">
        <v>-0.15656967615904804</v>
      </c>
      <c r="DN754" s="408">
        <v>0</v>
      </c>
      <c r="DO754" s="408">
        <v>-0.42593546797458615</v>
      </c>
      <c r="DP754" s="408">
        <v>-8.3187840513255118E-2</v>
      </c>
      <c r="DQ754" s="408">
        <v>0</v>
      </c>
      <c r="DR754" s="408">
        <v>0</v>
      </c>
      <c r="DS754" s="408"/>
      <c r="DT754" s="408"/>
      <c r="DU754" s="408"/>
      <c r="DV754" s="408">
        <v>632.69148359005624</v>
      </c>
      <c r="DW754" s="408">
        <v>0</v>
      </c>
      <c r="DX754" s="408">
        <v>0</v>
      </c>
      <c r="DY754" s="408">
        <v>-331.2786000000001</v>
      </c>
      <c r="DZ754" s="408">
        <v>36.870599999999968</v>
      </c>
      <c r="EA754" s="408">
        <v>0</v>
      </c>
      <c r="EB754" s="408">
        <v>0</v>
      </c>
      <c r="EC754" s="408">
        <v>-334.97659812211219</v>
      </c>
      <c r="ED754" s="408">
        <v>0</v>
      </c>
      <c r="EE754" s="408">
        <v>0</v>
      </c>
      <c r="EF754" s="408">
        <v>0</v>
      </c>
      <c r="EG754" s="408">
        <v>0</v>
      </c>
      <c r="EH754" s="408">
        <v>0</v>
      </c>
      <c r="EI754" s="408">
        <v>0</v>
      </c>
      <c r="EJ754" s="408">
        <v>0</v>
      </c>
      <c r="EK754" s="408">
        <v>0</v>
      </c>
      <c r="EL754" s="408">
        <v>0</v>
      </c>
      <c r="EM754" s="408">
        <v>0</v>
      </c>
      <c r="EN754" s="408">
        <v>0</v>
      </c>
      <c r="EO754" s="408">
        <v>0</v>
      </c>
      <c r="EP754" s="408">
        <v>0</v>
      </c>
      <c r="EQ754" s="408">
        <v>0</v>
      </c>
      <c r="ER754" s="408">
        <v>0</v>
      </c>
      <c r="ES754" s="408">
        <v>0</v>
      </c>
      <c r="ET754" s="408">
        <v>0</v>
      </c>
      <c r="EU754" s="408">
        <v>0</v>
      </c>
      <c r="EV754" s="408">
        <v>239</v>
      </c>
      <c r="EW754" s="408">
        <v>0</v>
      </c>
      <c r="EX754" s="408">
        <v>0</v>
      </c>
      <c r="EY754" s="408">
        <v>0</v>
      </c>
      <c r="EZ754" s="408"/>
      <c r="FA754" s="408">
        <v>0</v>
      </c>
      <c r="FB754" s="408"/>
      <c r="FC754" s="408"/>
      <c r="FD754" s="408"/>
      <c r="FE754" s="408"/>
      <c r="FF754" s="408">
        <v>0</v>
      </c>
      <c r="FG754" s="408">
        <v>0</v>
      </c>
      <c r="FH754" s="408">
        <v>0</v>
      </c>
      <c r="FI754" s="408">
        <v>0</v>
      </c>
    </row>
    <row r="755" spans="1:165">
      <c r="A755" s="408">
        <v>761</v>
      </c>
      <c r="B755" s="408" t="s">
        <v>1034</v>
      </c>
      <c r="C755" s="408" t="s">
        <v>2233</v>
      </c>
      <c r="D755" s="408" t="s">
        <v>2243</v>
      </c>
      <c r="E755" s="408" t="s">
        <v>972</v>
      </c>
      <c r="F755" s="408" t="s">
        <v>2251</v>
      </c>
      <c r="G755" s="408" t="s">
        <v>2252</v>
      </c>
      <c r="H755" s="408" t="s">
        <v>1320</v>
      </c>
      <c r="I755" s="408" t="s">
        <v>1320</v>
      </c>
      <c r="J755" s="408" t="s">
        <v>2234</v>
      </c>
      <c r="K755" s="827">
        <v>44713</v>
      </c>
      <c r="L755" s="408">
        <v>0</v>
      </c>
      <c r="M755" s="408">
        <v>0</v>
      </c>
      <c r="N755" s="408">
        <v>0</v>
      </c>
      <c r="O755" s="408">
        <v>0</v>
      </c>
      <c r="P755" s="408">
        <v>0</v>
      </c>
      <c r="Q755" s="408">
        <v>0</v>
      </c>
      <c r="R755" s="408"/>
      <c r="S755" s="408"/>
      <c r="T755" s="408"/>
      <c r="U755" s="408"/>
      <c r="V755" s="408"/>
      <c r="W755" s="408"/>
      <c r="X755" s="408"/>
      <c r="Y755" s="408"/>
      <c r="Z755" s="408"/>
      <c r="AA755" s="408">
        <v>0</v>
      </c>
      <c r="AB755" s="408"/>
      <c r="AC755" s="408"/>
      <c r="AD755" s="408"/>
      <c r="AE755" s="408"/>
      <c r="AF755" s="408"/>
      <c r="AG755" s="408"/>
      <c r="AH755" s="408"/>
      <c r="AI755" s="408"/>
      <c r="AJ755" s="408"/>
      <c r="AK755" s="408"/>
      <c r="AL755" s="408"/>
      <c r="AM755" s="408"/>
      <c r="AN755" s="408"/>
      <c r="AO755" s="408"/>
      <c r="AP755" s="408"/>
      <c r="AQ755" s="408"/>
      <c r="AR755" s="408"/>
      <c r="AS755" s="408"/>
      <c r="AT755" s="408"/>
      <c r="AU755" s="408"/>
      <c r="AV755" s="408"/>
      <c r="AW755" s="408"/>
      <c r="AX755" s="408"/>
      <c r="AY755" s="408"/>
      <c r="AZ755" s="408">
        <v>0</v>
      </c>
      <c r="BA755" s="408"/>
      <c r="BB755" s="408"/>
      <c r="BC755" s="408"/>
      <c r="BD755" s="408"/>
      <c r="BE755" s="408"/>
      <c r="BF755" s="408"/>
      <c r="BG755" s="408"/>
      <c r="BH755" s="408"/>
      <c r="BI755" s="408">
        <v>16.66</v>
      </c>
      <c r="BJ755" s="408">
        <v>78.540000000000006</v>
      </c>
      <c r="BK755" s="408">
        <v>435.54</v>
      </c>
      <c r="BL755" s="408">
        <v>68</v>
      </c>
      <c r="BM755" s="408"/>
      <c r="BN755" s="408"/>
      <c r="BO755" s="408"/>
      <c r="BP755" s="408"/>
      <c r="BQ755" s="408"/>
      <c r="BR755" s="408"/>
      <c r="BS755" s="408"/>
      <c r="BT755" s="408"/>
      <c r="BU755" s="408"/>
      <c r="BV755" s="408"/>
      <c r="BW755" s="408"/>
      <c r="BX755" s="408"/>
      <c r="BY755" s="408"/>
      <c r="BZ755" s="408"/>
      <c r="CA755" s="408"/>
      <c r="CB755" s="408"/>
      <c r="CC755" s="408"/>
      <c r="CD755" s="408"/>
      <c r="CE755" s="408"/>
      <c r="CF755" s="408"/>
      <c r="CG755" s="408"/>
      <c r="CH755" s="408"/>
      <c r="CI755" s="408"/>
      <c r="CJ755" s="408">
        <v>-0.03</v>
      </c>
      <c r="CK755" s="408"/>
      <c r="CL755" s="408"/>
      <c r="CM755" s="408"/>
      <c r="CN755" s="408"/>
      <c r="CO755" s="408">
        <v>0</v>
      </c>
      <c r="CP755" s="408">
        <v>0</v>
      </c>
      <c r="CQ755" s="408">
        <v>30</v>
      </c>
      <c r="CR755" s="408"/>
      <c r="CS755" s="408"/>
      <c r="CT755" s="408"/>
      <c r="CU755" s="408"/>
      <c r="CV755" s="408"/>
      <c r="CW755" s="408"/>
      <c r="CX755" s="408"/>
      <c r="CY755" s="408"/>
      <c r="CZ755" s="408"/>
      <c r="DA755" s="408"/>
      <c r="DB755" s="408"/>
      <c r="DC755" s="408"/>
      <c r="DD755" s="408"/>
      <c r="DE755" s="408"/>
      <c r="DF755" s="408"/>
      <c r="DG755" s="408"/>
      <c r="DH755" s="408"/>
      <c r="DI755" s="408"/>
      <c r="DJ755" s="408"/>
      <c r="DK755" s="408">
        <v>0</v>
      </c>
      <c r="DL755" s="408"/>
      <c r="DM755" s="408"/>
      <c r="DN755" s="408"/>
      <c r="DO755" s="408"/>
      <c r="DP755" s="408"/>
      <c r="DQ755" s="408"/>
      <c r="DR755" s="408"/>
      <c r="DS755" s="408"/>
      <c r="DT755" s="408"/>
      <c r="DU755" s="408"/>
      <c r="DV755" s="408"/>
      <c r="DW755" s="408"/>
      <c r="DX755" s="408"/>
      <c r="DY755" s="408"/>
      <c r="DZ755" s="408"/>
      <c r="EA755" s="408"/>
      <c r="EB755" s="408"/>
      <c r="EC755" s="408"/>
      <c r="ED755" s="408"/>
      <c r="EE755" s="408"/>
      <c r="EF755" s="408"/>
      <c r="EG755" s="408"/>
      <c r="EH755" s="408"/>
      <c r="EI755" s="408"/>
      <c r="EJ755" s="408"/>
      <c r="EK755" s="408"/>
      <c r="EL755" s="408"/>
      <c r="EM755" s="408"/>
      <c r="EN755" s="408"/>
      <c r="EO755" s="408"/>
      <c r="EP755" s="408"/>
      <c r="EQ755" s="408"/>
      <c r="ER755" s="408"/>
      <c r="ES755" s="408"/>
      <c r="ET755" s="408"/>
      <c r="EU755" s="408"/>
      <c r="EV755" s="408">
        <v>239</v>
      </c>
      <c r="EW755" s="408"/>
      <c r="EX755" s="408"/>
      <c r="EY755" s="408"/>
      <c r="EZ755" s="408"/>
      <c r="FA755" s="408">
        <v>0</v>
      </c>
      <c r="FB755" s="408"/>
      <c r="FC755" s="408"/>
      <c r="FD755" s="408"/>
      <c r="FE755" s="408"/>
      <c r="FF755" s="408">
        <v>0</v>
      </c>
      <c r="FG755" s="408">
        <v>0</v>
      </c>
      <c r="FH755" s="408">
        <v>0</v>
      </c>
      <c r="FI755" s="408">
        <v>0</v>
      </c>
    </row>
    <row r="756" spans="1:165">
      <c r="A756" s="408">
        <v>762</v>
      </c>
      <c r="B756" s="408" t="s">
        <v>2236</v>
      </c>
      <c r="C756" s="408" t="s">
        <v>2233</v>
      </c>
      <c r="D756" s="408" t="s">
        <v>2243</v>
      </c>
      <c r="E756" s="408" t="s">
        <v>972</v>
      </c>
      <c r="F756" s="408" t="s">
        <v>2251</v>
      </c>
      <c r="G756" s="408" t="s">
        <v>2252</v>
      </c>
      <c r="H756" s="408" t="s">
        <v>1320</v>
      </c>
      <c r="I756" s="408" t="s">
        <v>1320</v>
      </c>
      <c r="J756" s="408" t="s">
        <v>2234</v>
      </c>
      <c r="K756" s="827">
        <v>44713</v>
      </c>
      <c r="L756" s="408">
        <v>0</v>
      </c>
      <c r="M756" s="408">
        <v>0</v>
      </c>
      <c r="N756" s="408">
        <v>0</v>
      </c>
      <c r="O756" s="408">
        <v>0</v>
      </c>
      <c r="P756" s="408">
        <v>0</v>
      </c>
      <c r="Q756" s="408">
        <v>0</v>
      </c>
      <c r="R756" s="408"/>
      <c r="S756" s="408"/>
      <c r="T756" s="408"/>
      <c r="U756" s="408"/>
      <c r="V756" s="408"/>
      <c r="W756" s="408"/>
      <c r="X756" s="408"/>
      <c r="Y756" s="408"/>
      <c r="Z756" s="408"/>
      <c r="AA756" s="408">
        <v>0</v>
      </c>
      <c r="AB756" s="408"/>
      <c r="AC756" s="408"/>
      <c r="AD756" s="408"/>
      <c r="AE756" s="408"/>
      <c r="AF756" s="408"/>
      <c r="AG756" s="408"/>
      <c r="AH756" s="408"/>
      <c r="AI756" s="408"/>
      <c r="AJ756" s="408"/>
      <c r="AK756" s="408"/>
      <c r="AL756" s="408"/>
      <c r="AM756" s="408"/>
      <c r="AN756" s="408"/>
      <c r="AO756" s="408"/>
      <c r="AP756" s="408"/>
      <c r="AQ756" s="408"/>
      <c r="AR756" s="408"/>
      <c r="AS756" s="408"/>
      <c r="AT756" s="408"/>
      <c r="AU756" s="408"/>
      <c r="AV756" s="408"/>
      <c r="AW756" s="408"/>
      <c r="AX756" s="408"/>
      <c r="AY756" s="408"/>
      <c r="AZ756" s="408">
        <v>0</v>
      </c>
      <c r="BA756" s="408"/>
      <c r="BB756" s="408"/>
      <c r="BC756" s="408"/>
      <c r="BD756" s="408"/>
      <c r="BE756" s="408"/>
      <c r="BF756" s="408"/>
      <c r="BG756" s="408"/>
      <c r="BH756" s="408"/>
      <c r="BI756" s="408">
        <v>1.1200000000000001</v>
      </c>
      <c r="BJ756" s="408">
        <v>5.28</v>
      </c>
      <c r="BK756" s="408">
        <v>29.28</v>
      </c>
      <c r="BL756" s="408">
        <v>4</v>
      </c>
      <c r="BM756" s="408"/>
      <c r="BN756" s="408"/>
      <c r="BO756" s="408"/>
      <c r="BP756" s="408"/>
      <c r="BQ756" s="408"/>
      <c r="BR756" s="408"/>
      <c r="BS756" s="408"/>
      <c r="BT756" s="408"/>
      <c r="BU756" s="408"/>
      <c r="BV756" s="408"/>
      <c r="BW756" s="408"/>
      <c r="BX756" s="408"/>
      <c r="BY756" s="408"/>
      <c r="BZ756" s="408"/>
      <c r="CA756" s="408"/>
      <c r="CB756" s="408"/>
      <c r="CC756" s="408"/>
      <c r="CD756" s="408"/>
      <c r="CE756" s="408"/>
      <c r="CF756" s="408"/>
      <c r="CG756" s="408"/>
      <c r="CH756" s="408"/>
      <c r="CI756" s="408"/>
      <c r="CJ756" s="408">
        <v>-0.03</v>
      </c>
      <c r="CK756" s="408"/>
      <c r="CL756" s="408"/>
      <c r="CM756" s="408"/>
      <c r="CN756" s="408"/>
      <c r="CO756" s="408">
        <v>0</v>
      </c>
      <c r="CP756" s="408">
        <v>0</v>
      </c>
      <c r="CQ756" s="408">
        <v>30</v>
      </c>
      <c r="CR756" s="408"/>
      <c r="CS756" s="408"/>
      <c r="CT756" s="408"/>
      <c r="CU756" s="408"/>
      <c r="CV756" s="408"/>
      <c r="CW756" s="408"/>
      <c r="CX756" s="408"/>
      <c r="CY756" s="408"/>
      <c r="CZ756" s="408"/>
      <c r="DA756" s="408"/>
      <c r="DB756" s="408"/>
      <c r="DC756" s="408"/>
      <c r="DD756" s="408"/>
      <c r="DE756" s="408"/>
      <c r="DF756" s="408"/>
      <c r="DG756" s="408"/>
      <c r="DH756" s="408"/>
      <c r="DI756" s="408"/>
      <c r="DJ756" s="408"/>
      <c r="DK756" s="408">
        <v>0</v>
      </c>
      <c r="DL756" s="408"/>
      <c r="DM756" s="408"/>
      <c r="DN756" s="408"/>
      <c r="DO756" s="408"/>
      <c r="DP756" s="408"/>
      <c r="DQ756" s="408"/>
      <c r="DR756" s="408"/>
      <c r="DS756" s="408"/>
      <c r="DT756" s="408"/>
      <c r="DU756" s="408"/>
      <c r="DV756" s="408"/>
      <c r="DW756" s="408"/>
      <c r="DX756" s="408"/>
      <c r="DY756" s="408"/>
      <c r="DZ756" s="408"/>
      <c r="EA756" s="408"/>
      <c r="EB756" s="408"/>
      <c r="EC756" s="408"/>
      <c r="ED756" s="408"/>
      <c r="EE756" s="408"/>
      <c r="EF756" s="408"/>
      <c r="EG756" s="408"/>
      <c r="EH756" s="408"/>
      <c r="EI756" s="408"/>
      <c r="EJ756" s="408"/>
      <c r="EK756" s="408"/>
      <c r="EL756" s="408"/>
      <c r="EM756" s="408"/>
      <c r="EN756" s="408"/>
      <c r="EO756" s="408"/>
      <c r="EP756" s="408"/>
      <c r="EQ756" s="408"/>
      <c r="ER756" s="408"/>
      <c r="ES756" s="408"/>
      <c r="ET756" s="408"/>
      <c r="EU756" s="408"/>
      <c r="EV756" s="408">
        <v>239</v>
      </c>
      <c r="EW756" s="408"/>
      <c r="EX756" s="408"/>
      <c r="EY756" s="408"/>
      <c r="EZ756" s="408"/>
      <c r="FA756" s="408">
        <v>0</v>
      </c>
      <c r="FB756" s="408"/>
      <c r="FC756" s="408"/>
      <c r="FD756" s="408"/>
      <c r="FE756" s="408"/>
      <c r="FF756" s="408">
        <v>0</v>
      </c>
      <c r="FG756" s="408">
        <v>0</v>
      </c>
      <c r="FH756" s="408">
        <v>0</v>
      </c>
      <c r="FI756" s="408">
        <v>0</v>
      </c>
    </row>
    <row r="757" spans="1:165">
      <c r="A757" s="408">
        <v>763</v>
      </c>
      <c r="B757" s="408" t="s">
        <v>1034</v>
      </c>
      <c r="C757" s="408" t="s">
        <v>2233</v>
      </c>
      <c r="D757" s="408" t="s">
        <v>2243</v>
      </c>
      <c r="E757" s="408" t="s">
        <v>972</v>
      </c>
      <c r="F757" s="408" t="s">
        <v>2251</v>
      </c>
      <c r="G757" s="408" t="s">
        <v>2252</v>
      </c>
      <c r="H757" s="408" t="s">
        <v>1320</v>
      </c>
      <c r="I757" s="408" t="s">
        <v>1320</v>
      </c>
      <c r="J757" s="408" t="s">
        <v>2234</v>
      </c>
      <c r="K757" s="827">
        <v>44713</v>
      </c>
      <c r="L757" s="408">
        <v>0</v>
      </c>
      <c r="M757" s="408">
        <v>0</v>
      </c>
      <c r="N757" s="408">
        <v>5.9359999999999999</v>
      </c>
      <c r="O757" s="408">
        <v>5.9359999999999999</v>
      </c>
      <c r="P757" s="408">
        <v>5.9359999999999999</v>
      </c>
      <c r="Q757" s="408">
        <v>5.9359999999999999</v>
      </c>
      <c r="R757" s="408"/>
      <c r="S757" s="408">
        <v>516.83000000000004</v>
      </c>
      <c r="T757" s="408">
        <v>173.82</v>
      </c>
      <c r="U757" s="408"/>
      <c r="V757" s="408">
        <v>4099.6984000000002</v>
      </c>
      <c r="W757" s="408">
        <v>4099.6984000000002</v>
      </c>
      <c r="X757" s="408">
        <v>3095.3271999999997</v>
      </c>
      <c r="Y757" s="408">
        <v>0</v>
      </c>
      <c r="Z757" s="408">
        <v>362.98316937962869</v>
      </c>
      <c r="AA757" s="408">
        <v>0</v>
      </c>
      <c r="AB757" s="408">
        <v>0</v>
      </c>
      <c r="AC757" s="408">
        <v>16.136684019648204</v>
      </c>
      <c r="AD757" s="408">
        <v>204.35636599498375</v>
      </c>
      <c r="AE757" s="408">
        <v>2158.4233601095252</v>
      </c>
      <c r="AF757" s="408">
        <v>955.23379657398186</v>
      </c>
      <c r="AG757" s="408">
        <v>48.057056967308107</v>
      </c>
      <c r="AH757" s="408">
        <v>0</v>
      </c>
      <c r="AI757" s="408">
        <v>0</v>
      </c>
      <c r="AJ757" s="408">
        <v>0</v>
      </c>
      <c r="AK757" s="408">
        <v>0</v>
      </c>
      <c r="AL757" s="408">
        <v>56.104084159627803</v>
      </c>
      <c r="AM757" s="408"/>
      <c r="AN757" s="408">
        <v>9.2099531627077589</v>
      </c>
      <c r="AO757" s="408">
        <v>34.419918432947973</v>
      </c>
      <c r="AP757" s="408">
        <v>112.72057889515042</v>
      </c>
      <c r="AQ757" s="408">
        <v>0</v>
      </c>
      <c r="AR757" s="408">
        <v>0</v>
      </c>
      <c r="AS757" s="408">
        <v>0</v>
      </c>
      <c r="AT757" s="408">
        <v>0</v>
      </c>
      <c r="AU757" s="408">
        <v>0</v>
      </c>
      <c r="AV757" s="408">
        <v>0</v>
      </c>
      <c r="AW757" s="408">
        <v>0</v>
      </c>
      <c r="AX757" s="408">
        <v>0</v>
      </c>
      <c r="AY757" s="408">
        <v>0</v>
      </c>
      <c r="AZ757" s="408">
        <v>0</v>
      </c>
      <c r="BA757" s="408"/>
      <c r="BB757" s="408">
        <v>0</v>
      </c>
      <c r="BC757" s="408">
        <v>0</v>
      </c>
      <c r="BD757" s="408">
        <v>0</v>
      </c>
      <c r="BE757" s="408">
        <v>3.2933676948213013</v>
      </c>
      <c r="BF757" s="408">
        <v>28.526565971169859</v>
      </c>
      <c r="BG757" s="408">
        <v>110.28092655168088</v>
      </c>
      <c r="BH757" s="408">
        <v>0</v>
      </c>
      <c r="BI757" s="408">
        <v>0</v>
      </c>
      <c r="BJ757" s="408">
        <v>0</v>
      </c>
      <c r="BK757" s="408">
        <v>0</v>
      </c>
      <c r="BL757" s="408">
        <v>0</v>
      </c>
      <c r="BM757" s="408"/>
      <c r="BN757" s="408"/>
      <c r="BO757" s="408"/>
      <c r="BP757" s="408"/>
      <c r="BQ757" s="408"/>
      <c r="BR757" s="408">
        <v>371.41551999999996</v>
      </c>
      <c r="BS757" s="408"/>
      <c r="BT757" s="408"/>
      <c r="BU757" s="408"/>
      <c r="BV757" s="408">
        <v>1097.334656791654</v>
      </c>
      <c r="BW757" s="408"/>
      <c r="BX757" s="408"/>
      <c r="BY757" s="408"/>
      <c r="BZ757" s="408"/>
      <c r="CA757" s="408"/>
      <c r="CB757" s="408"/>
      <c r="CC757" s="408"/>
      <c r="CD757" s="408"/>
      <c r="CE757" s="408"/>
      <c r="CF757" s="408"/>
      <c r="CG757" s="408"/>
      <c r="CH757" s="408"/>
      <c r="CI757" s="408">
        <v>2725.7472000000002</v>
      </c>
      <c r="CJ757" s="408">
        <v>-882.00552000000062</v>
      </c>
      <c r="CK757" s="408"/>
      <c r="CL757" s="408"/>
      <c r="CM757" s="408"/>
      <c r="CN757" s="408"/>
      <c r="CO757" s="408">
        <v>-1130.1550400000003</v>
      </c>
      <c r="CP757" s="408">
        <v>125.78383999999998</v>
      </c>
      <c r="CQ757" s="408">
        <v>30</v>
      </c>
      <c r="CR757" s="408">
        <v>138.34369782715203</v>
      </c>
      <c r="CS757" s="408">
        <v>3.3419566245043768</v>
      </c>
      <c r="CT757" s="408">
        <v>10.94445607389919</v>
      </c>
      <c r="CU757" s="408">
        <v>0</v>
      </c>
      <c r="CV757" s="408">
        <v>0</v>
      </c>
      <c r="CW757" s="408">
        <v>0</v>
      </c>
      <c r="CX757" s="408">
        <v>0</v>
      </c>
      <c r="CY757" s="408">
        <v>0</v>
      </c>
      <c r="CZ757" s="408">
        <v>-3.9183714585675489</v>
      </c>
      <c r="DA757" s="408">
        <v>0</v>
      </c>
      <c r="DB757" s="408">
        <v>0</v>
      </c>
      <c r="DC757" s="408">
        <v>122.61481508417319</v>
      </c>
      <c r="DD757" s="408">
        <v>3.6617000194992926</v>
      </c>
      <c r="DE757" s="408">
        <v>0.42274014210238464</v>
      </c>
      <c r="DF757" s="408">
        <v>0</v>
      </c>
      <c r="DG757" s="408">
        <v>14.155775753478437</v>
      </c>
      <c r="DH757" s="408">
        <v>0</v>
      </c>
      <c r="DI757" s="408">
        <v>-10.608366620636104</v>
      </c>
      <c r="DJ757" s="408"/>
      <c r="DK757" s="408">
        <v>0</v>
      </c>
      <c r="DL757" s="408">
        <v>0</v>
      </c>
      <c r="DM757" s="408">
        <v>-0.53413655039086905</v>
      </c>
      <c r="DN757" s="408">
        <v>0</v>
      </c>
      <c r="DO757" s="408">
        <v>-1.4530764010903141</v>
      </c>
      <c r="DP757" s="408">
        <v>-0.28379483981993125</v>
      </c>
      <c r="DQ757" s="408">
        <v>0</v>
      </c>
      <c r="DR757" s="408">
        <v>0</v>
      </c>
      <c r="DS757" s="408"/>
      <c r="DT757" s="408"/>
      <c r="DU757" s="408"/>
      <c r="DV757" s="408">
        <v>2158.4233601095252</v>
      </c>
      <c r="DW757" s="408">
        <v>0</v>
      </c>
      <c r="DX757" s="408">
        <v>0</v>
      </c>
      <c r="DY757" s="408">
        <v>-1130.1550400000001</v>
      </c>
      <c r="DZ757" s="408">
        <v>125.78384000000005</v>
      </c>
      <c r="EA757" s="408">
        <v>0</v>
      </c>
      <c r="EB757" s="408">
        <v>0</v>
      </c>
      <c r="EC757" s="408">
        <v>-1142.7707393407231</v>
      </c>
      <c r="ED757" s="408">
        <v>0</v>
      </c>
      <c r="EE757" s="408">
        <v>0</v>
      </c>
      <c r="EF757" s="408">
        <v>0</v>
      </c>
      <c r="EG757" s="408">
        <v>0</v>
      </c>
      <c r="EH757" s="408">
        <v>0</v>
      </c>
      <c r="EI757" s="408">
        <v>0</v>
      </c>
      <c r="EJ757" s="408">
        <v>0</v>
      </c>
      <c r="EK757" s="408">
        <v>0</v>
      </c>
      <c r="EL757" s="408">
        <v>0</v>
      </c>
      <c r="EM757" s="408">
        <v>0</v>
      </c>
      <c r="EN757" s="408">
        <v>0</v>
      </c>
      <c r="EO757" s="408">
        <v>0</v>
      </c>
      <c r="EP757" s="408">
        <v>0</v>
      </c>
      <c r="EQ757" s="408">
        <v>0</v>
      </c>
      <c r="ER757" s="408">
        <v>0</v>
      </c>
      <c r="ES757" s="408">
        <v>0</v>
      </c>
      <c r="ET757" s="408">
        <v>0</v>
      </c>
      <c r="EU757" s="408">
        <v>0</v>
      </c>
      <c r="EV757" s="408">
        <v>239</v>
      </c>
      <c r="EW757" s="408">
        <v>0</v>
      </c>
      <c r="EX757" s="408">
        <v>0</v>
      </c>
      <c r="EY757" s="408">
        <v>0</v>
      </c>
      <c r="EZ757" s="408"/>
      <c r="FA757" s="408">
        <v>0</v>
      </c>
      <c r="FB757" s="408"/>
      <c r="FC757" s="408"/>
      <c r="FD757" s="408"/>
      <c r="FE757" s="408"/>
      <c r="FF757" s="408">
        <v>0</v>
      </c>
      <c r="FG757" s="408">
        <v>0</v>
      </c>
      <c r="FH757" s="408">
        <v>0</v>
      </c>
      <c r="FI757" s="408">
        <v>0</v>
      </c>
    </row>
    <row r="758" spans="1:165">
      <c r="A758" s="408">
        <v>764</v>
      </c>
      <c r="B758" s="408" t="s">
        <v>2236</v>
      </c>
      <c r="C758" s="408" t="s">
        <v>2233</v>
      </c>
      <c r="D758" s="408" t="s">
        <v>2243</v>
      </c>
      <c r="E758" s="408" t="s">
        <v>972</v>
      </c>
      <c r="F758" s="408" t="s">
        <v>2251</v>
      </c>
      <c r="G758" s="408" t="s">
        <v>2252</v>
      </c>
      <c r="H758" s="408" t="s">
        <v>1320</v>
      </c>
      <c r="I758" s="408" t="s">
        <v>1320</v>
      </c>
      <c r="J758" s="408" t="s">
        <v>2234</v>
      </c>
      <c r="K758" s="827">
        <v>44713</v>
      </c>
      <c r="L758" s="408">
        <v>0</v>
      </c>
      <c r="M758" s="408">
        <v>0</v>
      </c>
      <c r="N758" s="408">
        <v>0.4</v>
      </c>
      <c r="O758" s="408">
        <v>0.4</v>
      </c>
      <c r="P758" s="408">
        <v>0.4</v>
      </c>
      <c r="Q758" s="408">
        <v>0.4</v>
      </c>
      <c r="R758" s="408"/>
      <c r="S758" s="408">
        <v>516.83000000000004</v>
      </c>
      <c r="T758" s="408">
        <v>173.82</v>
      </c>
      <c r="U758" s="408"/>
      <c r="V758" s="408">
        <v>276.26000000000005</v>
      </c>
      <c r="W758" s="408">
        <v>276.26000000000005</v>
      </c>
      <c r="X758" s="408">
        <v>208.57999999999998</v>
      </c>
      <c r="Y758" s="408">
        <v>0</v>
      </c>
      <c r="Z758" s="408">
        <v>24.459782303209479</v>
      </c>
      <c r="AA758" s="408">
        <v>0</v>
      </c>
      <c r="AB758" s="408">
        <v>0</v>
      </c>
      <c r="AC758" s="408">
        <v>1.0873776293563482</v>
      </c>
      <c r="AD758" s="408">
        <v>13.7706446088264</v>
      </c>
      <c r="AE758" s="408">
        <v>145.44631806667959</v>
      </c>
      <c r="AF758" s="408">
        <v>64.368854216575599</v>
      </c>
      <c r="AG758" s="408">
        <v>3.238346156826692</v>
      </c>
      <c r="AH758" s="408">
        <v>0</v>
      </c>
      <c r="AI758" s="408">
        <v>0</v>
      </c>
      <c r="AJ758" s="408">
        <v>0</v>
      </c>
      <c r="AK758" s="408">
        <v>0</v>
      </c>
      <c r="AL758" s="408">
        <v>3.7805986630476962</v>
      </c>
      <c r="AM758" s="408"/>
      <c r="AN758" s="408">
        <v>0.62061678993987601</v>
      </c>
      <c r="AO758" s="408">
        <v>2.319401511654176</v>
      </c>
      <c r="AP758" s="408">
        <v>7.5957263406435604</v>
      </c>
      <c r="AQ758" s="408">
        <v>0</v>
      </c>
      <c r="AR758" s="408">
        <v>0</v>
      </c>
      <c r="AS758" s="408">
        <v>0</v>
      </c>
      <c r="AT758" s="408">
        <v>0</v>
      </c>
      <c r="AU758" s="408">
        <v>0</v>
      </c>
      <c r="AV758" s="408">
        <v>0</v>
      </c>
      <c r="AW758" s="408">
        <v>0</v>
      </c>
      <c r="AX758" s="408">
        <v>0</v>
      </c>
      <c r="AY758" s="408">
        <v>0</v>
      </c>
      <c r="AZ758" s="408">
        <v>0</v>
      </c>
      <c r="BA758" s="408"/>
      <c r="BB758" s="408">
        <v>0</v>
      </c>
      <c r="BC758" s="408">
        <v>0</v>
      </c>
      <c r="BD758" s="408">
        <v>0</v>
      </c>
      <c r="BE758" s="408">
        <v>0.22192504682084244</v>
      </c>
      <c r="BF758" s="408">
        <v>1.9222753349844919</v>
      </c>
      <c r="BG758" s="408">
        <v>7.4313292824582806</v>
      </c>
      <c r="BH758" s="408">
        <v>0</v>
      </c>
      <c r="BI758" s="408">
        <v>0</v>
      </c>
      <c r="BJ758" s="408">
        <v>0</v>
      </c>
      <c r="BK758" s="408">
        <v>0</v>
      </c>
      <c r="BL758" s="408">
        <v>0</v>
      </c>
      <c r="BM758" s="408"/>
      <c r="BN758" s="408"/>
      <c r="BO758" s="408"/>
      <c r="BP758" s="408"/>
      <c r="BQ758" s="408"/>
      <c r="BR758" s="408">
        <v>25.027999999999999</v>
      </c>
      <c r="BS758" s="408"/>
      <c r="BT758" s="408"/>
      <c r="BU758" s="408"/>
      <c r="BV758" s="408">
        <v>73.944383880839212</v>
      </c>
      <c r="BW758" s="408"/>
      <c r="BX758" s="408"/>
      <c r="BY758" s="408"/>
      <c r="BZ758" s="408"/>
      <c r="CA758" s="408"/>
      <c r="CB758" s="408"/>
      <c r="CC758" s="408"/>
      <c r="CD758" s="408"/>
      <c r="CE758" s="408"/>
      <c r="CF758" s="408"/>
      <c r="CG758" s="408"/>
      <c r="CH758" s="408"/>
      <c r="CI758" s="408">
        <v>183.55200000000002</v>
      </c>
      <c r="CJ758" s="408">
        <v>-59.585999999999956</v>
      </c>
      <c r="CK758" s="408"/>
      <c r="CL758" s="408"/>
      <c r="CM758" s="408"/>
      <c r="CN758" s="408"/>
      <c r="CO758" s="408">
        <v>-76.15600000000002</v>
      </c>
      <c r="CP758" s="408">
        <v>8.4759999999999991</v>
      </c>
      <c r="CQ758" s="408">
        <v>30</v>
      </c>
      <c r="CR758" s="408">
        <v>9.3223516056032452</v>
      </c>
      <c r="CS758" s="408">
        <v>0.22519923345716819</v>
      </c>
      <c r="CT758" s="408">
        <v>0.73749704002016081</v>
      </c>
      <c r="CU758" s="408">
        <v>0</v>
      </c>
      <c r="CV758" s="408">
        <v>0</v>
      </c>
      <c r="CW758" s="408">
        <v>0</v>
      </c>
      <c r="CX758" s="408">
        <v>0</v>
      </c>
      <c r="CY758" s="408">
        <v>0</v>
      </c>
      <c r="CZ758" s="408">
        <v>-0.26404120340751902</v>
      </c>
      <c r="DA758" s="408">
        <v>0</v>
      </c>
      <c r="DB758" s="408">
        <v>0</v>
      </c>
      <c r="DC758" s="408">
        <v>8.2624538466424013</v>
      </c>
      <c r="DD758" s="408">
        <v>0.24674528433283638</v>
      </c>
      <c r="DE758" s="408">
        <v>2.8486532486683619E-2</v>
      </c>
      <c r="DF758" s="408">
        <v>0</v>
      </c>
      <c r="DG758" s="408">
        <v>0.95389324484355953</v>
      </c>
      <c r="DH758" s="408">
        <v>0</v>
      </c>
      <c r="DI758" s="408">
        <v>-0.71484950273827863</v>
      </c>
      <c r="DJ758" s="408"/>
      <c r="DK758" s="408">
        <v>0</v>
      </c>
      <c r="DL758" s="408">
        <v>0</v>
      </c>
      <c r="DM758" s="408">
        <v>-3.5993029002080235E-2</v>
      </c>
      <c r="DN758" s="408">
        <v>0</v>
      </c>
      <c r="DO758" s="408">
        <v>-9.7916199534388237E-2</v>
      </c>
      <c r="DP758" s="408">
        <v>-1.9123641497299948E-2</v>
      </c>
      <c r="DQ758" s="408">
        <v>0</v>
      </c>
      <c r="DR758" s="408">
        <v>0</v>
      </c>
      <c r="DS758" s="408"/>
      <c r="DT758" s="408"/>
      <c r="DU758" s="408"/>
      <c r="DV758" s="408">
        <v>145.44631806667959</v>
      </c>
      <c r="DW758" s="408">
        <v>0</v>
      </c>
      <c r="DX758" s="408">
        <v>0</v>
      </c>
      <c r="DY758" s="408">
        <v>-76.156000000000034</v>
      </c>
      <c r="DZ758" s="408">
        <v>8.4759999999999991</v>
      </c>
      <c r="EA758" s="408">
        <v>0</v>
      </c>
      <c r="EB758" s="408">
        <v>0</v>
      </c>
      <c r="EC758" s="408">
        <v>-77.006114510830386</v>
      </c>
      <c r="ED758" s="408">
        <v>0</v>
      </c>
      <c r="EE758" s="408">
        <v>0</v>
      </c>
      <c r="EF758" s="408">
        <v>0</v>
      </c>
      <c r="EG758" s="408">
        <v>0</v>
      </c>
      <c r="EH758" s="408">
        <v>0</v>
      </c>
      <c r="EI758" s="408">
        <v>0</v>
      </c>
      <c r="EJ758" s="408">
        <v>0</v>
      </c>
      <c r="EK758" s="408">
        <v>0</v>
      </c>
      <c r="EL758" s="408">
        <v>0</v>
      </c>
      <c r="EM758" s="408">
        <v>0</v>
      </c>
      <c r="EN758" s="408">
        <v>0</v>
      </c>
      <c r="EO758" s="408">
        <v>0</v>
      </c>
      <c r="EP758" s="408">
        <v>0</v>
      </c>
      <c r="EQ758" s="408">
        <v>0</v>
      </c>
      <c r="ER758" s="408">
        <v>0</v>
      </c>
      <c r="ES758" s="408">
        <v>0</v>
      </c>
      <c r="ET758" s="408">
        <v>0</v>
      </c>
      <c r="EU758" s="408">
        <v>0</v>
      </c>
      <c r="EV758" s="408">
        <v>239</v>
      </c>
      <c r="EW758" s="408">
        <v>0</v>
      </c>
      <c r="EX758" s="408">
        <v>0</v>
      </c>
      <c r="EY758" s="408">
        <v>0</v>
      </c>
      <c r="EZ758" s="408"/>
      <c r="FA758" s="408">
        <v>0</v>
      </c>
      <c r="FB758" s="408"/>
      <c r="FC758" s="408"/>
      <c r="FD758" s="408"/>
      <c r="FE758" s="408"/>
      <c r="FF758" s="408">
        <v>0</v>
      </c>
      <c r="FG758" s="408">
        <v>0</v>
      </c>
      <c r="FH758" s="408">
        <v>0</v>
      </c>
      <c r="FI758" s="408">
        <v>0</v>
      </c>
    </row>
    <row r="759" spans="1:165">
      <c r="A759" s="408">
        <v>765</v>
      </c>
      <c r="B759" s="408" t="s">
        <v>1034</v>
      </c>
      <c r="C759" s="408" t="s">
        <v>2233</v>
      </c>
      <c r="D759" s="408" t="s">
        <v>2243</v>
      </c>
      <c r="E759" s="408" t="s">
        <v>972</v>
      </c>
      <c r="F759" s="408" t="s">
        <v>2251</v>
      </c>
      <c r="G759" s="408" t="s">
        <v>2253</v>
      </c>
      <c r="H759" s="408" t="s">
        <v>1320</v>
      </c>
      <c r="I759" s="408" t="s">
        <v>1320</v>
      </c>
      <c r="J759" s="408" t="s">
        <v>2234</v>
      </c>
      <c r="K759" s="827">
        <v>44713</v>
      </c>
      <c r="L759" s="408">
        <v>0</v>
      </c>
      <c r="M759" s="408">
        <v>0</v>
      </c>
      <c r="N759" s="408">
        <v>1.4E-2</v>
      </c>
      <c r="O759" s="408">
        <v>5.5999999999999999E-3</v>
      </c>
      <c r="P759" s="408">
        <v>1.4E-2</v>
      </c>
      <c r="Q759" s="408">
        <v>5.5999999999999999E-3</v>
      </c>
      <c r="R759" s="408"/>
      <c r="S759" s="408">
        <v>516.83000000000004</v>
      </c>
      <c r="T759" s="408">
        <v>173.82</v>
      </c>
      <c r="U759" s="408"/>
      <c r="V759" s="408">
        <v>9.6691000000000003</v>
      </c>
      <c r="W759" s="408">
        <v>9.6691000000000003</v>
      </c>
      <c r="X759" s="408">
        <v>7.3003</v>
      </c>
      <c r="Y759" s="408">
        <v>0</v>
      </c>
      <c r="Z759" s="408">
        <v>0.85609238061233184</v>
      </c>
      <c r="AA759" s="408">
        <v>0</v>
      </c>
      <c r="AB759" s="408">
        <v>0</v>
      </c>
      <c r="AC759" s="408">
        <v>3.8058217027472183E-2</v>
      </c>
      <c r="AD759" s="408">
        <v>0.48197256130892396</v>
      </c>
      <c r="AE759" s="408">
        <v>5.0906211323337862</v>
      </c>
      <c r="AF759" s="408">
        <v>2.252909897580146</v>
      </c>
      <c r="AG759" s="408">
        <v>0.11334211548893421</v>
      </c>
      <c r="AH759" s="408">
        <v>0</v>
      </c>
      <c r="AI759" s="408">
        <v>0</v>
      </c>
      <c r="AJ759" s="408">
        <v>0</v>
      </c>
      <c r="AK759" s="408">
        <v>0</v>
      </c>
      <c r="AL759" s="408">
        <v>0.13232095320666937</v>
      </c>
      <c r="AM759" s="408"/>
      <c r="AN759" s="408">
        <v>2.1721587647895658E-2</v>
      </c>
      <c r="AO759" s="408">
        <v>8.1179052907896163E-2</v>
      </c>
      <c r="AP759" s="408">
        <v>0.26585042192252462</v>
      </c>
      <c r="AQ759" s="408">
        <v>0</v>
      </c>
      <c r="AR759" s="408">
        <v>0</v>
      </c>
      <c r="AS759" s="408">
        <v>0</v>
      </c>
      <c r="AT759" s="408">
        <v>0</v>
      </c>
      <c r="AU759" s="408">
        <v>0</v>
      </c>
      <c r="AV759" s="408">
        <v>0</v>
      </c>
      <c r="AW759" s="408">
        <v>0</v>
      </c>
      <c r="AX759" s="408">
        <v>0</v>
      </c>
      <c r="AY759" s="408">
        <v>0</v>
      </c>
      <c r="AZ759" s="408">
        <v>0</v>
      </c>
      <c r="BA759" s="408"/>
      <c r="BB759" s="408">
        <v>0</v>
      </c>
      <c r="BC759" s="408">
        <v>0</v>
      </c>
      <c r="BD759" s="408">
        <v>0</v>
      </c>
      <c r="BE759" s="408">
        <v>7.7673766387294845E-3</v>
      </c>
      <c r="BF759" s="408">
        <v>6.727963672445722E-2</v>
      </c>
      <c r="BG759" s="408">
        <v>0.26009652488603979</v>
      </c>
      <c r="BH759" s="408">
        <v>0</v>
      </c>
      <c r="BI759" s="408">
        <v>0</v>
      </c>
      <c r="BJ759" s="408">
        <v>0</v>
      </c>
      <c r="BK759" s="408">
        <v>0</v>
      </c>
      <c r="BL759" s="408">
        <v>0</v>
      </c>
      <c r="BM759" s="408"/>
      <c r="BN759" s="408"/>
      <c r="BO759" s="408"/>
      <c r="BP759" s="408"/>
      <c r="BQ759" s="408"/>
      <c r="BR759" s="408"/>
      <c r="BS759" s="408">
        <v>4.7305719999999996</v>
      </c>
      <c r="BT759" s="408"/>
      <c r="BU759" s="408"/>
      <c r="BV759" s="408">
        <v>2.5880534358293725</v>
      </c>
      <c r="BW759" s="408"/>
      <c r="BX759" s="408"/>
      <c r="BY759" s="408"/>
      <c r="BZ759" s="408"/>
      <c r="CA759" s="408"/>
      <c r="CB759" s="408"/>
      <c r="CC759" s="408"/>
      <c r="CD759" s="408"/>
      <c r="CE759" s="408"/>
      <c r="CF759" s="408"/>
      <c r="CG759" s="408"/>
      <c r="CH759" s="408"/>
      <c r="CI759" s="408">
        <v>4.5888</v>
      </c>
      <c r="CJ759" s="408">
        <v>1.1552880000000005</v>
      </c>
      <c r="CK759" s="408"/>
      <c r="CL759" s="408"/>
      <c r="CM759" s="408"/>
      <c r="CN759" s="408"/>
      <c r="CO759" s="408">
        <v>-2.6654600000000008</v>
      </c>
      <c r="CP759" s="408">
        <v>0.29665999999999998</v>
      </c>
      <c r="CQ759" s="408">
        <v>30</v>
      </c>
      <c r="CR759" s="408">
        <v>0.32628230619611198</v>
      </c>
      <c r="CS759" s="408">
        <v>7.8819731710008806E-3</v>
      </c>
      <c r="CT759" s="408">
        <v>2.5812396400705595E-2</v>
      </c>
      <c r="CU759" s="408">
        <v>0</v>
      </c>
      <c r="CV759" s="408">
        <v>0</v>
      </c>
      <c r="CW759" s="408">
        <v>0</v>
      </c>
      <c r="CX759" s="408">
        <v>0</v>
      </c>
      <c r="CY759" s="408">
        <v>0</v>
      </c>
      <c r="CZ759" s="408">
        <v>-9.2414421192631435E-3</v>
      </c>
      <c r="DA759" s="408">
        <v>0</v>
      </c>
      <c r="DB759" s="408">
        <v>0</v>
      </c>
      <c r="DC759" s="408">
        <v>0.28918588463248396</v>
      </c>
      <c r="DD759" s="408">
        <v>8.6360849516492616E-3</v>
      </c>
      <c r="DE759" s="408">
        <v>9.9702863703392697E-4</v>
      </c>
      <c r="DF759" s="408">
        <v>0</v>
      </c>
      <c r="DG759" s="408">
        <v>3.3386263569524621E-2</v>
      </c>
      <c r="DH759" s="408">
        <v>0</v>
      </c>
      <c r="DI759" s="408">
        <v>-2.5019732595839894E-2</v>
      </c>
      <c r="DJ759" s="408"/>
      <c r="DK759" s="408">
        <v>0</v>
      </c>
      <c r="DL759" s="408">
        <v>0</v>
      </c>
      <c r="DM759" s="408">
        <v>-1.259756015072791E-3</v>
      </c>
      <c r="DN759" s="408">
        <v>0</v>
      </c>
      <c r="DO759" s="408">
        <v>-3.4270669837035972E-3</v>
      </c>
      <c r="DP759" s="408">
        <v>-6.6932745240549929E-4</v>
      </c>
      <c r="DQ759" s="408">
        <v>0</v>
      </c>
      <c r="DR759" s="408">
        <v>0</v>
      </c>
      <c r="DS759" s="408"/>
      <c r="DT759" s="408"/>
      <c r="DU759" s="408"/>
      <c r="DV759" s="408">
        <v>5.0906211323337862</v>
      </c>
      <c r="DW759" s="408">
        <v>0</v>
      </c>
      <c r="DX759" s="408">
        <v>0</v>
      </c>
      <c r="DY759" s="408">
        <v>-2.6654600000000004</v>
      </c>
      <c r="DZ759" s="408">
        <v>0.29666000000000015</v>
      </c>
      <c r="EA759" s="408">
        <v>0</v>
      </c>
      <c r="EB759" s="408">
        <v>0</v>
      </c>
      <c r="EC759" s="408">
        <v>-2.6952140078790641</v>
      </c>
      <c r="ED759" s="408">
        <v>0</v>
      </c>
      <c r="EE759" s="408">
        <v>0</v>
      </c>
      <c r="EF759" s="408">
        <v>0</v>
      </c>
      <c r="EG759" s="408">
        <v>0</v>
      </c>
      <c r="EH759" s="408">
        <v>0</v>
      </c>
      <c r="EI759" s="408">
        <v>0</v>
      </c>
      <c r="EJ759" s="408">
        <v>0</v>
      </c>
      <c r="EK759" s="408">
        <v>0</v>
      </c>
      <c r="EL759" s="408">
        <v>0</v>
      </c>
      <c r="EM759" s="408">
        <v>0</v>
      </c>
      <c r="EN759" s="408">
        <v>0</v>
      </c>
      <c r="EO759" s="408">
        <v>0</v>
      </c>
      <c r="EP759" s="408">
        <v>0</v>
      </c>
      <c r="EQ759" s="408">
        <v>0</v>
      </c>
      <c r="ER759" s="408">
        <v>0</v>
      </c>
      <c r="ES759" s="408">
        <v>0</v>
      </c>
      <c r="ET759" s="408">
        <v>0</v>
      </c>
      <c r="EU759" s="408">
        <v>0</v>
      </c>
      <c r="EV759" s="408">
        <v>239</v>
      </c>
      <c r="EW759" s="408">
        <v>0</v>
      </c>
      <c r="EX759" s="408">
        <v>0</v>
      </c>
      <c r="EY759" s="408">
        <v>0</v>
      </c>
      <c r="EZ759" s="408"/>
      <c r="FA759" s="408">
        <v>0</v>
      </c>
      <c r="FB759" s="408"/>
      <c r="FC759" s="408"/>
      <c r="FD759" s="408"/>
      <c r="FE759" s="408"/>
      <c r="FF759" s="408">
        <v>0</v>
      </c>
      <c r="FG759" s="408">
        <v>0</v>
      </c>
      <c r="FH759" s="408">
        <v>0</v>
      </c>
      <c r="FI759" s="408">
        <v>0</v>
      </c>
    </row>
    <row r="760" spans="1:165">
      <c r="A760" s="408">
        <v>766</v>
      </c>
      <c r="B760" s="408" t="s">
        <v>1034</v>
      </c>
      <c r="C760" s="408" t="s">
        <v>2241</v>
      </c>
      <c r="D760" s="408" t="s">
        <v>596</v>
      </c>
      <c r="E760" s="408" t="s">
        <v>972</v>
      </c>
      <c r="F760" s="408" t="s">
        <v>2251</v>
      </c>
      <c r="G760" s="408" t="s">
        <v>1320</v>
      </c>
      <c r="H760" s="408" t="s">
        <v>1320</v>
      </c>
      <c r="I760" s="408" t="s">
        <v>971</v>
      </c>
      <c r="J760" s="408" t="s">
        <v>2234</v>
      </c>
      <c r="K760" s="827">
        <v>44713</v>
      </c>
      <c r="L760" s="408">
        <v>0</v>
      </c>
      <c r="M760" s="408">
        <v>0</v>
      </c>
      <c r="N760" s="408">
        <v>6.3E-2</v>
      </c>
      <c r="O760" s="408">
        <v>6.0479999999999999E-2</v>
      </c>
      <c r="P760" s="408">
        <v>6.3E-2</v>
      </c>
      <c r="Q760" s="408">
        <v>6.0479999999999999E-2</v>
      </c>
      <c r="R760" s="408"/>
      <c r="S760" s="408">
        <v>1684.16</v>
      </c>
      <c r="T760" s="408">
        <v>173.82</v>
      </c>
      <c r="U760" s="408"/>
      <c r="V760" s="408">
        <v>117.05274</v>
      </c>
      <c r="W760" s="408">
        <v>117.05274</v>
      </c>
      <c r="X760" s="408">
        <v>80.353980000000007</v>
      </c>
      <c r="Y760" s="408">
        <v>0</v>
      </c>
      <c r="Z760" s="408">
        <v>3.3516016700972844</v>
      </c>
      <c r="AA760" s="408">
        <v>0</v>
      </c>
      <c r="AB760" s="408">
        <v>0</v>
      </c>
      <c r="AC760" s="408">
        <v>1.1339621911633302</v>
      </c>
      <c r="AD760" s="408">
        <v>17.298913538341953</v>
      </c>
      <c r="AE760" s="408">
        <v>72.972424696225957</v>
      </c>
      <c r="AF760" s="408">
        <v>10.138094539110657</v>
      </c>
      <c r="AG760" s="408">
        <v>0.51003951970020389</v>
      </c>
      <c r="AH760" s="408">
        <v>0</v>
      </c>
      <c r="AI760" s="408">
        <v>0</v>
      </c>
      <c r="AJ760" s="408">
        <v>0</v>
      </c>
      <c r="AK760" s="408">
        <v>0</v>
      </c>
      <c r="AL760" s="408">
        <v>0.59544428943001215</v>
      </c>
      <c r="AM760" s="408"/>
      <c r="AN760" s="408">
        <v>7.829203193776188E-2</v>
      </c>
      <c r="AO760" s="408">
        <v>2.4353370486316872</v>
      </c>
      <c r="AP760" s="408">
        <v>7.8308162735526361</v>
      </c>
      <c r="AQ760" s="408">
        <v>0</v>
      </c>
      <c r="AR760" s="408">
        <v>0</v>
      </c>
      <c r="AS760" s="408">
        <v>0</v>
      </c>
      <c r="AT760" s="408">
        <v>0</v>
      </c>
      <c r="AU760" s="408">
        <v>0</v>
      </c>
      <c r="AV760" s="408">
        <v>0</v>
      </c>
      <c r="AW760" s="408">
        <v>0</v>
      </c>
      <c r="AX760" s="408">
        <v>0</v>
      </c>
      <c r="AY760" s="408">
        <v>0</v>
      </c>
      <c r="AZ760" s="408">
        <v>0</v>
      </c>
      <c r="BA760" s="408"/>
      <c r="BB760" s="408">
        <v>0</v>
      </c>
      <c r="BC760" s="408">
        <v>0</v>
      </c>
      <c r="BD760" s="408">
        <v>0</v>
      </c>
      <c r="BE760" s="408">
        <v>1.1755398355869797E-2</v>
      </c>
      <c r="BF760" s="408">
        <v>0.30275836526005745</v>
      </c>
      <c r="BG760" s="408">
        <v>0.39363847064752644</v>
      </c>
      <c r="BH760" s="408">
        <v>0</v>
      </c>
      <c r="BI760" s="408">
        <v>0</v>
      </c>
      <c r="BJ760" s="408">
        <v>0</v>
      </c>
      <c r="BK760" s="408">
        <v>0</v>
      </c>
      <c r="BL760" s="408">
        <v>0</v>
      </c>
      <c r="BM760" s="408"/>
      <c r="BN760" s="408"/>
      <c r="BO760" s="408"/>
      <c r="BP760" s="408"/>
      <c r="BQ760" s="408"/>
      <c r="BR760" s="408">
        <v>3.2141592000000019</v>
      </c>
      <c r="BS760" s="408"/>
      <c r="BT760" s="408"/>
      <c r="BU760" s="408"/>
      <c r="BV760" s="408">
        <v>10.846246773374112</v>
      </c>
      <c r="BW760" s="408"/>
      <c r="BX760" s="408"/>
      <c r="BY760" s="408"/>
      <c r="BZ760" s="408"/>
      <c r="CA760" s="408"/>
      <c r="CB760" s="408"/>
      <c r="CC760" s="408"/>
      <c r="CD760" s="408"/>
      <c r="CE760" s="408"/>
      <c r="CF760" s="408"/>
      <c r="CG760" s="408"/>
      <c r="CH760" s="408"/>
      <c r="CI760" s="408">
        <v>76.527599999999993</v>
      </c>
      <c r="CJ760" s="408">
        <v>-35.873030400000033</v>
      </c>
      <c r="CK760" s="408"/>
      <c r="CL760" s="408"/>
      <c r="CM760" s="408"/>
      <c r="CN760" s="408"/>
      <c r="CO760" s="408">
        <v>-38.033730000000006</v>
      </c>
      <c r="CP760" s="408">
        <v>1.3349699999999998</v>
      </c>
      <c r="CQ760" s="408">
        <v>30</v>
      </c>
      <c r="CR760" s="408">
        <v>1.9358658682938312</v>
      </c>
      <c r="CS760" s="408">
        <v>0.23645584164966094</v>
      </c>
      <c r="CT760" s="408">
        <v>0.76032278727375679</v>
      </c>
      <c r="CU760" s="408">
        <v>0</v>
      </c>
      <c r="CV760" s="408">
        <v>0</v>
      </c>
      <c r="CW760" s="408">
        <v>0</v>
      </c>
      <c r="CX760" s="408">
        <v>0</v>
      </c>
      <c r="CY760" s="408">
        <v>0</v>
      </c>
      <c r="CZ760" s="408">
        <v>-0.3316929655841534</v>
      </c>
      <c r="DA760" s="408">
        <v>0</v>
      </c>
      <c r="DB760" s="408">
        <v>0</v>
      </c>
      <c r="DC760" s="408">
        <v>1.301336480846178</v>
      </c>
      <c r="DD760" s="408">
        <v>3.8862382282421726E-2</v>
      </c>
      <c r="DE760" s="408">
        <v>1.5089353002535784E-3</v>
      </c>
      <c r="DF760" s="408">
        <v>0</v>
      </c>
      <c r="DG760" s="408">
        <v>5.0527848220582927E-2</v>
      </c>
      <c r="DH760" s="408">
        <v>0</v>
      </c>
      <c r="DI760" s="408">
        <v>-9.7952253112715493E-2</v>
      </c>
      <c r="DJ760" s="408"/>
      <c r="DK760" s="408">
        <v>0</v>
      </c>
      <c r="DL760" s="408">
        <v>0</v>
      </c>
      <c r="DM760" s="408">
        <v>-5.6689020678275526E-3</v>
      </c>
      <c r="DN760" s="408">
        <v>0</v>
      </c>
      <c r="DO760" s="408">
        <v>-1.542180142666616E-2</v>
      </c>
      <c r="DP760" s="408">
        <v>-2.4124850876466875E-3</v>
      </c>
      <c r="DQ760" s="408">
        <v>0</v>
      </c>
      <c r="DR760" s="408">
        <v>0</v>
      </c>
      <c r="DS760" s="408"/>
      <c r="DT760" s="408"/>
      <c r="DU760" s="408"/>
      <c r="DV760" s="408">
        <v>72.972424696225957</v>
      </c>
      <c r="DW760" s="408">
        <v>0</v>
      </c>
      <c r="DX760" s="408">
        <v>0</v>
      </c>
      <c r="DY760" s="408">
        <v>-38.033729999999991</v>
      </c>
      <c r="DZ760" s="408">
        <v>1.3349700000000002</v>
      </c>
      <c r="EA760" s="408">
        <v>0</v>
      </c>
      <c r="EB760" s="408">
        <v>0</v>
      </c>
      <c r="EC760" s="408">
        <v>-38.635030208976147</v>
      </c>
      <c r="ED760" s="408">
        <v>0</v>
      </c>
      <c r="EE760" s="408">
        <v>0</v>
      </c>
      <c r="EF760" s="408">
        <v>0</v>
      </c>
      <c r="EG760" s="408">
        <v>0</v>
      </c>
      <c r="EH760" s="408">
        <v>0</v>
      </c>
      <c r="EI760" s="408">
        <v>0</v>
      </c>
      <c r="EJ760" s="408">
        <v>0</v>
      </c>
      <c r="EK760" s="408">
        <v>0</v>
      </c>
      <c r="EL760" s="408">
        <v>0</v>
      </c>
      <c r="EM760" s="408">
        <v>0</v>
      </c>
      <c r="EN760" s="408">
        <v>0</v>
      </c>
      <c r="EO760" s="408">
        <v>0</v>
      </c>
      <c r="EP760" s="408">
        <v>0</v>
      </c>
      <c r="EQ760" s="408">
        <v>0</v>
      </c>
      <c r="ER760" s="408">
        <v>0</v>
      </c>
      <c r="ES760" s="408">
        <v>0</v>
      </c>
      <c r="ET760" s="408">
        <v>0</v>
      </c>
      <c r="EU760" s="408">
        <v>0</v>
      </c>
      <c r="EV760" s="408">
        <v>239</v>
      </c>
      <c r="EW760" s="408">
        <v>0</v>
      </c>
      <c r="EX760" s="408">
        <v>0</v>
      </c>
      <c r="EY760" s="408">
        <v>0</v>
      </c>
      <c r="EZ760" s="408"/>
      <c r="FA760" s="408">
        <v>0</v>
      </c>
      <c r="FB760" s="408"/>
      <c r="FC760" s="408"/>
      <c r="FD760" s="408"/>
      <c r="FE760" s="408"/>
      <c r="FF760" s="408">
        <v>0</v>
      </c>
      <c r="FG760" s="408">
        <v>0</v>
      </c>
      <c r="FH760" s="408">
        <v>0</v>
      </c>
      <c r="FI760" s="408">
        <v>0</v>
      </c>
    </row>
    <row r="761" spans="1:165">
      <c r="A761" s="408">
        <v>767</v>
      </c>
      <c r="B761" s="408" t="s">
        <v>1034</v>
      </c>
      <c r="C761" s="408" t="s">
        <v>2241</v>
      </c>
      <c r="D761" s="408" t="s">
        <v>596</v>
      </c>
      <c r="E761" s="408" t="s">
        <v>972</v>
      </c>
      <c r="F761" s="408" t="s">
        <v>2251</v>
      </c>
      <c r="G761" s="408" t="s">
        <v>1320</v>
      </c>
      <c r="H761" s="408" t="s">
        <v>1320</v>
      </c>
      <c r="I761" s="408" t="s">
        <v>2242</v>
      </c>
      <c r="J761" s="408" t="s">
        <v>2234</v>
      </c>
      <c r="K761" s="827">
        <v>44713</v>
      </c>
      <c r="L761" s="408">
        <v>0</v>
      </c>
      <c r="M761" s="408">
        <v>0</v>
      </c>
      <c r="N761" s="408">
        <v>0.35799999999999998</v>
      </c>
      <c r="O761" s="408">
        <v>0.34367999999999999</v>
      </c>
      <c r="P761" s="408">
        <v>0.35799999999999998</v>
      </c>
      <c r="Q761" s="408">
        <v>0.34367999999999999</v>
      </c>
      <c r="R761" s="408"/>
      <c r="S761" s="408">
        <v>70.33</v>
      </c>
      <c r="T761" s="408">
        <v>173.82</v>
      </c>
      <c r="U761" s="408"/>
      <c r="V761" s="408">
        <v>87.405699999999996</v>
      </c>
      <c r="W761" s="408">
        <v>87.405699999999996</v>
      </c>
      <c r="X761" s="408">
        <v>94.630139999999983</v>
      </c>
      <c r="Y761" s="408">
        <v>0</v>
      </c>
      <c r="Z761" s="408">
        <v>19.045609490394089</v>
      </c>
      <c r="AA761" s="408">
        <v>0</v>
      </c>
      <c r="AB761" s="408">
        <v>0</v>
      </c>
      <c r="AC761" s="408">
        <v>0</v>
      </c>
      <c r="AD761" s="408">
        <v>0</v>
      </c>
      <c r="AE761" s="408">
        <v>0</v>
      </c>
      <c r="AF761" s="408">
        <v>57.610124523835154</v>
      </c>
      <c r="AG761" s="408">
        <v>2.8983198103598888</v>
      </c>
      <c r="AH761" s="408">
        <v>0</v>
      </c>
      <c r="AI761" s="408">
        <v>0</v>
      </c>
      <c r="AJ761" s="408">
        <v>0</v>
      </c>
      <c r="AK761" s="408">
        <v>0</v>
      </c>
      <c r="AL761" s="408">
        <v>3.3836358034276874</v>
      </c>
      <c r="AM761" s="408"/>
      <c r="AN761" s="408">
        <v>0.44489757831299609</v>
      </c>
      <c r="AO761" s="408">
        <v>0</v>
      </c>
      <c r="AP761" s="408">
        <v>0</v>
      </c>
      <c r="AQ761" s="408">
        <v>0</v>
      </c>
      <c r="AR761" s="408">
        <v>0</v>
      </c>
      <c r="AS761" s="408">
        <v>0</v>
      </c>
      <c r="AT761" s="408">
        <v>0</v>
      </c>
      <c r="AU761" s="408">
        <v>0</v>
      </c>
      <c r="AV761" s="408">
        <v>0</v>
      </c>
      <c r="AW761" s="408">
        <v>0</v>
      </c>
      <c r="AX761" s="408">
        <v>0</v>
      </c>
      <c r="AY761" s="408">
        <v>0</v>
      </c>
      <c r="AZ761" s="408">
        <v>0</v>
      </c>
      <c r="BA761" s="408"/>
      <c r="BB761" s="408">
        <v>0</v>
      </c>
      <c r="BC761" s="408">
        <v>0</v>
      </c>
      <c r="BD761" s="408">
        <v>0</v>
      </c>
      <c r="BE761" s="408">
        <v>6.6800517641291857E-2</v>
      </c>
      <c r="BF761" s="408">
        <v>1.7204364248111201</v>
      </c>
      <c r="BG761" s="408">
        <v>2.2368662300288009</v>
      </c>
      <c r="BH761" s="408">
        <v>0</v>
      </c>
      <c r="BI761" s="408">
        <v>0</v>
      </c>
      <c r="BJ761" s="408">
        <v>0</v>
      </c>
      <c r="BK761" s="408">
        <v>0</v>
      </c>
      <c r="BL761" s="408">
        <v>0</v>
      </c>
      <c r="BM761" s="408"/>
      <c r="BN761" s="408"/>
      <c r="BO761" s="408"/>
      <c r="BP761" s="408"/>
      <c r="BQ761" s="408"/>
      <c r="BR761" s="408">
        <v>3.7852055999999998</v>
      </c>
      <c r="BS761" s="408"/>
      <c r="BT761" s="408"/>
      <c r="BU761" s="408"/>
      <c r="BV761" s="408">
        <v>61.634227696316366</v>
      </c>
      <c r="BW761" s="408"/>
      <c r="BX761" s="408"/>
      <c r="BY761" s="408"/>
      <c r="BZ761" s="408"/>
      <c r="CA761" s="408"/>
      <c r="CB761" s="408"/>
      <c r="CC761" s="408"/>
      <c r="CD761" s="408"/>
      <c r="CE761" s="408"/>
      <c r="CF761" s="408"/>
      <c r="CG761" s="408"/>
      <c r="CH761" s="408"/>
      <c r="CI761" s="408">
        <v>89.872199999999992</v>
      </c>
      <c r="CJ761" s="408">
        <v>5.9327279999999831</v>
      </c>
      <c r="CK761" s="408"/>
      <c r="CL761" s="408"/>
      <c r="CM761" s="408"/>
      <c r="CN761" s="408"/>
      <c r="CO761" s="408">
        <v>-0.36158000000000179</v>
      </c>
      <c r="CP761" s="408">
        <v>7.5860199999999987</v>
      </c>
      <c r="CQ761" s="408">
        <v>30</v>
      </c>
      <c r="CR761" s="408">
        <v>7.2212589424403006</v>
      </c>
      <c r="CS761" s="408">
        <v>0</v>
      </c>
      <c r="CT761" s="408">
        <v>0</v>
      </c>
      <c r="CU761" s="408">
        <v>0</v>
      </c>
      <c r="CV761" s="408">
        <v>0</v>
      </c>
      <c r="CW761" s="408">
        <v>0</v>
      </c>
      <c r="CX761" s="408">
        <v>0</v>
      </c>
      <c r="CY761" s="408">
        <v>0</v>
      </c>
      <c r="CZ761" s="408">
        <v>0</v>
      </c>
      <c r="DA761" s="408">
        <v>0</v>
      </c>
      <c r="DB761" s="408">
        <v>0</v>
      </c>
      <c r="DC761" s="408">
        <v>7.3948961927449517</v>
      </c>
      <c r="DD761" s="408">
        <v>0.22083702947788852</v>
      </c>
      <c r="DE761" s="408">
        <v>8.5745847220758953E-3</v>
      </c>
      <c r="DF761" s="408">
        <v>0</v>
      </c>
      <c r="DG761" s="408">
        <v>0.28712650258680483</v>
      </c>
      <c r="DH761" s="408">
        <v>0</v>
      </c>
      <c r="DI761" s="408">
        <v>-0.55661756530717454</v>
      </c>
      <c r="DJ761" s="408"/>
      <c r="DK761" s="408">
        <v>0</v>
      </c>
      <c r="DL761" s="408">
        <v>0</v>
      </c>
      <c r="DM761" s="408">
        <v>-3.221376095686157E-2</v>
      </c>
      <c r="DN761" s="408">
        <v>0</v>
      </c>
      <c r="DO761" s="408">
        <v>-8.7634998583276946E-2</v>
      </c>
      <c r="DP761" s="408">
        <v>-1.3709042244087588E-2</v>
      </c>
      <c r="DQ761" s="408">
        <v>0</v>
      </c>
      <c r="DR761" s="408">
        <v>0</v>
      </c>
      <c r="DS761" s="408"/>
      <c r="DT761" s="408"/>
      <c r="DU761" s="408"/>
      <c r="DV761" s="408">
        <v>0</v>
      </c>
      <c r="DW761" s="408">
        <v>0</v>
      </c>
      <c r="DX761" s="408">
        <v>0</v>
      </c>
      <c r="DY761" s="408">
        <v>-0.36158000000000357</v>
      </c>
      <c r="DZ761" s="408">
        <v>7.5860199999999907</v>
      </c>
      <c r="EA761" s="408">
        <v>0</v>
      </c>
      <c r="EB761" s="408">
        <v>0</v>
      </c>
      <c r="EC761" s="408">
        <v>0</v>
      </c>
      <c r="ED761" s="408">
        <v>0</v>
      </c>
      <c r="EE761" s="408">
        <v>0</v>
      </c>
      <c r="EF761" s="408">
        <v>0</v>
      </c>
      <c r="EG761" s="408">
        <v>0</v>
      </c>
      <c r="EH761" s="408">
        <v>0</v>
      </c>
      <c r="EI761" s="408">
        <v>0</v>
      </c>
      <c r="EJ761" s="408">
        <v>0</v>
      </c>
      <c r="EK761" s="408">
        <v>0</v>
      </c>
      <c r="EL761" s="408">
        <v>0</v>
      </c>
      <c r="EM761" s="408">
        <v>0</v>
      </c>
      <c r="EN761" s="408">
        <v>0</v>
      </c>
      <c r="EO761" s="408">
        <v>0</v>
      </c>
      <c r="EP761" s="408">
        <v>0</v>
      </c>
      <c r="EQ761" s="408">
        <v>0</v>
      </c>
      <c r="ER761" s="408">
        <v>0</v>
      </c>
      <c r="ES761" s="408">
        <v>0</v>
      </c>
      <c r="ET761" s="408">
        <v>0</v>
      </c>
      <c r="EU761" s="408">
        <v>0</v>
      </c>
      <c r="EV761" s="408">
        <v>239</v>
      </c>
      <c r="EW761" s="408">
        <v>0</v>
      </c>
      <c r="EX761" s="408">
        <v>0</v>
      </c>
      <c r="EY761" s="408">
        <v>0</v>
      </c>
      <c r="EZ761" s="408"/>
      <c r="FA761" s="408">
        <v>0</v>
      </c>
      <c r="FB761" s="408"/>
      <c r="FC761" s="408"/>
      <c r="FD761" s="408"/>
      <c r="FE761" s="408"/>
      <c r="FF761" s="408">
        <v>0</v>
      </c>
      <c r="FG761" s="408">
        <v>0</v>
      </c>
      <c r="FH761" s="408">
        <v>0</v>
      </c>
      <c r="FI761" s="408">
        <v>0</v>
      </c>
    </row>
    <row r="762" spans="1:165">
      <c r="A762" s="408">
        <v>768</v>
      </c>
      <c r="B762" s="408" t="s">
        <v>1034</v>
      </c>
      <c r="C762" s="408" t="s">
        <v>2241</v>
      </c>
      <c r="D762" s="408" t="s">
        <v>596</v>
      </c>
      <c r="E762" s="408" t="s">
        <v>972</v>
      </c>
      <c r="F762" s="408" t="s">
        <v>2251</v>
      </c>
      <c r="G762" s="408" t="s">
        <v>1320</v>
      </c>
      <c r="H762" s="408" t="s">
        <v>1320</v>
      </c>
      <c r="I762" s="408" t="s">
        <v>1320</v>
      </c>
      <c r="J762" s="408" t="s">
        <v>2234</v>
      </c>
      <c r="K762" s="827">
        <v>44713</v>
      </c>
      <c r="L762" s="408">
        <v>158</v>
      </c>
      <c r="M762" s="408">
        <v>151.68</v>
      </c>
      <c r="N762" s="408">
        <v>0</v>
      </c>
      <c r="O762" s="408">
        <v>0</v>
      </c>
      <c r="P762" s="408">
        <v>0</v>
      </c>
      <c r="Q762" s="408">
        <v>0</v>
      </c>
      <c r="R762" s="408">
        <v>59.12</v>
      </c>
      <c r="S762" s="408"/>
      <c r="T762" s="408"/>
      <c r="U762" s="408">
        <v>9340.9599999999991</v>
      </c>
      <c r="V762" s="408"/>
      <c r="W762" s="408">
        <v>9340.9599999999991</v>
      </c>
      <c r="X762" s="408">
        <v>5376.74</v>
      </c>
      <c r="Y762" s="408">
        <v>0</v>
      </c>
      <c r="Z762" s="408">
        <v>0</v>
      </c>
      <c r="AA762" s="408">
        <v>0</v>
      </c>
      <c r="AB762" s="408">
        <v>0</v>
      </c>
      <c r="AC762" s="408">
        <v>90.385537406721767</v>
      </c>
      <c r="AD762" s="408">
        <v>808.48957881303795</v>
      </c>
      <c r="AE762" s="408">
        <v>7609.5640448872109</v>
      </c>
      <c r="AF762" s="408"/>
      <c r="AG762" s="408"/>
      <c r="AH762" s="408"/>
      <c r="AI762" s="408">
        <v>0</v>
      </c>
      <c r="AJ762" s="408">
        <v>0</v>
      </c>
      <c r="AK762" s="408">
        <v>0</v>
      </c>
      <c r="AL762" s="408">
        <v>0</v>
      </c>
      <c r="AM762" s="408"/>
      <c r="AN762" s="408">
        <v>0</v>
      </c>
      <c r="AO762" s="408">
        <v>190.87539427902948</v>
      </c>
      <c r="AP762" s="408">
        <v>641.63608251515052</v>
      </c>
      <c r="AQ762" s="408">
        <v>0</v>
      </c>
      <c r="AR762" s="408">
        <v>0</v>
      </c>
      <c r="AS762" s="408"/>
      <c r="AT762" s="408"/>
      <c r="AU762" s="408">
        <v>0</v>
      </c>
      <c r="AV762" s="408">
        <v>0</v>
      </c>
      <c r="AW762" s="408">
        <v>0</v>
      </c>
      <c r="AX762" s="408"/>
      <c r="AY762" s="408"/>
      <c r="AZ762" s="408">
        <v>0</v>
      </c>
      <c r="BA762" s="408"/>
      <c r="BB762" s="408">
        <v>0</v>
      </c>
      <c r="BC762" s="408">
        <v>0</v>
      </c>
      <c r="BD762" s="408">
        <v>0</v>
      </c>
      <c r="BE762" s="408">
        <v>0</v>
      </c>
      <c r="BF762" s="408"/>
      <c r="BG762" s="408">
        <v>0</v>
      </c>
      <c r="BH762" s="408">
        <v>0</v>
      </c>
      <c r="BI762" s="408">
        <v>31.02</v>
      </c>
      <c r="BJ762" s="408">
        <v>142.01</v>
      </c>
      <c r="BK762" s="408">
        <v>12.1</v>
      </c>
      <c r="BL762" s="408">
        <v>9</v>
      </c>
      <c r="BM762" s="408"/>
      <c r="BN762" s="408"/>
      <c r="BO762" s="408"/>
      <c r="BP762" s="408"/>
      <c r="BQ762" s="408"/>
      <c r="BR762" s="408">
        <v>215.06959999999978</v>
      </c>
      <c r="BS762" s="408"/>
      <c r="BT762" s="408"/>
      <c r="BU762" s="408"/>
      <c r="BV762" s="408">
        <v>0</v>
      </c>
      <c r="BW762" s="408"/>
      <c r="BX762" s="408"/>
      <c r="BY762" s="408"/>
      <c r="BZ762" s="408"/>
      <c r="CA762" s="408"/>
      <c r="CB762" s="408"/>
      <c r="CC762" s="408"/>
      <c r="CD762" s="408"/>
      <c r="CE762" s="408"/>
      <c r="CF762" s="408"/>
      <c r="CG762" s="408"/>
      <c r="CH762" s="408"/>
      <c r="CI762" s="408">
        <v>5161.6704</v>
      </c>
      <c r="CJ762" s="408">
        <v>-3805.6812</v>
      </c>
      <c r="CK762" s="408"/>
      <c r="CL762" s="408"/>
      <c r="CM762" s="408"/>
      <c r="CN762" s="408"/>
      <c r="CO762" s="408">
        <v>-3964.2199999999993</v>
      </c>
      <c r="CP762" s="408">
        <v>0</v>
      </c>
      <c r="CQ762" s="408">
        <v>30</v>
      </c>
      <c r="CR762" s="408">
        <v>65.329457510236125</v>
      </c>
      <c r="CS762" s="408">
        <v>18.532794887597873</v>
      </c>
      <c r="CT762" s="408">
        <v>62.298809936454745</v>
      </c>
      <c r="CU762" s="408">
        <v>0</v>
      </c>
      <c r="CV762" s="408">
        <v>0</v>
      </c>
      <c r="CW762" s="408"/>
      <c r="CX762" s="408"/>
      <c r="CY762" s="408"/>
      <c r="CZ762" s="408">
        <v>-15.502147313816522</v>
      </c>
      <c r="DA762" s="408">
        <v>0</v>
      </c>
      <c r="DB762" s="408">
        <v>0</v>
      </c>
      <c r="DC762" s="408"/>
      <c r="DD762" s="408"/>
      <c r="DE762" s="408">
        <v>0</v>
      </c>
      <c r="DF762" s="408">
        <v>0</v>
      </c>
      <c r="DG762" s="408">
        <v>0</v>
      </c>
      <c r="DH762" s="408">
        <v>0</v>
      </c>
      <c r="DI762" s="408">
        <v>0</v>
      </c>
      <c r="DJ762" s="408"/>
      <c r="DK762" s="408">
        <v>0</v>
      </c>
      <c r="DL762" s="408">
        <v>0</v>
      </c>
      <c r="DM762" s="408"/>
      <c r="DN762" s="408">
        <v>0</v>
      </c>
      <c r="DO762" s="408">
        <v>0</v>
      </c>
      <c r="DP762" s="408">
        <v>0</v>
      </c>
      <c r="DQ762" s="408">
        <v>0</v>
      </c>
      <c r="DR762" s="408">
        <v>0</v>
      </c>
      <c r="DS762" s="408"/>
      <c r="DT762" s="408"/>
      <c r="DU762" s="408">
        <v>7609.5640448872109</v>
      </c>
      <c r="DV762" s="408"/>
      <c r="DW762" s="408">
        <v>0</v>
      </c>
      <c r="DX762" s="408">
        <v>0</v>
      </c>
      <c r="DY762" s="408">
        <v>-3964.2199999999993</v>
      </c>
      <c r="DZ762" s="408"/>
      <c r="EA762" s="408">
        <v>0</v>
      </c>
      <c r="EB762" s="408"/>
      <c r="EC762" s="408">
        <v>-4028.8607371239204</v>
      </c>
      <c r="ED762" s="408"/>
      <c r="EE762" s="408">
        <v>0</v>
      </c>
      <c r="EF762" s="408">
        <v>0</v>
      </c>
      <c r="EG762" s="408"/>
      <c r="EH762" s="408">
        <v>0</v>
      </c>
      <c r="EI762" s="408">
        <v>0</v>
      </c>
      <c r="EJ762" s="408">
        <v>0</v>
      </c>
      <c r="EK762" s="408">
        <v>0</v>
      </c>
      <c r="EL762" s="408">
        <v>0</v>
      </c>
      <c r="EM762" s="408"/>
      <c r="EN762" s="408"/>
      <c r="EO762" s="408">
        <v>0</v>
      </c>
      <c r="EP762" s="408">
        <v>0</v>
      </c>
      <c r="EQ762" s="408"/>
      <c r="ER762" s="408">
        <v>0</v>
      </c>
      <c r="ES762" s="408"/>
      <c r="ET762" s="408">
        <v>0</v>
      </c>
      <c r="EU762" s="408"/>
      <c r="EV762" s="408">
        <v>239</v>
      </c>
      <c r="EW762" s="408"/>
      <c r="EX762" s="408"/>
      <c r="EY762" s="408"/>
      <c r="EZ762" s="408"/>
      <c r="FA762" s="408">
        <v>0</v>
      </c>
      <c r="FB762" s="408"/>
      <c r="FC762" s="408"/>
      <c r="FD762" s="408"/>
      <c r="FE762" s="408"/>
      <c r="FF762" s="408">
        <v>0</v>
      </c>
      <c r="FG762" s="408">
        <v>0</v>
      </c>
      <c r="FH762" s="408">
        <v>0</v>
      </c>
      <c r="FI762" s="408">
        <v>0</v>
      </c>
    </row>
    <row r="763" spans="1:165">
      <c r="A763" s="408">
        <v>769</v>
      </c>
      <c r="B763" s="408" t="s">
        <v>1034</v>
      </c>
      <c r="C763" s="408" t="s">
        <v>2241</v>
      </c>
      <c r="D763" s="408" t="s">
        <v>596</v>
      </c>
      <c r="E763" s="408" t="s">
        <v>972</v>
      </c>
      <c r="F763" s="408" t="s">
        <v>2251</v>
      </c>
      <c r="G763" s="408" t="s">
        <v>2253</v>
      </c>
      <c r="H763" s="408" t="s">
        <v>1320</v>
      </c>
      <c r="I763" s="408" t="s">
        <v>2242</v>
      </c>
      <c r="J763" s="408" t="s">
        <v>2234</v>
      </c>
      <c r="K763" s="827">
        <v>44713</v>
      </c>
      <c r="L763" s="408">
        <v>0</v>
      </c>
      <c r="M763" s="408">
        <v>0</v>
      </c>
      <c r="N763" s="408">
        <v>0.24199999999999999</v>
      </c>
      <c r="O763" s="408">
        <v>7.2599999999999998E-2</v>
      </c>
      <c r="P763" s="408">
        <v>0.24199999999999999</v>
      </c>
      <c r="Q763" s="408">
        <v>7.2599999999999998E-2</v>
      </c>
      <c r="R763" s="408"/>
      <c r="S763" s="408">
        <v>70.33</v>
      </c>
      <c r="T763" s="408">
        <v>173.82</v>
      </c>
      <c r="U763" s="408"/>
      <c r="V763" s="408">
        <v>59.084299999999999</v>
      </c>
      <c r="W763" s="408">
        <v>59.084299999999999</v>
      </c>
      <c r="X763" s="408">
        <v>63.967859999999995</v>
      </c>
      <c r="Y763" s="408">
        <v>0</v>
      </c>
      <c r="Z763" s="408">
        <v>12.874406415294329</v>
      </c>
      <c r="AA763" s="408">
        <v>0</v>
      </c>
      <c r="AB763" s="408">
        <v>0</v>
      </c>
      <c r="AC763" s="408">
        <v>0</v>
      </c>
      <c r="AD763" s="408">
        <v>0</v>
      </c>
      <c r="AE763" s="408">
        <v>0</v>
      </c>
      <c r="AF763" s="408">
        <v>38.943156801028238</v>
      </c>
      <c r="AG763" s="408">
        <v>1.9591994248801483</v>
      </c>
      <c r="AH763" s="408">
        <v>0</v>
      </c>
      <c r="AI763" s="408">
        <v>0</v>
      </c>
      <c r="AJ763" s="408">
        <v>0</v>
      </c>
      <c r="AK763" s="408">
        <v>0</v>
      </c>
      <c r="AL763" s="408">
        <v>2.287262191143856</v>
      </c>
      <c r="AM763" s="408"/>
      <c r="AN763" s="408">
        <v>0.30074082109425992</v>
      </c>
      <c r="AO763" s="408">
        <v>0</v>
      </c>
      <c r="AP763" s="408">
        <v>0</v>
      </c>
      <c r="AQ763" s="408">
        <v>0</v>
      </c>
      <c r="AR763" s="408">
        <v>0</v>
      </c>
      <c r="AS763" s="408">
        <v>0</v>
      </c>
      <c r="AT763" s="408">
        <v>0</v>
      </c>
      <c r="AU763" s="408">
        <v>0</v>
      </c>
      <c r="AV763" s="408">
        <v>0</v>
      </c>
      <c r="AW763" s="408">
        <v>0</v>
      </c>
      <c r="AX763" s="408">
        <v>0</v>
      </c>
      <c r="AY763" s="408">
        <v>0</v>
      </c>
      <c r="AZ763" s="408">
        <v>0</v>
      </c>
      <c r="BA763" s="408"/>
      <c r="BB763" s="408">
        <v>0</v>
      </c>
      <c r="BC763" s="408">
        <v>0</v>
      </c>
      <c r="BD763" s="408">
        <v>0</v>
      </c>
      <c r="BE763" s="408">
        <v>4.5155657176515727E-2</v>
      </c>
      <c r="BF763" s="408">
        <v>1.1629765776656176</v>
      </c>
      <c r="BG763" s="408">
        <v>1.5120715856619269</v>
      </c>
      <c r="BH763" s="408">
        <v>0</v>
      </c>
      <c r="BI763" s="408">
        <v>0</v>
      </c>
      <c r="BJ763" s="408">
        <v>0</v>
      </c>
      <c r="BK763" s="408">
        <v>0</v>
      </c>
      <c r="BL763" s="408">
        <v>0</v>
      </c>
      <c r="BM763" s="408"/>
      <c r="BN763" s="408"/>
      <c r="BO763" s="408"/>
      <c r="BP763" s="408"/>
      <c r="BQ763" s="408"/>
      <c r="BR763" s="408"/>
      <c r="BS763" s="408">
        <v>44.777501999999991</v>
      </c>
      <c r="BT763" s="408"/>
      <c r="BU763" s="408"/>
      <c r="BV763" s="408">
        <v>41.663360621532298</v>
      </c>
      <c r="BW763" s="408"/>
      <c r="BX763" s="408"/>
      <c r="BY763" s="408"/>
      <c r="BZ763" s="408"/>
      <c r="CA763" s="408"/>
      <c r="CB763" s="408"/>
      <c r="CC763" s="408"/>
      <c r="CD763" s="408"/>
      <c r="CE763" s="408"/>
      <c r="CF763" s="408"/>
      <c r="CG763" s="408"/>
      <c r="CH763" s="408"/>
      <c r="CI763" s="408">
        <v>18.5031</v>
      </c>
      <c r="CJ763" s="408">
        <v>0.7478100000000012</v>
      </c>
      <c r="CK763" s="408"/>
      <c r="CL763" s="408"/>
      <c r="CM763" s="408"/>
      <c r="CN763" s="408"/>
      <c r="CO763" s="408">
        <v>-0.24442000000000122</v>
      </c>
      <c r="CP763" s="408">
        <v>5.1279799999999991</v>
      </c>
      <c r="CQ763" s="408">
        <v>30</v>
      </c>
      <c r="CR763" s="408">
        <v>4.8814096761747336</v>
      </c>
      <c r="CS763" s="408">
        <v>0</v>
      </c>
      <c r="CT763" s="408">
        <v>0</v>
      </c>
      <c r="CU763" s="408">
        <v>0</v>
      </c>
      <c r="CV763" s="408">
        <v>0</v>
      </c>
      <c r="CW763" s="408">
        <v>0</v>
      </c>
      <c r="CX763" s="408">
        <v>0</v>
      </c>
      <c r="CY763" s="408">
        <v>0</v>
      </c>
      <c r="CZ763" s="408">
        <v>0</v>
      </c>
      <c r="DA763" s="408">
        <v>0</v>
      </c>
      <c r="DB763" s="408">
        <v>0</v>
      </c>
      <c r="DC763" s="408">
        <v>4.9987845772186503</v>
      </c>
      <c r="DD763" s="408">
        <v>0.14928089702136593</v>
      </c>
      <c r="DE763" s="408">
        <v>5.7962276612915226E-3</v>
      </c>
      <c r="DF763" s="408">
        <v>0</v>
      </c>
      <c r="DG763" s="408">
        <v>0.19409109951398529</v>
      </c>
      <c r="DH763" s="408">
        <v>0</v>
      </c>
      <c r="DI763" s="408">
        <v>-0.37626103576630321</v>
      </c>
      <c r="DJ763" s="408"/>
      <c r="DK763" s="408">
        <v>0</v>
      </c>
      <c r="DL763" s="408">
        <v>0</v>
      </c>
      <c r="DM763" s="408">
        <v>-2.1775782546258338E-2</v>
      </c>
      <c r="DN763" s="408">
        <v>0</v>
      </c>
      <c r="DO763" s="408">
        <v>-5.9239300718304744E-2</v>
      </c>
      <c r="DP763" s="408">
        <v>-9.2670062096905093E-3</v>
      </c>
      <c r="DQ763" s="408">
        <v>0</v>
      </c>
      <c r="DR763" s="408">
        <v>0</v>
      </c>
      <c r="DS763" s="408"/>
      <c r="DT763" s="408"/>
      <c r="DU763" s="408"/>
      <c r="DV763" s="408">
        <v>0</v>
      </c>
      <c r="DW763" s="408">
        <v>0</v>
      </c>
      <c r="DX763" s="408">
        <v>0</v>
      </c>
      <c r="DY763" s="408">
        <v>-0.24442000000000164</v>
      </c>
      <c r="DZ763" s="408">
        <v>5.1279800000000009</v>
      </c>
      <c r="EA763" s="408">
        <v>0</v>
      </c>
      <c r="EB763" s="408">
        <v>0</v>
      </c>
      <c r="EC763" s="408">
        <v>0</v>
      </c>
      <c r="ED763" s="408">
        <v>0</v>
      </c>
      <c r="EE763" s="408">
        <v>0</v>
      </c>
      <c r="EF763" s="408">
        <v>0</v>
      </c>
      <c r="EG763" s="408">
        <v>0</v>
      </c>
      <c r="EH763" s="408">
        <v>0</v>
      </c>
      <c r="EI763" s="408">
        <v>0</v>
      </c>
      <c r="EJ763" s="408">
        <v>0</v>
      </c>
      <c r="EK763" s="408">
        <v>0</v>
      </c>
      <c r="EL763" s="408">
        <v>0</v>
      </c>
      <c r="EM763" s="408">
        <v>0</v>
      </c>
      <c r="EN763" s="408">
        <v>0</v>
      </c>
      <c r="EO763" s="408">
        <v>0</v>
      </c>
      <c r="EP763" s="408">
        <v>0</v>
      </c>
      <c r="EQ763" s="408">
        <v>0</v>
      </c>
      <c r="ER763" s="408">
        <v>0</v>
      </c>
      <c r="ES763" s="408">
        <v>0</v>
      </c>
      <c r="ET763" s="408">
        <v>0</v>
      </c>
      <c r="EU763" s="408">
        <v>0</v>
      </c>
      <c r="EV763" s="408">
        <v>239</v>
      </c>
      <c r="EW763" s="408">
        <v>0</v>
      </c>
      <c r="EX763" s="408">
        <v>0</v>
      </c>
      <c r="EY763" s="408">
        <v>0</v>
      </c>
      <c r="EZ763" s="408"/>
      <c r="FA763" s="408">
        <v>0</v>
      </c>
      <c r="FB763" s="408"/>
      <c r="FC763" s="408"/>
      <c r="FD763" s="408"/>
      <c r="FE763" s="408"/>
      <c r="FF763" s="408">
        <v>0</v>
      </c>
      <c r="FG763" s="408">
        <v>0</v>
      </c>
      <c r="FH763" s="408">
        <v>0</v>
      </c>
      <c r="FI763" s="408">
        <v>0</v>
      </c>
    </row>
    <row r="764" spans="1:165">
      <c r="A764" s="408">
        <v>770</v>
      </c>
      <c r="B764" s="408" t="s">
        <v>1034</v>
      </c>
      <c r="C764" s="408" t="s">
        <v>2233</v>
      </c>
      <c r="D764" s="408" t="s">
        <v>2243</v>
      </c>
      <c r="E764" s="408" t="s">
        <v>972</v>
      </c>
      <c r="F764" s="408" t="s">
        <v>2254</v>
      </c>
      <c r="G764" s="408" t="s">
        <v>2252</v>
      </c>
      <c r="H764" s="408" t="s">
        <v>1320</v>
      </c>
      <c r="I764" s="408" t="s">
        <v>1320</v>
      </c>
      <c r="J764" s="408" t="s">
        <v>2234</v>
      </c>
      <c r="K764" s="827">
        <v>44713</v>
      </c>
      <c r="L764" s="408">
        <v>0</v>
      </c>
      <c r="M764" s="408">
        <v>0</v>
      </c>
      <c r="N764" s="408">
        <v>0</v>
      </c>
      <c r="O764" s="408">
        <v>0</v>
      </c>
      <c r="P764" s="408">
        <v>0</v>
      </c>
      <c r="Q764" s="408">
        <v>0</v>
      </c>
      <c r="R764" s="408"/>
      <c r="S764" s="408"/>
      <c r="T764" s="408"/>
      <c r="U764" s="408"/>
      <c r="V764" s="408"/>
      <c r="W764" s="408"/>
      <c r="X764" s="408"/>
      <c r="Y764" s="408"/>
      <c r="Z764" s="408"/>
      <c r="AA764" s="408">
        <v>0</v>
      </c>
      <c r="AB764" s="408"/>
      <c r="AC764" s="408"/>
      <c r="AD764" s="408"/>
      <c r="AE764" s="408"/>
      <c r="AF764" s="408"/>
      <c r="AG764" s="408"/>
      <c r="AH764" s="408"/>
      <c r="AI764" s="408"/>
      <c r="AJ764" s="408"/>
      <c r="AK764" s="408"/>
      <c r="AL764" s="408"/>
      <c r="AM764" s="408"/>
      <c r="AN764" s="408"/>
      <c r="AO764" s="408"/>
      <c r="AP764" s="408"/>
      <c r="AQ764" s="408"/>
      <c r="AR764" s="408"/>
      <c r="AS764" s="408"/>
      <c r="AT764" s="408"/>
      <c r="AU764" s="408"/>
      <c r="AV764" s="408"/>
      <c r="AW764" s="408"/>
      <c r="AX764" s="408"/>
      <c r="AY764" s="408"/>
      <c r="AZ764" s="408">
        <v>0</v>
      </c>
      <c r="BA764" s="408"/>
      <c r="BB764" s="408"/>
      <c r="BC764" s="408"/>
      <c r="BD764" s="408"/>
      <c r="BE764" s="408"/>
      <c r="BF764" s="408"/>
      <c r="BG764" s="408"/>
      <c r="BH764" s="408"/>
      <c r="BI764" s="408">
        <v>0.14000000000000001</v>
      </c>
      <c r="BJ764" s="408">
        <v>0.66</v>
      </c>
      <c r="BK764" s="408">
        <v>3.66</v>
      </c>
      <c r="BL764" s="408">
        <v>1</v>
      </c>
      <c r="BM764" s="408"/>
      <c r="BN764" s="408"/>
      <c r="BO764" s="408"/>
      <c r="BP764" s="408"/>
      <c r="BQ764" s="408"/>
      <c r="BR764" s="408"/>
      <c r="BS764" s="408"/>
      <c r="BT764" s="408"/>
      <c r="BU764" s="408"/>
      <c r="BV764" s="408"/>
      <c r="BW764" s="408"/>
      <c r="BX764" s="408"/>
      <c r="BY764" s="408"/>
      <c r="BZ764" s="408"/>
      <c r="CA764" s="408"/>
      <c r="CB764" s="408"/>
      <c r="CC764" s="408"/>
      <c r="CD764" s="408"/>
      <c r="CE764" s="408"/>
      <c r="CF764" s="408"/>
      <c r="CG764" s="408"/>
      <c r="CH764" s="408"/>
      <c r="CI764" s="408"/>
      <c r="CJ764" s="408">
        <v>-0.03</v>
      </c>
      <c r="CK764" s="408"/>
      <c r="CL764" s="408"/>
      <c r="CM764" s="408"/>
      <c r="CN764" s="408"/>
      <c r="CO764" s="408">
        <v>0</v>
      </c>
      <c r="CP764" s="408">
        <v>0</v>
      </c>
      <c r="CQ764" s="408">
        <v>30</v>
      </c>
      <c r="CR764" s="408"/>
      <c r="CS764" s="408"/>
      <c r="CT764" s="408"/>
      <c r="CU764" s="408"/>
      <c r="CV764" s="408"/>
      <c r="CW764" s="408"/>
      <c r="CX764" s="408"/>
      <c r="CY764" s="408"/>
      <c r="CZ764" s="408"/>
      <c r="DA764" s="408"/>
      <c r="DB764" s="408"/>
      <c r="DC764" s="408"/>
      <c r="DD764" s="408"/>
      <c r="DE764" s="408"/>
      <c r="DF764" s="408"/>
      <c r="DG764" s="408"/>
      <c r="DH764" s="408"/>
      <c r="DI764" s="408"/>
      <c r="DJ764" s="408"/>
      <c r="DK764" s="408">
        <v>0</v>
      </c>
      <c r="DL764" s="408"/>
      <c r="DM764" s="408"/>
      <c r="DN764" s="408"/>
      <c r="DO764" s="408"/>
      <c r="DP764" s="408"/>
      <c r="DQ764" s="408"/>
      <c r="DR764" s="408"/>
      <c r="DS764" s="408"/>
      <c r="DT764" s="408"/>
      <c r="DU764" s="408"/>
      <c r="DV764" s="408"/>
      <c r="DW764" s="408"/>
      <c r="DX764" s="408"/>
      <c r="DY764" s="408"/>
      <c r="DZ764" s="408"/>
      <c r="EA764" s="408"/>
      <c r="EB764" s="408"/>
      <c r="EC764" s="408"/>
      <c r="ED764" s="408"/>
      <c r="EE764" s="408"/>
      <c r="EF764" s="408"/>
      <c r="EG764" s="408"/>
      <c r="EH764" s="408"/>
      <c r="EI764" s="408"/>
      <c r="EJ764" s="408"/>
      <c r="EK764" s="408"/>
      <c r="EL764" s="408"/>
      <c r="EM764" s="408"/>
      <c r="EN764" s="408"/>
      <c r="EO764" s="408"/>
      <c r="EP764" s="408"/>
      <c r="EQ764" s="408"/>
      <c r="ER764" s="408"/>
      <c r="ES764" s="408"/>
      <c r="ET764" s="408"/>
      <c r="EU764" s="408"/>
      <c r="EV764" s="408">
        <v>239</v>
      </c>
      <c r="EW764" s="408"/>
      <c r="EX764" s="408"/>
      <c r="EY764" s="408"/>
      <c r="EZ764" s="408"/>
      <c r="FA764" s="408">
        <v>0</v>
      </c>
      <c r="FB764" s="408"/>
      <c r="FC764" s="408"/>
      <c r="FD764" s="408"/>
      <c r="FE764" s="408"/>
      <c r="FF764" s="408">
        <v>0</v>
      </c>
      <c r="FG764" s="408">
        <v>0</v>
      </c>
      <c r="FH764" s="408">
        <v>0</v>
      </c>
      <c r="FI764" s="408">
        <v>0</v>
      </c>
    </row>
    <row r="765" spans="1:165">
      <c r="A765" s="408">
        <v>771</v>
      </c>
      <c r="B765" s="408" t="s">
        <v>1034</v>
      </c>
      <c r="C765" s="408" t="s">
        <v>2233</v>
      </c>
      <c r="D765" s="408" t="s">
        <v>2243</v>
      </c>
      <c r="E765" s="408" t="s">
        <v>972</v>
      </c>
      <c r="F765" s="408" t="s">
        <v>2254</v>
      </c>
      <c r="G765" s="408" t="s">
        <v>2252</v>
      </c>
      <c r="H765" s="408" t="s">
        <v>1320</v>
      </c>
      <c r="I765" s="408" t="s">
        <v>1320</v>
      </c>
      <c r="J765" s="408" t="s">
        <v>2234</v>
      </c>
      <c r="K765" s="827">
        <v>44713</v>
      </c>
      <c r="L765" s="408">
        <v>0</v>
      </c>
      <c r="M765" s="408">
        <v>0</v>
      </c>
      <c r="N765" s="408">
        <v>0.05</v>
      </c>
      <c r="O765" s="408">
        <v>0.05</v>
      </c>
      <c r="P765" s="408">
        <v>0.05</v>
      </c>
      <c r="Q765" s="408">
        <v>0.05</v>
      </c>
      <c r="R765" s="408"/>
      <c r="S765" s="408">
        <v>516.83000000000004</v>
      </c>
      <c r="T765" s="408">
        <v>173.82</v>
      </c>
      <c r="U765" s="408"/>
      <c r="V765" s="408">
        <v>34.532500000000006</v>
      </c>
      <c r="W765" s="408">
        <v>34.532500000000006</v>
      </c>
      <c r="X765" s="408">
        <v>26.072499999999998</v>
      </c>
      <c r="Y765" s="408">
        <v>0</v>
      </c>
      <c r="Z765" s="408">
        <v>3.0574727879011849</v>
      </c>
      <c r="AA765" s="408">
        <v>0</v>
      </c>
      <c r="AB765" s="408">
        <v>0</v>
      </c>
      <c r="AC765" s="408">
        <v>0.13592220366954352</v>
      </c>
      <c r="AD765" s="408">
        <v>1.7213305761033</v>
      </c>
      <c r="AE765" s="408">
        <v>18.180789758334949</v>
      </c>
      <c r="AF765" s="408">
        <v>8.0461067770719499</v>
      </c>
      <c r="AG765" s="408">
        <v>0.4047932696033365</v>
      </c>
      <c r="AH765" s="408">
        <v>0</v>
      </c>
      <c r="AI765" s="408">
        <v>0</v>
      </c>
      <c r="AJ765" s="408">
        <v>0</v>
      </c>
      <c r="AK765" s="408">
        <v>0</v>
      </c>
      <c r="AL765" s="408">
        <v>0.47257483288096203</v>
      </c>
      <c r="AM765" s="408"/>
      <c r="AN765" s="408">
        <v>7.7577098742484502E-2</v>
      </c>
      <c r="AO765" s="408">
        <v>0.289925188956772</v>
      </c>
      <c r="AP765" s="408">
        <v>0.94946579258044506</v>
      </c>
      <c r="AQ765" s="408">
        <v>0</v>
      </c>
      <c r="AR765" s="408">
        <v>0</v>
      </c>
      <c r="AS765" s="408">
        <v>0</v>
      </c>
      <c r="AT765" s="408">
        <v>0</v>
      </c>
      <c r="AU765" s="408">
        <v>0</v>
      </c>
      <c r="AV765" s="408">
        <v>0</v>
      </c>
      <c r="AW765" s="408">
        <v>0</v>
      </c>
      <c r="AX765" s="408">
        <v>0</v>
      </c>
      <c r="AY765" s="408">
        <v>0</v>
      </c>
      <c r="AZ765" s="408">
        <v>0</v>
      </c>
      <c r="BA765" s="408"/>
      <c r="BB765" s="408">
        <v>0</v>
      </c>
      <c r="BC765" s="408">
        <v>0</v>
      </c>
      <c r="BD765" s="408">
        <v>0</v>
      </c>
      <c r="BE765" s="408">
        <v>2.7740630852605305E-2</v>
      </c>
      <c r="BF765" s="408">
        <v>0.24028441687306148</v>
      </c>
      <c r="BG765" s="408">
        <v>0.92891616030728508</v>
      </c>
      <c r="BH765" s="408">
        <v>0</v>
      </c>
      <c r="BI765" s="408">
        <v>0</v>
      </c>
      <c r="BJ765" s="408">
        <v>0</v>
      </c>
      <c r="BK765" s="408">
        <v>0</v>
      </c>
      <c r="BL765" s="408">
        <v>0</v>
      </c>
      <c r="BM765" s="408"/>
      <c r="BN765" s="408"/>
      <c r="BO765" s="408"/>
      <c r="BP765" s="408"/>
      <c r="BQ765" s="408"/>
      <c r="BR765" s="408">
        <v>3.1284999999999998</v>
      </c>
      <c r="BS765" s="408"/>
      <c r="BT765" s="408"/>
      <c r="BU765" s="408"/>
      <c r="BV765" s="408">
        <v>9.2430479851049014</v>
      </c>
      <c r="BW765" s="408"/>
      <c r="BX765" s="408"/>
      <c r="BY765" s="408"/>
      <c r="BZ765" s="408"/>
      <c r="CA765" s="408"/>
      <c r="CB765" s="408"/>
      <c r="CC765" s="408"/>
      <c r="CD765" s="408"/>
      <c r="CE765" s="408"/>
      <c r="CF765" s="408"/>
      <c r="CG765" s="408"/>
      <c r="CH765" s="408"/>
      <c r="CI765" s="408">
        <v>22.944000000000003</v>
      </c>
      <c r="CJ765" s="408">
        <v>-7.4745000000000026</v>
      </c>
      <c r="CK765" s="408"/>
      <c r="CL765" s="408"/>
      <c r="CM765" s="408"/>
      <c r="CN765" s="408"/>
      <c r="CO765" s="408">
        <v>-9.5195000000000025</v>
      </c>
      <c r="CP765" s="408">
        <v>1.0594999999999999</v>
      </c>
      <c r="CQ765" s="408">
        <v>30</v>
      </c>
      <c r="CR765" s="408">
        <v>1.1652939507004056</v>
      </c>
      <c r="CS765" s="408">
        <v>2.8149904182146024E-2</v>
      </c>
      <c r="CT765" s="408">
        <v>9.2187130002520101E-2</v>
      </c>
      <c r="CU765" s="408">
        <v>0</v>
      </c>
      <c r="CV765" s="408">
        <v>0</v>
      </c>
      <c r="CW765" s="408">
        <v>0</v>
      </c>
      <c r="CX765" s="408">
        <v>0</v>
      </c>
      <c r="CY765" s="408">
        <v>0</v>
      </c>
      <c r="CZ765" s="408">
        <v>-3.3005150425939878E-2</v>
      </c>
      <c r="DA765" s="408">
        <v>0</v>
      </c>
      <c r="DB765" s="408">
        <v>0</v>
      </c>
      <c r="DC765" s="408">
        <v>1.0328067308303002</v>
      </c>
      <c r="DD765" s="408">
        <v>3.0843160541604547E-2</v>
      </c>
      <c r="DE765" s="408">
        <v>3.5608165608354524E-3</v>
      </c>
      <c r="DF765" s="408">
        <v>0</v>
      </c>
      <c r="DG765" s="408">
        <v>0.11923665560544494</v>
      </c>
      <c r="DH765" s="408">
        <v>0</v>
      </c>
      <c r="DI765" s="408">
        <v>-8.9356187842284829E-2</v>
      </c>
      <c r="DJ765" s="408"/>
      <c r="DK765" s="408">
        <v>0</v>
      </c>
      <c r="DL765" s="408">
        <v>0</v>
      </c>
      <c r="DM765" s="408">
        <v>-4.4991286252600293E-3</v>
      </c>
      <c r="DN765" s="408">
        <v>0</v>
      </c>
      <c r="DO765" s="408">
        <v>-1.223952494179853E-2</v>
      </c>
      <c r="DP765" s="408">
        <v>-2.3904551871624935E-3</v>
      </c>
      <c r="DQ765" s="408">
        <v>0</v>
      </c>
      <c r="DR765" s="408">
        <v>0</v>
      </c>
      <c r="DS765" s="408"/>
      <c r="DT765" s="408"/>
      <c r="DU765" s="408"/>
      <c r="DV765" s="408">
        <v>18.180789758334949</v>
      </c>
      <c r="DW765" s="408">
        <v>0</v>
      </c>
      <c r="DX765" s="408">
        <v>0</v>
      </c>
      <c r="DY765" s="408">
        <v>-9.5195000000000043</v>
      </c>
      <c r="DZ765" s="408">
        <v>1.0594999999999999</v>
      </c>
      <c r="EA765" s="408">
        <v>0</v>
      </c>
      <c r="EB765" s="408">
        <v>0</v>
      </c>
      <c r="EC765" s="408">
        <v>-9.6257643138537983</v>
      </c>
      <c r="ED765" s="408">
        <v>0</v>
      </c>
      <c r="EE765" s="408">
        <v>0</v>
      </c>
      <c r="EF765" s="408">
        <v>0</v>
      </c>
      <c r="EG765" s="408">
        <v>0</v>
      </c>
      <c r="EH765" s="408">
        <v>0</v>
      </c>
      <c r="EI765" s="408">
        <v>0</v>
      </c>
      <c r="EJ765" s="408">
        <v>0</v>
      </c>
      <c r="EK765" s="408">
        <v>0</v>
      </c>
      <c r="EL765" s="408">
        <v>0</v>
      </c>
      <c r="EM765" s="408">
        <v>0</v>
      </c>
      <c r="EN765" s="408">
        <v>0</v>
      </c>
      <c r="EO765" s="408">
        <v>0</v>
      </c>
      <c r="EP765" s="408">
        <v>0</v>
      </c>
      <c r="EQ765" s="408">
        <v>0</v>
      </c>
      <c r="ER765" s="408">
        <v>0</v>
      </c>
      <c r="ES765" s="408">
        <v>0</v>
      </c>
      <c r="ET765" s="408">
        <v>0</v>
      </c>
      <c r="EU765" s="408">
        <v>0</v>
      </c>
      <c r="EV765" s="408">
        <v>239</v>
      </c>
      <c r="EW765" s="408">
        <v>0</v>
      </c>
      <c r="EX765" s="408">
        <v>0</v>
      </c>
      <c r="EY765" s="408">
        <v>0</v>
      </c>
      <c r="EZ765" s="408"/>
      <c r="FA765" s="408">
        <v>0</v>
      </c>
      <c r="FB765" s="408"/>
      <c r="FC765" s="408"/>
      <c r="FD765" s="408"/>
      <c r="FE765" s="408"/>
      <c r="FF765" s="408">
        <v>0</v>
      </c>
      <c r="FG765" s="408">
        <v>0</v>
      </c>
      <c r="FH765" s="408">
        <v>0</v>
      </c>
      <c r="FI765" s="408">
        <v>0</v>
      </c>
    </row>
    <row r="766" spans="1:165">
      <c r="A766" s="408">
        <v>773</v>
      </c>
      <c r="B766" s="408" t="s">
        <v>1034</v>
      </c>
      <c r="C766" s="408" t="s">
        <v>2241</v>
      </c>
      <c r="D766" s="408" t="s">
        <v>596</v>
      </c>
      <c r="E766" s="408" t="s">
        <v>968</v>
      </c>
      <c r="F766" s="408" t="s">
        <v>1320</v>
      </c>
      <c r="G766" s="408" t="s">
        <v>2323</v>
      </c>
      <c r="H766" s="408" t="s">
        <v>1320</v>
      </c>
      <c r="I766" s="408" t="s">
        <v>971</v>
      </c>
      <c r="J766" s="408" t="s">
        <v>2324</v>
      </c>
      <c r="K766" s="827">
        <v>44378</v>
      </c>
      <c r="L766" s="408">
        <v>0</v>
      </c>
      <c r="M766" s="408">
        <v>0</v>
      </c>
      <c r="N766" s="408">
        <v>8.577</v>
      </c>
      <c r="O766" s="408">
        <v>3.6984024</v>
      </c>
      <c r="P766" s="408">
        <v>0</v>
      </c>
      <c r="Q766" s="408">
        <v>0</v>
      </c>
      <c r="R766" s="408"/>
      <c r="S766" s="408">
        <v>1684.16</v>
      </c>
      <c r="T766" s="408"/>
      <c r="U766" s="408"/>
      <c r="V766" s="408">
        <v>14445.04032</v>
      </c>
      <c r="W766" s="408">
        <v>14445.04032</v>
      </c>
      <c r="X766" s="408">
        <v>9267.0196500000002</v>
      </c>
      <c r="Y766" s="408">
        <v>0</v>
      </c>
      <c r="Z766" s="408">
        <v>456.29662737181599</v>
      </c>
      <c r="AA766" s="408">
        <v>0</v>
      </c>
      <c r="AB766" s="408">
        <v>0</v>
      </c>
      <c r="AC766" s="408">
        <v>154.38085259695055</v>
      </c>
      <c r="AD766" s="408">
        <v>2355.1235145771257</v>
      </c>
      <c r="AE766" s="408">
        <v>9934.674390786191</v>
      </c>
      <c r="AF766" s="408"/>
      <c r="AG766" s="408"/>
      <c r="AH766" s="408"/>
      <c r="AI766" s="408">
        <v>0</v>
      </c>
      <c r="AJ766" s="408">
        <v>0</v>
      </c>
      <c r="AK766" s="408">
        <v>0</v>
      </c>
      <c r="AL766" s="408">
        <v>81.065486832400211</v>
      </c>
      <c r="AM766" s="408"/>
      <c r="AN766" s="408">
        <v>10.658900919526724</v>
      </c>
      <c r="AO766" s="408">
        <v>331.55374390657113</v>
      </c>
      <c r="AP766" s="408">
        <v>1066.1097012422374</v>
      </c>
      <c r="AQ766" s="408">
        <v>0</v>
      </c>
      <c r="AR766" s="408">
        <v>0</v>
      </c>
      <c r="AS766" s="408"/>
      <c r="AT766" s="408"/>
      <c r="AU766" s="408">
        <v>0</v>
      </c>
      <c r="AV766" s="408">
        <v>0</v>
      </c>
      <c r="AW766" s="408">
        <v>0</v>
      </c>
      <c r="AX766" s="408"/>
      <c r="AY766" s="408"/>
      <c r="AZ766" s="408">
        <v>0</v>
      </c>
      <c r="BA766" s="408"/>
      <c r="BB766" s="408">
        <v>0</v>
      </c>
      <c r="BC766" s="408">
        <v>0</v>
      </c>
      <c r="BD766" s="408">
        <v>0</v>
      </c>
      <c r="BE766" s="408">
        <v>1.6004135190205595</v>
      </c>
      <c r="BF766" s="408"/>
      <c r="BG766" s="408">
        <v>53.591066075298954</v>
      </c>
      <c r="BH766" s="408">
        <v>0</v>
      </c>
      <c r="BI766" s="408">
        <v>0</v>
      </c>
      <c r="BJ766" s="408">
        <v>0</v>
      </c>
      <c r="BK766" s="408">
        <v>0</v>
      </c>
      <c r="BL766" s="408">
        <v>0</v>
      </c>
      <c r="BM766" s="408"/>
      <c r="BN766" s="408">
        <v>5271.0807769200001</v>
      </c>
      <c r="BO766" s="408"/>
      <c r="BP766" s="408"/>
      <c r="BQ766" s="408"/>
      <c r="BR766" s="408"/>
      <c r="BS766" s="408"/>
      <c r="BT766" s="408"/>
      <c r="BU766" s="408"/>
      <c r="BV766" s="408">
        <v>55.191479594319517</v>
      </c>
      <c r="BW766" s="408"/>
      <c r="BX766" s="408"/>
      <c r="BY766" s="408"/>
      <c r="BZ766" s="408"/>
      <c r="CA766" s="408"/>
      <c r="CB766" s="408"/>
      <c r="CC766" s="408"/>
      <c r="CD766" s="408"/>
      <c r="CE766" s="408"/>
      <c r="CF766" s="408"/>
      <c r="CG766" s="408"/>
      <c r="CH766" s="408"/>
      <c r="CI766" s="408">
        <v>3997.6650000000004</v>
      </c>
      <c r="CJ766" s="408">
        <v>-2231.0663859840001</v>
      </c>
      <c r="CK766" s="408"/>
      <c r="CL766" s="408"/>
      <c r="CM766" s="408"/>
      <c r="CN766" s="408"/>
      <c r="CO766" s="408">
        <v>-5178.0206699999999</v>
      </c>
      <c r="CP766" s="408">
        <v>0</v>
      </c>
      <c r="CQ766" s="408">
        <v>31</v>
      </c>
      <c r="CR766" s="408">
        <v>81.867588513303417</v>
      </c>
      <c r="CS766" s="408">
        <v>32.191773870303848</v>
      </c>
      <c r="CT766" s="408">
        <v>103.51251661027004</v>
      </c>
      <c r="CU766" s="408">
        <v>0</v>
      </c>
      <c r="CV766" s="408">
        <v>0</v>
      </c>
      <c r="CW766" s="408"/>
      <c r="CX766" s="408"/>
      <c r="CY766" s="408"/>
      <c r="CZ766" s="408">
        <v>-45.157628028813633</v>
      </c>
      <c r="DA766" s="408">
        <v>0</v>
      </c>
      <c r="DB766" s="408">
        <v>0</v>
      </c>
      <c r="DC766" s="408"/>
      <c r="DD766" s="408"/>
      <c r="DE766" s="408">
        <v>0.20543076302023722</v>
      </c>
      <c r="DF766" s="408">
        <v>0</v>
      </c>
      <c r="DG766" s="408">
        <v>6.879005622030796</v>
      </c>
      <c r="DH766" s="408">
        <v>0</v>
      </c>
      <c r="DI766" s="408">
        <v>-13.335499602345408</v>
      </c>
      <c r="DJ766" s="408"/>
      <c r="DK766" s="408">
        <v>0</v>
      </c>
      <c r="DL766" s="408">
        <v>0</v>
      </c>
      <c r="DM766" s="408"/>
      <c r="DN766" s="408">
        <v>0</v>
      </c>
      <c r="DO766" s="408">
        <v>-2.0995681085161095</v>
      </c>
      <c r="DP766" s="408">
        <v>-0.32844261264675723</v>
      </c>
      <c r="DQ766" s="408">
        <v>0</v>
      </c>
      <c r="DR766" s="408">
        <v>0</v>
      </c>
      <c r="DS766" s="408"/>
      <c r="DT766" s="408"/>
      <c r="DU766" s="408"/>
      <c r="DV766" s="408">
        <v>9934.674390786191</v>
      </c>
      <c r="DW766" s="408">
        <v>0</v>
      </c>
      <c r="DX766" s="408">
        <v>0</v>
      </c>
      <c r="DY766" s="408">
        <v>-5178.0206699999999</v>
      </c>
      <c r="DZ766" s="408"/>
      <c r="EA766" s="408">
        <v>0</v>
      </c>
      <c r="EB766" s="408"/>
      <c r="EC766" s="408">
        <v>-5259.8833984506091</v>
      </c>
      <c r="ED766" s="408"/>
      <c r="EE766" s="408">
        <v>0</v>
      </c>
      <c r="EF766" s="408">
        <v>0</v>
      </c>
      <c r="EG766" s="408"/>
      <c r="EH766" s="408">
        <v>0</v>
      </c>
      <c r="EI766" s="408">
        <v>0</v>
      </c>
      <c r="EJ766" s="408">
        <v>0</v>
      </c>
      <c r="EK766" s="408">
        <v>0</v>
      </c>
      <c r="EL766" s="408">
        <v>0</v>
      </c>
      <c r="EM766" s="408"/>
      <c r="EN766" s="408"/>
      <c r="EO766" s="408">
        <v>0</v>
      </c>
      <c r="EP766" s="408">
        <v>0</v>
      </c>
      <c r="EQ766" s="408"/>
      <c r="ER766" s="408">
        <v>0</v>
      </c>
      <c r="ES766" s="408"/>
      <c r="ET766" s="408">
        <v>0</v>
      </c>
      <c r="EU766" s="408"/>
      <c r="EV766" s="408">
        <v>239</v>
      </c>
      <c r="EW766" s="408"/>
      <c r="EX766" s="408"/>
      <c r="EY766" s="408"/>
      <c r="EZ766" s="408"/>
      <c r="FA766" s="408">
        <v>0</v>
      </c>
      <c r="FB766" s="408"/>
      <c r="FC766" s="408"/>
      <c r="FD766" s="408"/>
      <c r="FE766" s="408"/>
      <c r="FF766" s="408">
        <v>0</v>
      </c>
      <c r="FG766" s="408">
        <v>0</v>
      </c>
      <c r="FH766" s="408">
        <v>0</v>
      </c>
      <c r="FI766" s="408">
        <v>0</v>
      </c>
    </row>
    <row r="767" spans="1:165">
      <c r="A767" s="408">
        <v>774</v>
      </c>
      <c r="B767" s="408" t="s">
        <v>1034</v>
      </c>
      <c r="C767" s="408" t="s">
        <v>2241</v>
      </c>
      <c r="D767" s="408" t="s">
        <v>596</v>
      </c>
      <c r="E767" s="408" t="s">
        <v>968</v>
      </c>
      <c r="F767" s="408" t="s">
        <v>1320</v>
      </c>
      <c r="G767" s="408" t="s">
        <v>2323</v>
      </c>
      <c r="H767" s="408" t="s">
        <v>1320</v>
      </c>
      <c r="I767" s="408" t="s">
        <v>2242</v>
      </c>
      <c r="J767" s="408" t="s">
        <v>2324</v>
      </c>
      <c r="K767" s="827">
        <v>44378</v>
      </c>
      <c r="L767" s="408">
        <v>0</v>
      </c>
      <c r="M767" s="408">
        <v>0</v>
      </c>
      <c r="N767" s="408">
        <v>603.32399999999996</v>
      </c>
      <c r="O767" s="408">
        <v>603.32399999999996</v>
      </c>
      <c r="P767" s="408">
        <v>0</v>
      </c>
      <c r="Q767" s="408">
        <v>0</v>
      </c>
      <c r="R767" s="408"/>
      <c r="S767" s="408">
        <v>70.33</v>
      </c>
      <c r="T767" s="408"/>
      <c r="U767" s="408"/>
      <c r="V767" s="408">
        <v>42431.776919999997</v>
      </c>
      <c r="W767" s="408">
        <v>42431.776919999997</v>
      </c>
      <c r="X767" s="408">
        <v>41822.419679999992</v>
      </c>
      <c r="Y767" s="408">
        <v>0</v>
      </c>
      <c r="Z767" s="408">
        <v>32096.852793805931</v>
      </c>
      <c r="AA767" s="408">
        <v>0</v>
      </c>
      <c r="AB767" s="408">
        <v>0</v>
      </c>
      <c r="AC767" s="408">
        <v>0</v>
      </c>
      <c r="AD767" s="408">
        <v>0</v>
      </c>
      <c r="AE767" s="408">
        <v>0</v>
      </c>
      <c r="AF767" s="408"/>
      <c r="AG767" s="408"/>
      <c r="AH767" s="408"/>
      <c r="AI767" s="408">
        <v>0</v>
      </c>
      <c r="AJ767" s="408">
        <v>0</v>
      </c>
      <c r="AK767" s="408">
        <v>0</v>
      </c>
      <c r="AL767" s="408">
        <v>5702.31476946147</v>
      </c>
      <c r="AM767" s="408"/>
      <c r="AN767" s="408">
        <v>749.76923613997212</v>
      </c>
      <c r="AO767" s="408">
        <v>0</v>
      </c>
      <c r="AP767" s="408">
        <v>0</v>
      </c>
      <c r="AQ767" s="408">
        <v>0</v>
      </c>
      <c r="AR767" s="408">
        <v>0</v>
      </c>
      <c r="AS767" s="408"/>
      <c r="AT767" s="408"/>
      <c r="AU767" s="408">
        <v>0</v>
      </c>
      <c r="AV767" s="408">
        <v>0</v>
      </c>
      <c r="AW767" s="408">
        <v>0</v>
      </c>
      <c r="AX767" s="408"/>
      <c r="AY767" s="408"/>
      <c r="AZ767" s="408">
        <v>0</v>
      </c>
      <c r="BA767" s="408"/>
      <c r="BB767" s="408">
        <v>0</v>
      </c>
      <c r="BC767" s="408">
        <v>0</v>
      </c>
      <c r="BD767" s="408">
        <v>0</v>
      </c>
      <c r="BE767" s="408">
        <v>112.57641202629824</v>
      </c>
      <c r="BF767" s="408"/>
      <c r="BG767" s="408">
        <v>3769.7069311896544</v>
      </c>
      <c r="BH767" s="408">
        <v>0</v>
      </c>
      <c r="BI767" s="408">
        <v>0</v>
      </c>
      <c r="BJ767" s="408">
        <v>0</v>
      </c>
      <c r="BK767" s="408">
        <v>0</v>
      </c>
      <c r="BL767" s="408">
        <v>0</v>
      </c>
      <c r="BM767" s="408"/>
      <c r="BN767" s="408"/>
      <c r="BO767" s="408"/>
      <c r="BP767" s="408"/>
      <c r="BQ767" s="408"/>
      <c r="BR767" s="408"/>
      <c r="BS767" s="408"/>
      <c r="BT767" s="408"/>
      <c r="BU767" s="408"/>
      <c r="BV767" s="408">
        <v>3882.2833432159528</v>
      </c>
      <c r="BW767" s="408"/>
      <c r="BX767" s="408"/>
      <c r="BY767" s="408"/>
      <c r="BZ767" s="408"/>
      <c r="CA767" s="408"/>
      <c r="CB767" s="408"/>
      <c r="CC767" s="408"/>
      <c r="CD767" s="408"/>
      <c r="CE767" s="408"/>
      <c r="CF767" s="408"/>
      <c r="CG767" s="408"/>
      <c r="CH767" s="408"/>
      <c r="CI767" s="408">
        <v>41822.142399999997</v>
      </c>
      <c r="CJ767" s="408">
        <v>-609.66452000000572</v>
      </c>
      <c r="CK767" s="408"/>
      <c r="CL767" s="408"/>
      <c r="CM767" s="408"/>
      <c r="CN767" s="408"/>
      <c r="CO767" s="408">
        <v>-609.357240000003</v>
      </c>
      <c r="CP767" s="408">
        <v>0</v>
      </c>
      <c r="CQ767" s="408">
        <v>31</v>
      </c>
      <c r="CR767" s="408">
        <v>-610.50409290495008</v>
      </c>
      <c r="CS767" s="408">
        <v>0</v>
      </c>
      <c r="CT767" s="408">
        <v>0</v>
      </c>
      <c r="CU767" s="408">
        <v>0</v>
      </c>
      <c r="CV767" s="408">
        <v>0</v>
      </c>
      <c r="CW767" s="408"/>
      <c r="CX767" s="408"/>
      <c r="CY767" s="408"/>
      <c r="CZ767" s="408">
        <v>0</v>
      </c>
      <c r="DA767" s="408">
        <v>0</v>
      </c>
      <c r="DB767" s="408">
        <v>0</v>
      </c>
      <c r="DC767" s="408"/>
      <c r="DD767" s="408"/>
      <c r="DE767" s="408">
        <v>14.450426683971259</v>
      </c>
      <c r="DF767" s="408">
        <v>0</v>
      </c>
      <c r="DG767" s="408">
        <v>483.88354761642813</v>
      </c>
      <c r="DH767" s="408">
        <v>0</v>
      </c>
      <c r="DI767" s="408">
        <v>-938.04674852342578</v>
      </c>
      <c r="DJ767" s="408"/>
      <c r="DK767" s="408">
        <v>0</v>
      </c>
      <c r="DL767" s="408">
        <v>0</v>
      </c>
      <c r="DM767" s="408"/>
      <c r="DN767" s="408">
        <v>0</v>
      </c>
      <c r="DO767" s="408">
        <v>-147.68798291971325</v>
      </c>
      <c r="DP767" s="408">
        <v>-23.103335762211941</v>
      </c>
      <c r="DQ767" s="408">
        <v>0</v>
      </c>
      <c r="DR767" s="408">
        <v>0</v>
      </c>
      <c r="DS767" s="408"/>
      <c r="DT767" s="408"/>
      <c r="DU767" s="408"/>
      <c r="DV767" s="408">
        <v>0</v>
      </c>
      <c r="DW767" s="408">
        <v>0</v>
      </c>
      <c r="DX767" s="408">
        <v>0</v>
      </c>
      <c r="DY767" s="408">
        <v>-609.35724000000482</v>
      </c>
      <c r="DZ767" s="408"/>
      <c r="EA767" s="408">
        <v>0</v>
      </c>
      <c r="EB767" s="408"/>
      <c r="EC767" s="408">
        <v>0</v>
      </c>
      <c r="ED767" s="408"/>
      <c r="EE767" s="408">
        <v>0</v>
      </c>
      <c r="EF767" s="408">
        <v>0</v>
      </c>
      <c r="EG767" s="408"/>
      <c r="EH767" s="408">
        <v>0</v>
      </c>
      <c r="EI767" s="408">
        <v>0</v>
      </c>
      <c r="EJ767" s="408">
        <v>0</v>
      </c>
      <c r="EK767" s="408">
        <v>0</v>
      </c>
      <c r="EL767" s="408">
        <v>0</v>
      </c>
      <c r="EM767" s="408"/>
      <c r="EN767" s="408"/>
      <c r="EO767" s="408">
        <v>0</v>
      </c>
      <c r="EP767" s="408">
        <v>0</v>
      </c>
      <c r="EQ767" s="408"/>
      <c r="ER767" s="408">
        <v>0</v>
      </c>
      <c r="ES767" s="408"/>
      <c r="ET767" s="408">
        <v>0</v>
      </c>
      <c r="EU767" s="408"/>
      <c r="EV767" s="408">
        <v>239</v>
      </c>
      <c r="EW767" s="408"/>
      <c r="EX767" s="408"/>
      <c r="EY767" s="408"/>
      <c r="EZ767" s="408"/>
      <c r="FA767" s="408">
        <v>0</v>
      </c>
      <c r="FB767" s="408"/>
      <c r="FC767" s="408"/>
      <c r="FD767" s="408"/>
      <c r="FE767" s="408"/>
      <c r="FF767" s="408">
        <v>0</v>
      </c>
      <c r="FG767" s="408">
        <v>0</v>
      </c>
      <c r="FH767" s="408">
        <v>0</v>
      </c>
      <c r="FI767" s="408">
        <v>0</v>
      </c>
    </row>
    <row r="768" spans="1:165">
      <c r="A768" s="408">
        <v>775</v>
      </c>
      <c r="B768" s="408" t="s">
        <v>1034</v>
      </c>
      <c r="C768" s="408" t="s">
        <v>2241</v>
      </c>
      <c r="D768" s="408" t="s">
        <v>596</v>
      </c>
      <c r="E768" s="408" t="s">
        <v>968</v>
      </c>
      <c r="F768" s="408" t="s">
        <v>1320</v>
      </c>
      <c r="G768" s="408" t="s">
        <v>2323</v>
      </c>
      <c r="H768" s="408" t="s">
        <v>1320</v>
      </c>
      <c r="I768" s="408" t="s">
        <v>1320</v>
      </c>
      <c r="J768" s="408" t="s">
        <v>2324</v>
      </c>
      <c r="K768" s="827">
        <v>44378</v>
      </c>
      <c r="L768" s="408">
        <v>3400</v>
      </c>
      <c r="M768" s="408">
        <v>1193.4000000000001</v>
      </c>
      <c r="N768" s="408">
        <v>0</v>
      </c>
      <c r="O768" s="408">
        <v>0</v>
      </c>
      <c r="P768" s="408">
        <v>0</v>
      </c>
      <c r="Q768" s="408">
        <v>0</v>
      </c>
      <c r="R768" s="408">
        <v>59.12</v>
      </c>
      <c r="S768" s="408"/>
      <c r="T768" s="408"/>
      <c r="U768" s="408">
        <v>201008</v>
      </c>
      <c r="V768" s="408"/>
      <c r="W768" s="408">
        <v>201008</v>
      </c>
      <c r="X768" s="408">
        <v>115702</v>
      </c>
      <c r="Y768" s="408">
        <v>0</v>
      </c>
      <c r="Z768" s="408">
        <v>0</v>
      </c>
      <c r="AA768" s="408">
        <v>0</v>
      </c>
      <c r="AB768" s="408">
        <v>0</v>
      </c>
      <c r="AC768" s="408">
        <v>1945.0052353345191</v>
      </c>
      <c r="AD768" s="408">
        <v>17397.877012432462</v>
      </c>
      <c r="AE768" s="408">
        <v>163750.11235833238</v>
      </c>
      <c r="AF768" s="408"/>
      <c r="AG768" s="408"/>
      <c r="AH768" s="408"/>
      <c r="AI768" s="408">
        <v>0</v>
      </c>
      <c r="AJ768" s="408">
        <v>0</v>
      </c>
      <c r="AK768" s="408">
        <v>0</v>
      </c>
      <c r="AL768" s="408">
        <v>0</v>
      </c>
      <c r="AM768" s="408"/>
      <c r="AN768" s="408">
        <v>0</v>
      </c>
      <c r="AO768" s="408">
        <v>4107.4451933462042</v>
      </c>
      <c r="AP768" s="408">
        <v>13807.358737667795</v>
      </c>
      <c r="AQ768" s="408">
        <v>0</v>
      </c>
      <c r="AR768" s="408">
        <v>0</v>
      </c>
      <c r="AS768" s="408"/>
      <c r="AT768" s="408"/>
      <c r="AU768" s="408">
        <v>0</v>
      </c>
      <c r="AV768" s="408">
        <v>0</v>
      </c>
      <c r="AW768" s="408">
        <v>0</v>
      </c>
      <c r="AX768" s="408"/>
      <c r="AY768" s="408"/>
      <c r="AZ768" s="408">
        <v>0</v>
      </c>
      <c r="BA768" s="408"/>
      <c r="BB768" s="408">
        <v>0</v>
      </c>
      <c r="BC768" s="408">
        <v>0</v>
      </c>
      <c r="BD768" s="408">
        <v>0</v>
      </c>
      <c r="BE768" s="408">
        <v>0</v>
      </c>
      <c r="BF768" s="408"/>
      <c r="BG768" s="408">
        <v>0</v>
      </c>
      <c r="BH768" s="408">
        <v>0</v>
      </c>
      <c r="BI768" s="408">
        <v>0</v>
      </c>
      <c r="BJ768" s="408">
        <v>0</v>
      </c>
      <c r="BK768" s="408">
        <v>51637.51</v>
      </c>
      <c r="BL768" s="408">
        <v>3</v>
      </c>
      <c r="BM768" s="408"/>
      <c r="BN768" s="408">
        <v>75090.597999999998</v>
      </c>
      <c r="BO768" s="408"/>
      <c r="BP768" s="408"/>
      <c r="BQ768" s="408"/>
      <c r="BR768" s="408"/>
      <c r="BS768" s="408"/>
      <c r="BT768" s="408"/>
      <c r="BU768" s="408"/>
      <c r="BV768" s="408">
        <v>0</v>
      </c>
      <c r="BW768" s="408"/>
      <c r="BX768" s="408"/>
      <c r="BY768" s="408"/>
      <c r="BZ768" s="408"/>
      <c r="CA768" s="408"/>
      <c r="CB768" s="408"/>
      <c r="CC768" s="408"/>
      <c r="CD768" s="408"/>
      <c r="CE768" s="408"/>
      <c r="CF768" s="408"/>
      <c r="CG768" s="408"/>
      <c r="CH768" s="408"/>
      <c r="CI768" s="408">
        <v>40611.402000000002</v>
      </c>
      <c r="CJ768" s="408">
        <v>-29942.435999999987</v>
      </c>
      <c r="CK768" s="408"/>
      <c r="CL768" s="408"/>
      <c r="CM768" s="408"/>
      <c r="CN768" s="408"/>
      <c r="CO768" s="408">
        <v>-85305.999999999985</v>
      </c>
      <c r="CP768" s="408">
        <v>0</v>
      </c>
      <c r="CQ768" s="408">
        <v>31</v>
      </c>
      <c r="CR768" s="408">
        <v>1405.8237692076145</v>
      </c>
      <c r="CS768" s="408">
        <v>398.80697859387783</v>
      </c>
      <c r="CT768" s="408">
        <v>1340.6073024300404</v>
      </c>
      <c r="CU768" s="408">
        <v>0</v>
      </c>
      <c r="CV768" s="408">
        <v>0</v>
      </c>
      <c r="CW768" s="408"/>
      <c r="CX768" s="408"/>
      <c r="CY768" s="408"/>
      <c r="CZ768" s="408">
        <v>-333.59051181630639</v>
      </c>
      <c r="DA768" s="408">
        <v>0</v>
      </c>
      <c r="DB768" s="408">
        <v>0</v>
      </c>
      <c r="DC768" s="408"/>
      <c r="DD768" s="408"/>
      <c r="DE768" s="408">
        <v>0</v>
      </c>
      <c r="DF768" s="408">
        <v>0</v>
      </c>
      <c r="DG768" s="408">
        <v>0</v>
      </c>
      <c r="DH768" s="408">
        <v>0</v>
      </c>
      <c r="DI768" s="408">
        <v>0</v>
      </c>
      <c r="DJ768" s="408"/>
      <c r="DK768" s="408">
        <v>0</v>
      </c>
      <c r="DL768" s="408">
        <v>0</v>
      </c>
      <c r="DM768" s="408"/>
      <c r="DN768" s="408">
        <v>0</v>
      </c>
      <c r="DO768" s="408">
        <v>0</v>
      </c>
      <c r="DP768" s="408">
        <v>0</v>
      </c>
      <c r="DQ768" s="408">
        <v>0</v>
      </c>
      <c r="DR768" s="408">
        <v>0</v>
      </c>
      <c r="DS768" s="408"/>
      <c r="DT768" s="408"/>
      <c r="DU768" s="408">
        <v>163750.11235833238</v>
      </c>
      <c r="DV768" s="408"/>
      <c r="DW768" s="408">
        <v>0</v>
      </c>
      <c r="DX768" s="408">
        <v>0</v>
      </c>
      <c r="DY768" s="408">
        <v>-85306</v>
      </c>
      <c r="DZ768" s="408"/>
      <c r="EA768" s="408">
        <v>0</v>
      </c>
      <c r="EB768" s="408"/>
      <c r="EC768" s="408">
        <v>-86697.003203932458</v>
      </c>
      <c r="ED768" s="408"/>
      <c r="EE768" s="408">
        <v>0</v>
      </c>
      <c r="EF768" s="408">
        <v>0</v>
      </c>
      <c r="EG768" s="408"/>
      <c r="EH768" s="408">
        <v>0</v>
      </c>
      <c r="EI768" s="408">
        <v>0</v>
      </c>
      <c r="EJ768" s="408">
        <v>0</v>
      </c>
      <c r="EK768" s="408">
        <v>0</v>
      </c>
      <c r="EL768" s="408">
        <v>0</v>
      </c>
      <c r="EM768" s="408"/>
      <c r="EN768" s="408"/>
      <c r="EO768" s="408">
        <v>0</v>
      </c>
      <c r="EP768" s="408">
        <v>0</v>
      </c>
      <c r="EQ768" s="408"/>
      <c r="ER768" s="408">
        <v>0</v>
      </c>
      <c r="ES768" s="408"/>
      <c r="ET768" s="408">
        <v>0</v>
      </c>
      <c r="EU768" s="408"/>
      <c r="EV768" s="408">
        <v>239</v>
      </c>
      <c r="EW768" s="408"/>
      <c r="EX768" s="408"/>
      <c r="EY768" s="408"/>
      <c r="EZ768" s="408"/>
      <c r="FA768" s="408">
        <v>0</v>
      </c>
      <c r="FB768" s="408"/>
      <c r="FC768" s="408"/>
      <c r="FD768" s="408"/>
      <c r="FE768" s="408"/>
      <c r="FF768" s="408">
        <v>0</v>
      </c>
      <c r="FG768" s="408">
        <v>0</v>
      </c>
      <c r="FH768" s="408">
        <v>0</v>
      </c>
      <c r="FI768" s="408">
        <v>0</v>
      </c>
    </row>
    <row r="769" spans="1:165">
      <c r="A769" s="408">
        <v>776</v>
      </c>
      <c r="B769" s="408" t="s">
        <v>1034</v>
      </c>
      <c r="C769" s="408" t="s">
        <v>991</v>
      </c>
      <c r="D769" s="408" t="s">
        <v>596</v>
      </c>
      <c r="E769" s="408" t="s">
        <v>1320</v>
      </c>
      <c r="F769" s="408" t="s">
        <v>1320</v>
      </c>
      <c r="G769" s="408" t="s">
        <v>1320</v>
      </c>
      <c r="H769" s="408" t="s">
        <v>2325</v>
      </c>
      <c r="I769" s="408" t="s">
        <v>1320</v>
      </c>
      <c r="J769" s="408" t="s">
        <v>2255</v>
      </c>
      <c r="K769" s="827">
        <v>44378</v>
      </c>
      <c r="L769" s="408">
        <v>2300</v>
      </c>
      <c r="M769" s="408">
        <v>1150</v>
      </c>
      <c r="N769" s="408">
        <v>0</v>
      </c>
      <c r="O769" s="408">
        <v>0</v>
      </c>
      <c r="P769" s="408">
        <v>0</v>
      </c>
      <c r="Q769" s="408">
        <v>0</v>
      </c>
      <c r="R769" s="408">
        <v>21.22</v>
      </c>
      <c r="S769" s="408"/>
      <c r="T769" s="408"/>
      <c r="U769" s="408">
        <v>48806</v>
      </c>
      <c r="V769" s="408"/>
      <c r="W769" s="408">
        <v>48806</v>
      </c>
      <c r="X769" s="408">
        <v>23161</v>
      </c>
      <c r="Y769" s="408">
        <v>0</v>
      </c>
      <c r="Z769" s="408">
        <v>0</v>
      </c>
      <c r="AA769" s="408">
        <v>0</v>
      </c>
      <c r="AB769" s="408">
        <v>0</v>
      </c>
      <c r="AC769" s="408">
        <v>0</v>
      </c>
      <c r="AD769" s="408">
        <v>0</v>
      </c>
      <c r="AE769" s="408">
        <v>48415.733888970302</v>
      </c>
      <c r="AF769" s="408"/>
      <c r="AG769" s="408"/>
      <c r="AH769" s="408"/>
      <c r="AI769" s="408">
        <v>0</v>
      </c>
      <c r="AJ769" s="408">
        <v>0</v>
      </c>
      <c r="AK769" s="408">
        <v>0</v>
      </c>
      <c r="AL769" s="408">
        <v>0</v>
      </c>
      <c r="AM769" s="408"/>
      <c r="AN769" s="408">
        <v>382.49209089480081</v>
      </c>
      <c r="AO769" s="408">
        <v>0</v>
      </c>
      <c r="AP769" s="408">
        <v>0</v>
      </c>
      <c r="AQ769" s="408">
        <v>0</v>
      </c>
      <c r="AR769" s="408">
        <v>0</v>
      </c>
      <c r="AS769" s="408"/>
      <c r="AT769" s="408"/>
      <c r="AU769" s="408">
        <v>0</v>
      </c>
      <c r="AV769" s="408">
        <v>0</v>
      </c>
      <c r="AW769" s="408">
        <v>0</v>
      </c>
      <c r="AX769" s="408"/>
      <c r="AY769" s="408"/>
      <c r="AZ769" s="408">
        <v>0</v>
      </c>
      <c r="BA769" s="408"/>
      <c r="BB769" s="408">
        <v>0</v>
      </c>
      <c r="BC769" s="408">
        <v>0</v>
      </c>
      <c r="BD769" s="408">
        <v>0</v>
      </c>
      <c r="BE769" s="408">
        <v>0</v>
      </c>
      <c r="BF769" s="408"/>
      <c r="BG769" s="408">
        <v>0</v>
      </c>
      <c r="BH769" s="408">
        <v>0</v>
      </c>
      <c r="BI769" s="408">
        <v>0</v>
      </c>
      <c r="BJ769" s="408">
        <v>0</v>
      </c>
      <c r="BK769" s="408">
        <v>0</v>
      </c>
      <c r="BL769" s="408">
        <v>0</v>
      </c>
      <c r="BM769" s="408"/>
      <c r="BN769" s="408"/>
      <c r="BO769" s="408">
        <v>11580.5</v>
      </c>
      <c r="BP769" s="408"/>
      <c r="BQ769" s="408"/>
      <c r="BR769" s="408"/>
      <c r="BS769" s="408"/>
      <c r="BT769" s="408"/>
      <c r="BU769" s="408"/>
      <c r="BV769" s="408">
        <v>0</v>
      </c>
      <c r="BW769" s="408"/>
      <c r="BX769" s="408"/>
      <c r="BY769" s="408"/>
      <c r="BZ769" s="408"/>
      <c r="CA769" s="408"/>
      <c r="CB769" s="408"/>
      <c r="CC769" s="408"/>
      <c r="CD769" s="408"/>
      <c r="CE769" s="408"/>
      <c r="CF769" s="408"/>
      <c r="CG769" s="408"/>
      <c r="CH769" s="408"/>
      <c r="CI769" s="408">
        <v>11580.5</v>
      </c>
      <c r="CJ769" s="408">
        <v>-12822.529999999995</v>
      </c>
      <c r="CK769" s="408"/>
      <c r="CL769" s="408"/>
      <c r="CM769" s="408"/>
      <c r="CN769" s="408"/>
      <c r="CO769" s="408">
        <v>-25644.999999999996</v>
      </c>
      <c r="CP769" s="408">
        <v>0</v>
      </c>
      <c r="CQ769" s="408">
        <v>31</v>
      </c>
      <c r="CR769" s="408">
        <v>-11.786084006094825</v>
      </c>
      <c r="CS769" s="408">
        <v>0</v>
      </c>
      <c r="CT769" s="408">
        <v>0</v>
      </c>
      <c r="CU769" s="408">
        <v>0</v>
      </c>
      <c r="CV769" s="408">
        <v>0</v>
      </c>
      <c r="CW769" s="408"/>
      <c r="CX769" s="408"/>
      <c r="CY769" s="408"/>
      <c r="CZ769" s="408">
        <v>0</v>
      </c>
      <c r="DA769" s="408">
        <v>0</v>
      </c>
      <c r="DB769" s="408">
        <v>0</v>
      </c>
      <c r="DC769" s="408"/>
      <c r="DD769" s="408"/>
      <c r="DE769" s="408">
        <v>0</v>
      </c>
      <c r="DF769" s="408">
        <v>0</v>
      </c>
      <c r="DG769" s="408">
        <v>0</v>
      </c>
      <c r="DH769" s="408">
        <v>0</v>
      </c>
      <c r="DI769" s="408">
        <v>0</v>
      </c>
      <c r="DJ769" s="408"/>
      <c r="DK769" s="408">
        <v>0</v>
      </c>
      <c r="DL769" s="408">
        <v>0</v>
      </c>
      <c r="DM769" s="408"/>
      <c r="DN769" s="408">
        <v>0</v>
      </c>
      <c r="DO769" s="408">
        <v>0</v>
      </c>
      <c r="DP769" s="408">
        <v>-11.786084006094825</v>
      </c>
      <c r="DQ769" s="408">
        <v>0</v>
      </c>
      <c r="DR769" s="408">
        <v>0</v>
      </c>
      <c r="DS769" s="408"/>
      <c r="DT769" s="408"/>
      <c r="DU769" s="408">
        <v>48415.733888970302</v>
      </c>
      <c r="DV769" s="408"/>
      <c r="DW769" s="408">
        <v>0</v>
      </c>
      <c r="DX769" s="408">
        <v>0</v>
      </c>
      <c r="DY769" s="408">
        <v>-25645</v>
      </c>
      <c r="DZ769" s="408"/>
      <c r="EA769" s="408">
        <v>0</v>
      </c>
      <c r="EB769" s="408"/>
      <c r="EC769" s="408">
        <v>-25633.564311134465</v>
      </c>
      <c r="ED769" s="408"/>
      <c r="EE769" s="408">
        <v>0</v>
      </c>
      <c r="EF769" s="408">
        <v>0</v>
      </c>
      <c r="EG769" s="408"/>
      <c r="EH769" s="408">
        <v>0</v>
      </c>
      <c r="EI769" s="408">
        <v>0</v>
      </c>
      <c r="EJ769" s="408">
        <v>0</v>
      </c>
      <c r="EK769" s="408">
        <v>0</v>
      </c>
      <c r="EL769" s="408">
        <v>0</v>
      </c>
      <c r="EM769" s="408"/>
      <c r="EN769" s="408"/>
      <c r="EO769" s="408">
        <v>0</v>
      </c>
      <c r="EP769" s="408">
        <v>0</v>
      </c>
      <c r="EQ769" s="408"/>
      <c r="ER769" s="408">
        <v>0</v>
      </c>
      <c r="ES769" s="408"/>
      <c r="ET769" s="408">
        <v>0</v>
      </c>
      <c r="EU769" s="408"/>
      <c r="EV769" s="408">
        <v>239</v>
      </c>
      <c r="EW769" s="408"/>
      <c r="EX769" s="408"/>
      <c r="EY769" s="408"/>
      <c r="EZ769" s="408"/>
      <c r="FA769" s="408">
        <v>0</v>
      </c>
      <c r="FB769" s="408"/>
      <c r="FC769" s="408"/>
      <c r="FD769" s="408"/>
      <c r="FE769" s="408"/>
      <c r="FF769" s="408">
        <v>0</v>
      </c>
      <c r="FG769" s="408">
        <v>0</v>
      </c>
      <c r="FH769" s="408">
        <v>0</v>
      </c>
      <c r="FI769" s="408">
        <v>0</v>
      </c>
    </row>
    <row r="770" spans="1:165">
      <c r="A770" s="408">
        <v>777</v>
      </c>
      <c r="B770" s="408" t="s">
        <v>1034</v>
      </c>
      <c r="C770" s="408" t="s">
        <v>2241</v>
      </c>
      <c r="D770" s="408" t="s">
        <v>596</v>
      </c>
      <c r="E770" s="408" t="s">
        <v>968</v>
      </c>
      <c r="F770" s="408" t="s">
        <v>1320</v>
      </c>
      <c r="G770" s="408" t="s">
        <v>2323</v>
      </c>
      <c r="H770" s="408" t="s">
        <v>1320</v>
      </c>
      <c r="I770" s="408" t="s">
        <v>971</v>
      </c>
      <c r="J770" s="408" t="s">
        <v>2324</v>
      </c>
      <c r="K770" s="827">
        <v>44409</v>
      </c>
      <c r="L770" s="408">
        <v>0</v>
      </c>
      <c r="M770" s="408">
        <v>0</v>
      </c>
      <c r="N770" s="408">
        <v>10.827999999999999</v>
      </c>
      <c r="O770" s="408">
        <v>5.4302419999999998</v>
      </c>
      <c r="P770" s="408">
        <v>0</v>
      </c>
      <c r="Q770" s="408">
        <v>0</v>
      </c>
      <c r="R770" s="408"/>
      <c r="S770" s="408">
        <v>1684.16</v>
      </c>
      <c r="T770" s="408"/>
      <c r="U770" s="408"/>
      <c r="V770" s="408">
        <v>18236.084480000001</v>
      </c>
      <c r="W770" s="408">
        <v>18236.084480000001</v>
      </c>
      <c r="X770" s="408">
        <v>11699.1126</v>
      </c>
      <c r="Y770" s="408">
        <v>0</v>
      </c>
      <c r="Z770" s="408">
        <v>576.049887044657</v>
      </c>
      <c r="AA770" s="408">
        <v>0</v>
      </c>
      <c r="AB770" s="408">
        <v>0</v>
      </c>
      <c r="AC770" s="408">
        <v>194.89750168121492</v>
      </c>
      <c r="AD770" s="408">
        <v>2973.2164411613753</v>
      </c>
      <c r="AE770" s="408">
        <v>12541.990708106898</v>
      </c>
      <c r="AF770" s="408"/>
      <c r="AG770" s="408"/>
      <c r="AH770" s="408"/>
      <c r="AI770" s="408">
        <v>0</v>
      </c>
      <c r="AJ770" s="408">
        <v>0</v>
      </c>
      <c r="AK770" s="408">
        <v>0</v>
      </c>
      <c r="AL770" s="408">
        <v>102.34080580870112</v>
      </c>
      <c r="AM770" s="408"/>
      <c r="AN770" s="408">
        <v>13.456287647969612</v>
      </c>
      <c r="AO770" s="408">
        <v>418.56872321561758</v>
      </c>
      <c r="AP770" s="408">
        <v>1345.9060096829833</v>
      </c>
      <c r="AQ770" s="408">
        <v>0</v>
      </c>
      <c r="AR770" s="408">
        <v>0</v>
      </c>
      <c r="AS770" s="408"/>
      <c r="AT770" s="408"/>
      <c r="AU770" s="408">
        <v>0</v>
      </c>
      <c r="AV770" s="408">
        <v>0</v>
      </c>
      <c r="AW770" s="408">
        <v>0</v>
      </c>
      <c r="AX770" s="408"/>
      <c r="AY770" s="408"/>
      <c r="AZ770" s="408">
        <v>0</v>
      </c>
      <c r="BA770" s="408"/>
      <c r="BB770" s="408">
        <v>0</v>
      </c>
      <c r="BC770" s="408">
        <v>0</v>
      </c>
      <c r="BD770" s="408">
        <v>0</v>
      </c>
      <c r="BE770" s="408">
        <v>2.0204357682120344</v>
      </c>
      <c r="BF770" s="408"/>
      <c r="BG770" s="408">
        <v>67.655831113831994</v>
      </c>
      <c r="BH770" s="408">
        <v>0</v>
      </c>
      <c r="BI770" s="408">
        <v>0</v>
      </c>
      <c r="BJ770" s="408">
        <v>0</v>
      </c>
      <c r="BK770" s="408">
        <v>0</v>
      </c>
      <c r="BL770" s="408">
        <v>0</v>
      </c>
      <c r="BM770" s="408"/>
      <c r="BN770" s="408">
        <v>5832.0076311000003</v>
      </c>
      <c r="BO770" s="408"/>
      <c r="BP770" s="408"/>
      <c r="BQ770" s="408"/>
      <c r="BR770" s="408"/>
      <c r="BS770" s="408"/>
      <c r="BT770" s="408"/>
      <c r="BU770" s="408"/>
      <c r="BV770" s="408">
        <v>69.676266882044033</v>
      </c>
      <c r="BW770" s="408"/>
      <c r="BX770" s="408"/>
      <c r="BY770" s="408"/>
      <c r="BZ770" s="408"/>
      <c r="CA770" s="408"/>
      <c r="CB770" s="408"/>
      <c r="CC770" s="408"/>
      <c r="CD770" s="408"/>
      <c r="CE770" s="408"/>
      <c r="CF770" s="408"/>
      <c r="CG770" s="408"/>
      <c r="CH770" s="408"/>
      <c r="CI770" s="408">
        <v>5866.8434999999999</v>
      </c>
      <c r="CJ770" s="408">
        <v>-3278.5828667200012</v>
      </c>
      <c r="CK770" s="408"/>
      <c r="CL770" s="408"/>
      <c r="CM770" s="408"/>
      <c r="CN770" s="408"/>
      <c r="CO770" s="408">
        <v>-6536.9718800000001</v>
      </c>
      <c r="CP770" s="408">
        <v>0</v>
      </c>
      <c r="CQ770" s="408">
        <v>31</v>
      </c>
      <c r="CR770" s="408">
        <v>103.35341592888381</v>
      </c>
      <c r="CS770" s="408">
        <v>40.640378625119524</v>
      </c>
      <c r="CT770" s="408">
        <v>130.67897048571785</v>
      </c>
      <c r="CU770" s="408">
        <v>0</v>
      </c>
      <c r="CV770" s="408">
        <v>0</v>
      </c>
      <c r="CW770" s="408"/>
      <c r="CX770" s="408"/>
      <c r="CY770" s="408"/>
      <c r="CZ770" s="408">
        <v>-57.009070338812762</v>
      </c>
      <c r="DA770" s="408">
        <v>0</v>
      </c>
      <c r="DB770" s="408">
        <v>0</v>
      </c>
      <c r="DC770" s="408"/>
      <c r="DD770" s="408"/>
      <c r="DE770" s="408">
        <v>0.25934526081183717</v>
      </c>
      <c r="DF770" s="408">
        <v>0</v>
      </c>
      <c r="DG770" s="408">
        <v>8.684373659245594</v>
      </c>
      <c r="DH770" s="408">
        <v>0</v>
      </c>
      <c r="DI770" s="408">
        <v>-16.835349154039363</v>
      </c>
      <c r="DJ770" s="408"/>
      <c r="DK770" s="408">
        <v>0</v>
      </c>
      <c r="DL770" s="408">
        <v>0</v>
      </c>
      <c r="DM770" s="408"/>
      <c r="DN770" s="408">
        <v>0</v>
      </c>
      <c r="DO770" s="408">
        <v>-2.6505915213958815</v>
      </c>
      <c r="DP770" s="408">
        <v>-0.41464108776251329</v>
      </c>
      <c r="DQ770" s="408">
        <v>0</v>
      </c>
      <c r="DR770" s="408">
        <v>0</v>
      </c>
      <c r="DS770" s="408"/>
      <c r="DT770" s="408"/>
      <c r="DU770" s="408"/>
      <c r="DV770" s="408">
        <v>12541.990708106898</v>
      </c>
      <c r="DW770" s="408">
        <v>0</v>
      </c>
      <c r="DX770" s="408">
        <v>0</v>
      </c>
      <c r="DY770" s="408">
        <v>-6536.971880000001</v>
      </c>
      <c r="DZ770" s="408"/>
      <c r="EA770" s="408">
        <v>0</v>
      </c>
      <c r="EB770" s="408"/>
      <c r="EC770" s="408">
        <v>-6640.3191603618034</v>
      </c>
      <c r="ED770" s="408"/>
      <c r="EE770" s="408">
        <v>0</v>
      </c>
      <c r="EF770" s="408">
        <v>0</v>
      </c>
      <c r="EG770" s="408"/>
      <c r="EH770" s="408">
        <v>0</v>
      </c>
      <c r="EI770" s="408">
        <v>0</v>
      </c>
      <c r="EJ770" s="408">
        <v>0</v>
      </c>
      <c r="EK770" s="408">
        <v>0</v>
      </c>
      <c r="EL770" s="408">
        <v>0</v>
      </c>
      <c r="EM770" s="408"/>
      <c r="EN770" s="408"/>
      <c r="EO770" s="408">
        <v>0</v>
      </c>
      <c r="EP770" s="408">
        <v>0</v>
      </c>
      <c r="EQ770" s="408"/>
      <c r="ER770" s="408">
        <v>0</v>
      </c>
      <c r="ES770" s="408"/>
      <c r="ET770" s="408">
        <v>0</v>
      </c>
      <c r="EU770" s="408"/>
      <c r="EV770" s="408">
        <v>239</v>
      </c>
      <c r="EW770" s="408"/>
      <c r="EX770" s="408"/>
      <c r="EY770" s="408"/>
      <c r="EZ770" s="408"/>
      <c r="FA770" s="408">
        <v>0</v>
      </c>
      <c r="FB770" s="408"/>
      <c r="FC770" s="408"/>
      <c r="FD770" s="408"/>
      <c r="FE770" s="408"/>
      <c r="FF770" s="408">
        <v>0</v>
      </c>
      <c r="FG770" s="408">
        <v>0</v>
      </c>
      <c r="FH770" s="408">
        <v>0</v>
      </c>
      <c r="FI770" s="408">
        <v>0</v>
      </c>
    </row>
    <row r="771" spans="1:165">
      <c r="A771" s="408">
        <v>778</v>
      </c>
      <c r="B771" s="408" t="s">
        <v>1034</v>
      </c>
      <c r="C771" s="408" t="s">
        <v>2241</v>
      </c>
      <c r="D771" s="408" t="s">
        <v>596</v>
      </c>
      <c r="E771" s="408" t="s">
        <v>968</v>
      </c>
      <c r="F771" s="408" t="s">
        <v>1320</v>
      </c>
      <c r="G771" s="408" t="s">
        <v>2323</v>
      </c>
      <c r="H771" s="408" t="s">
        <v>1320</v>
      </c>
      <c r="I771" s="408" t="s">
        <v>2242</v>
      </c>
      <c r="J771" s="408" t="s">
        <v>2324</v>
      </c>
      <c r="K771" s="827">
        <v>44409</v>
      </c>
      <c r="L771" s="408">
        <v>0</v>
      </c>
      <c r="M771" s="408">
        <v>0</v>
      </c>
      <c r="N771" s="408">
        <v>563.59500000000003</v>
      </c>
      <c r="O771" s="408">
        <v>563.59500000000003</v>
      </c>
      <c r="P771" s="408">
        <v>0</v>
      </c>
      <c r="Q771" s="408">
        <v>0</v>
      </c>
      <c r="R771" s="408"/>
      <c r="S771" s="408">
        <v>70.33</v>
      </c>
      <c r="T771" s="408"/>
      <c r="U771" s="408"/>
      <c r="V771" s="408">
        <v>39637.636350000001</v>
      </c>
      <c r="W771" s="408">
        <v>39637.636350000001</v>
      </c>
      <c r="X771" s="408">
        <v>39068.405399999996</v>
      </c>
      <c r="Y771" s="408">
        <v>0</v>
      </c>
      <c r="Z771" s="408">
        <v>29983.268940610778</v>
      </c>
      <c r="AA771" s="408">
        <v>0</v>
      </c>
      <c r="AB771" s="408">
        <v>0</v>
      </c>
      <c r="AC771" s="408">
        <v>0</v>
      </c>
      <c r="AD771" s="408">
        <v>0</v>
      </c>
      <c r="AE771" s="408">
        <v>0</v>
      </c>
      <c r="AF771" s="408"/>
      <c r="AG771" s="408"/>
      <c r="AH771" s="408"/>
      <c r="AI771" s="408">
        <v>0</v>
      </c>
      <c r="AJ771" s="408">
        <v>0</v>
      </c>
      <c r="AK771" s="408">
        <v>0</v>
      </c>
      <c r="AL771" s="408">
        <v>5326.8162587509159</v>
      </c>
      <c r="AM771" s="408"/>
      <c r="AN771" s="408">
        <v>700.39678952322083</v>
      </c>
      <c r="AO771" s="408">
        <v>0</v>
      </c>
      <c r="AP771" s="408">
        <v>0</v>
      </c>
      <c r="AQ771" s="408">
        <v>0</v>
      </c>
      <c r="AR771" s="408">
        <v>0</v>
      </c>
      <c r="AS771" s="408"/>
      <c r="AT771" s="408"/>
      <c r="AU771" s="408">
        <v>0</v>
      </c>
      <c r="AV771" s="408">
        <v>0</v>
      </c>
      <c r="AW771" s="408">
        <v>0</v>
      </c>
      <c r="AX771" s="408"/>
      <c r="AY771" s="408"/>
      <c r="AZ771" s="408">
        <v>0</v>
      </c>
      <c r="BA771" s="408"/>
      <c r="BB771" s="408">
        <v>0</v>
      </c>
      <c r="BC771" s="408">
        <v>0</v>
      </c>
      <c r="BD771" s="408">
        <v>0</v>
      </c>
      <c r="BE771" s="408">
        <v>105.16323391073712</v>
      </c>
      <c r="BF771" s="408"/>
      <c r="BG771" s="408">
        <v>3521.471013723693</v>
      </c>
      <c r="BH771" s="408">
        <v>0</v>
      </c>
      <c r="BI771" s="408">
        <v>0</v>
      </c>
      <c r="BJ771" s="408">
        <v>0</v>
      </c>
      <c r="BK771" s="408">
        <v>0</v>
      </c>
      <c r="BL771" s="408">
        <v>0</v>
      </c>
      <c r="BM771" s="408"/>
      <c r="BN771" s="408"/>
      <c r="BO771" s="408"/>
      <c r="BP771" s="408"/>
      <c r="BQ771" s="408"/>
      <c r="BR771" s="408"/>
      <c r="BS771" s="408"/>
      <c r="BT771" s="408"/>
      <c r="BU771" s="408"/>
      <c r="BV771" s="408">
        <v>3626.6342476344303</v>
      </c>
      <c r="BW771" s="408"/>
      <c r="BX771" s="408"/>
      <c r="BY771" s="408"/>
      <c r="BZ771" s="408"/>
      <c r="CA771" s="408"/>
      <c r="CB771" s="408"/>
      <c r="CC771" s="408"/>
      <c r="CD771" s="408"/>
      <c r="CE771" s="408"/>
      <c r="CF771" s="408"/>
      <c r="CG771" s="408"/>
      <c r="CH771" s="408"/>
      <c r="CI771" s="408">
        <v>39068.752</v>
      </c>
      <c r="CJ771" s="408">
        <v>-568.91435000000638</v>
      </c>
      <c r="CK771" s="408"/>
      <c r="CL771" s="408"/>
      <c r="CM771" s="408"/>
      <c r="CN771" s="408"/>
      <c r="CO771" s="408">
        <v>-569.23095000000296</v>
      </c>
      <c r="CP771" s="408">
        <v>0</v>
      </c>
      <c r="CQ771" s="408">
        <v>31</v>
      </c>
      <c r="CR771" s="408">
        <v>-570.30228242331941</v>
      </c>
      <c r="CS771" s="408">
        <v>0</v>
      </c>
      <c r="CT771" s="408">
        <v>0</v>
      </c>
      <c r="CU771" s="408">
        <v>0</v>
      </c>
      <c r="CV771" s="408">
        <v>0</v>
      </c>
      <c r="CW771" s="408"/>
      <c r="CX771" s="408"/>
      <c r="CY771" s="408"/>
      <c r="CZ771" s="408">
        <v>0</v>
      </c>
      <c r="DA771" s="408">
        <v>0</v>
      </c>
      <c r="DB771" s="408">
        <v>0</v>
      </c>
      <c r="DC771" s="408"/>
      <c r="DD771" s="408"/>
      <c r="DE771" s="408">
        <v>13.498863342006601</v>
      </c>
      <c r="DF771" s="408">
        <v>0</v>
      </c>
      <c r="DG771" s="408">
        <v>452.01972409332484</v>
      </c>
      <c r="DH771" s="408">
        <v>0</v>
      </c>
      <c r="DI771" s="408">
        <v>-876.27619195334773</v>
      </c>
      <c r="DJ771" s="408"/>
      <c r="DK771" s="408">
        <v>0</v>
      </c>
      <c r="DL771" s="408">
        <v>0</v>
      </c>
      <c r="DM771" s="408"/>
      <c r="DN771" s="408">
        <v>0</v>
      </c>
      <c r="DO771" s="408">
        <v>-137.96270119145902</v>
      </c>
      <c r="DP771" s="408">
        <v>-21.581976713845052</v>
      </c>
      <c r="DQ771" s="408">
        <v>0</v>
      </c>
      <c r="DR771" s="408">
        <v>0</v>
      </c>
      <c r="DS771" s="408"/>
      <c r="DT771" s="408"/>
      <c r="DU771" s="408"/>
      <c r="DV771" s="408">
        <v>0</v>
      </c>
      <c r="DW771" s="408">
        <v>0</v>
      </c>
      <c r="DX771" s="408">
        <v>0</v>
      </c>
      <c r="DY771" s="408">
        <v>-569.23095000000467</v>
      </c>
      <c r="DZ771" s="408"/>
      <c r="EA771" s="408">
        <v>0</v>
      </c>
      <c r="EB771" s="408"/>
      <c r="EC771" s="408">
        <v>0</v>
      </c>
      <c r="ED771" s="408"/>
      <c r="EE771" s="408">
        <v>0</v>
      </c>
      <c r="EF771" s="408">
        <v>0</v>
      </c>
      <c r="EG771" s="408"/>
      <c r="EH771" s="408">
        <v>0</v>
      </c>
      <c r="EI771" s="408">
        <v>0</v>
      </c>
      <c r="EJ771" s="408">
        <v>0</v>
      </c>
      <c r="EK771" s="408">
        <v>0</v>
      </c>
      <c r="EL771" s="408">
        <v>0</v>
      </c>
      <c r="EM771" s="408"/>
      <c r="EN771" s="408"/>
      <c r="EO771" s="408">
        <v>0</v>
      </c>
      <c r="EP771" s="408">
        <v>0</v>
      </c>
      <c r="EQ771" s="408"/>
      <c r="ER771" s="408">
        <v>0</v>
      </c>
      <c r="ES771" s="408"/>
      <c r="ET771" s="408">
        <v>0</v>
      </c>
      <c r="EU771" s="408"/>
      <c r="EV771" s="408">
        <v>239</v>
      </c>
      <c r="EW771" s="408"/>
      <c r="EX771" s="408"/>
      <c r="EY771" s="408"/>
      <c r="EZ771" s="408"/>
      <c r="FA771" s="408">
        <v>0</v>
      </c>
      <c r="FB771" s="408"/>
      <c r="FC771" s="408"/>
      <c r="FD771" s="408"/>
      <c r="FE771" s="408"/>
      <c r="FF771" s="408">
        <v>0</v>
      </c>
      <c r="FG771" s="408">
        <v>0</v>
      </c>
      <c r="FH771" s="408">
        <v>0</v>
      </c>
      <c r="FI771" s="408">
        <v>0</v>
      </c>
    </row>
    <row r="772" spans="1:165">
      <c r="A772" s="408">
        <v>779</v>
      </c>
      <c r="B772" s="408" t="s">
        <v>1034</v>
      </c>
      <c r="C772" s="408" t="s">
        <v>2241</v>
      </c>
      <c r="D772" s="408" t="s">
        <v>596</v>
      </c>
      <c r="E772" s="408" t="s">
        <v>968</v>
      </c>
      <c r="F772" s="408" t="s">
        <v>1320</v>
      </c>
      <c r="G772" s="408" t="s">
        <v>2323</v>
      </c>
      <c r="H772" s="408" t="s">
        <v>1320</v>
      </c>
      <c r="I772" s="408" t="s">
        <v>1320</v>
      </c>
      <c r="J772" s="408" t="s">
        <v>2324</v>
      </c>
      <c r="K772" s="827">
        <v>44409</v>
      </c>
      <c r="L772" s="408">
        <v>3400</v>
      </c>
      <c r="M772" s="408">
        <v>1187.28</v>
      </c>
      <c r="N772" s="408">
        <v>0</v>
      </c>
      <c r="O772" s="408">
        <v>0</v>
      </c>
      <c r="P772" s="408">
        <v>0</v>
      </c>
      <c r="Q772" s="408">
        <v>0</v>
      </c>
      <c r="R772" s="408">
        <v>59.12</v>
      </c>
      <c r="S772" s="408"/>
      <c r="T772" s="408"/>
      <c r="U772" s="408">
        <v>201008</v>
      </c>
      <c r="V772" s="408"/>
      <c r="W772" s="408">
        <v>201008</v>
      </c>
      <c r="X772" s="408">
        <v>115702</v>
      </c>
      <c r="Y772" s="408">
        <v>0</v>
      </c>
      <c r="Z772" s="408">
        <v>0</v>
      </c>
      <c r="AA772" s="408">
        <v>0</v>
      </c>
      <c r="AB772" s="408">
        <v>0</v>
      </c>
      <c r="AC772" s="408">
        <v>1945.0052353345191</v>
      </c>
      <c r="AD772" s="408">
        <v>17397.877012432462</v>
      </c>
      <c r="AE772" s="408">
        <v>163750.11235833238</v>
      </c>
      <c r="AF772" s="408"/>
      <c r="AG772" s="408"/>
      <c r="AH772" s="408"/>
      <c r="AI772" s="408">
        <v>0</v>
      </c>
      <c r="AJ772" s="408">
        <v>0</v>
      </c>
      <c r="AK772" s="408">
        <v>0</v>
      </c>
      <c r="AL772" s="408">
        <v>0</v>
      </c>
      <c r="AM772" s="408"/>
      <c r="AN772" s="408">
        <v>0</v>
      </c>
      <c r="AO772" s="408">
        <v>4107.4451933462042</v>
      </c>
      <c r="AP772" s="408">
        <v>13807.358737667795</v>
      </c>
      <c r="AQ772" s="408">
        <v>0</v>
      </c>
      <c r="AR772" s="408">
        <v>0</v>
      </c>
      <c r="AS772" s="408"/>
      <c r="AT772" s="408"/>
      <c r="AU772" s="408">
        <v>0</v>
      </c>
      <c r="AV772" s="408">
        <v>0</v>
      </c>
      <c r="AW772" s="408">
        <v>0</v>
      </c>
      <c r="AX772" s="408"/>
      <c r="AY772" s="408"/>
      <c r="AZ772" s="408">
        <v>0</v>
      </c>
      <c r="BA772" s="408"/>
      <c r="BB772" s="408">
        <v>0</v>
      </c>
      <c r="BC772" s="408">
        <v>0</v>
      </c>
      <c r="BD772" s="408">
        <v>0</v>
      </c>
      <c r="BE772" s="408">
        <v>0</v>
      </c>
      <c r="BF772" s="408"/>
      <c r="BG772" s="408">
        <v>0</v>
      </c>
      <c r="BH772" s="408">
        <v>0</v>
      </c>
      <c r="BI772" s="408">
        <v>0</v>
      </c>
      <c r="BJ772" s="408">
        <v>0</v>
      </c>
      <c r="BK772" s="408">
        <v>55263.02</v>
      </c>
      <c r="BL772" s="408">
        <v>3</v>
      </c>
      <c r="BM772" s="408"/>
      <c r="BN772" s="408">
        <v>75298.861600000018</v>
      </c>
      <c r="BO772" s="408"/>
      <c r="BP772" s="408"/>
      <c r="BQ772" s="408"/>
      <c r="BR772" s="408"/>
      <c r="BS772" s="408"/>
      <c r="BT772" s="408"/>
      <c r="BU772" s="408"/>
      <c r="BV772" s="408">
        <v>0</v>
      </c>
      <c r="BW772" s="408"/>
      <c r="BX772" s="408"/>
      <c r="BY772" s="408"/>
      <c r="BZ772" s="408"/>
      <c r="CA772" s="408"/>
      <c r="CB772" s="408"/>
      <c r="CC772" s="408"/>
      <c r="CD772" s="408"/>
      <c r="CE772" s="408"/>
      <c r="CF772" s="408"/>
      <c r="CG772" s="408"/>
      <c r="CH772" s="408"/>
      <c r="CI772" s="408">
        <v>40403.138400000003</v>
      </c>
      <c r="CJ772" s="408">
        <v>-29788.885199999982</v>
      </c>
      <c r="CK772" s="408"/>
      <c r="CL772" s="408"/>
      <c r="CM772" s="408"/>
      <c r="CN772" s="408"/>
      <c r="CO772" s="408">
        <v>-85305.999999999985</v>
      </c>
      <c r="CP772" s="408">
        <v>0</v>
      </c>
      <c r="CQ772" s="408">
        <v>31</v>
      </c>
      <c r="CR772" s="408">
        <v>1405.8237692076145</v>
      </c>
      <c r="CS772" s="408">
        <v>398.80697859387783</v>
      </c>
      <c r="CT772" s="408">
        <v>1340.6073024300404</v>
      </c>
      <c r="CU772" s="408">
        <v>0</v>
      </c>
      <c r="CV772" s="408">
        <v>0</v>
      </c>
      <c r="CW772" s="408"/>
      <c r="CX772" s="408"/>
      <c r="CY772" s="408"/>
      <c r="CZ772" s="408">
        <v>-333.59051181630639</v>
      </c>
      <c r="DA772" s="408">
        <v>0</v>
      </c>
      <c r="DB772" s="408">
        <v>0</v>
      </c>
      <c r="DC772" s="408"/>
      <c r="DD772" s="408"/>
      <c r="DE772" s="408">
        <v>0</v>
      </c>
      <c r="DF772" s="408">
        <v>0</v>
      </c>
      <c r="DG772" s="408">
        <v>0</v>
      </c>
      <c r="DH772" s="408">
        <v>0</v>
      </c>
      <c r="DI772" s="408">
        <v>0</v>
      </c>
      <c r="DJ772" s="408"/>
      <c r="DK772" s="408">
        <v>0</v>
      </c>
      <c r="DL772" s="408">
        <v>0</v>
      </c>
      <c r="DM772" s="408"/>
      <c r="DN772" s="408">
        <v>0</v>
      </c>
      <c r="DO772" s="408">
        <v>0</v>
      </c>
      <c r="DP772" s="408">
        <v>0</v>
      </c>
      <c r="DQ772" s="408">
        <v>0</v>
      </c>
      <c r="DR772" s="408">
        <v>0</v>
      </c>
      <c r="DS772" s="408"/>
      <c r="DT772" s="408"/>
      <c r="DU772" s="408">
        <v>163750.11235833238</v>
      </c>
      <c r="DV772" s="408"/>
      <c r="DW772" s="408">
        <v>0</v>
      </c>
      <c r="DX772" s="408">
        <v>0</v>
      </c>
      <c r="DY772" s="408">
        <v>-85306</v>
      </c>
      <c r="DZ772" s="408"/>
      <c r="EA772" s="408">
        <v>0</v>
      </c>
      <c r="EB772" s="408"/>
      <c r="EC772" s="408">
        <v>-86697.003203932458</v>
      </c>
      <c r="ED772" s="408"/>
      <c r="EE772" s="408">
        <v>0</v>
      </c>
      <c r="EF772" s="408">
        <v>0</v>
      </c>
      <c r="EG772" s="408"/>
      <c r="EH772" s="408">
        <v>0</v>
      </c>
      <c r="EI772" s="408">
        <v>0</v>
      </c>
      <c r="EJ772" s="408">
        <v>0</v>
      </c>
      <c r="EK772" s="408">
        <v>0</v>
      </c>
      <c r="EL772" s="408">
        <v>0</v>
      </c>
      <c r="EM772" s="408"/>
      <c r="EN772" s="408"/>
      <c r="EO772" s="408">
        <v>0</v>
      </c>
      <c r="EP772" s="408">
        <v>0</v>
      </c>
      <c r="EQ772" s="408"/>
      <c r="ER772" s="408">
        <v>0</v>
      </c>
      <c r="ES772" s="408"/>
      <c r="ET772" s="408">
        <v>0</v>
      </c>
      <c r="EU772" s="408"/>
      <c r="EV772" s="408">
        <v>239</v>
      </c>
      <c r="EW772" s="408"/>
      <c r="EX772" s="408"/>
      <c r="EY772" s="408"/>
      <c r="EZ772" s="408"/>
      <c r="FA772" s="408">
        <v>0</v>
      </c>
      <c r="FB772" s="408"/>
      <c r="FC772" s="408"/>
      <c r="FD772" s="408"/>
      <c r="FE772" s="408"/>
      <c r="FF772" s="408">
        <v>0</v>
      </c>
      <c r="FG772" s="408">
        <v>0</v>
      </c>
      <c r="FH772" s="408">
        <v>0</v>
      </c>
      <c r="FI772" s="408">
        <v>0</v>
      </c>
    </row>
    <row r="773" spans="1:165">
      <c r="A773" s="408">
        <v>780</v>
      </c>
      <c r="B773" s="408" t="s">
        <v>1034</v>
      </c>
      <c r="C773" s="408" t="s">
        <v>991</v>
      </c>
      <c r="D773" s="408" t="s">
        <v>596</v>
      </c>
      <c r="E773" s="408" t="s">
        <v>1320</v>
      </c>
      <c r="F773" s="408" t="s">
        <v>1320</v>
      </c>
      <c r="G773" s="408" t="s">
        <v>1320</v>
      </c>
      <c r="H773" s="408" t="s">
        <v>2325</v>
      </c>
      <c r="I773" s="408" t="s">
        <v>1320</v>
      </c>
      <c r="J773" s="408" t="s">
        <v>2255</v>
      </c>
      <c r="K773" s="827">
        <v>44409</v>
      </c>
      <c r="L773" s="408">
        <v>2300</v>
      </c>
      <c r="M773" s="408">
        <v>1150</v>
      </c>
      <c r="N773" s="408">
        <v>0</v>
      </c>
      <c r="O773" s="408">
        <v>0</v>
      </c>
      <c r="P773" s="408">
        <v>0</v>
      </c>
      <c r="Q773" s="408">
        <v>0</v>
      </c>
      <c r="R773" s="408">
        <v>21.22</v>
      </c>
      <c r="S773" s="408"/>
      <c r="T773" s="408"/>
      <c r="U773" s="408">
        <v>48806</v>
      </c>
      <c r="V773" s="408"/>
      <c r="W773" s="408">
        <v>48806</v>
      </c>
      <c r="X773" s="408">
        <v>23161</v>
      </c>
      <c r="Y773" s="408">
        <v>0</v>
      </c>
      <c r="Z773" s="408">
        <v>0</v>
      </c>
      <c r="AA773" s="408">
        <v>0</v>
      </c>
      <c r="AB773" s="408">
        <v>0</v>
      </c>
      <c r="AC773" s="408">
        <v>0</v>
      </c>
      <c r="AD773" s="408">
        <v>0</v>
      </c>
      <c r="AE773" s="408">
        <v>48415.733888970302</v>
      </c>
      <c r="AF773" s="408"/>
      <c r="AG773" s="408"/>
      <c r="AH773" s="408"/>
      <c r="AI773" s="408">
        <v>0</v>
      </c>
      <c r="AJ773" s="408">
        <v>0</v>
      </c>
      <c r="AK773" s="408">
        <v>0</v>
      </c>
      <c r="AL773" s="408">
        <v>0</v>
      </c>
      <c r="AM773" s="408"/>
      <c r="AN773" s="408">
        <v>382.49209089480081</v>
      </c>
      <c r="AO773" s="408">
        <v>0</v>
      </c>
      <c r="AP773" s="408">
        <v>0</v>
      </c>
      <c r="AQ773" s="408">
        <v>0</v>
      </c>
      <c r="AR773" s="408">
        <v>0</v>
      </c>
      <c r="AS773" s="408"/>
      <c r="AT773" s="408"/>
      <c r="AU773" s="408">
        <v>0</v>
      </c>
      <c r="AV773" s="408">
        <v>0</v>
      </c>
      <c r="AW773" s="408">
        <v>0</v>
      </c>
      <c r="AX773" s="408"/>
      <c r="AY773" s="408"/>
      <c r="AZ773" s="408">
        <v>0</v>
      </c>
      <c r="BA773" s="408"/>
      <c r="BB773" s="408">
        <v>0</v>
      </c>
      <c r="BC773" s="408">
        <v>0</v>
      </c>
      <c r="BD773" s="408">
        <v>0</v>
      </c>
      <c r="BE773" s="408">
        <v>0</v>
      </c>
      <c r="BF773" s="408"/>
      <c r="BG773" s="408">
        <v>0</v>
      </c>
      <c r="BH773" s="408">
        <v>0</v>
      </c>
      <c r="BI773" s="408">
        <v>0</v>
      </c>
      <c r="BJ773" s="408">
        <v>0</v>
      </c>
      <c r="BK773" s="408">
        <v>0</v>
      </c>
      <c r="BL773" s="408">
        <v>0</v>
      </c>
      <c r="BM773" s="408"/>
      <c r="BN773" s="408"/>
      <c r="BO773" s="408">
        <v>11580.5</v>
      </c>
      <c r="BP773" s="408"/>
      <c r="BQ773" s="408"/>
      <c r="BR773" s="408"/>
      <c r="BS773" s="408"/>
      <c r="BT773" s="408"/>
      <c r="BU773" s="408"/>
      <c r="BV773" s="408">
        <v>0</v>
      </c>
      <c r="BW773" s="408"/>
      <c r="BX773" s="408"/>
      <c r="BY773" s="408"/>
      <c r="BZ773" s="408"/>
      <c r="CA773" s="408"/>
      <c r="CB773" s="408"/>
      <c r="CC773" s="408"/>
      <c r="CD773" s="408"/>
      <c r="CE773" s="408"/>
      <c r="CF773" s="408"/>
      <c r="CG773" s="408"/>
      <c r="CH773" s="408"/>
      <c r="CI773" s="408">
        <v>11580.5</v>
      </c>
      <c r="CJ773" s="408">
        <v>-12822.529999999995</v>
      </c>
      <c r="CK773" s="408"/>
      <c r="CL773" s="408"/>
      <c r="CM773" s="408"/>
      <c r="CN773" s="408"/>
      <c r="CO773" s="408">
        <v>-25644.999999999996</v>
      </c>
      <c r="CP773" s="408">
        <v>0</v>
      </c>
      <c r="CQ773" s="408">
        <v>31</v>
      </c>
      <c r="CR773" s="408">
        <v>-11.786084006094825</v>
      </c>
      <c r="CS773" s="408">
        <v>0</v>
      </c>
      <c r="CT773" s="408">
        <v>0</v>
      </c>
      <c r="CU773" s="408">
        <v>0</v>
      </c>
      <c r="CV773" s="408">
        <v>0</v>
      </c>
      <c r="CW773" s="408"/>
      <c r="CX773" s="408"/>
      <c r="CY773" s="408"/>
      <c r="CZ773" s="408">
        <v>0</v>
      </c>
      <c r="DA773" s="408">
        <v>0</v>
      </c>
      <c r="DB773" s="408">
        <v>0</v>
      </c>
      <c r="DC773" s="408"/>
      <c r="DD773" s="408"/>
      <c r="DE773" s="408">
        <v>0</v>
      </c>
      <c r="DF773" s="408">
        <v>0</v>
      </c>
      <c r="DG773" s="408">
        <v>0</v>
      </c>
      <c r="DH773" s="408">
        <v>0</v>
      </c>
      <c r="DI773" s="408">
        <v>0</v>
      </c>
      <c r="DJ773" s="408"/>
      <c r="DK773" s="408">
        <v>0</v>
      </c>
      <c r="DL773" s="408">
        <v>0</v>
      </c>
      <c r="DM773" s="408"/>
      <c r="DN773" s="408">
        <v>0</v>
      </c>
      <c r="DO773" s="408">
        <v>0</v>
      </c>
      <c r="DP773" s="408">
        <v>-11.786084006094825</v>
      </c>
      <c r="DQ773" s="408">
        <v>0</v>
      </c>
      <c r="DR773" s="408">
        <v>0</v>
      </c>
      <c r="DS773" s="408"/>
      <c r="DT773" s="408"/>
      <c r="DU773" s="408">
        <v>48415.733888970302</v>
      </c>
      <c r="DV773" s="408"/>
      <c r="DW773" s="408">
        <v>0</v>
      </c>
      <c r="DX773" s="408">
        <v>0</v>
      </c>
      <c r="DY773" s="408">
        <v>-25645</v>
      </c>
      <c r="DZ773" s="408"/>
      <c r="EA773" s="408">
        <v>0</v>
      </c>
      <c r="EB773" s="408"/>
      <c r="EC773" s="408">
        <v>-25633.564311134465</v>
      </c>
      <c r="ED773" s="408"/>
      <c r="EE773" s="408">
        <v>0</v>
      </c>
      <c r="EF773" s="408">
        <v>0</v>
      </c>
      <c r="EG773" s="408"/>
      <c r="EH773" s="408">
        <v>0</v>
      </c>
      <c r="EI773" s="408">
        <v>0</v>
      </c>
      <c r="EJ773" s="408">
        <v>0</v>
      </c>
      <c r="EK773" s="408">
        <v>0</v>
      </c>
      <c r="EL773" s="408">
        <v>0</v>
      </c>
      <c r="EM773" s="408"/>
      <c r="EN773" s="408"/>
      <c r="EO773" s="408">
        <v>0</v>
      </c>
      <c r="EP773" s="408">
        <v>0</v>
      </c>
      <c r="EQ773" s="408"/>
      <c r="ER773" s="408">
        <v>0</v>
      </c>
      <c r="ES773" s="408"/>
      <c r="ET773" s="408">
        <v>0</v>
      </c>
      <c r="EU773" s="408"/>
      <c r="EV773" s="408">
        <v>239</v>
      </c>
      <c r="EW773" s="408"/>
      <c r="EX773" s="408"/>
      <c r="EY773" s="408"/>
      <c r="EZ773" s="408"/>
      <c r="FA773" s="408">
        <v>0</v>
      </c>
      <c r="FB773" s="408"/>
      <c r="FC773" s="408"/>
      <c r="FD773" s="408"/>
      <c r="FE773" s="408"/>
      <c r="FF773" s="408">
        <v>0</v>
      </c>
      <c r="FG773" s="408">
        <v>0</v>
      </c>
      <c r="FH773" s="408">
        <v>0</v>
      </c>
      <c r="FI773" s="408">
        <v>0</v>
      </c>
    </row>
    <row r="774" spans="1:165">
      <c r="A774" s="408">
        <v>781</v>
      </c>
      <c r="B774" s="408" t="s">
        <v>1034</v>
      </c>
      <c r="C774" s="408" t="s">
        <v>2241</v>
      </c>
      <c r="D774" s="408" t="s">
        <v>596</v>
      </c>
      <c r="E774" s="408" t="s">
        <v>968</v>
      </c>
      <c r="F774" s="408" t="s">
        <v>1320</v>
      </c>
      <c r="G774" s="408" t="s">
        <v>2323</v>
      </c>
      <c r="H774" s="408" t="s">
        <v>1320</v>
      </c>
      <c r="I774" s="408" t="s">
        <v>971</v>
      </c>
      <c r="J774" s="408" t="s">
        <v>2324</v>
      </c>
      <c r="K774" s="827">
        <v>44440</v>
      </c>
      <c r="L774" s="408">
        <v>0</v>
      </c>
      <c r="M774" s="408">
        <v>0</v>
      </c>
      <c r="N774" s="408">
        <v>14.36</v>
      </c>
      <c r="O774" s="408">
        <v>7.1010200000000001</v>
      </c>
      <c r="P774" s="408">
        <v>0</v>
      </c>
      <c r="Q774" s="408">
        <v>0</v>
      </c>
      <c r="R774" s="408"/>
      <c r="S774" s="408">
        <v>1684.16</v>
      </c>
      <c r="T774" s="408"/>
      <c r="U774" s="408"/>
      <c r="V774" s="408">
        <v>24184.5376</v>
      </c>
      <c r="W774" s="408">
        <v>24184.5376</v>
      </c>
      <c r="X774" s="408">
        <v>15515.262000000001</v>
      </c>
      <c r="Y774" s="408">
        <v>0</v>
      </c>
      <c r="Z774" s="408">
        <v>763.95238067614287</v>
      </c>
      <c r="AA774" s="408">
        <v>0</v>
      </c>
      <c r="AB774" s="408">
        <v>0</v>
      </c>
      <c r="AC774" s="408">
        <v>258.47138198580035</v>
      </c>
      <c r="AD774" s="408">
        <v>3943.0539430252447</v>
      </c>
      <c r="AE774" s="408">
        <v>16633.079660917534</v>
      </c>
      <c r="AF774" s="408"/>
      <c r="AG774" s="408"/>
      <c r="AH774" s="408"/>
      <c r="AI774" s="408">
        <v>0</v>
      </c>
      <c r="AJ774" s="408">
        <v>0</v>
      </c>
      <c r="AK774" s="408">
        <v>0</v>
      </c>
      <c r="AL774" s="408">
        <v>135.72349200341228</v>
      </c>
      <c r="AM774" s="408"/>
      <c r="AN774" s="408">
        <v>17.845612359146994</v>
      </c>
      <c r="AO774" s="408">
        <v>555.10222251350831</v>
      </c>
      <c r="AP774" s="408">
        <v>1784.9289156859659</v>
      </c>
      <c r="AQ774" s="408">
        <v>0</v>
      </c>
      <c r="AR774" s="408">
        <v>0</v>
      </c>
      <c r="AS774" s="408"/>
      <c r="AT774" s="408"/>
      <c r="AU774" s="408">
        <v>0</v>
      </c>
      <c r="AV774" s="408">
        <v>0</v>
      </c>
      <c r="AW774" s="408">
        <v>0</v>
      </c>
      <c r="AX774" s="408"/>
      <c r="AY774" s="408"/>
      <c r="AZ774" s="408">
        <v>0</v>
      </c>
      <c r="BA774" s="408"/>
      <c r="BB774" s="408">
        <v>0</v>
      </c>
      <c r="BC774" s="408">
        <v>0</v>
      </c>
      <c r="BD774" s="408">
        <v>0</v>
      </c>
      <c r="BE774" s="408">
        <v>2.6794844506395283</v>
      </c>
      <c r="BF774" s="408"/>
      <c r="BG774" s="408">
        <v>89.724578388864757</v>
      </c>
      <c r="BH774" s="408">
        <v>0</v>
      </c>
      <c r="BI774" s="408">
        <v>0</v>
      </c>
      <c r="BJ774" s="408">
        <v>0</v>
      </c>
      <c r="BK774" s="408">
        <v>0</v>
      </c>
      <c r="BL774" s="408">
        <v>0</v>
      </c>
      <c r="BM774" s="408"/>
      <c r="BN774" s="408">
        <v>7842.9649409999993</v>
      </c>
      <c r="BO774" s="408"/>
      <c r="BP774" s="408"/>
      <c r="BQ774" s="408"/>
      <c r="BR774" s="408"/>
      <c r="BS774" s="408"/>
      <c r="BT774" s="408"/>
      <c r="BU774" s="408"/>
      <c r="BV774" s="408">
        <v>92.404062839504292</v>
      </c>
      <c r="BW774" s="408"/>
      <c r="BX774" s="408"/>
      <c r="BY774" s="408"/>
      <c r="BZ774" s="408"/>
      <c r="CA774" s="408"/>
      <c r="CB774" s="408"/>
      <c r="CC774" s="408"/>
      <c r="CD774" s="408"/>
      <c r="CE774" s="408"/>
      <c r="CF774" s="408"/>
      <c r="CG774" s="408"/>
      <c r="CH774" s="408"/>
      <c r="CI774" s="408">
        <v>7671.1949999999997</v>
      </c>
      <c r="CJ774" s="408">
        <v>-4288.0888432000011</v>
      </c>
      <c r="CK774" s="408"/>
      <c r="CL774" s="408"/>
      <c r="CM774" s="408"/>
      <c r="CN774" s="408"/>
      <c r="CO774" s="408">
        <v>-8669.2756000000008</v>
      </c>
      <c r="CP774" s="408">
        <v>0</v>
      </c>
      <c r="CQ774" s="408">
        <v>30</v>
      </c>
      <c r="CR774" s="408">
        <v>137.06640679153861</v>
      </c>
      <c r="CS774" s="408">
        <v>53.896918826811657</v>
      </c>
      <c r="CT774" s="408">
        <v>173.30532103573228</v>
      </c>
      <c r="CU774" s="408">
        <v>0</v>
      </c>
      <c r="CV774" s="408">
        <v>0</v>
      </c>
      <c r="CW774" s="408"/>
      <c r="CX774" s="408"/>
      <c r="CY774" s="408"/>
      <c r="CZ774" s="408">
        <v>-75.604936282355993</v>
      </c>
      <c r="DA774" s="408">
        <v>0</v>
      </c>
      <c r="DB774" s="408">
        <v>0</v>
      </c>
      <c r="DC774" s="408"/>
      <c r="DD774" s="408"/>
      <c r="DE774" s="408">
        <v>0.34394144304192675</v>
      </c>
      <c r="DF774" s="408">
        <v>0</v>
      </c>
      <c r="DG774" s="408">
        <v>11.517141276945566</v>
      </c>
      <c r="DH774" s="408">
        <v>0</v>
      </c>
      <c r="DI774" s="408">
        <v>-22.326894519025245</v>
      </c>
      <c r="DJ774" s="408"/>
      <c r="DK774" s="408">
        <v>0</v>
      </c>
      <c r="DL774" s="408">
        <v>0</v>
      </c>
      <c r="DM774" s="408"/>
      <c r="DN774" s="408">
        <v>0</v>
      </c>
      <c r="DO774" s="408">
        <v>-3.5151915632845316</v>
      </c>
      <c r="DP774" s="408">
        <v>-0.54989342632708826</v>
      </c>
      <c r="DQ774" s="408">
        <v>0</v>
      </c>
      <c r="DR774" s="408">
        <v>0</v>
      </c>
      <c r="DS774" s="408"/>
      <c r="DT774" s="408"/>
      <c r="DU774" s="408"/>
      <c r="DV774" s="408">
        <v>16633.079660917534</v>
      </c>
      <c r="DW774" s="408">
        <v>0</v>
      </c>
      <c r="DX774" s="408">
        <v>0</v>
      </c>
      <c r="DY774" s="408">
        <v>-8669.275599999999</v>
      </c>
      <c r="DZ774" s="408"/>
      <c r="EA774" s="408">
        <v>0</v>
      </c>
      <c r="EB774" s="408"/>
      <c r="EC774" s="408">
        <v>-8806.3338698555126</v>
      </c>
      <c r="ED774" s="408"/>
      <c r="EE774" s="408">
        <v>0</v>
      </c>
      <c r="EF774" s="408">
        <v>0</v>
      </c>
      <c r="EG774" s="408"/>
      <c r="EH774" s="408">
        <v>0</v>
      </c>
      <c r="EI774" s="408">
        <v>0</v>
      </c>
      <c r="EJ774" s="408">
        <v>0</v>
      </c>
      <c r="EK774" s="408">
        <v>0</v>
      </c>
      <c r="EL774" s="408">
        <v>0</v>
      </c>
      <c r="EM774" s="408"/>
      <c r="EN774" s="408"/>
      <c r="EO774" s="408">
        <v>0</v>
      </c>
      <c r="EP774" s="408">
        <v>0</v>
      </c>
      <c r="EQ774" s="408"/>
      <c r="ER774" s="408">
        <v>0</v>
      </c>
      <c r="ES774" s="408"/>
      <c r="ET774" s="408">
        <v>0</v>
      </c>
      <c r="EU774" s="408"/>
      <c r="EV774" s="408">
        <v>239</v>
      </c>
      <c r="EW774" s="408"/>
      <c r="EX774" s="408"/>
      <c r="EY774" s="408"/>
      <c r="EZ774" s="408"/>
      <c r="FA774" s="408">
        <v>0</v>
      </c>
      <c r="FB774" s="408"/>
      <c r="FC774" s="408"/>
      <c r="FD774" s="408"/>
      <c r="FE774" s="408"/>
      <c r="FF774" s="408">
        <v>0</v>
      </c>
      <c r="FG774" s="408">
        <v>0</v>
      </c>
      <c r="FH774" s="408">
        <v>0</v>
      </c>
      <c r="FI774" s="408">
        <v>0</v>
      </c>
    </row>
    <row r="775" spans="1:165">
      <c r="A775" s="408">
        <v>782</v>
      </c>
      <c r="B775" s="408" t="s">
        <v>1034</v>
      </c>
      <c r="C775" s="408" t="s">
        <v>2241</v>
      </c>
      <c r="D775" s="408" t="s">
        <v>596</v>
      </c>
      <c r="E775" s="408" t="s">
        <v>968</v>
      </c>
      <c r="F775" s="408" t="s">
        <v>1320</v>
      </c>
      <c r="G775" s="408" t="s">
        <v>2323</v>
      </c>
      <c r="H775" s="408" t="s">
        <v>1320</v>
      </c>
      <c r="I775" s="408" t="s">
        <v>2242</v>
      </c>
      <c r="J775" s="408" t="s">
        <v>2324</v>
      </c>
      <c r="K775" s="827">
        <v>44440</v>
      </c>
      <c r="L775" s="408">
        <v>0</v>
      </c>
      <c r="M775" s="408">
        <v>0</v>
      </c>
      <c r="N775" s="408">
        <v>675.84799999999996</v>
      </c>
      <c r="O775" s="408">
        <v>675.84799999999996</v>
      </c>
      <c r="P775" s="408">
        <v>0</v>
      </c>
      <c r="Q775" s="408">
        <v>0</v>
      </c>
      <c r="R775" s="408"/>
      <c r="S775" s="408">
        <v>70.33</v>
      </c>
      <c r="T775" s="408"/>
      <c r="U775" s="408"/>
      <c r="V775" s="408">
        <v>47532.389839999996</v>
      </c>
      <c r="W775" s="408">
        <v>47532.389839999996</v>
      </c>
      <c r="X775" s="408">
        <v>46849.783359999994</v>
      </c>
      <c r="Y775" s="408">
        <v>0</v>
      </c>
      <c r="Z775" s="408">
        <v>35955.131516379508</v>
      </c>
      <c r="AA775" s="408">
        <v>0</v>
      </c>
      <c r="AB775" s="408">
        <v>0</v>
      </c>
      <c r="AC775" s="408">
        <v>0</v>
      </c>
      <c r="AD775" s="408">
        <v>0</v>
      </c>
      <c r="AE775" s="408">
        <v>0</v>
      </c>
      <c r="AF775" s="408"/>
      <c r="AG775" s="408"/>
      <c r="AH775" s="408"/>
      <c r="AI775" s="408">
        <v>0</v>
      </c>
      <c r="AJ775" s="408">
        <v>0</v>
      </c>
      <c r="AK775" s="408">
        <v>0</v>
      </c>
      <c r="AL775" s="408">
        <v>6387.7751130586475</v>
      </c>
      <c r="AM775" s="408"/>
      <c r="AN775" s="408">
        <v>839.89703493765853</v>
      </c>
      <c r="AO775" s="408">
        <v>0</v>
      </c>
      <c r="AP775" s="408">
        <v>0</v>
      </c>
      <c r="AQ775" s="408">
        <v>0</v>
      </c>
      <c r="AR775" s="408">
        <v>0</v>
      </c>
      <c r="AS775" s="408"/>
      <c r="AT775" s="408"/>
      <c r="AU775" s="408">
        <v>0</v>
      </c>
      <c r="AV775" s="408">
        <v>0</v>
      </c>
      <c r="AW775" s="408">
        <v>0</v>
      </c>
      <c r="AX775" s="408"/>
      <c r="AY775" s="408"/>
      <c r="AZ775" s="408">
        <v>0</v>
      </c>
      <c r="BA775" s="408"/>
      <c r="BB775" s="408">
        <v>0</v>
      </c>
      <c r="BC775" s="408">
        <v>0</v>
      </c>
      <c r="BD775" s="408">
        <v>0</v>
      </c>
      <c r="BE775" s="408">
        <v>126.10892806377603</v>
      </c>
      <c r="BF775" s="408"/>
      <c r="BG775" s="408">
        <v>4222.8535414315784</v>
      </c>
      <c r="BH775" s="408">
        <v>0</v>
      </c>
      <c r="BI775" s="408">
        <v>0</v>
      </c>
      <c r="BJ775" s="408">
        <v>0</v>
      </c>
      <c r="BK775" s="408">
        <v>0</v>
      </c>
      <c r="BL775" s="408">
        <v>0</v>
      </c>
      <c r="BM775" s="408"/>
      <c r="BN775" s="408"/>
      <c r="BO775" s="408"/>
      <c r="BP775" s="408"/>
      <c r="BQ775" s="408"/>
      <c r="BR775" s="408"/>
      <c r="BS775" s="408"/>
      <c r="BT775" s="408"/>
      <c r="BU775" s="408"/>
      <c r="BV775" s="408">
        <v>4348.9624694953545</v>
      </c>
      <c r="BW775" s="408"/>
      <c r="BX775" s="408"/>
      <c r="BY775" s="408"/>
      <c r="BZ775" s="408"/>
      <c r="CA775" s="408"/>
      <c r="CB775" s="408"/>
      <c r="CC775" s="408"/>
      <c r="CD775" s="408"/>
      <c r="CE775" s="408"/>
      <c r="CF775" s="408"/>
      <c r="CG775" s="408"/>
      <c r="CH775" s="408"/>
      <c r="CI775" s="408">
        <v>46849.921999999999</v>
      </c>
      <c r="CJ775" s="408">
        <v>-682.49784000000363</v>
      </c>
      <c r="CK775" s="408"/>
      <c r="CL775" s="408"/>
      <c r="CM775" s="408"/>
      <c r="CN775" s="408"/>
      <c r="CO775" s="408">
        <v>-682.60648000000344</v>
      </c>
      <c r="CP775" s="408">
        <v>0</v>
      </c>
      <c r="CQ775" s="408">
        <v>30</v>
      </c>
      <c r="CR775" s="408">
        <v>-683.8911930929753</v>
      </c>
      <c r="CS775" s="408">
        <v>0</v>
      </c>
      <c r="CT775" s="408">
        <v>0</v>
      </c>
      <c r="CU775" s="408">
        <v>0</v>
      </c>
      <c r="CV775" s="408">
        <v>0</v>
      </c>
      <c r="CW775" s="408"/>
      <c r="CX775" s="408"/>
      <c r="CY775" s="408"/>
      <c r="CZ775" s="408">
        <v>0</v>
      </c>
      <c r="DA775" s="408">
        <v>0</v>
      </c>
      <c r="DB775" s="408">
        <v>0</v>
      </c>
      <c r="DC775" s="408"/>
      <c r="DD775" s="408"/>
      <c r="DE775" s="408">
        <v>16.187474679456841</v>
      </c>
      <c r="DF775" s="408">
        <v>0</v>
      </c>
      <c r="DG775" s="408">
        <v>542.04992324102386</v>
      </c>
      <c r="DH775" s="408">
        <v>0</v>
      </c>
      <c r="DI775" s="408">
        <v>-1050.8068946305139</v>
      </c>
      <c r="DJ775" s="408"/>
      <c r="DK775" s="408">
        <v>0</v>
      </c>
      <c r="DL775" s="408">
        <v>0</v>
      </c>
      <c r="DM775" s="408"/>
      <c r="DN775" s="408">
        <v>0</v>
      </c>
      <c r="DO775" s="408">
        <v>-165.44116905729243</v>
      </c>
      <c r="DP775" s="408">
        <v>-25.880527325648245</v>
      </c>
      <c r="DQ775" s="408">
        <v>0</v>
      </c>
      <c r="DR775" s="408">
        <v>0</v>
      </c>
      <c r="DS775" s="408"/>
      <c r="DT775" s="408"/>
      <c r="DU775" s="408"/>
      <c r="DV775" s="408">
        <v>0</v>
      </c>
      <c r="DW775" s="408">
        <v>0</v>
      </c>
      <c r="DX775" s="408">
        <v>0</v>
      </c>
      <c r="DY775" s="408">
        <v>-682.60648000000219</v>
      </c>
      <c r="DZ775" s="408"/>
      <c r="EA775" s="408">
        <v>0</v>
      </c>
      <c r="EB775" s="408"/>
      <c r="EC775" s="408">
        <v>0</v>
      </c>
      <c r="ED775" s="408"/>
      <c r="EE775" s="408">
        <v>0</v>
      </c>
      <c r="EF775" s="408">
        <v>0</v>
      </c>
      <c r="EG775" s="408"/>
      <c r="EH775" s="408">
        <v>0</v>
      </c>
      <c r="EI775" s="408">
        <v>0</v>
      </c>
      <c r="EJ775" s="408">
        <v>0</v>
      </c>
      <c r="EK775" s="408">
        <v>0</v>
      </c>
      <c r="EL775" s="408">
        <v>0</v>
      </c>
      <c r="EM775" s="408"/>
      <c r="EN775" s="408"/>
      <c r="EO775" s="408">
        <v>0</v>
      </c>
      <c r="EP775" s="408">
        <v>0</v>
      </c>
      <c r="EQ775" s="408"/>
      <c r="ER775" s="408">
        <v>0</v>
      </c>
      <c r="ES775" s="408"/>
      <c r="ET775" s="408">
        <v>0</v>
      </c>
      <c r="EU775" s="408"/>
      <c r="EV775" s="408">
        <v>239</v>
      </c>
      <c r="EW775" s="408"/>
      <c r="EX775" s="408"/>
      <c r="EY775" s="408"/>
      <c r="EZ775" s="408"/>
      <c r="FA775" s="408">
        <v>0</v>
      </c>
      <c r="FB775" s="408"/>
      <c r="FC775" s="408"/>
      <c r="FD775" s="408"/>
      <c r="FE775" s="408"/>
      <c r="FF775" s="408">
        <v>0</v>
      </c>
      <c r="FG775" s="408">
        <v>0</v>
      </c>
      <c r="FH775" s="408">
        <v>0</v>
      </c>
      <c r="FI775" s="408">
        <v>0</v>
      </c>
    </row>
    <row r="776" spans="1:165">
      <c r="A776" s="408">
        <v>783</v>
      </c>
      <c r="B776" s="408" t="s">
        <v>1034</v>
      </c>
      <c r="C776" s="408" t="s">
        <v>2241</v>
      </c>
      <c r="D776" s="408" t="s">
        <v>596</v>
      </c>
      <c r="E776" s="408" t="s">
        <v>968</v>
      </c>
      <c r="F776" s="408" t="s">
        <v>1320</v>
      </c>
      <c r="G776" s="408" t="s">
        <v>2323</v>
      </c>
      <c r="H776" s="408" t="s">
        <v>1320</v>
      </c>
      <c r="I776" s="408" t="s">
        <v>1320</v>
      </c>
      <c r="J776" s="408" t="s">
        <v>2324</v>
      </c>
      <c r="K776" s="827">
        <v>44440</v>
      </c>
      <c r="L776" s="408">
        <v>3438</v>
      </c>
      <c r="M776" s="408">
        <v>1214.3016</v>
      </c>
      <c r="N776" s="408">
        <v>0</v>
      </c>
      <c r="O776" s="408">
        <v>0</v>
      </c>
      <c r="P776" s="408">
        <v>0</v>
      </c>
      <c r="Q776" s="408">
        <v>0</v>
      </c>
      <c r="R776" s="408">
        <v>59.12</v>
      </c>
      <c r="S776" s="408"/>
      <c r="T776" s="408"/>
      <c r="U776" s="408">
        <v>203254.56</v>
      </c>
      <c r="V776" s="408"/>
      <c r="W776" s="408">
        <v>203254.56</v>
      </c>
      <c r="X776" s="408">
        <v>116995.14</v>
      </c>
      <c r="Y776" s="408">
        <v>0</v>
      </c>
      <c r="Z776" s="408">
        <v>0</v>
      </c>
      <c r="AA776" s="408">
        <v>0</v>
      </c>
      <c r="AB776" s="408">
        <v>0</v>
      </c>
      <c r="AC776" s="408">
        <v>1966.7435291411989</v>
      </c>
      <c r="AD776" s="408">
        <v>17592.32387315965</v>
      </c>
      <c r="AE776" s="408">
        <v>165580.26067292551</v>
      </c>
      <c r="AF776" s="408"/>
      <c r="AG776" s="408"/>
      <c r="AH776" s="408"/>
      <c r="AI776" s="408">
        <v>0</v>
      </c>
      <c r="AJ776" s="408">
        <v>0</v>
      </c>
      <c r="AK776" s="408">
        <v>0</v>
      </c>
      <c r="AL776" s="408">
        <v>0</v>
      </c>
      <c r="AM776" s="408"/>
      <c r="AN776" s="408">
        <v>0</v>
      </c>
      <c r="AO776" s="408">
        <v>4153.3519337424259</v>
      </c>
      <c r="AP776" s="408">
        <v>13961.676276500553</v>
      </c>
      <c r="AQ776" s="408">
        <v>0</v>
      </c>
      <c r="AR776" s="408">
        <v>0</v>
      </c>
      <c r="AS776" s="408"/>
      <c r="AT776" s="408"/>
      <c r="AU776" s="408">
        <v>0</v>
      </c>
      <c r="AV776" s="408">
        <v>0</v>
      </c>
      <c r="AW776" s="408">
        <v>0</v>
      </c>
      <c r="AX776" s="408"/>
      <c r="AY776" s="408"/>
      <c r="AZ776" s="408">
        <v>0</v>
      </c>
      <c r="BA776" s="408"/>
      <c r="BB776" s="408">
        <v>0</v>
      </c>
      <c r="BC776" s="408">
        <v>0</v>
      </c>
      <c r="BD776" s="408">
        <v>0</v>
      </c>
      <c r="BE776" s="408">
        <v>0</v>
      </c>
      <c r="BF776" s="408"/>
      <c r="BG776" s="408">
        <v>0</v>
      </c>
      <c r="BH776" s="408">
        <v>0</v>
      </c>
      <c r="BI776" s="408">
        <v>2895.45</v>
      </c>
      <c r="BJ776" s="408">
        <v>0</v>
      </c>
      <c r="BK776" s="408">
        <v>60936.91</v>
      </c>
      <c r="BL776" s="408">
        <v>3</v>
      </c>
      <c r="BM776" s="408"/>
      <c r="BN776" s="408">
        <v>75672.456552000003</v>
      </c>
      <c r="BO776" s="408"/>
      <c r="BP776" s="408"/>
      <c r="BQ776" s="408"/>
      <c r="BR776" s="408"/>
      <c r="BS776" s="408"/>
      <c r="BT776" s="408"/>
      <c r="BU776" s="408"/>
      <c r="BV776" s="408">
        <v>0</v>
      </c>
      <c r="BW776" s="408"/>
      <c r="BX776" s="408"/>
      <c r="BY776" s="408"/>
      <c r="BZ776" s="408"/>
      <c r="CA776" s="408"/>
      <c r="CB776" s="408"/>
      <c r="CC776" s="408"/>
      <c r="CD776" s="408"/>
      <c r="CE776" s="408"/>
      <c r="CF776" s="408"/>
      <c r="CG776" s="408"/>
      <c r="CH776" s="408"/>
      <c r="CI776" s="408">
        <v>41322.629000000001</v>
      </c>
      <c r="CJ776" s="408">
        <v>-30466.911591999975</v>
      </c>
      <c r="CK776" s="408"/>
      <c r="CL776" s="408"/>
      <c r="CM776" s="408"/>
      <c r="CN776" s="408"/>
      <c r="CO776" s="408">
        <v>-86259.419999999984</v>
      </c>
      <c r="CP776" s="408">
        <v>0</v>
      </c>
      <c r="CQ776" s="408">
        <v>30</v>
      </c>
      <c r="CR776" s="408">
        <v>1421.5359172164026</v>
      </c>
      <c r="CS776" s="408">
        <v>403.26423306051583</v>
      </c>
      <c r="CT776" s="408">
        <v>1355.5905605160224</v>
      </c>
      <c r="CU776" s="408">
        <v>0</v>
      </c>
      <c r="CV776" s="408">
        <v>0</v>
      </c>
      <c r="CW776" s="408"/>
      <c r="CX776" s="408"/>
      <c r="CY776" s="408"/>
      <c r="CZ776" s="408">
        <v>-337.31887636013562</v>
      </c>
      <c r="DA776" s="408">
        <v>0</v>
      </c>
      <c r="DB776" s="408">
        <v>0</v>
      </c>
      <c r="DC776" s="408"/>
      <c r="DD776" s="408"/>
      <c r="DE776" s="408">
        <v>0</v>
      </c>
      <c r="DF776" s="408">
        <v>0</v>
      </c>
      <c r="DG776" s="408">
        <v>0</v>
      </c>
      <c r="DH776" s="408">
        <v>0</v>
      </c>
      <c r="DI776" s="408">
        <v>0</v>
      </c>
      <c r="DJ776" s="408"/>
      <c r="DK776" s="408">
        <v>0</v>
      </c>
      <c r="DL776" s="408">
        <v>0</v>
      </c>
      <c r="DM776" s="408"/>
      <c r="DN776" s="408">
        <v>0</v>
      </c>
      <c r="DO776" s="408">
        <v>0</v>
      </c>
      <c r="DP776" s="408">
        <v>0</v>
      </c>
      <c r="DQ776" s="408">
        <v>0</v>
      </c>
      <c r="DR776" s="408">
        <v>0</v>
      </c>
      <c r="DS776" s="408"/>
      <c r="DT776" s="408"/>
      <c r="DU776" s="408">
        <v>165580.26067292551</v>
      </c>
      <c r="DV776" s="408"/>
      <c r="DW776" s="408">
        <v>0</v>
      </c>
      <c r="DX776" s="408">
        <v>0</v>
      </c>
      <c r="DY776" s="408">
        <v>-86259.42</v>
      </c>
      <c r="DZ776" s="408"/>
      <c r="EA776" s="408">
        <v>0</v>
      </c>
      <c r="EB776" s="408"/>
      <c r="EC776" s="408">
        <v>-87665.969710329344</v>
      </c>
      <c r="ED776" s="408"/>
      <c r="EE776" s="408">
        <v>0</v>
      </c>
      <c r="EF776" s="408">
        <v>0</v>
      </c>
      <c r="EG776" s="408"/>
      <c r="EH776" s="408">
        <v>0</v>
      </c>
      <c r="EI776" s="408">
        <v>0</v>
      </c>
      <c r="EJ776" s="408">
        <v>0</v>
      </c>
      <c r="EK776" s="408">
        <v>0</v>
      </c>
      <c r="EL776" s="408">
        <v>0</v>
      </c>
      <c r="EM776" s="408"/>
      <c r="EN776" s="408"/>
      <c r="EO776" s="408">
        <v>0</v>
      </c>
      <c r="EP776" s="408">
        <v>0</v>
      </c>
      <c r="EQ776" s="408"/>
      <c r="ER776" s="408">
        <v>0</v>
      </c>
      <c r="ES776" s="408"/>
      <c r="ET776" s="408">
        <v>0</v>
      </c>
      <c r="EU776" s="408"/>
      <c r="EV776" s="408">
        <v>239</v>
      </c>
      <c r="EW776" s="408"/>
      <c r="EX776" s="408"/>
      <c r="EY776" s="408"/>
      <c r="EZ776" s="408"/>
      <c r="FA776" s="408">
        <v>0</v>
      </c>
      <c r="FB776" s="408"/>
      <c r="FC776" s="408"/>
      <c r="FD776" s="408"/>
      <c r="FE776" s="408"/>
      <c r="FF776" s="408">
        <v>0</v>
      </c>
      <c r="FG776" s="408">
        <v>0</v>
      </c>
      <c r="FH776" s="408">
        <v>0</v>
      </c>
      <c r="FI776" s="408">
        <v>0</v>
      </c>
    </row>
    <row r="777" spans="1:165">
      <c r="A777" s="408">
        <v>784</v>
      </c>
      <c r="B777" s="408" t="s">
        <v>1034</v>
      </c>
      <c r="C777" s="408" t="s">
        <v>991</v>
      </c>
      <c r="D777" s="408" t="s">
        <v>596</v>
      </c>
      <c r="E777" s="408" t="s">
        <v>1320</v>
      </c>
      <c r="F777" s="408" t="s">
        <v>1320</v>
      </c>
      <c r="G777" s="408" t="s">
        <v>1320</v>
      </c>
      <c r="H777" s="408" t="s">
        <v>2325</v>
      </c>
      <c r="I777" s="408" t="s">
        <v>1320</v>
      </c>
      <c r="J777" s="408" t="s">
        <v>2255</v>
      </c>
      <c r="K777" s="827">
        <v>44440</v>
      </c>
      <c r="L777" s="408">
        <v>2300</v>
      </c>
      <c r="M777" s="408">
        <v>1150</v>
      </c>
      <c r="N777" s="408">
        <v>0</v>
      </c>
      <c r="O777" s="408">
        <v>0</v>
      </c>
      <c r="P777" s="408">
        <v>0</v>
      </c>
      <c r="Q777" s="408">
        <v>0</v>
      </c>
      <c r="R777" s="408">
        <v>21.22</v>
      </c>
      <c r="S777" s="408"/>
      <c r="T777" s="408"/>
      <c r="U777" s="408">
        <v>48806</v>
      </c>
      <c r="V777" s="408"/>
      <c r="W777" s="408">
        <v>48806</v>
      </c>
      <c r="X777" s="408">
        <v>23161</v>
      </c>
      <c r="Y777" s="408">
        <v>0</v>
      </c>
      <c r="Z777" s="408">
        <v>0</v>
      </c>
      <c r="AA777" s="408">
        <v>0</v>
      </c>
      <c r="AB777" s="408">
        <v>0</v>
      </c>
      <c r="AC777" s="408">
        <v>0</v>
      </c>
      <c r="AD777" s="408">
        <v>0</v>
      </c>
      <c r="AE777" s="408">
        <v>48415.733888970302</v>
      </c>
      <c r="AF777" s="408"/>
      <c r="AG777" s="408"/>
      <c r="AH777" s="408"/>
      <c r="AI777" s="408">
        <v>0</v>
      </c>
      <c r="AJ777" s="408">
        <v>0</v>
      </c>
      <c r="AK777" s="408">
        <v>0</v>
      </c>
      <c r="AL777" s="408">
        <v>0</v>
      </c>
      <c r="AM777" s="408"/>
      <c r="AN777" s="408">
        <v>382.49209089480081</v>
      </c>
      <c r="AO777" s="408">
        <v>0</v>
      </c>
      <c r="AP777" s="408">
        <v>0</v>
      </c>
      <c r="AQ777" s="408">
        <v>0</v>
      </c>
      <c r="AR777" s="408">
        <v>0</v>
      </c>
      <c r="AS777" s="408"/>
      <c r="AT777" s="408"/>
      <c r="AU777" s="408">
        <v>0</v>
      </c>
      <c r="AV777" s="408">
        <v>0</v>
      </c>
      <c r="AW777" s="408">
        <v>0</v>
      </c>
      <c r="AX777" s="408"/>
      <c r="AY777" s="408"/>
      <c r="AZ777" s="408">
        <v>0</v>
      </c>
      <c r="BA777" s="408"/>
      <c r="BB777" s="408">
        <v>0</v>
      </c>
      <c r="BC777" s="408">
        <v>0</v>
      </c>
      <c r="BD777" s="408">
        <v>0</v>
      </c>
      <c r="BE777" s="408">
        <v>0</v>
      </c>
      <c r="BF777" s="408"/>
      <c r="BG777" s="408">
        <v>0</v>
      </c>
      <c r="BH777" s="408">
        <v>0</v>
      </c>
      <c r="BI777" s="408">
        <v>530.66</v>
      </c>
      <c r="BJ777" s="408">
        <v>0</v>
      </c>
      <c r="BK777" s="408">
        <v>0</v>
      </c>
      <c r="BL777" s="408">
        <v>0</v>
      </c>
      <c r="BM777" s="408"/>
      <c r="BN777" s="408"/>
      <c r="BO777" s="408">
        <v>11580.5</v>
      </c>
      <c r="BP777" s="408"/>
      <c r="BQ777" s="408"/>
      <c r="BR777" s="408"/>
      <c r="BS777" s="408"/>
      <c r="BT777" s="408"/>
      <c r="BU777" s="408"/>
      <c r="BV777" s="408">
        <v>0</v>
      </c>
      <c r="BW777" s="408"/>
      <c r="BX777" s="408"/>
      <c r="BY777" s="408"/>
      <c r="BZ777" s="408"/>
      <c r="CA777" s="408"/>
      <c r="CB777" s="408"/>
      <c r="CC777" s="408"/>
      <c r="CD777" s="408"/>
      <c r="CE777" s="408"/>
      <c r="CF777" s="408"/>
      <c r="CG777" s="408"/>
      <c r="CH777" s="408"/>
      <c r="CI777" s="408">
        <v>11580.5</v>
      </c>
      <c r="CJ777" s="408">
        <v>-12822.529999999995</v>
      </c>
      <c r="CK777" s="408"/>
      <c r="CL777" s="408"/>
      <c r="CM777" s="408"/>
      <c r="CN777" s="408"/>
      <c r="CO777" s="408">
        <v>-25644.999999999996</v>
      </c>
      <c r="CP777" s="408">
        <v>0</v>
      </c>
      <c r="CQ777" s="408">
        <v>30</v>
      </c>
      <c r="CR777" s="408">
        <v>-11.786084006094825</v>
      </c>
      <c r="CS777" s="408">
        <v>0</v>
      </c>
      <c r="CT777" s="408">
        <v>0</v>
      </c>
      <c r="CU777" s="408">
        <v>0</v>
      </c>
      <c r="CV777" s="408">
        <v>0</v>
      </c>
      <c r="CW777" s="408"/>
      <c r="CX777" s="408"/>
      <c r="CY777" s="408"/>
      <c r="CZ777" s="408">
        <v>0</v>
      </c>
      <c r="DA777" s="408">
        <v>0</v>
      </c>
      <c r="DB777" s="408">
        <v>0</v>
      </c>
      <c r="DC777" s="408"/>
      <c r="DD777" s="408"/>
      <c r="DE777" s="408">
        <v>0</v>
      </c>
      <c r="DF777" s="408">
        <v>0</v>
      </c>
      <c r="DG777" s="408">
        <v>0</v>
      </c>
      <c r="DH777" s="408">
        <v>0</v>
      </c>
      <c r="DI777" s="408">
        <v>0</v>
      </c>
      <c r="DJ777" s="408"/>
      <c r="DK777" s="408">
        <v>0</v>
      </c>
      <c r="DL777" s="408">
        <v>0</v>
      </c>
      <c r="DM777" s="408"/>
      <c r="DN777" s="408">
        <v>0</v>
      </c>
      <c r="DO777" s="408">
        <v>0</v>
      </c>
      <c r="DP777" s="408">
        <v>-11.786084006094825</v>
      </c>
      <c r="DQ777" s="408">
        <v>0</v>
      </c>
      <c r="DR777" s="408">
        <v>0</v>
      </c>
      <c r="DS777" s="408"/>
      <c r="DT777" s="408"/>
      <c r="DU777" s="408">
        <v>48415.733888970302</v>
      </c>
      <c r="DV777" s="408"/>
      <c r="DW777" s="408">
        <v>0</v>
      </c>
      <c r="DX777" s="408">
        <v>0</v>
      </c>
      <c r="DY777" s="408">
        <v>-25645</v>
      </c>
      <c r="DZ777" s="408"/>
      <c r="EA777" s="408">
        <v>0</v>
      </c>
      <c r="EB777" s="408"/>
      <c r="EC777" s="408">
        <v>-25633.564311134465</v>
      </c>
      <c r="ED777" s="408"/>
      <c r="EE777" s="408">
        <v>0</v>
      </c>
      <c r="EF777" s="408">
        <v>0</v>
      </c>
      <c r="EG777" s="408"/>
      <c r="EH777" s="408">
        <v>0</v>
      </c>
      <c r="EI777" s="408">
        <v>0</v>
      </c>
      <c r="EJ777" s="408">
        <v>0</v>
      </c>
      <c r="EK777" s="408">
        <v>0</v>
      </c>
      <c r="EL777" s="408">
        <v>0</v>
      </c>
      <c r="EM777" s="408"/>
      <c r="EN777" s="408"/>
      <c r="EO777" s="408">
        <v>0</v>
      </c>
      <c r="EP777" s="408">
        <v>0</v>
      </c>
      <c r="EQ777" s="408"/>
      <c r="ER777" s="408">
        <v>0</v>
      </c>
      <c r="ES777" s="408"/>
      <c r="ET777" s="408">
        <v>0</v>
      </c>
      <c r="EU777" s="408"/>
      <c r="EV777" s="408">
        <v>239</v>
      </c>
      <c r="EW777" s="408"/>
      <c r="EX777" s="408"/>
      <c r="EY777" s="408"/>
      <c r="EZ777" s="408"/>
      <c r="FA777" s="408">
        <v>0</v>
      </c>
      <c r="FB777" s="408"/>
      <c r="FC777" s="408"/>
      <c r="FD777" s="408"/>
      <c r="FE777" s="408"/>
      <c r="FF777" s="408">
        <v>0</v>
      </c>
      <c r="FG777" s="408">
        <v>0</v>
      </c>
      <c r="FH777" s="408">
        <v>0</v>
      </c>
      <c r="FI777" s="408">
        <v>0</v>
      </c>
    </row>
    <row r="778" spans="1:165">
      <c r="A778" s="408">
        <v>785</v>
      </c>
      <c r="B778" s="408" t="s">
        <v>1034</v>
      </c>
      <c r="C778" s="408" t="s">
        <v>2241</v>
      </c>
      <c r="D778" s="408" t="s">
        <v>596</v>
      </c>
      <c r="E778" s="408" t="s">
        <v>968</v>
      </c>
      <c r="F778" s="408" t="s">
        <v>1320</v>
      </c>
      <c r="G778" s="408" t="s">
        <v>2323</v>
      </c>
      <c r="H778" s="408" t="s">
        <v>1320</v>
      </c>
      <c r="I778" s="408" t="s">
        <v>971</v>
      </c>
      <c r="J778" s="408" t="s">
        <v>2324</v>
      </c>
      <c r="K778" s="827">
        <v>44470</v>
      </c>
      <c r="L778" s="408">
        <v>0</v>
      </c>
      <c r="M778" s="408">
        <v>0</v>
      </c>
      <c r="N778" s="408">
        <v>10.971</v>
      </c>
      <c r="O778" s="408">
        <v>5.2309728</v>
      </c>
      <c r="P778" s="408">
        <v>0</v>
      </c>
      <c r="Q778" s="408">
        <v>0</v>
      </c>
      <c r="R778" s="408"/>
      <c r="S778" s="408">
        <v>1684.16</v>
      </c>
      <c r="T778" s="408"/>
      <c r="U778" s="408"/>
      <c r="V778" s="408">
        <v>18476.91936</v>
      </c>
      <c r="W778" s="408">
        <v>18476.91936</v>
      </c>
      <c r="X778" s="408">
        <v>11853.616950000001</v>
      </c>
      <c r="Y778" s="408">
        <v>0</v>
      </c>
      <c r="Z778" s="408">
        <v>583.65749083551282</v>
      </c>
      <c r="AA778" s="408">
        <v>0</v>
      </c>
      <c r="AB778" s="408">
        <v>0</v>
      </c>
      <c r="AC778" s="408">
        <v>197.47141586115708</v>
      </c>
      <c r="AD778" s="408">
        <v>3012.4822290341199</v>
      </c>
      <c r="AE778" s="408">
        <v>12707.626529242778</v>
      </c>
      <c r="AF778" s="408"/>
      <c r="AG778" s="408"/>
      <c r="AH778" s="408"/>
      <c r="AI778" s="408">
        <v>0</v>
      </c>
      <c r="AJ778" s="408">
        <v>0</v>
      </c>
      <c r="AK778" s="408">
        <v>0</v>
      </c>
      <c r="AL778" s="408">
        <v>103.69236983074067</v>
      </c>
      <c r="AM778" s="408"/>
      <c r="AN778" s="408">
        <v>13.633998133161676</v>
      </c>
      <c r="AO778" s="408">
        <v>424.09655175457522</v>
      </c>
      <c r="AP778" s="408">
        <v>1363.6807196372376</v>
      </c>
      <c r="AQ778" s="408">
        <v>0</v>
      </c>
      <c r="AR778" s="408">
        <v>0</v>
      </c>
      <c r="AS778" s="408"/>
      <c r="AT778" s="408"/>
      <c r="AU778" s="408">
        <v>0</v>
      </c>
      <c r="AV778" s="408">
        <v>0</v>
      </c>
      <c r="AW778" s="408">
        <v>0</v>
      </c>
      <c r="AX778" s="408"/>
      <c r="AY778" s="408"/>
      <c r="AZ778" s="408">
        <v>0</v>
      </c>
      <c r="BA778" s="408"/>
      <c r="BB778" s="408">
        <v>0</v>
      </c>
      <c r="BC778" s="408">
        <v>0</v>
      </c>
      <c r="BD778" s="408">
        <v>0</v>
      </c>
      <c r="BE778" s="408">
        <v>2.0471186565436121</v>
      </c>
      <c r="BF778" s="408"/>
      <c r="BG778" s="408">
        <v>68.549327959904957</v>
      </c>
      <c r="BH778" s="408">
        <v>0</v>
      </c>
      <c r="BI778" s="408">
        <v>0</v>
      </c>
      <c r="BJ778" s="408">
        <v>0</v>
      </c>
      <c r="BK778" s="408">
        <v>0</v>
      </c>
      <c r="BL778" s="408">
        <v>0</v>
      </c>
      <c r="BM778" s="408"/>
      <c r="BN778" s="408">
        <v>6201.8123882400005</v>
      </c>
      <c r="BO778" s="408"/>
      <c r="BP778" s="408"/>
      <c r="BQ778" s="408"/>
      <c r="BR778" s="408"/>
      <c r="BS778" s="408"/>
      <c r="BT778" s="408"/>
      <c r="BU778" s="408"/>
      <c r="BV778" s="408">
        <v>70.596446616448574</v>
      </c>
      <c r="BW778" s="408"/>
      <c r="BX778" s="408"/>
      <c r="BY778" s="408"/>
      <c r="BZ778" s="408"/>
      <c r="CA778" s="408"/>
      <c r="CB778" s="408"/>
      <c r="CC778" s="408"/>
      <c r="CD778" s="408"/>
      <c r="CE778" s="408"/>
      <c r="CF778" s="408"/>
      <c r="CG778" s="408"/>
      <c r="CH778" s="408"/>
      <c r="CI778" s="408">
        <v>5650.7535000000007</v>
      </c>
      <c r="CJ778" s="408">
        <v>-3159.071650848</v>
      </c>
      <c r="CK778" s="408"/>
      <c r="CL778" s="408"/>
      <c r="CM778" s="408"/>
      <c r="CN778" s="408"/>
      <c r="CO778" s="408">
        <v>-6623.3024100000002</v>
      </c>
      <c r="CP778" s="408">
        <v>0</v>
      </c>
      <c r="CQ778" s="408">
        <v>31</v>
      </c>
      <c r="CR778" s="408">
        <v>104.71835298815859</v>
      </c>
      <c r="CS778" s="408">
        <v>41.177095852990988</v>
      </c>
      <c r="CT778" s="408">
        <v>132.40478252667276</v>
      </c>
      <c r="CU778" s="408">
        <v>0</v>
      </c>
      <c r="CV778" s="408">
        <v>0</v>
      </c>
      <c r="CW778" s="408"/>
      <c r="CX778" s="408"/>
      <c r="CY778" s="408"/>
      <c r="CZ778" s="408">
        <v>-57.761960721011747</v>
      </c>
      <c r="DA778" s="408">
        <v>0</v>
      </c>
      <c r="DB778" s="408">
        <v>0</v>
      </c>
      <c r="DC778" s="408"/>
      <c r="DD778" s="408"/>
      <c r="DE778" s="408">
        <v>0.26277030442987304</v>
      </c>
      <c r="DF778" s="408">
        <v>0</v>
      </c>
      <c r="DG778" s="408">
        <v>8.7990638544129496</v>
      </c>
      <c r="DH778" s="408">
        <v>0</v>
      </c>
      <c r="DI778" s="408">
        <v>-17.057685220628628</v>
      </c>
      <c r="DJ778" s="408"/>
      <c r="DK778" s="408">
        <v>0</v>
      </c>
      <c r="DL778" s="408">
        <v>0</v>
      </c>
      <c r="DM778" s="408"/>
      <c r="DN778" s="408">
        <v>0</v>
      </c>
      <c r="DO778" s="408">
        <v>-2.6855965627294154</v>
      </c>
      <c r="DP778" s="408">
        <v>-0.42011704597733157</v>
      </c>
      <c r="DQ778" s="408">
        <v>0</v>
      </c>
      <c r="DR778" s="408">
        <v>0</v>
      </c>
      <c r="DS778" s="408"/>
      <c r="DT778" s="408"/>
      <c r="DU778" s="408"/>
      <c r="DV778" s="408">
        <v>12707.626529242778</v>
      </c>
      <c r="DW778" s="408">
        <v>0</v>
      </c>
      <c r="DX778" s="408">
        <v>0</v>
      </c>
      <c r="DY778" s="408">
        <v>-6623.3024099999984</v>
      </c>
      <c r="DZ778" s="408"/>
      <c r="EA778" s="408">
        <v>0</v>
      </c>
      <c r="EB778" s="408"/>
      <c r="EC778" s="408">
        <v>-6728.0145463917033</v>
      </c>
      <c r="ED778" s="408"/>
      <c r="EE778" s="408">
        <v>0</v>
      </c>
      <c r="EF778" s="408">
        <v>0</v>
      </c>
      <c r="EG778" s="408"/>
      <c r="EH778" s="408">
        <v>0</v>
      </c>
      <c r="EI778" s="408">
        <v>0</v>
      </c>
      <c r="EJ778" s="408">
        <v>0</v>
      </c>
      <c r="EK778" s="408">
        <v>0</v>
      </c>
      <c r="EL778" s="408">
        <v>0</v>
      </c>
      <c r="EM778" s="408"/>
      <c r="EN778" s="408"/>
      <c r="EO778" s="408">
        <v>0</v>
      </c>
      <c r="EP778" s="408">
        <v>0</v>
      </c>
      <c r="EQ778" s="408"/>
      <c r="ER778" s="408">
        <v>0</v>
      </c>
      <c r="ES778" s="408"/>
      <c r="ET778" s="408">
        <v>0</v>
      </c>
      <c r="EU778" s="408"/>
      <c r="EV778" s="408">
        <v>239</v>
      </c>
      <c r="EW778" s="408"/>
      <c r="EX778" s="408"/>
      <c r="EY778" s="408"/>
      <c r="EZ778" s="408"/>
      <c r="FA778" s="408">
        <v>0</v>
      </c>
      <c r="FB778" s="408"/>
      <c r="FC778" s="408"/>
      <c r="FD778" s="408"/>
      <c r="FE778" s="408"/>
      <c r="FF778" s="408">
        <v>0</v>
      </c>
      <c r="FG778" s="408">
        <v>0</v>
      </c>
      <c r="FH778" s="408">
        <v>0</v>
      </c>
      <c r="FI778" s="408">
        <v>0</v>
      </c>
    </row>
    <row r="779" spans="1:165">
      <c r="A779" s="408">
        <v>786</v>
      </c>
      <c r="B779" s="408" t="s">
        <v>1034</v>
      </c>
      <c r="C779" s="408" t="s">
        <v>2241</v>
      </c>
      <c r="D779" s="408" t="s">
        <v>596</v>
      </c>
      <c r="E779" s="408" t="s">
        <v>968</v>
      </c>
      <c r="F779" s="408" t="s">
        <v>1320</v>
      </c>
      <c r="G779" s="408" t="s">
        <v>2323</v>
      </c>
      <c r="H779" s="408" t="s">
        <v>1320</v>
      </c>
      <c r="I779" s="408" t="s">
        <v>2242</v>
      </c>
      <c r="J779" s="408" t="s">
        <v>2324</v>
      </c>
      <c r="K779" s="827">
        <v>44470</v>
      </c>
      <c r="L779" s="408">
        <v>0</v>
      </c>
      <c r="M779" s="408">
        <v>0</v>
      </c>
      <c r="N779" s="408">
        <v>713.51300000000003</v>
      </c>
      <c r="O779" s="408">
        <v>713.51300000000003</v>
      </c>
      <c r="P779" s="408">
        <v>0</v>
      </c>
      <c r="Q779" s="408">
        <v>0</v>
      </c>
      <c r="R779" s="408"/>
      <c r="S779" s="408">
        <v>70.33</v>
      </c>
      <c r="T779" s="408"/>
      <c r="U779" s="408"/>
      <c r="V779" s="408">
        <v>50181.369290000002</v>
      </c>
      <c r="W779" s="408">
        <v>50181.369290000002</v>
      </c>
      <c r="X779" s="408">
        <v>49460.721160000001</v>
      </c>
      <c r="Y779" s="408">
        <v>0</v>
      </c>
      <c r="Z779" s="408">
        <v>37958.910514859104</v>
      </c>
      <c r="AA779" s="408">
        <v>0</v>
      </c>
      <c r="AB779" s="408">
        <v>0</v>
      </c>
      <c r="AC779" s="408">
        <v>0</v>
      </c>
      <c r="AD779" s="408">
        <v>0</v>
      </c>
      <c r="AE779" s="408">
        <v>0</v>
      </c>
      <c r="AF779" s="408"/>
      <c r="AG779" s="408"/>
      <c r="AH779" s="408"/>
      <c r="AI779" s="408">
        <v>0</v>
      </c>
      <c r="AJ779" s="408">
        <v>0</v>
      </c>
      <c r="AK779" s="408">
        <v>0</v>
      </c>
      <c r="AL779" s="408">
        <v>6743.765734667877</v>
      </c>
      <c r="AM779" s="408"/>
      <c r="AN779" s="408">
        <v>886.70448546044918</v>
      </c>
      <c r="AO779" s="408">
        <v>0</v>
      </c>
      <c r="AP779" s="408">
        <v>0</v>
      </c>
      <c r="AQ779" s="408">
        <v>0</v>
      </c>
      <c r="AR779" s="408">
        <v>0</v>
      </c>
      <c r="AS779" s="408"/>
      <c r="AT779" s="408"/>
      <c r="AU779" s="408">
        <v>0</v>
      </c>
      <c r="AV779" s="408">
        <v>0</v>
      </c>
      <c r="AW779" s="408">
        <v>0</v>
      </c>
      <c r="AX779" s="408"/>
      <c r="AY779" s="408"/>
      <c r="AZ779" s="408">
        <v>0</v>
      </c>
      <c r="BA779" s="408"/>
      <c r="BB779" s="408">
        <v>0</v>
      </c>
      <c r="BC779" s="408">
        <v>0</v>
      </c>
      <c r="BD779" s="408">
        <v>0</v>
      </c>
      <c r="BE779" s="408">
        <v>133.13697693796394</v>
      </c>
      <c r="BF779" s="408"/>
      <c r="BG779" s="408">
        <v>4458.1931128115639</v>
      </c>
      <c r="BH779" s="408">
        <v>0</v>
      </c>
      <c r="BI779" s="408">
        <v>0</v>
      </c>
      <c r="BJ779" s="408">
        <v>0</v>
      </c>
      <c r="BK779" s="408">
        <v>0</v>
      </c>
      <c r="BL779" s="408">
        <v>0</v>
      </c>
      <c r="BM779" s="408"/>
      <c r="BN779" s="408"/>
      <c r="BO779" s="408"/>
      <c r="BP779" s="408"/>
      <c r="BQ779" s="408"/>
      <c r="BR779" s="408"/>
      <c r="BS779" s="408"/>
      <c r="BT779" s="408"/>
      <c r="BU779" s="408"/>
      <c r="BV779" s="408">
        <v>4591.3300897495283</v>
      </c>
      <c r="BW779" s="408"/>
      <c r="BX779" s="408"/>
      <c r="BY779" s="408"/>
      <c r="BZ779" s="408"/>
      <c r="CA779" s="408"/>
      <c r="CB779" s="408"/>
      <c r="CC779" s="408"/>
      <c r="CD779" s="408"/>
      <c r="CE779" s="408"/>
      <c r="CF779" s="408"/>
      <c r="CG779" s="408"/>
      <c r="CH779" s="408"/>
      <c r="CI779" s="408">
        <v>49460.513199999994</v>
      </c>
      <c r="CJ779" s="408">
        <v>-720.88609000001452</v>
      </c>
      <c r="CK779" s="408"/>
      <c r="CL779" s="408"/>
      <c r="CM779" s="408"/>
      <c r="CN779" s="408"/>
      <c r="CO779" s="408">
        <v>-720.64813000000368</v>
      </c>
      <c r="CP779" s="408">
        <v>0</v>
      </c>
      <c r="CQ779" s="408">
        <v>31</v>
      </c>
      <c r="CR779" s="408">
        <v>-722.00444013645756</v>
      </c>
      <c r="CS779" s="408">
        <v>0</v>
      </c>
      <c r="CT779" s="408">
        <v>0</v>
      </c>
      <c r="CU779" s="408">
        <v>0</v>
      </c>
      <c r="CV779" s="408">
        <v>0</v>
      </c>
      <c r="CW779" s="408"/>
      <c r="CX779" s="408"/>
      <c r="CY779" s="408"/>
      <c r="CZ779" s="408">
        <v>0</v>
      </c>
      <c r="DA779" s="408">
        <v>0</v>
      </c>
      <c r="DB779" s="408">
        <v>0</v>
      </c>
      <c r="DC779" s="408"/>
      <c r="DD779" s="408"/>
      <c r="DE779" s="408">
        <v>17.089602426822694</v>
      </c>
      <c r="DF779" s="408">
        <v>0</v>
      </c>
      <c r="DG779" s="408">
        <v>572.25835821290184</v>
      </c>
      <c r="DH779" s="408">
        <v>0</v>
      </c>
      <c r="DI779" s="408">
        <v>-1109.3683488129027</v>
      </c>
      <c r="DJ779" s="408"/>
      <c r="DK779" s="408">
        <v>0</v>
      </c>
      <c r="DL779" s="408">
        <v>0</v>
      </c>
      <c r="DM779" s="408"/>
      <c r="DN779" s="408">
        <v>0</v>
      </c>
      <c r="DO779" s="408">
        <v>-174.66120319594938</v>
      </c>
      <c r="DP779" s="408">
        <v>-27.322848767334222</v>
      </c>
      <c r="DQ779" s="408">
        <v>0</v>
      </c>
      <c r="DR779" s="408">
        <v>0</v>
      </c>
      <c r="DS779" s="408"/>
      <c r="DT779" s="408"/>
      <c r="DU779" s="408"/>
      <c r="DV779" s="408">
        <v>0</v>
      </c>
      <c r="DW779" s="408">
        <v>0</v>
      </c>
      <c r="DX779" s="408">
        <v>0</v>
      </c>
      <c r="DY779" s="408">
        <v>-720.6481300000014</v>
      </c>
      <c r="DZ779" s="408"/>
      <c r="EA779" s="408">
        <v>0</v>
      </c>
      <c r="EB779" s="408"/>
      <c r="EC779" s="408">
        <v>0</v>
      </c>
      <c r="ED779" s="408"/>
      <c r="EE779" s="408">
        <v>0</v>
      </c>
      <c r="EF779" s="408">
        <v>0</v>
      </c>
      <c r="EG779" s="408"/>
      <c r="EH779" s="408">
        <v>0</v>
      </c>
      <c r="EI779" s="408">
        <v>0</v>
      </c>
      <c r="EJ779" s="408">
        <v>0</v>
      </c>
      <c r="EK779" s="408">
        <v>0</v>
      </c>
      <c r="EL779" s="408">
        <v>0</v>
      </c>
      <c r="EM779" s="408"/>
      <c r="EN779" s="408"/>
      <c r="EO779" s="408">
        <v>0</v>
      </c>
      <c r="EP779" s="408">
        <v>0</v>
      </c>
      <c r="EQ779" s="408"/>
      <c r="ER779" s="408">
        <v>0</v>
      </c>
      <c r="ES779" s="408"/>
      <c r="ET779" s="408">
        <v>0</v>
      </c>
      <c r="EU779" s="408"/>
      <c r="EV779" s="408">
        <v>239</v>
      </c>
      <c r="EW779" s="408"/>
      <c r="EX779" s="408"/>
      <c r="EY779" s="408"/>
      <c r="EZ779" s="408"/>
      <c r="FA779" s="408">
        <v>0</v>
      </c>
      <c r="FB779" s="408"/>
      <c r="FC779" s="408"/>
      <c r="FD779" s="408"/>
      <c r="FE779" s="408"/>
      <c r="FF779" s="408">
        <v>0</v>
      </c>
      <c r="FG779" s="408">
        <v>0</v>
      </c>
      <c r="FH779" s="408">
        <v>0</v>
      </c>
      <c r="FI779" s="408">
        <v>0</v>
      </c>
    </row>
    <row r="780" spans="1:165">
      <c r="A780" s="408">
        <v>787</v>
      </c>
      <c r="B780" s="408" t="s">
        <v>1034</v>
      </c>
      <c r="C780" s="408" t="s">
        <v>2241</v>
      </c>
      <c r="D780" s="408" t="s">
        <v>596</v>
      </c>
      <c r="E780" s="408" t="s">
        <v>968</v>
      </c>
      <c r="F780" s="408" t="s">
        <v>1320</v>
      </c>
      <c r="G780" s="408" t="s">
        <v>2323</v>
      </c>
      <c r="H780" s="408" t="s">
        <v>1320</v>
      </c>
      <c r="I780" s="408" t="s">
        <v>1320</v>
      </c>
      <c r="J780" s="408" t="s">
        <v>2324</v>
      </c>
      <c r="K780" s="827">
        <v>44470</v>
      </c>
      <c r="L780" s="408">
        <v>3469</v>
      </c>
      <c r="M780" s="408">
        <v>1217.2720999999999</v>
      </c>
      <c r="N780" s="408">
        <v>0</v>
      </c>
      <c r="O780" s="408">
        <v>0</v>
      </c>
      <c r="P780" s="408">
        <v>0</v>
      </c>
      <c r="Q780" s="408">
        <v>0</v>
      </c>
      <c r="R780" s="408">
        <v>59.12</v>
      </c>
      <c r="S780" s="408"/>
      <c r="T780" s="408"/>
      <c r="U780" s="408">
        <v>205087.28</v>
      </c>
      <c r="V780" s="408"/>
      <c r="W780" s="408">
        <v>205087.28</v>
      </c>
      <c r="X780" s="408">
        <v>118050.07</v>
      </c>
      <c r="Y780" s="408">
        <v>0</v>
      </c>
      <c r="Z780" s="408">
        <v>0</v>
      </c>
      <c r="AA780" s="408">
        <v>0</v>
      </c>
      <c r="AB780" s="408">
        <v>0</v>
      </c>
      <c r="AC780" s="408">
        <v>1984.477400404543</v>
      </c>
      <c r="AD780" s="408">
        <v>17750.951575331826</v>
      </c>
      <c r="AE780" s="408">
        <v>167073.27640325148</v>
      </c>
      <c r="AF780" s="408"/>
      <c r="AG780" s="408"/>
      <c r="AH780" s="408"/>
      <c r="AI780" s="408">
        <v>0</v>
      </c>
      <c r="AJ780" s="408">
        <v>0</v>
      </c>
      <c r="AK780" s="408">
        <v>0</v>
      </c>
      <c r="AL780" s="408">
        <v>0</v>
      </c>
      <c r="AM780" s="408"/>
      <c r="AN780" s="408">
        <v>0</v>
      </c>
      <c r="AO780" s="408">
        <v>4190.8021693288183</v>
      </c>
      <c r="AP780" s="408">
        <v>14087.566900285172</v>
      </c>
      <c r="AQ780" s="408">
        <v>0</v>
      </c>
      <c r="AR780" s="408">
        <v>0</v>
      </c>
      <c r="AS780" s="408"/>
      <c r="AT780" s="408"/>
      <c r="AU780" s="408">
        <v>0</v>
      </c>
      <c r="AV780" s="408">
        <v>0</v>
      </c>
      <c r="AW780" s="408">
        <v>0</v>
      </c>
      <c r="AX780" s="408"/>
      <c r="AY780" s="408"/>
      <c r="AZ780" s="408">
        <v>0</v>
      </c>
      <c r="BA780" s="408"/>
      <c r="BB780" s="408">
        <v>0</v>
      </c>
      <c r="BC780" s="408">
        <v>0</v>
      </c>
      <c r="BD780" s="408">
        <v>0</v>
      </c>
      <c r="BE780" s="408">
        <v>0</v>
      </c>
      <c r="BF780" s="408"/>
      <c r="BG780" s="408">
        <v>0</v>
      </c>
      <c r="BH780" s="408">
        <v>0</v>
      </c>
      <c r="BI780" s="408">
        <v>8543.2800000000007</v>
      </c>
      <c r="BJ780" s="408">
        <v>0</v>
      </c>
      <c r="BK780" s="408">
        <v>61967.41</v>
      </c>
      <c r="BL780" s="408">
        <v>3</v>
      </c>
      <c r="BM780" s="408"/>
      <c r="BN780" s="408">
        <v>76626.300436999998</v>
      </c>
      <c r="BO780" s="408"/>
      <c r="BP780" s="408"/>
      <c r="BQ780" s="408"/>
      <c r="BR780" s="408"/>
      <c r="BS780" s="408"/>
      <c r="BT780" s="408"/>
      <c r="BU780" s="408"/>
      <c r="BV780" s="408">
        <v>0</v>
      </c>
      <c r="BW780" s="408"/>
      <c r="BX780" s="408"/>
      <c r="BY780" s="408"/>
      <c r="BZ780" s="408"/>
      <c r="CA780" s="408"/>
      <c r="CB780" s="408"/>
      <c r="CC780" s="408"/>
      <c r="CD780" s="408"/>
      <c r="CE780" s="408"/>
      <c r="CF780" s="408"/>
      <c r="CG780" s="408"/>
      <c r="CH780" s="408"/>
      <c r="CI780" s="408">
        <v>41423.698100000001</v>
      </c>
      <c r="CJ780" s="408">
        <v>-30541.45845199997</v>
      </c>
      <c r="CK780" s="408"/>
      <c r="CL780" s="408"/>
      <c r="CM780" s="408"/>
      <c r="CN780" s="408"/>
      <c r="CO780" s="408">
        <v>-87037.209999999992</v>
      </c>
      <c r="CP780" s="408">
        <v>0</v>
      </c>
      <c r="CQ780" s="408">
        <v>31</v>
      </c>
      <c r="CR780" s="408">
        <v>1434.3537221709485</v>
      </c>
      <c r="CS780" s="408">
        <v>406.90041433592978</v>
      </c>
      <c r="CT780" s="408">
        <v>1367.8137447440604</v>
      </c>
      <c r="CU780" s="408">
        <v>0</v>
      </c>
      <c r="CV780" s="408">
        <v>0</v>
      </c>
      <c r="CW780" s="408"/>
      <c r="CX780" s="408"/>
      <c r="CY780" s="408"/>
      <c r="CZ780" s="408">
        <v>-340.36043690904626</v>
      </c>
      <c r="DA780" s="408">
        <v>0</v>
      </c>
      <c r="DB780" s="408">
        <v>0</v>
      </c>
      <c r="DC780" s="408"/>
      <c r="DD780" s="408"/>
      <c r="DE780" s="408">
        <v>0</v>
      </c>
      <c r="DF780" s="408">
        <v>0</v>
      </c>
      <c r="DG780" s="408">
        <v>0</v>
      </c>
      <c r="DH780" s="408">
        <v>0</v>
      </c>
      <c r="DI780" s="408">
        <v>0</v>
      </c>
      <c r="DJ780" s="408"/>
      <c r="DK780" s="408">
        <v>0</v>
      </c>
      <c r="DL780" s="408">
        <v>0</v>
      </c>
      <c r="DM780" s="408"/>
      <c r="DN780" s="408">
        <v>0</v>
      </c>
      <c r="DO780" s="408">
        <v>0</v>
      </c>
      <c r="DP780" s="408">
        <v>0</v>
      </c>
      <c r="DQ780" s="408">
        <v>0</v>
      </c>
      <c r="DR780" s="408">
        <v>0</v>
      </c>
      <c r="DS780" s="408"/>
      <c r="DT780" s="408"/>
      <c r="DU780" s="408">
        <v>167073.27640325148</v>
      </c>
      <c r="DV780" s="408"/>
      <c r="DW780" s="408">
        <v>0</v>
      </c>
      <c r="DX780" s="408">
        <v>0</v>
      </c>
      <c r="DY780" s="408">
        <v>-87037.209999999992</v>
      </c>
      <c r="DZ780" s="408"/>
      <c r="EA780" s="408">
        <v>0</v>
      </c>
      <c r="EB780" s="408"/>
      <c r="EC780" s="408">
        <v>-88456.442386600509</v>
      </c>
      <c r="ED780" s="408"/>
      <c r="EE780" s="408">
        <v>0</v>
      </c>
      <c r="EF780" s="408">
        <v>0</v>
      </c>
      <c r="EG780" s="408"/>
      <c r="EH780" s="408">
        <v>0</v>
      </c>
      <c r="EI780" s="408">
        <v>0</v>
      </c>
      <c r="EJ780" s="408">
        <v>0</v>
      </c>
      <c r="EK780" s="408">
        <v>0</v>
      </c>
      <c r="EL780" s="408">
        <v>0</v>
      </c>
      <c r="EM780" s="408"/>
      <c r="EN780" s="408"/>
      <c r="EO780" s="408">
        <v>0</v>
      </c>
      <c r="EP780" s="408">
        <v>0</v>
      </c>
      <c r="EQ780" s="408"/>
      <c r="ER780" s="408">
        <v>0</v>
      </c>
      <c r="ES780" s="408"/>
      <c r="ET780" s="408">
        <v>0</v>
      </c>
      <c r="EU780" s="408"/>
      <c r="EV780" s="408">
        <v>239</v>
      </c>
      <c r="EW780" s="408"/>
      <c r="EX780" s="408"/>
      <c r="EY780" s="408"/>
      <c r="EZ780" s="408"/>
      <c r="FA780" s="408">
        <v>0</v>
      </c>
      <c r="FB780" s="408"/>
      <c r="FC780" s="408"/>
      <c r="FD780" s="408"/>
      <c r="FE780" s="408"/>
      <c r="FF780" s="408">
        <v>0</v>
      </c>
      <c r="FG780" s="408">
        <v>0</v>
      </c>
      <c r="FH780" s="408">
        <v>0</v>
      </c>
      <c r="FI780" s="408">
        <v>0</v>
      </c>
    </row>
    <row r="781" spans="1:165">
      <c r="A781" s="408">
        <v>788</v>
      </c>
      <c r="B781" s="408" t="s">
        <v>1034</v>
      </c>
      <c r="C781" s="408" t="s">
        <v>991</v>
      </c>
      <c r="D781" s="408" t="s">
        <v>596</v>
      </c>
      <c r="E781" s="408" t="s">
        <v>1320</v>
      </c>
      <c r="F781" s="408" t="s">
        <v>1320</v>
      </c>
      <c r="G781" s="408" t="s">
        <v>1320</v>
      </c>
      <c r="H781" s="408" t="s">
        <v>2325</v>
      </c>
      <c r="I781" s="408" t="s">
        <v>1320</v>
      </c>
      <c r="J781" s="408" t="s">
        <v>2255</v>
      </c>
      <c r="K781" s="827">
        <v>44470</v>
      </c>
      <c r="L781" s="408">
        <v>2300</v>
      </c>
      <c r="M781" s="408">
        <v>1150</v>
      </c>
      <c r="N781" s="408">
        <v>0</v>
      </c>
      <c r="O781" s="408">
        <v>0</v>
      </c>
      <c r="P781" s="408">
        <v>0</v>
      </c>
      <c r="Q781" s="408">
        <v>0</v>
      </c>
      <c r="R781" s="408">
        <v>21.22</v>
      </c>
      <c r="S781" s="408"/>
      <c r="T781" s="408"/>
      <c r="U781" s="408">
        <v>48806</v>
      </c>
      <c r="V781" s="408"/>
      <c r="W781" s="408">
        <v>48806</v>
      </c>
      <c r="X781" s="408">
        <v>23161</v>
      </c>
      <c r="Y781" s="408">
        <v>0</v>
      </c>
      <c r="Z781" s="408">
        <v>0</v>
      </c>
      <c r="AA781" s="408">
        <v>0</v>
      </c>
      <c r="AB781" s="408">
        <v>0</v>
      </c>
      <c r="AC781" s="408">
        <v>0</v>
      </c>
      <c r="AD781" s="408">
        <v>0</v>
      </c>
      <c r="AE781" s="408">
        <v>48415.733888970302</v>
      </c>
      <c r="AF781" s="408"/>
      <c r="AG781" s="408"/>
      <c r="AH781" s="408"/>
      <c r="AI781" s="408">
        <v>0</v>
      </c>
      <c r="AJ781" s="408">
        <v>0</v>
      </c>
      <c r="AK781" s="408">
        <v>0</v>
      </c>
      <c r="AL781" s="408">
        <v>0</v>
      </c>
      <c r="AM781" s="408"/>
      <c r="AN781" s="408">
        <v>382.49209089480081</v>
      </c>
      <c r="AO781" s="408">
        <v>0</v>
      </c>
      <c r="AP781" s="408">
        <v>0</v>
      </c>
      <c r="AQ781" s="408">
        <v>0</v>
      </c>
      <c r="AR781" s="408">
        <v>0</v>
      </c>
      <c r="AS781" s="408"/>
      <c r="AT781" s="408"/>
      <c r="AU781" s="408">
        <v>0</v>
      </c>
      <c r="AV781" s="408">
        <v>0</v>
      </c>
      <c r="AW781" s="408">
        <v>0</v>
      </c>
      <c r="AX781" s="408"/>
      <c r="AY781" s="408"/>
      <c r="AZ781" s="408">
        <v>0</v>
      </c>
      <c r="BA781" s="408"/>
      <c r="BB781" s="408">
        <v>0</v>
      </c>
      <c r="BC781" s="408">
        <v>0</v>
      </c>
      <c r="BD781" s="408">
        <v>0</v>
      </c>
      <c r="BE781" s="408">
        <v>0</v>
      </c>
      <c r="BF781" s="408"/>
      <c r="BG781" s="408">
        <v>0</v>
      </c>
      <c r="BH781" s="408">
        <v>0</v>
      </c>
      <c r="BI781" s="408">
        <v>1146.25</v>
      </c>
      <c r="BJ781" s="408">
        <v>0</v>
      </c>
      <c r="BK781" s="408">
        <v>0</v>
      </c>
      <c r="BL781" s="408">
        <v>0</v>
      </c>
      <c r="BM781" s="408"/>
      <c r="BN781" s="408"/>
      <c r="BO781" s="408">
        <v>11580.5</v>
      </c>
      <c r="BP781" s="408"/>
      <c r="BQ781" s="408"/>
      <c r="BR781" s="408"/>
      <c r="BS781" s="408"/>
      <c r="BT781" s="408"/>
      <c r="BU781" s="408"/>
      <c r="BV781" s="408">
        <v>0</v>
      </c>
      <c r="BW781" s="408"/>
      <c r="BX781" s="408"/>
      <c r="BY781" s="408"/>
      <c r="BZ781" s="408"/>
      <c r="CA781" s="408"/>
      <c r="CB781" s="408"/>
      <c r="CC781" s="408"/>
      <c r="CD781" s="408"/>
      <c r="CE781" s="408"/>
      <c r="CF781" s="408"/>
      <c r="CG781" s="408"/>
      <c r="CH781" s="408"/>
      <c r="CI781" s="408">
        <v>11580.5</v>
      </c>
      <c r="CJ781" s="408">
        <v>-12822.529999999995</v>
      </c>
      <c r="CK781" s="408"/>
      <c r="CL781" s="408"/>
      <c r="CM781" s="408"/>
      <c r="CN781" s="408"/>
      <c r="CO781" s="408">
        <v>-25644.999999999996</v>
      </c>
      <c r="CP781" s="408">
        <v>0</v>
      </c>
      <c r="CQ781" s="408">
        <v>31</v>
      </c>
      <c r="CR781" s="408">
        <v>-11.786084006094825</v>
      </c>
      <c r="CS781" s="408">
        <v>0</v>
      </c>
      <c r="CT781" s="408">
        <v>0</v>
      </c>
      <c r="CU781" s="408">
        <v>0</v>
      </c>
      <c r="CV781" s="408">
        <v>0</v>
      </c>
      <c r="CW781" s="408"/>
      <c r="CX781" s="408"/>
      <c r="CY781" s="408"/>
      <c r="CZ781" s="408">
        <v>0</v>
      </c>
      <c r="DA781" s="408">
        <v>0</v>
      </c>
      <c r="DB781" s="408">
        <v>0</v>
      </c>
      <c r="DC781" s="408"/>
      <c r="DD781" s="408"/>
      <c r="DE781" s="408">
        <v>0</v>
      </c>
      <c r="DF781" s="408">
        <v>0</v>
      </c>
      <c r="DG781" s="408">
        <v>0</v>
      </c>
      <c r="DH781" s="408">
        <v>0</v>
      </c>
      <c r="DI781" s="408">
        <v>0</v>
      </c>
      <c r="DJ781" s="408"/>
      <c r="DK781" s="408">
        <v>0</v>
      </c>
      <c r="DL781" s="408">
        <v>0</v>
      </c>
      <c r="DM781" s="408"/>
      <c r="DN781" s="408">
        <v>0</v>
      </c>
      <c r="DO781" s="408">
        <v>0</v>
      </c>
      <c r="DP781" s="408">
        <v>-11.786084006094825</v>
      </c>
      <c r="DQ781" s="408">
        <v>0</v>
      </c>
      <c r="DR781" s="408">
        <v>0</v>
      </c>
      <c r="DS781" s="408"/>
      <c r="DT781" s="408"/>
      <c r="DU781" s="408">
        <v>48415.733888970302</v>
      </c>
      <c r="DV781" s="408"/>
      <c r="DW781" s="408">
        <v>0</v>
      </c>
      <c r="DX781" s="408">
        <v>0</v>
      </c>
      <c r="DY781" s="408">
        <v>-25645</v>
      </c>
      <c r="DZ781" s="408"/>
      <c r="EA781" s="408">
        <v>0</v>
      </c>
      <c r="EB781" s="408"/>
      <c r="EC781" s="408">
        <v>-25633.564311134465</v>
      </c>
      <c r="ED781" s="408"/>
      <c r="EE781" s="408">
        <v>0</v>
      </c>
      <c r="EF781" s="408">
        <v>0</v>
      </c>
      <c r="EG781" s="408"/>
      <c r="EH781" s="408">
        <v>0</v>
      </c>
      <c r="EI781" s="408">
        <v>0</v>
      </c>
      <c r="EJ781" s="408">
        <v>0</v>
      </c>
      <c r="EK781" s="408">
        <v>0</v>
      </c>
      <c r="EL781" s="408">
        <v>0</v>
      </c>
      <c r="EM781" s="408"/>
      <c r="EN781" s="408"/>
      <c r="EO781" s="408">
        <v>0</v>
      </c>
      <c r="EP781" s="408">
        <v>0</v>
      </c>
      <c r="EQ781" s="408"/>
      <c r="ER781" s="408">
        <v>0</v>
      </c>
      <c r="ES781" s="408"/>
      <c r="ET781" s="408">
        <v>0</v>
      </c>
      <c r="EU781" s="408"/>
      <c r="EV781" s="408">
        <v>239</v>
      </c>
      <c r="EW781" s="408"/>
      <c r="EX781" s="408"/>
      <c r="EY781" s="408"/>
      <c r="EZ781" s="408"/>
      <c r="FA781" s="408">
        <v>0</v>
      </c>
      <c r="FB781" s="408"/>
      <c r="FC781" s="408"/>
      <c r="FD781" s="408"/>
      <c r="FE781" s="408"/>
      <c r="FF781" s="408">
        <v>0</v>
      </c>
      <c r="FG781" s="408">
        <v>0</v>
      </c>
      <c r="FH781" s="408">
        <v>0</v>
      </c>
      <c r="FI781" s="408">
        <v>0</v>
      </c>
    </row>
    <row r="782" spans="1:165">
      <c r="A782" s="408">
        <v>789</v>
      </c>
      <c r="B782" s="408" t="s">
        <v>1034</v>
      </c>
      <c r="C782" s="408" t="s">
        <v>2241</v>
      </c>
      <c r="D782" s="408" t="s">
        <v>596</v>
      </c>
      <c r="E782" s="408" t="s">
        <v>968</v>
      </c>
      <c r="F782" s="408" t="s">
        <v>1320</v>
      </c>
      <c r="G782" s="408" t="s">
        <v>2323</v>
      </c>
      <c r="H782" s="408" t="s">
        <v>1320</v>
      </c>
      <c r="I782" s="408" t="s">
        <v>971</v>
      </c>
      <c r="J782" s="408" t="s">
        <v>2324</v>
      </c>
      <c r="K782" s="827">
        <v>44501</v>
      </c>
      <c r="L782" s="408">
        <v>0</v>
      </c>
      <c r="M782" s="408">
        <v>0</v>
      </c>
      <c r="N782" s="408">
        <v>9.3729999999999993</v>
      </c>
      <c r="O782" s="408">
        <v>4.5908954</v>
      </c>
      <c r="P782" s="408">
        <v>0</v>
      </c>
      <c r="Q782" s="408">
        <v>0</v>
      </c>
      <c r="R782" s="408"/>
      <c r="S782" s="408">
        <v>1684.16</v>
      </c>
      <c r="T782" s="408"/>
      <c r="U782" s="408"/>
      <c r="V782" s="408">
        <v>15785.63168</v>
      </c>
      <c r="W782" s="408">
        <v>15785.63168</v>
      </c>
      <c r="X782" s="408">
        <v>10127.057849999999</v>
      </c>
      <c r="Y782" s="408">
        <v>0</v>
      </c>
      <c r="Z782" s="408">
        <v>498.6438484733626</v>
      </c>
      <c r="AA782" s="408">
        <v>0</v>
      </c>
      <c r="AB782" s="408">
        <v>0</v>
      </c>
      <c r="AC782" s="408">
        <v>168.70837488529992</v>
      </c>
      <c r="AD782" s="408">
        <v>2573.6939142044303</v>
      </c>
      <c r="AE782" s="408">
        <v>10856.675185360727</v>
      </c>
      <c r="AF782" s="408"/>
      <c r="AG782" s="408"/>
      <c r="AH782" s="408"/>
      <c r="AI782" s="408">
        <v>0</v>
      </c>
      <c r="AJ782" s="408">
        <v>0</v>
      </c>
      <c r="AK782" s="408">
        <v>0</v>
      </c>
      <c r="AL782" s="408">
        <v>88.588878171865133</v>
      </c>
      <c r="AM782" s="408"/>
      <c r="AN782" s="408">
        <v>11.648114529407017</v>
      </c>
      <c r="AO782" s="408">
        <v>362.32403423531434</v>
      </c>
      <c r="AP782" s="408">
        <v>1165.0514433652199</v>
      </c>
      <c r="AQ782" s="408">
        <v>0</v>
      </c>
      <c r="AR782" s="408">
        <v>0</v>
      </c>
      <c r="AS782" s="408"/>
      <c r="AT782" s="408"/>
      <c r="AU782" s="408">
        <v>0</v>
      </c>
      <c r="AV782" s="408">
        <v>0</v>
      </c>
      <c r="AW782" s="408">
        <v>0</v>
      </c>
      <c r="AX782" s="408"/>
      <c r="AY782" s="408"/>
      <c r="AZ782" s="408">
        <v>0</v>
      </c>
      <c r="BA782" s="408"/>
      <c r="BB782" s="408">
        <v>0</v>
      </c>
      <c r="BC782" s="408">
        <v>0</v>
      </c>
      <c r="BD782" s="408">
        <v>0</v>
      </c>
      <c r="BE782" s="408">
        <v>1.7489420442788508</v>
      </c>
      <c r="BF782" s="408"/>
      <c r="BG782" s="408">
        <v>58.564656910781984</v>
      </c>
      <c r="BH782" s="408">
        <v>0</v>
      </c>
      <c r="BI782" s="408">
        <v>0</v>
      </c>
      <c r="BJ782" s="408">
        <v>0</v>
      </c>
      <c r="BK782" s="408">
        <v>0</v>
      </c>
      <c r="BL782" s="408">
        <v>0</v>
      </c>
      <c r="BM782" s="408"/>
      <c r="BN782" s="408">
        <v>5166.8249150699994</v>
      </c>
      <c r="BO782" s="408"/>
      <c r="BP782" s="408"/>
      <c r="BQ782" s="408"/>
      <c r="BR782" s="408"/>
      <c r="BS782" s="408"/>
      <c r="BT782" s="408"/>
      <c r="BU782" s="408"/>
      <c r="BV782" s="408">
        <v>60.313598955060833</v>
      </c>
      <c r="BW782" s="408"/>
      <c r="BX782" s="408"/>
      <c r="BY782" s="408"/>
      <c r="BZ782" s="408"/>
      <c r="CA782" s="408"/>
      <c r="CB782" s="408"/>
      <c r="CC782" s="408"/>
      <c r="CD782" s="408"/>
      <c r="CE782" s="408"/>
      <c r="CF782" s="408"/>
      <c r="CG782" s="408"/>
      <c r="CH782" s="408"/>
      <c r="CI782" s="408">
        <v>4959.2655000000004</v>
      </c>
      <c r="CJ782" s="408">
        <v>-2772.5668968640002</v>
      </c>
      <c r="CK782" s="408"/>
      <c r="CL782" s="408"/>
      <c r="CM782" s="408"/>
      <c r="CN782" s="408"/>
      <c r="CO782" s="408">
        <v>-5658.5738300000003</v>
      </c>
      <c r="CP782" s="408">
        <v>0</v>
      </c>
      <c r="CQ782" s="408">
        <v>30</v>
      </c>
      <c r="CR782" s="408">
        <v>89.465419976120756</v>
      </c>
      <c r="CS782" s="408">
        <v>35.179374663210695</v>
      </c>
      <c r="CT782" s="408">
        <v>113.11913468439548</v>
      </c>
      <c r="CU782" s="408">
        <v>0</v>
      </c>
      <c r="CV782" s="408">
        <v>0</v>
      </c>
      <c r="CW782" s="408"/>
      <c r="CX782" s="408"/>
      <c r="CY782" s="408"/>
      <c r="CZ782" s="408">
        <v>-49.348542324130904</v>
      </c>
      <c r="DA782" s="408">
        <v>0</v>
      </c>
      <c r="DB782" s="408">
        <v>0</v>
      </c>
      <c r="DC782" s="408"/>
      <c r="DD782" s="408"/>
      <c r="DE782" s="408">
        <v>0.22449604078217122</v>
      </c>
      <c r="DF782" s="408">
        <v>0</v>
      </c>
      <c r="DG782" s="408">
        <v>7.5174209741511717</v>
      </c>
      <c r="DH782" s="408">
        <v>0</v>
      </c>
      <c r="DI782" s="408">
        <v>-14.573118546436206</v>
      </c>
      <c r="DJ782" s="408"/>
      <c r="DK782" s="408">
        <v>0</v>
      </c>
      <c r="DL782" s="408">
        <v>0</v>
      </c>
      <c r="DM782" s="408"/>
      <c r="DN782" s="408">
        <v>0</v>
      </c>
      <c r="DO782" s="408">
        <v>-2.294421345589555</v>
      </c>
      <c r="DP782" s="408">
        <v>-0.3589241702621031</v>
      </c>
      <c r="DQ782" s="408">
        <v>0</v>
      </c>
      <c r="DR782" s="408">
        <v>0</v>
      </c>
      <c r="DS782" s="408"/>
      <c r="DT782" s="408"/>
      <c r="DU782" s="408"/>
      <c r="DV782" s="408">
        <v>10856.675185360727</v>
      </c>
      <c r="DW782" s="408">
        <v>0</v>
      </c>
      <c r="DX782" s="408">
        <v>0</v>
      </c>
      <c r="DY782" s="408">
        <v>-5658.5738300000012</v>
      </c>
      <c r="DZ782" s="408"/>
      <c r="EA782" s="408">
        <v>0</v>
      </c>
      <c r="EB782" s="408"/>
      <c r="EC782" s="408">
        <v>-5748.0339388687835</v>
      </c>
      <c r="ED782" s="408"/>
      <c r="EE782" s="408">
        <v>0</v>
      </c>
      <c r="EF782" s="408">
        <v>0</v>
      </c>
      <c r="EG782" s="408"/>
      <c r="EH782" s="408">
        <v>0</v>
      </c>
      <c r="EI782" s="408">
        <v>0</v>
      </c>
      <c r="EJ782" s="408">
        <v>0</v>
      </c>
      <c r="EK782" s="408">
        <v>0</v>
      </c>
      <c r="EL782" s="408">
        <v>0</v>
      </c>
      <c r="EM782" s="408"/>
      <c r="EN782" s="408"/>
      <c r="EO782" s="408">
        <v>0</v>
      </c>
      <c r="EP782" s="408">
        <v>0</v>
      </c>
      <c r="EQ782" s="408"/>
      <c r="ER782" s="408">
        <v>0</v>
      </c>
      <c r="ES782" s="408"/>
      <c r="ET782" s="408">
        <v>0</v>
      </c>
      <c r="EU782" s="408"/>
      <c r="EV782" s="408">
        <v>239</v>
      </c>
      <c r="EW782" s="408"/>
      <c r="EX782" s="408"/>
      <c r="EY782" s="408"/>
      <c r="EZ782" s="408"/>
      <c r="FA782" s="408">
        <v>0</v>
      </c>
      <c r="FB782" s="408"/>
      <c r="FC782" s="408"/>
      <c r="FD782" s="408"/>
      <c r="FE782" s="408"/>
      <c r="FF782" s="408">
        <v>0</v>
      </c>
      <c r="FG782" s="408">
        <v>0</v>
      </c>
      <c r="FH782" s="408">
        <v>0</v>
      </c>
      <c r="FI782" s="408">
        <v>0</v>
      </c>
    </row>
    <row r="783" spans="1:165">
      <c r="A783" s="408">
        <v>790</v>
      </c>
      <c r="B783" s="408" t="s">
        <v>1034</v>
      </c>
      <c r="C783" s="408" t="s">
        <v>2241</v>
      </c>
      <c r="D783" s="408" t="s">
        <v>596</v>
      </c>
      <c r="E783" s="408" t="s">
        <v>968</v>
      </c>
      <c r="F783" s="408" t="s">
        <v>1320</v>
      </c>
      <c r="G783" s="408" t="s">
        <v>2323</v>
      </c>
      <c r="H783" s="408" t="s">
        <v>1320</v>
      </c>
      <c r="I783" s="408" t="s">
        <v>2242</v>
      </c>
      <c r="J783" s="408" t="s">
        <v>2324</v>
      </c>
      <c r="K783" s="827">
        <v>44501</v>
      </c>
      <c r="L783" s="408">
        <v>0</v>
      </c>
      <c r="M783" s="408">
        <v>0</v>
      </c>
      <c r="N783" s="408">
        <v>644.88099999999997</v>
      </c>
      <c r="O783" s="408">
        <v>644.88099999999997</v>
      </c>
      <c r="P783" s="408">
        <v>0</v>
      </c>
      <c r="Q783" s="408">
        <v>0</v>
      </c>
      <c r="R783" s="408"/>
      <c r="S783" s="408">
        <v>70.33</v>
      </c>
      <c r="T783" s="408"/>
      <c r="U783" s="408"/>
      <c r="V783" s="408">
        <v>45354.480729999996</v>
      </c>
      <c r="W783" s="408">
        <v>45354.480729999996</v>
      </c>
      <c r="X783" s="408">
        <v>44703.150919999993</v>
      </c>
      <c r="Y783" s="408">
        <v>0</v>
      </c>
      <c r="Z783" s="408">
        <v>34307.686295460422</v>
      </c>
      <c r="AA783" s="408">
        <v>0</v>
      </c>
      <c r="AB783" s="408">
        <v>0</v>
      </c>
      <c r="AC783" s="408">
        <v>0</v>
      </c>
      <c r="AD783" s="408">
        <v>0</v>
      </c>
      <c r="AE783" s="408">
        <v>0</v>
      </c>
      <c r="AF783" s="408"/>
      <c r="AG783" s="408"/>
      <c r="AH783" s="408"/>
      <c r="AI783" s="408">
        <v>0</v>
      </c>
      <c r="AJ783" s="408">
        <v>0</v>
      </c>
      <c r="AK783" s="408">
        <v>0</v>
      </c>
      <c r="AL783" s="408">
        <v>6095.0906160621525</v>
      </c>
      <c r="AM783" s="408"/>
      <c r="AN783" s="408">
        <v>801.41339441358434</v>
      </c>
      <c r="AO783" s="408">
        <v>0</v>
      </c>
      <c r="AP783" s="408">
        <v>0</v>
      </c>
      <c r="AQ783" s="408">
        <v>0</v>
      </c>
      <c r="AR783" s="408">
        <v>0</v>
      </c>
      <c r="AS783" s="408"/>
      <c r="AT783" s="408"/>
      <c r="AU783" s="408">
        <v>0</v>
      </c>
      <c r="AV783" s="408">
        <v>0</v>
      </c>
      <c r="AW783" s="408">
        <v>0</v>
      </c>
      <c r="AX783" s="408"/>
      <c r="AY783" s="408"/>
      <c r="AZ783" s="408">
        <v>0</v>
      </c>
      <c r="BA783" s="408"/>
      <c r="BB783" s="408">
        <v>0</v>
      </c>
      <c r="BC783" s="408">
        <v>0</v>
      </c>
      <c r="BD783" s="408">
        <v>0</v>
      </c>
      <c r="BE783" s="408">
        <v>120.33068328780429</v>
      </c>
      <c r="BF783" s="408"/>
      <c r="BG783" s="408">
        <v>4029.364612534087</v>
      </c>
      <c r="BH783" s="408">
        <v>0</v>
      </c>
      <c r="BI783" s="408">
        <v>0</v>
      </c>
      <c r="BJ783" s="408">
        <v>0</v>
      </c>
      <c r="BK783" s="408">
        <v>0</v>
      </c>
      <c r="BL783" s="408">
        <v>0</v>
      </c>
      <c r="BM783" s="408"/>
      <c r="BN783" s="408"/>
      <c r="BO783" s="408"/>
      <c r="BP783" s="408"/>
      <c r="BQ783" s="408"/>
      <c r="BR783" s="408"/>
      <c r="BS783" s="408"/>
      <c r="BT783" s="408"/>
      <c r="BU783" s="408"/>
      <c r="BV783" s="408">
        <v>4149.6952958218917</v>
      </c>
      <c r="BW783" s="408"/>
      <c r="BX783" s="408"/>
      <c r="BY783" s="408"/>
      <c r="BZ783" s="408"/>
      <c r="CA783" s="408"/>
      <c r="CB783" s="408"/>
      <c r="CC783" s="408"/>
      <c r="CD783" s="408"/>
      <c r="CE783" s="408"/>
      <c r="CF783" s="408"/>
      <c r="CG783" s="408"/>
      <c r="CH783" s="408"/>
      <c r="CI783" s="408">
        <v>44703.081599999998</v>
      </c>
      <c r="CJ783" s="408">
        <v>-651.42913000000408</v>
      </c>
      <c r="CK783" s="408"/>
      <c r="CL783" s="408"/>
      <c r="CM783" s="408"/>
      <c r="CN783" s="408"/>
      <c r="CO783" s="408">
        <v>-651.32981000000325</v>
      </c>
      <c r="CP783" s="408">
        <v>0</v>
      </c>
      <c r="CQ783" s="408">
        <v>30</v>
      </c>
      <c r="CR783" s="408">
        <v>-652.55565821455821</v>
      </c>
      <c r="CS783" s="408">
        <v>0</v>
      </c>
      <c r="CT783" s="408">
        <v>0</v>
      </c>
      <c r="CU783" s="408">
        <v>0</v>
      </c>
      <c r="CV783" s="408">
        <v>0</v>
      </c>
      <c r="CW783" s="408"/>
      <c r="CX783" s="408"/>
      <c r="CY783" s="408"/>
      <c r="CZ783" s="408">
        <v>0</v>
      </c>
      <c r="DA783" s="408">
        <v>0</v>
      </c>
      <c r="DB783" s="408">
        <v>0</v>
      </c>
      <c r="DC783" s="408"/>
      <c r="DD783" s="408"/>
      <c r="DE783" s="408">
        <v>15.445773100997272</v>
      </c>
      <c r="DF783" s="408">
        <v>0</v>
      </c>
      <c r="DG783" s="408">
        <v>517.21348076726599</v>
      </c>
      <c r="DH783" s="408">
        <v>0</v>
      </c>
      <c r="DI783" s="408">
        <v>-1002.6594752314413</v>
      </c>
      <c r="DJ783" s="408"/>
      <c r="DK783" s="408">
        <v>0</v>
      </c>
      <c r="DL783" s="408">
        <v>0</v>
      </c>
      <c r="DM783" s="408"/>
      <c r="DN783" s="408">
        <v>0</v>
      </c>
      <c r="DO783" s="408">
        <v>-157.86074167983861</v>
      </c>
      <c r="DP783" s="408">
        <v>-24.694695171534704</v>
      </c>
      <c r="DQ783" s="408">
        <v>0</v>
      </c>
      <c r="DR783" s="408">
        <v>0</v>
      </c>
      <c r="DS783" s="408"/>
      <c r="DT783" s="408"/>
      <c r="DU783" s="408"/>
      <c r="DV783" s="408">
        <v>0</v>
      </c>
      <c r="DW783" s="408">
        <v>0</v>
      </c>
      <c r="DX783" s="408">
        <v>0</v>
      </c>
      <c r="DY783" s="408">
        <v>-651.32981000000291</v>
      </c>
      <c r="DZ783" s="408"/>
      <c r="EA783" s="408">
        <v>0</v>
      </c>
      <c r="EB783" s="408"/>
      <c r="EC783" s="408">
        <v>0</v>
      </c>
      <c r="ED783" s="408"/>
      <c r="EE783" s="408">
        <v>0</v>
      </c>
      <c r="EF783" s="408">
        <v>0</v>
      </c>
      <c r="EG783" s="408"/>
      <c r="EH783" s="408">
        <v>0</v>
      </c>
      <c r="EI783" s="408">
        <v>0</v>
      </c>
      <c r="EJ783" s="408">
        <v>0</v>
      </c>
      <c r="EK783" s="408">
        <v>0</v>
      </c>
      <c r="EL783" s="408">
        <v>0</v>
      </c>
      <c r="EM783" s="408"/>
      <c r="EN783" s="408"/>
      <c r="EO783" s="408">
        <v>0</v>
      </c>
      <c r="EP783" s="408">
        <v>0</v>
      </c>
      <c r="EQ783" s="408"/>
      <c r="ER783" s="408">
        <v>0</v>
      </c>
      <c r="ES783" s="408"/>
      <c r="ET783" s="408">
        <v>0</v>
      </c>
      <c r="EU783" s="408"/>
      <c r="EV783" s="408">
        <v>239</v>
      </c>
      <c r="EW783" s="408"/>
      <c r="EX783" s="408"/>
      <c r="EY783" s="408"/>
      <c r="EZ783" s="408"/>
      <c r="FA783" s="408">
        <v>0</v>
      </c>
      <c r="FB783" s="408"/>
      <c r="FC783" s="408"/>
      <c r="FD783" s="408"/>
      <c r="FE783" s="408"/>
      <c r="FF783" s="408">
        <v>0</v>
      </c>
      <c r="FG783" s="408">
        <v>0</v>
      </c>
      <c r="FH783" s="408">
        <v>0</v>
      </c>
      <c r="FI783" s="408">
        <v>0</v>
      </c>
    </row>
    <row r="784" spans="1:165">
      <c r="A784" s="408">
        <v>791</v>
      </c>
      <c r="B784" s="408" t="s">
        <v>1034</v>
      </c>
      <c r="C784" s="408" t="s">
        <v>2241</v>
      </c>
      <c r="D784" s="408" t="s">
        <v>596</v>
      </c>
      <c r="E784" s="408" t="s">
        <v>968</v>
      </c>
      <c r="F784" s="408" t="s">
        <v>1320</v>
      </c>
      <c r="G784" s="408" t="s">
        <v>2323</v>
      </c>
      <c r="H784" s="408" t="s">
        <v>1320</v>
      </c>
      <c r="I784" s="408" t="s">
        <v>1320</v>
      </c>
      <c r="J784" s="408" t="s">
        <v>2324</v>
      </c>
      <c r="K784" s="827">
        <v>44501</v>
      </c>
      <c r="L784" s="408">
        <v>3477</v>
      </c>
      <c r="M784" s="408">
        <v>1220.0793000000001</v>
      </c>
      <c r="N784" s="408">
        <v>0</v>
      </c>
      <c r="O784" s="408">
        <v>0</v>
      </c>
      <c r="P784" s="408">
        <v>0</v>
      </c>
      <c r="Q784" s="408">
        <v>0</v>
      </c>
      <c r="R784" s="408">
        <v>59.12</v>
      </c>
      <c r="S784" s="408"/>
      <c r="T784" s="408"/>
      <c r="U784" s="408">
        <v>205560.24</v>
      </c>
      <c r="V784" s="408"/>
      <c r="W784" s="408">
        <v>205560.24</v>
      </c>
      <c r="X784" s="408">
        <v>118322.31</v>
      </c>
      <c r="Y784" s="408">
        <v>0</v>
      </c>
      <c r="Z784" s="408">
        <v>0</v>
      </c>
      <c r="AA784" s="408">
        <v>0</v>
      </c>
      <c r="AB784" s="408">
        <v>0</v>
      </c>
      <c r="AC784" s="408">
        <v>1989.0538833112125</v>
      </c>
      <c r="AD784" s="408">
        <v>17791.887756537551</v>
      </c>
      <c r="AE784" s="408">
        <v>167458.57078527109</v>
      </c>
      <c r="AF784" s="408"/>
      <c r="AG784" s="408"/>
      <c r="AH784" s="408"/>
      <c r="AI784" s="408">
        <v>0</v>
      </c>
      <c r="AJ784" s="408">
        <v>0</v>
      </c>
      <c r="AK784" s="408">
        <v>0</v>
      </c>
      <c r="AL784" s="408">
        <v>0</v>
      </c>
      <c r="AM784" s="408"/>
      <c r="AN784" s="408">
        <v>0</v>
      </c>
      <c r="AO784" s="408">
        <v>4200.4667462543384</v>
      </c>
      <c r="AP784" s="408">
        <v>14120.05480319733</v>
      </c>
      <c r="AQ784" s="408">
        <v>0</v>
      </c>
      <c r="AR784" s="408">
        <v>0</v>
      </c>
      <c r="AS784" s="408"/>
      <c r="AT784" s="408"/>
      <c r="AU784" s="408">
        <v>0</v>
      </c>
      <c r="AV784" s="408">
        <v>0</v>
      </c>
      <c r="AW784" s="408">
        <v>0</v>
      </c>
      <c r="AX784" s="408"/>
      <c r="AY784" s="408"/>
      <c r="AZ784" s="408">
        <v>0</v>
      </c>
      <c r="BA784" s="408"/>
      <c r="BB784" s="408">
        <v>0</v>
      </c>
      <c r="BC784" s="408">
        <v>0</v>
      </c>
      <c r="BD784" s="408">
        <v>0</v>
      </c>
      <c r="BE784" s="408">
        <v>0</v>
      </c>
      <c r="BF784" s="408"/>
      <c r="BG784" s="408">
        <v>0</v>
      </c>
      <c r="BH784" s="408">
        <v>0</v>
      </c>
      <c r="BI784" s="408">
        <v>6366.82</v>
      </c>
      <c r="BJ784" s="408">
        <v>0</v>
      </c>
      <c r="BK784" s="408">
        <v>58944.1</v>
      </c>
      <c r="BL784" s="408">
        <v>3</v>
      </c>
      <c r="BM784" s="408"/>
      <c r="BN784" s="408">
        <v>76803.011420999988</v>
      </c>
      <c r="BO784" s="408"/>
      <c r="BP784" s="408"/>
      <c r="BQ784" s="408"/>
      <c r="BR784" s="408"/>
      <c r="BS784" s="408"/>
      <c r="BT784" s="408"/>
      <c r="BU784" s="408"/>
      <c r="BV784" s="408">
        <v>0</v>
      </c>
      <c r="BW784" s="408"/>
      <c r="BX784" s="408"/>
      <c r="BY784" s="408"/>
      <c r="BZ784" s="408"/>
      <c r="CA784" s="408"/>
      <c r="CB784" s="408"/>
      <c r="CC784" s="408"/>
      <c r="CD784" s="408"/>
      <c r="CE784" s="408"/>
      <c r="CF784" s="408"/>
      <c r="CG784" s="408"/>
      <c r="CH784" s="408"/>
      <c r="CI784" s="408">
        <v>41519.322399999997</v>
      </c>
      <c r="CJ784" s="408">
        <v>-30611.795815999991</v>
      </c>
      <c r="CK784" s="408"/>
      <c r="CL784" s="408"/>
      <c r="CM784" s="408"/>
      <c r="CN784" s="408"/>
      <c r="CO784" s="408">
        <v>-87237.93</v>
      </c>
      <c r="CP784" s="408">
        <v>0</v>
      </c>
      <c r="CQ784" s="408">
        <v>30</v>
      </c>
      <c r="CR784" s="408">
        <v>1437.6615428043733</v>
      </c>
      <c r="CS784" s="408">
        <v>407.83878369732793</v>
      </c>
      <c r="CT784" s="408">
        <v>1370.9681148674263</v>
      </c>
      <c r="CU784" s="408">
        <v>0</v>
      </c>
      <c r="CV784" s="408">
        <v>0</v>
      </c>
      <c r="CW784" s="408"/>
      <c r="CX784" s="408"/>
      <c r="CY784" s="408"/>
      <c r="CZ784" s="408">
        <v>-341.14535576038179</v>
      </c>
      <c r="DA784" s="408">
        <v>0</v>
      </c>
      <c r="DB784" s="408">
        <v>0</v>
      </c>
      <c r="DC784" s="408"/>
      <c r="DD784" s="408"/>
      <c r="DE784" s="408">
        <v>0</v>
      </c>
      <c r="DF784" s="408">
        <v>0</v>
      </c>
      <c r="DG784" s="408">
        <v>0</v>
      </c>
      <c r="DH784" s="408">
        <v>0</v>
      </c>
      <c r="DI784" s="408">
        <v>0</v>
      </c>
      <c r="DJ784" s="408"/>
      <c r="DK784" s="408">
        <v>0</v>
      </c>
      <c r="DL784" s="408">
        <v>0</v>
      </c>
      <c r="DM784" s="408"/>
      <c r="DN784" s="408">
        <v>0</v>
      </c>
      <c r="DO784" s="408">
        <v>0</v>
      </c>
      <c r="DP784" s="408">
        <v>0</v>
      </c>
      <c r="DQ784" s="408">
        <v>0</v>
      </c>
      <c r="DR784" s="408">
        <v>0</v>
      </c>
      <c r="DS784" s="408"/>
      <c r="DT784" s="408"/>
      <c r="DU784" s="408">
        <v>167458.57078527109</v>
      </c>
      <c r="DV784" s="408"/>
      <c r="DW784" s="408">
        <v>0</v>
      </c>
      <c r="DX784" s="408">
        <v>0</v>
      </c>
      <c r="DY784" s="408">
        <v>-87237.93</v>
      </c>
      <c r="DZ784" s="408"/>
      <c r="EA784" s="408">
        <v>0</v>
      </c>
      <c r="EB784" s="408"/>
      <c r="EC784" s="408">
        <v>-88660.435335315648</v>
      </c>
      <c r="ED784" s="408"/>
      <c r="EE784" s="408">
        <v>0</v>
      </c>
      <c r="EF784" s="408">
        <v>0</v>
      </c>
      <c r="EG784" s="408"/>
      <c r="EH784" s="408">
        <v>0</v>
      </c>
      <c r="EI784" s="408">
        <v>0</v>
      </c>
      <c r="EJ784" s="408">
        <v>0</v>
      </c>
      <c r="EK784" s="408">
        <v>0</v>
      </c>
      <c r="EL784" s="408">
        <v>0</v>
      </c>
      <c r="EM784" s="408"/>
      <c r="EN784" s="408"/>
      <c r="EO784" s="408">
        <v>0</v>
      </c>
      <c r="EP784" s="408">
        <v>0</v>
      </c>
      <c r="EQ784" s="408"/>
      <c r="ER784" s="408">
        <v>0</v>
      </c>
      <c r="ES784" s="408"/>
      <c r="ET784" s="408">
        <v>0</v>
      </c>
      <c r="EU784" s="408"/>
      <c r="EV784" s="408">
        <v>239</v>
      </c>
      <c r="EW784" s="408"/>
      <c r="EX784" s="408"/>
      <c r="EY784" s="408"/>
      <c r="EZ784" s="408"/>
      <c r="FA784" s="408">
        <v>0</v>
      </c>
      <c r="FB784" s="408"/>
      <c r="FC784" s="408"/>
      <c r="FD784" s="408"/>
      <c r="FE784" s="408"/>
      <c r="FF784" s="408">
        <v>0</v>
      </c>
      <c r="FG784" s="408">
        <v>0</v>
      </c>
      <c r="FH784" s="408">
        <v>0</v>
      </c>
      <c r="FI784" s="408">
        <v>0</v>
      </c>
    </row>
    <row r="785" spans="1:165">
      <c r="A785" s="408">
        <v>792</v>
      </c>
      <c r="B785" s="408" t="s">
        <v>1034</v>
      </c>
      <c r="C785" s="408" t="s">
        <v>991</v>
      </c>
      <c r="D785" s="408" t="s">
        <v>596</v>
      </c>
      <c r="E785" s="408" t="s">
        <v>1320</v>
      </c>
      <c r="F785" s="408" t="s">
        <v>1320</v>
      </c>
      <c r="G785" s="408" t="s">
        <v>1320</v>
      </c>
      <c r="H785" s="408" t="s">
        <v>2325</v>
      </c>
      <c r="I785" s="408" t="s">
        <v>1320</v>
      </c>
      <c r="J785" s="408" t="s">
        <v>2255</v>
      </c>
      <c r="K785" s="827">
        <v>44501</v>
      </c>
      <c r="L785" s="408">
        <v>2300</v>
      </c>
      <c r="M785" s="408">
        <v>1150</v>
      </c>
      <c r="N785" s="408">
        <v>0</v>
      </c>
      <c r="O785" s="408">
        <v>0</v>
      </c>
      <c r="P785" s="408">
        <v>0</v>
      </c>
      <c r="Q785" s="408">
        <v>0</v>
      </c>
      <c r="R785" s="408">
        <v>21.22</v>
      </c>
      <c r="S785" s="408"/>
      <c r="T785" s="408"/>
      <c r="U785" s="408">
        <v>48806</v>
      </c>
      <c r="V785" s="408"/>
      <c r="W785" s="408">
        <v>48806</v>
      </c>
      <c r="X785" s="408">
        <v>23161</v>
      </c>
      <c r="Y785" s="408">
        <v>0</v>
      </c>
      <c r="Z785" s="408">
        <v>0</v>
      </c>
      <c r="AA785" s="408">
        <v>0</v>
      </c>
      <c r="AB785" s="408">
        <v>0</v>
      </c>
      <c r="AC785" s="408">
        <v>0</v>
      </c>
      <c r="AD785" s="408">
        <v>0</v>
      </c>
      <c r="AE785" s="408">
        <v>48415.733888970302</v>
      </c>
      <c r="AF785" s="408"/>
      <c r="AG785" s="408"/>
      <c r="AH785" s="408"/>
      <c r="AI785" s="408">
        <v>0</v>
      </c>
      <c r="AJ785" s="408">
        <v>0</v>
      </c>
      <c r="AK785" s="408">
        <v>0</v>
      </c>
      <c r="AL785" s="408">
        <v>0</v>
      </c>
      <c r="AM785" s="408"/>
      <c r="AN785" s="408">
        <v>382.49209089480081</v>
      </c>
      <c r="AO785" s="408">
        <v>0</v>
      </c>
      <c r="AP785" s="408">
        <v>0</v>
      </c>
      <c r="AQ785" s="408">
        <v>0</v>
      </c>
      <c r="AR785" s="408">
        <v>0</v>
      </c>
      <c r="AS785" s="408"/>
      <c r="AT785" s="408"/>
      <c r="AU785" s="408">
        <v>0</v>
      </c>
      <c r="AV785" s="408">
        <v>0</v>
      </c>
      <c r="AW785" s="408">
        <v>0</v>
      </c>
      <c r="AX785" s="408"/>
      <c r="AY785" s="408"/>
      <c r="AZ785" s="408">
        <v>0</v>
      </c>
      <c r="BA785" s="408"/>
      <c r="BB785" s="408">
        <v>0</v>
      </c>
      <c r="BC785" s="408">
        <v>0</v>
      </c>
      <c r="BD785" s="408">
        <v>0</v>
      </c>
      <c r="BE785" s="408">
        <v>0</v>
      </c>
      <c r="BF785" s="408"/>
      <c r="BG785" s="408">
        <v>0</v>
      </c>
      <c r="BH785" s="408">
        <v>0</v>
      </c>
      <c r="BI785" s="408">
        <v>847.05</v>
      </c>
      <c r="BJ785" s="408">
        <v>0</v>
      </c>
      <c r="BK785" s="408">
        <v>0</v>
      </c>
      <c r="BL785" s="408">
        <v>0</v>
      </c>
      <c r="BM785" s="408"/>
      <c r="BN785" s="408"/>
      <c r="BO785" s="408">
        <v>11580.5</v>
      </c>
      <c r="BP785" s="408"/>
      <c r="BQ785" s="408"/>
      <c r="BR785" s="408"/>
      <c r="BS785" s="408"/>
      <c r="BT785" s="408"/>
      <c r="BU785" s="408"/>
      <c r="BV785" s="408">
        <v>0</v>
      </c>
      <c r="BW785" s="408"/>
      <c r="BX785" s="408"/>
      <c r="BY785" s="408"/>
      <c r="BZ785" s="408"/>
      <c r="CA785" s="408"/>
      <c r="CB785" s="408"/>
      <c r="CC785" s="408"/>
      <c r="CD785" s="408"/>
      <c r="CE785" s="408"/>
      <c r="CF785" s="408"/>
      <c r="CG785" s="408"/>
      <c r="CH785" s="408"/>
      <c r="CI785" s="408">
        <v>11580.5</v>
      </c>
      <c r="CJ785" s="408">
        <v>-12822.529999999995</v>
      </c>
      <c r="CK785" s="408"/>
      <c r="CL785" s="408"/>
      <c r="CM785" s="408"/>
      <c r="CN785" s="408"/>
      <c r="CO785" s="408">
        <v>-25644.999999999996</v>
      </c>
      <c r="CP785" s="408">
        <v>0</v>
      </c>
      <c r="CQ785" s="408">
        <v>30</v>
      </c>
      <c r="CR785" s="408">
        <v>-11.786084006094825</v>
      </c>
      <c r="CS785" s="408">
        <v>0</v>
      </c>
      <c r="CT785" s="408">
        <v>0</v>
      </c>
      <c r="CU785" s="408">
        <v>0</v>
      </c>
      <c r="CV785" s="408">
        <v>0</v>
      </c>
      <c r="CW785" s="408"/>
      <c r="CX785" s="408"/>
      <c r="CY785" s="408"/>
      <c r="CZ785" s="408">
        <v>0</v>
      </c>
      <c r="DA785" s="408">
        <v>0</v>
      </c>
      <c r="DB785" s="408">
        <v>0</v>
      </c>
      <c r="DC785" s="408"/>
      <c r="DD785" s="408"/>
      <c r="DE785" s="408">
        <v>0</v>
      </c>
      <c r="DF785" s="408">
        <v>0</v>
      </c>
      <c r="DG785" s="408">
        <v>0</v>
      </c>
      <c r="DH785" s="408">
        <v>0</v>
      </c>
      <c r="DI785" s="408">
        <v>0</v>
      </c>
      <c r="DJ785" s="408"/>
      <c r="DK785" s="408">
        <v>0</v>
      </c>
      <c r="DL785" s="408">
        <v>0</v>
      </c>
      <c r="DM785" s="408"/>
      <c r="DN785" s="408">
        <v>0</v>
      </c>
      <c r="DO785" s="408">
        <v>0</v>
      </c>
      <c r="DP785" s="408">
        <v>-11.786084006094825</v>
      </c>
      <c r="DQ785" s="408">
        <v>0</v>
      </c>
      <c r="DR785" s="408">
        <v>0</v>
      </c>
      <c r="DS785" s="408"/>
      <c r="DT785" s="408"/>
      <c r="DU785" s="408">
        <v>48415.733888970302</v>
      </c>
      <c r="DV785" s="408"/>
      <c r="DW785" s="408">
        <v>0</v>
      </c>
      <c r="DX785" s="408">
        <v>0</v>
      </c>
      <c r="DY785" s="408">
        <v>-25645</v>
      </c>
      <c r="DZ785" s="408"/>
      <c r="EA785" s="408">
        <v>0</v>
      </c>
      <c r="EB785" s="408"/>
      <c r="EC785" s="408">
        <v>-25633.564311134465</v>
      </c>
      <c r="ED785" s="408"/>
      <c r="EE785" s="408">
        <v>0</v>
      </c>
      <c r="EF785" s="408">
        <v>0</v>
      </c>
      <c r="EG785" s="408"/>
      <c r="EH785" s="408">
        <v>0</v>
      </c>
      <c r="EI785" s="408">
        <v>0</v>
      </c>
      <c r="EJ785" s="408">
        <v>0</v>
      </c>
      <c r="EK785" s="408">
        <v>0</v>
      </c>
      <c r="EL785" s="408">
        <v>0</v>
      </c>
      <c r="EM785" s="408"/>
      <c r="EN785" s="408"/>
      <c r="EO785" s="408">
        <v>0</v>
      </c>
      <c r="EP785" s="408">
        <v>0</v>
      </c>
      <c r="EQ785" s="408"/>
      <c r="ER785" s="408">
        <v>0</v>
      </c>
      <c r="ES785" s="408"/>
      <c r="ET785" s="408">
        <v>0</v>
      </c>
      <c r="EU785" s="408"/>
      <c r="EV785" s="408">
        <v>239</v>
      </c>
      <c r="EW785" s="408"/>
      <c r="EX785" s="408"/>
      <c r="EY785" s="408"/>
      <c r="EZ785" s="408"/>
      <c r="FA785" s="408">
        <v>0</v>
      </c>
      <c r="FB785" s="408"/>
      <c r="FC785" s="408"/>
      <c r="FD785" s="408"/>
      <c r="FE785" s="408"/>
      <c r="FF785" s="408">
        <v>0</v>
      </c>
      <c r="FG785" s="408">
        <v>0</v>
      </c>
      <c r="FH785" s="408">
        <v>0</v>
      </c>
      <c r="FI785" s="408">
        <v>0</v>
      </c>
    </row>
    <row r="786" spans="1:165">
      <c r="A786" s="408">
        <v>793</v>
      </c>
      <c r="B786" s="408" t="s">
        <v>1034</v>
      </c>
      <c r="C786" s="408" t="s">
        <v>2241</v>
      </c>
      <c r="D786" s="408" t="s">
        <v>596</v>
      </c>
      <c r="E786" s="408" t="s">
        <v>968</v>
      </c>
      <c r="F786" s="408" t="s">
        <v>1320</v>
      </c>
      <c r="G786" s="408" t="s">
        <v>2323</v>
      </c>
      <c r="H786" s="408" t="s">
        <v>1320</v>
      </c>
      <c r="I786" s="408" t="s">
        <v>971</v>
      </c>
      <c r="J786" s="408" t="s">
        <v>2324</v>
      </c>
      <c r="K786" s="827">
        <v>44531</v>
      </c>
      <c r="L786" s="408">
        <v>0</v>
      </c>
      <c r="M786" s="408">
        <v>0</v>
      </c>
      <c r="N786" s="408">
        <v>6.9569999999999999</v>
      </c>
      <c r="O786" s="408">
        <v>3.4026687</v>
      </c>
      <c r="P786" s="408">
        <v>0</v>
      </c>
      <c r="Q786" s="408">
        <v>0</v>
      </c>
      <c r="R786" s="408"/>
      <c r="S786" s="408">
        <v>1684.16</v>
      </c>
      <c r="T786" s="408"/>
      <c r="U786" s="408"/>
      <c r="V786" s="408">
        <v>11716.70112</v>
      </c>
      <c r="W786" s="408">
        <v>11716.70112</v>
      </c>
      <c r="X786" s="408">
        <v>7516.6906500000005</v>
      </c>
      <c r="Y786" s="408">
        <v>0</v>
      </c>
      <c r="Z786" s="408">
        <v>370.1125844264572</v>
      </c>
      <c r="AA786" s="408">
        <v>0</v>
      </c>
      <c r="AB786" s="408">
        <v>0</v>
      </c>
      <c r="AC786" s="408">
        <v>125.22182482417918</v>
      </c>
      <c r="AD786" s="408">
        <v>1910.2943093054755</v>
      </c>
      <c r="AE786" s="408">
        <v>8058.2406128832372</v>
      </c>
      <c r="AF786" s="408"/>
      <c r="AG786" s="408"/>
      <c r="AH786" s="408"/>
      <c r="AI786" s="408">
        <v>0</v>
      </c>
      <c r="AJ786" s="408">
        <v>0</v>
      </c>
      <c r="AK786" s="408">
        <v>0</v>
      </c>
      <c r="AL786" s="408">
        <v>65.75406224705705</v>
      </c>
      <c r="AM786" s="408"/>
      <c r="AN786" s="408">
        <v>8.6456772411271334</v>
      </c>
      <c r="AO786" s="408">
        <v>268.93079122747059</v>
      </c>
      <c r="AP786" s="408">
        <v>864.7458542080268</v>
      </c>
      <c r="AQ786" s="408">
        <v>0</v>
      </c>
      <c r="AR786" s="408">
        <v>0</v>
      </c>
      <c r="AS786" s="408"/>
      <c r="AT786" s="408"/>
      <c r="AU786" s="408">
        <v>0</v>
      </c>
      <c r="AV786" s="408">
        <v>0</v>
      </c>
      <c r="AW786" s="408">
        <v>0</v>
      </c>
      <c r="AX786" s="408"/>
      <c r="AY786" s="408"/>
      <c r="AZ786" s="408">
        <v>0</v>
      </c>
      <c r="BA786" s="408"/>
      <c r="BB786" s="408">
        <v>0</v>
      </c>
      <c r="BC786" s="408">
        <v>0</v>
      </c>
      <c r="BD786" s="408">
        <v>0</v>
      </c>
      <c r="BE786" s="408">
        <v>1.298131847012479</v>
      </c>
      <c r="BF786" s="408"/>
      <c r="BG786" s="408">
        <v>43.468933972933989</v>
      </c>
      <c r="BH786" s="408">
        <v>0</v>
      </c>
      <c r="BI786" s="408">
        <v>0</v>
      </c>
      <c r="BJ786" s="408">
        <v>0</v>
      </c>
      <c r="BK786" s="408">
        <v>0</v>
      </c>
      <c r="BL786" s="408">
        <v>0</v>
      </c>
      <c r="BM786" s="408"/>
      <c r="BN786" s="408">
        <v>3840.2772530850002</v>
      </c>
      <c r="BO786" s="408"/>
      <c r="BP786" s="408"/>
      <c r="BQ786" s="408"/>
      <c r="BR786" s="408"/>
      <c r="BS786" s="408"/>
      <c r="BT786" s="408"/>
      <c r="BU786" s="408"/>
      <c r="BV786" s="408">
        <v>44.767065819946467</v>
      </c>
      <c r="BW786" s="408"/>
      <c r="BX786" s="408"/>
      <c r="BY786" s="408"/>
      <c r="BZ786" s="408"/>
      <c r="CA786" s="408"/>
      <c r="CB786" s="408"/>
      <c r="CC786" s="408"/>
      <c r="CD786" s="408"/>
      <c r="CE786" s="408"/>
      <c r="CF786" s="408"/>
      <c r="CG786" s="408"/>
      <c r="CH786" s="408"/>
      <c r="CI786" s="408">
        <v>3673.53</v>
      </c>
      <c r="CJ786" s="408">
        <v>-2057.1385177920006</v>
      </c>
      <c r="CK786" s="408"/>
      <c r="CL786" s="408"/>
      <c r="CM786" s="408"/>
      <c r="CN786" s="408"/>
      <c r="CO786" s="408">
        <v>-4200.0104700000002</v>
      </c>
      <c r="CP786" s="408">
        <v>0</v>
      </c>
      <c r="CQ786" s="408"/>
      <c r="CR786" s="408">
        <v>66.404665184452824</v>
      </c>
      <c r="CS786" s="408">
        <v>26.111480799312574</v>
      </c>
      <c r="CT786" s="408">
        <v>83.961359223230488</v>
      </c>
      <c r="CU786" s="408">
        <v>0</v>
      </c>
      <c r="CV786" s="408">
        <v>0</v>
      </c>
      <c r="CW786" s="408"/>
      <c r="CX786" s="408"/>
      <c r="CY786" s="408"/>
      <c r="CZ786" s="408">
        <v>-36.628380342364153</v>
      </c>
      <c r="DA786" s="408">
        <v>0</v>
      </c>
      <c r="DB786" s="408">
        <v>0</v>
      </c>
      <c r="DC786" s="408"/>
      <c r="DD786" s="408"/>
      <c r="DE786" s="408">
        <v>0.16662956958514519</v>
      </c>
      <c r="DF786" s="408">
        <v>0</v>
      </c>
      <c r="DG786" s="408">
        <v>5.5797180963586612</v>
      </c>
      <c r="DH786" s="408">
        <v>0</v>
      </c>
      <c r="DI786" s="408">
        <v>-10.816727379446945</v>
      </c>
      <c r="DJ786" s="408"/>
      <c r="DK786" s="408">
        <v>0</v>
      </c>
      <c r="DL786" s="408">
        <v>0</v>
      </c>
      <c r="DM786" s="408"/>
      <c r="DN786" s="408">
        <v>0</v>
      </c>
      <c r="DO786" s="408">
        <v>-1.7030075004018386</v>
      </c>
      <c r="DP786" s="408">
        <v>-0.26640728182155726</v>
      </c>
      <c r="DQ786" s="408">
        <v>0</v>
      </c>
      <c r="DR786" s="408">
        <v>0</v>
      </c>
      <c r="DS786" s="408"/>
      <c r="DT786" s="408"/>
      <c r="DU786" s="408"/>
      <c r="DV786" s="408">
        <v>8058.2406128832372</v>
      </c>
      <c r="DW786" s="408">
        <v>0</v>
      </c>
      <c r="DX786" s="408">
        <v>0</v>
      </c>
      <c r="DY786" s="408">
        <v>-4200.0104699999993</v>
      </c>
      <c r="DZ786" s="408"/>
      <c r="EA786" s="408">
        <v>0</v>
      </c>
      <c r="EB786" s="408"/>
      <c r="EC786" s="408">
        <v>-4266.4111930769368</v>
      </c>
      <c r="ED786" s="408"/>
      <c r="EE786" s="408">
        <v>0</v>
      </c>
      <c r="EF786" s="408">
        <v>0</v>
      </c>
      <c r="EG786" s="408"/>
      <c r="EH786" s="408">
        <v>0</v>
      </c>
      <c r="EI786" s="408">
        <v>0</v>
      </c>
      <c r="EJ786" s="408">
        <v>0</v>
      </c>
      <c r="EK786" s="408">
        <v>0</v>
      </c>
      <c r="EL786" s="408">
        <v>0</v>
      </c>
      <c r="EM786" s="408"/>
      <c r="EN786" s="408"/>
      <c r="EO786" s="408">
        <v>0</v>
      </c>
      <c r="EP786" s="408">
        <v>0</v>
      </c>
      <c r="EQ786" s="408"/>
      <c r="ER786" s="408">
        <v>0</v>
      </c>
      <c r="ES786" s="408"/>
      <c r="ET786" s="408">
        <v>0</v>
      </c>
      <c r="EU786" s="408"/>
      <c r="EV786" s="408">
        <v>239</v>
      </c>
      <c r="EW786" s="408"/>
      <c r="EX786" s="408"/>
      <c r="EY786" s="408"/>
      <c r="EZ786" s="408"/>
      <c r="FA786" s="408">
        <v>0</v>
      </c>
      <c r="FB786" s="408"/>
      <c r="FC786" s="408"/>
      <c r="FD786" s="408"/>
      <c r="FE786" s="408"/>
      <c r="FF786" s="408">
        <v>0</v>
      </c>
      <c r="FG786" s="408">
        <v>0</v>
      </c>
      <c r="FH786" s="408">
        <v>0</v>
      </c>
      <c r="FI786" s="408">
        <v>0</v>
      </c>
    </row>
    <row r="787" spans="1:165">
      <c r="A787" s="408">
        <v>794</v>
      </c>
      <c r="B787" s="408" t="s">
        <v>1034</v>
      </c>
      <c r="C787" s="408" t="s">
        <v>2241</v>
      </c>
      <c r="D787" s="408" t="s">
        <v>596</v>
      </c>
      <c r="E787" s="408" t="s">
        <v>968</v>
      </c>
      <c r="F787" s="408" t="s">
        <v>1320</v>
      </c>
      <c r="G787" s="408" t="s">
        <v>2323</v>
      </c>
      <c r="H787" s="408" t="s">
        <v>1320</v>
      </c>
      <c r="I787" s="408" t="s">
        <v>2242</v>
      </c>
      <c r="J787" s="408" t="s">
        <v>2324</v>
      </c>
      <c r="K787" s="827">
        <v>44531</v>
      </c>
      <c r="L787" s="408">
        <v>0</v>
      </c>
      <c r="M787" s="408">
        <v>0</v>
      </c>
      <c r="N787" s="408">
        <v>646.25</v>
      </c>
      <c r="O787" s="408">
        <v>646.25</v>
      </c>
      <c r="P787" s="408">
        <v>0</v>
      </c>
      <c r="Q787" s="408">
        <v>0</v>
      </c>
      <c r="R787" s="408"/>
      <c r="S787" s="408">
        <v>70.33</v>
      </c>
      <c r="T787" s="408"/>
      <c r="U787" s="408"/>
      <c r="V787" s="408">
        <v>45450.762499999997</v>
      </c>
      <c r="W787" s="408">
        <v>45450.762499999997</v>
      </c>
      <c r="X787" s="408">
        <v>44798.049999999996</v>
      </c>
      <c r="Y787" s="408">
        <v>0</v>
      </c>
      <c r="Z787" s="408">
        <v>34380.517131751905</v>
      </c>
      <c r="AA787" s="408">
        <v>0</v>
      </c>
      <c r="AB787" s="408">
        <v>0</v>
      </c>
      <c r="AC787" s="408">
        <v>0</v>
      </c>
      <c r="AD787" s="408">
        <v>0</v>
      </c>
      <c r="AE787" s="408">
        <v>0</v>
      </c>
      <c r="AF787" s="408"/>
      <c r="AG787" s="408"/>
      <c r="AH787" s="408"/>
      <c r="AI787" s="408">
        <v>0</v>
      </c>
      <c r="AJ787" s="408">
        <v>0</v>
      </c>
      <c r="AK787" s="408">
        <v>0</v>
      </c>
      <c r="AL787" s="408">
        <v>6108.0297149864336</v>
      </c>
      <c r="AM787" s="408"/>
      <c r="AN787" s="408">
        <v>803.11469269489862</v>
      </c>
      <c r="AO787" s="408">
        <v>0</v>
      </c>
      <c r="AP787" s="408">
        <v>0</v>
      </c>
      <c r="AQ787" s="408">
        <v>0</v>
      </c>
      <c r="AR787" s="408">
        <v>0</v>
      </c>
      <c r="AS787" s="408"/>
      <c r="AT787" s="408"/>
      <c r="AU787" s="408">
        <v>0</v>
      </c>
      <c r="AV787" s="408">
        <v>0</v>
      </c>
      <c r="AW787" s="408">
        <v>0</v>
      </c>
      <c r="AX787" s="408"/>
      <c r="AY787" s="408"/>
      <c r="AZ787" s="408">
        <v>0</v>
      </c>
      <c r="BA787" s="408"/>
      <c r="BB787" s="408">
        <v>0</v>
      </c>
      <c r="BC787" s="408">
        <v>0</v>
      </c>
      <c r="BD787" s="408">
        <v>0</v>
      </c>
      <c r="BE787" s="408">
        <v>120.58612996001359</v>
      </c>
      <c r="BF787" s="408"/>
      <c r="BG787" s="408">
        <v>4037.918438983555</v>
      </c>
      <c r="BH787" s="408">
        <v>0</v>
      </c>
      <c r="BI787" s="408">
        <v>0</v>
      </c>
      <c r="BJ787" s="408">
        <v>0</v>
      </c>
      <c r="BK787" s="408">
        <v>0</v>
      </c>
      <c r="BL787" s="408">
        <v>0</v>
      </c>
      <c r="BM787" s="408"/>
      <c r="BN787" s="408"/>
      <c r="BO787" s="408"/>
      <c r="BP787" s="408"/>
      <c r="BQ787" s="408"/>
      <c r="BR787" s="408"/>
      <c r="BS787" s="408"/>
      <c r="BT787" s="408"/>
      <c r="BU787" s="408"/>
      <c r="BV787" s="408">
        <v>4158.5045689435683</v>
      </c>
      <c r="BW787" s="408"/>
      <c r="BX787" s="408"/>
      <c r="BY787" s="408"/>
      <c r="BZ787" s="408"/>
      <c r="CA787" s="408"/>
      <c r="CB787" s="408"/>
      <c r="CC787" s="408"/>
      <c r="CD787" s="408"/>
      <c r="CE787" s="408"/>
      <c r="CF787" s="408"/>
      <c r="CG787" s="408"/>
      <c r="CH787" s="408"/>
      <c r="CI787" s="408">
        <v>44798.049999999996</v>
      </c>
      <c r="CJ787" s="408">
        <v>-652.74250000000757</v>
      </c>
      <c r="CK787" s="408"/>
      <c r="CL787" s="408"/>
      <c r="CM787" s="408"/>
      <c r="CN787" s="408"/>
      <c r="CO787" s="408">
        <v>-652.71250000000327</v>
      </c>
      <c r="CP787" s="408">
        <v>0</v>
      </c>
      <c r="CQ787" s="408"/>
      <c r="CR787" s="408">
        <v>-653.94095053376077</v>
      </c>
      <c r="CS787" s="408">
        <v>0</v>
      </c>
      <c r="CT787" s="408">
        <v>0</v>
      </c>
      <c r="CU787" s="408">
        <v>0</v>
      </c>
      <c r="CV787" s="408">
        <v>0</v>
      </c>
      <c r="CW787" s="408"/>
      <c r="CX787" s="408"/>
      <c r="CY787" s="408"/>
      <c r="CZ787" s="408">
        <v>0</v>
      </c>
      <c r="DA787" s="408">
        <v>0</v>
      </c>
      <c r="DB787" s="408">
        <v>0</v>
      </c>
      <c r="DC787" s="408"/>
      <c r="DD787" s="408"/>
      <c r="DE787" s="408">
        <v>15.478562504585327</v>
      </c>
      <c r="DF787" s="408">
        <v>0</v>
      </c>
      <c r="DG787" s="408">
        <v>518.3114589293923</v>
      </c>
      <c r="DH787" s="408">
        <v>0</v>
      </c>
      <c r="DI787" s="408">
        <v>-1004.787993239559</v>
      </c>
      <c r="DJ787" s="408"/>
      <c r="DK787" s="408">
        <v>0</v>
      </c>
      <c r="DL787" s="408">
        <v>0</v>
      </c>
      <c r="DM787" s="408"/>
      <c r="DN787" s="408">
        <v>0</v>
      </c>
      <c r="DO787" s="408">
        <v>-158.19585987274604</v>
      </c>
      <c r="DP787" s="408">
        <v>-24.747118855423423</v>
      </c>
      <c r="DQ787" s="408">
        <v>0</v>
      </c>
      <c r="DR787" s="408">
        <v>0</v>
      </c>
      <c r="DS787" s="408"/>
      <c r="DT787" s="408"/>
      <c r="DU787" s="408"/>
      <c r="DV787" s="408">
        <v>0</v>
      </c>
      <c r="DW787" s="408">
        <v>0</v>
      </c>
      <c r="DX787" s="408">
        <v>0</v>
      </c>
      <c r="DY787" s="408">
        <v>-652.71250000000146</v>
      </c>
      <c r="DZ787" s="408"/>
      <c r="EA787" s="408">
        <v>0</v>
      </c>
      <c r="EB787" s="408"/>
      <c r="EC787" s="408">
        <v>0</v>
      </c>
      <c r="ED787" s="408"/>
      <c r="EE787" s="408">
        <v>0</v>
      </c>
      <c r="EF787" s="408">
        <v>0</v>
      </c>
      <c r="EG787" s="408"/>
      <c r="EH787" s="408">
        <v>0</v>
      </c>
      <c r="EI787" s="408">
        <v>0</v>
      </c>
      <c r="EJ787" s="408">
        <v>0</v>
      </c>
      <c r="EK787" s="408">
        <v>0</v>
      </c>
      <c r="EL787" s="408">
        <v>0</v>
      </c>
      <c r="EM787" s="408"/>
      <c r="EN787" s="408"/>
      <c r="EO787" s="408">
        <v>0</v>
      </c>
      <c r="EP787" s="408">
        <v>0</v>
      </c>
      <c r="EQ787" s="408"/>
      <c r="ER787" s="408">
        <v>0</v>
      </c>
      <c r="ES787" s="408"/>
      <c r="ET787" s="408">
        <v>0</v>
      </c>
      <c r="EU787" s="408"/>
      <c r="EV787" s="408">
        <v>239</v>
      </c>
      <c r="EW787" s="408"/>
      <c r="EX787" s="408"/>
      <c r="EY787" s="408"/>
      <c r="EZ787" s="408"/>
      <c r="FA787" s="408">
        <v>0</v>
      </c>
      <c r="FB787" s="408"/>
      <c r="FC787" s="408"/>
      <c r="FD787" s="408"/>
      <c r="FE787" s="408"/>
      <c r="FF787" s="408">
        <v>0</v>
      </c>
      <c r="FG787" s="408">
        <v>0</v>
      </c>
      <c r="FH787" s="408">
        <v>0</v>
      </c>
      <c r="FI787" s="408">
        <v>0</v>
      </c>
    </row>
    <row r="788" spans="1:165">
      <c r="A788" s="408">
        <v>795</v>
      </c>
      <c r="B788" s="408" t="s">
        <v>1034</v>
      </c>
      <c r="C788" s="408" t="s">
        <v>2241</v>
      </c>
      <c r="D788" s="408" t="s">
        <v>596</v>
      </c>
      <c r="E788" s="408" t="s">
        <v>968</v>
      </c>
      <c r="F788" s="408" t="s">
        <v>1320</v>
      </c>
      <c r="G788" s="408" t="s">
        <v>2323</v>
      </c>
      <c r="H788" s="408" t="s">
        <v>1320</v>
      </c>
      <c r="I788" s="408" t="s">
        <v>1320</v>
      </c>
      <c r="J788" s="408" t="s">
        <v>2324</v>
      </c>
      <c r="K788" s="827">
        <v>44531</v>
      </c>
      <c r="L788" s="408">
        <v>3433</v>
      </c>
      <c r="M788" s="408">
        <v>1215.6252999999999</v>
      </c>
      <c r="N788" s="408">
        <v>0</v>
      </c>
      <c r="O788" s="408">
        <v>0</v>
      </c>
      <c r="P788" s="408">
        <v>0</v>
      </c>
      <c r="Q788" s="408">
        <v>0</v>
      </c>
      <c r="R788" s="408">
        <v>59.12</v>
      </c>
      <c r="S788" s="408"/>
      <c r="T788" s="408"/>
      <c r="U788" s="408">
        <v>202958.96</v>
      </c>
      <c r="V788" s="408"/>
      <c r="W788" s="408">
        <v>202958.96</v>
      </c>
      <c r="X788" s="408">
        <v>116824.99</v>
      </c>
      <c r="Y788" s="408">
        <v>0</v>
      </c>
      <c r="Z788" s="408">
        <v>0</v>
      </c>
      <c r="AA788" s="408">
        <v>0</v>
      </c>
      <c r="AB788" s="408">
        <v>0</v>
      </c>
      <c r="AC788" s="408">
        <v>1963.8832273245305</v>
      </c>
      <c r="AD788" s="408">
        <v>17566.738759906071</v>
      </c>
      <c r="AE788" s="408">
        <v>165339.45168416327</v>
      </c>
      <c r="AF788" s="408"/>
      <c r="AG788" s="408"/>
      <c r="AH788" s="408"/>
      <c r="AI788" s="408">
        <v>0</v>
      </c>
      <c r="AJ788" s="408">
        <v>0</v>
      </c>
      <c r="AK788" s="408">
        <v>0</v>
      </c>
      <c r="AL788" s="408">
        <v>0</v>
      </c>
      <c r="AM788" s="408"/>
      <c r="AN788" s="408">
        <v>0</v>
      </c>
      <c r="AO788" s="408">
        <v>4147.3115731639764</v>
      </c>
      <c r="AP788" s="408">
        <v>13941.371337180453</v>
      </c>
      <c r="AQ788" s="408">
        <v>0</v>
      </c>
      <c r="AR788" s="408">
        <v>0</v>
      </c>
      <c r="AS788" s="408"/>
      <c r="AT788" s="408"/>
      <c r="AU788" s="408">
        <v>0</v>
      </c>
      <c r="AV788" s="408">
        <v>0</v>
      </c>
      <c r="AW788" s="408">
        <v>0</v>
      </c>
      <c r="AX788" s="408"/>
      <c r="AY788" s="408"/>
      <c r="AZ788" s="408">
        <v>0</v>
      </c>
      <c r="BA788" s="408"/>
      <c r="BB788" s="408">
        <v>0</v>
      </c>
      <c r="BC788" s="408">
        <v>0</v>
      </c>
      <c r="BD788" s="408">
        <v>0</v>
      </c>
      <c r="BE788" s="408">
        <v>0</v>
      </c>
      <c r="BF788" s="408"/>
      <c r="BG788" s="408">
        <v>0</v>
      </c>
      <c r="BH788" s="408">
        <v>0</v>
      </c>
      <c r="BI788" s="408">
        <v>1207.71</v>
      </c>
      <c r="BJ788" s="408">
        <v>0</v>
      </c>
      <c r="BK788" s="408">
        <v>56487.87</v>
      </c>
      <c r="BL788" s="408">
        <v>3</v>
      </c>
      <c r="BM788" s="408"/>
      <c r="BN788" s="408">
        <v>75457.26104100002</v>
      </c>
      <c r="BO788" s="408"/>
      <c r="BP788" s="408"/>
      <c r="BQ788" s="408"/>
      <c r="BR788" s="408"/>
      <c r="BS788" s="408"/>
      <c r="BT788" s="408"/>
      <c r="BU788" s="408"/>
      <c r="BV788" s="408">
        <v>0</v>
      </c>
      <c r="BW788" s="408"/>
      <c r="BX788" s="408"/>
      <c r="BY788" s="408"/>
      <c r="BZ788" s="408"/>
      <c r="CA788" s="408"/>
      <c r="CB788" s="408"/>
      <c r="CC788" s="408"/>
      <c r="CD788" s="408"/>
      <c r="CE788" s="408"/>
      <c r="CF788" s="408"/>
      <c r="CG788" s="408"/>
      <c r="CH788" s="408"/>
      <c r="CI788" s="408">
        <v>41367.888900000005</v>
      </c>
      <c r="CJ788" s="408">
        <v>-30499.908835999973</v>
      </c>
      <c r="CK788" s="408"/>
      <c r="CL788" s="408"/>
      <c r="CM788" s="408"/>
      <c r="CN788" s="408"/>
      <c r="CO788" s="408">
        <v>-86133.969999999987</v>
      </c>
      <c r="CP788" s="408">
        <v>0</v>
      </c>
      <c r="CQ788" s="408"/>
      <c r="CR788" s="408">
        <v>1419.4685293205112</v>
      </c>
      <c r="CS788" s="408">
        <v>402.67775220964177</v>
      </c>
      <c r="CT788" s="408">
        <v>1353.6190791889203</v>
      </c>
      <c r="CU788" s="408">
        <v>0</v>
      </c>
      <c r="CV788" s="408">
        <v>0</v>
      </c>
      <c r="CW788" s="408"/>
      <c r="CX788" s="408"/>
      <c r="CY788" s="408"/>
      <c r="CZ788" s="408">
        <v>-336.82830207805091</v>
      </c>
      <c r="DA788" s="408">
        <v>0</v>
      </c>
      <c r="DB788" s="408">
        <v>0</v>
      </c>
      <c r="DC788" s="408"/>
      <c r="DD788" s="408"/>
      <c r="DE788" s="408">
        <v>0</v>
      </c>
      <c r="DF788" s="408">
        <v>0</v>
      </c>
      <c r="DG788" s="408">
        <v>0</v>
      </c>
      <c r="DH788" s="408">
        <v>0</v>
      </c>
      <c r="DI788" s="408">
        <v>0</v>
      </c>
      <c r="DJ788" s="408"/>
      <c r="DK788" s="408">
        <v>0</v>
      </c>
      <c r="DL788" s="408">
        <v>0</v>
      </c>
      <c r="DM788" s="408"/>
      <c r="DN788" s="408">
        <v>0</v>
      </c>
      <c r="DO788" s="408">
        <v>0</v>
      </c>
      <c r="DP788" s="408">
        <v>0</v>
      </c>
      <c r="DQ788" s="408">
        <v>0</v>
      </c>
      <c r="DR788" s="408">
        <v>0</v>
      </c>
      <c r="DS788" s="408"/>
      <c r="DT788" s="408"/>
      <c r="DU788" s="408">
        <v>165339.45168416327</v>
      </c>
      <c r="DV788" s="408"/>
      <c r="DW788" s="408">
        <v>0</v>
      </c>
      <c r="DX788" s="408">
        <v>0</v>
      </c>
      <c r="DY788" s="408">
        <v>-86133.969999999987</v>
      </c>
      <c r="DZ788" s="408"/>
      <c r="EA788" s="408">
        <v>0</v>
      </c>
      <c r="EB788" s="408"/>
      <c r="EC788" s="408">
        <v>-87538.474117382415</v>
      </c>
      <c r="ED788" s="408"/>
      <c r="EE788" s="408">
        <v>0</v>
      </c>
      <c r="EF788" s="408">
        <v>0</v>
      </c>
      <c r="EG788" s="408"/>
      <c r="EH788" s="408">
        <v>0</v>
      </c>
      <c r="EI788" s="408">
        <v>0</v>
      </c>
      <c r="EJ788" s="408">
        <v>0</v>
      </c>
      <c r="EK788" s="408">
        <v>0</v>
      </c>
      <c r="EL788" s="408">
        <v>0</v>
      </c>
      <c r="EM788" s="408"/>
      <c r="EN788" s="408"/>
      <c r="EO788" s="408">
        <v>0</v>
      </c>
      <c r="EP788" s="408">
        <v>0</v>
      </c>
      <c r="EQ788" s="408"/>
      <c r="ER788" s="408">
        <v>0</v>
      </c>
      <c r="ES788" s="408"/>
      <c r="ET788" s="408">
        <v>0</v>
      </c>
      <c r="EU788" s="408"/>
      <c r="EV788" s="408">
        <v>239</v>
      </c>
      <c r="EW788" s="408"/>
      <c r="EX788" s="408"/>
      <c r="EY788" s="408"/>
      <c r="EZ788" s="408"/>
      <c r="FA788" s="408">
        <v>0</v>
      </c>
      <c r="FB788" s="408"/>
      <c r="FC788" s="408"/>
      <c r="FD788" s="408"/>
      <c r="FE788" s="408"/>
      <c r="FF788" s="408">
        <v>0</v>
      </c>
      <c r="FG788" s="408">
        <v>0</v>
      </c>
      <c r="FH788" s="408">
        <v>0</v>
      </c>
      <c r="FI788" s="408">
        <v>0</v>
      </c>
    </row>
    <row r="789" spans="1:165">
      <c r="A789" s="408">
        <v>796</v>
      </c>
      <c r="B789" s="408" t="s">
        <v>1034</v>
      </c>
      <c r="C789" s="408" t="s">
        <v>991</v>
      </c>
      <c r="D789" s="408" t="s">
        <v>596</v>
      </c>
      <c r="E789" s="408" t="s">
        <v>1320</v>
      </c>
      <c r="F789" s="408" t="s">
        <v>1320</v>
      </c>
      <c r="G789" s="408" t="s">
        <v>1320</v>
      </c>
      <c r="H789" s="408" t="s">
        <v>2325</v>
      </c>
      <c r="I789" s="408" t="s">
        <v>1320</v>
      </c>
      <c r="J789" s="408" t="s">
        <v>2255</v>
      </c>
      <c r="K789" s="827">
        <v>44531</v>
      </c>
      <c r="L789" s="408">
        <v>2300</v>
      </c>
      <c r="M789" s="408">
        <v>1150</v>
      </c>
      <c r="N789" s="408">
        <v>0</v>
      </c>
      <c r="O789" s="408">
        <v>0</v>
      </c>
      <c r="P789" s="408">
        <v>0</v>
      </c>
      <c r="Q789" s="408">
        <v>0</v>
      </c>
      <c r="R789" s="408">
        <v>21.22</v>
      </c>
      <c r="S789" s="408"/>
      <c r="T789" s="408"/>
      <c r="U789" s="408">
        <v>48806</v>
      </c>
      <c r="V789" s="408"/>
      <c r="W789" s="408">
        <v>48806</v>
      </c>
      <c r="X789" s="408">
        <v>23161</v>
      </c>
      <c r="Y789" s="408">
        <v>0</v>
      </c>
      <c r="Z789" s="408">
        <v>0</v>
      </c>
      <c r="AA789" s="408">
        <v>0</v>
      </c>
      <c r="AB789" s="408">
        <v>0</v>
      </c>
      <c r="AC789" s="408">
        <v>0</v>
      </c>
      <c r="AD789" s="408">
        <v>0</v>
      </c>
      <c r="AE789" s="408">
        <v>48415.733888970302</v>
      </c>
      <c r="AF789" s="408"/>
      <c r="AG789" s="408"/>
      <c r="AH789" s="408"/>
      <c r="AI789" s="408">
        <v>0</v>
      </c>
      <c r="AJ789" s="408">
        <v>0</v>
      </c>
      <c r="AK789" s="408">
        <v>0</v>
      </c>
      <c r="AL789" s="408">
        <v>0</v>
      </c>
      <c r="AM789" s="408"/>
      <c r="AN789" s="408">
        <v>382.49209089480081</v>
      </c>
      <c r="AO789" s="408">
        <v>0</v>
      </c>
      <c r="AP789" s="408">
        <v>0</v>
      </c>
      <c r="AQ789" s="408">
        <v>0</v>
      </c>
      <c r="AR789" s="408">
        <v>0</v>
      </c>
      <c r="AS789" s="408"/>
      <c r="AT789" s="408"/>
      <c r="AU789" s="408">
        <v>0</v>
      </c>
      <c r="AV789" s="408">
        <v>0</v>
      </c>
      <c r="AW789" s="408">
        <v>0</v>
      </c>
      <c r="AX789" s="408"/>
      <c r="AY789" s="408"/>
      <c r="AZ789" s="408">
        <v>0</v>
      </c>
      <c r="BA789" s="408"/>
      <c r="BB789" s="408">
        <v>0</v>
      </c>
      <c r="BC789" s="408">
        <v>0</v>
      </c>
      <c r="BD789" s="408">
        <v>0</v>
      </c>
      <c r="BE789" s="408">
        <v>0</v>
      </c>
      <c r="BF789" s="408"/>
      <c r="BG789" s="408">
        <v>0</v>
      </c>
      <c r="BH789" s="408">
        <v>0</v>
      </c>
      <c r="BI789" s="408">
        <v>168.17</v>
      </c>
      <c r="BJ789" s="408">
        <v>0</v>
      </c>
      <c r="BK789" s="408">
        <v>0</v>
      </c>
      <c r="BL789" s="408">
        <v>0</v>
      </c>
      <c r="BM789" s="408"/>
      <c r="BN789" s="408"/>
      <c r="BO789" s="408">
        <v>11580.5</v>
      </c>
      <c r="BP789" s="408"/>
      <c r="BQ789" s="408"/>
      <c r="BR789" s="408"/>
      <c r="BS789" s="408"/>
      <c r="BT789" s="408"/>
      <c r="BU789" s="408"/>
      <c r="BV789" s="408">
        <v>0</v>
      </c>
      <c r="BW789" s="408"/>
      <c r="BX789" s="408"/>
      <c r="BY789" s="408"/>
      <c r="BZ789" s="408"/>
      <c r="CA789" s="408"/>
      <c r="CB789" s="408"/>
      <c r="CC789" s="408"/>
      <c r="CD789" s="408"/>
      <c r="CE789" s="408"/>
      <c r="CF789" s="408"/>
      <c r="CG789" s="408"/>
      <c r="CH789" s="408"/>
      <c r="CI789" s="408">
        <v>11580.5</v>
      </c>
      <c r="CJ789" s="408">
        <v>-12822.529999999995</v>
      </c>
      <c r="CK789" s="408"/>
      <c r="CL789" s="408"/>
      <c r="CM789" s="408"/>
      <c r="CN789" s="408"/>
      <c r="CO789" s="408">
        <v>-25644.999999999996</v>
      </c>
      <c r="CP789" s="408">
        <v>0</v>
      </c>
      <c r="CQ789" s="408"/>
      <c r="CR789" s="408">
        <v>-11.786084006094825</v>
      </c>
      <c r="CS789" s="408">
        <v>0</v>
      </c>
      <c r="CT789" s="408">
        <v>0</v>
      </c>
      <c r="CU789" s="408">
        <v>0</v>
      </c>
      <c r="CV789" s="408">
        <v>0</v>
      </c>
      <c r="CW789" s="408"/>
      <c r="CX789" s="408"/>
      <c r="CY789" s="408"/>
      <c r="CZ789" s="408">
        <v>0</v>
      </c>
      <c r="DA789" s="408">
        <v>0</v>
      </c>
      <c r="DB789" s="408">
        <v>0</v>
      </c>
      <c r="DC789" s="408"/>
      <c r="DD789" s="408"/>
      <c r="DE789" s="408">
        <v>0</v>
      </c>
      <c r="DF789" s="408">
        <v>0</v>
      </c>
      <c r="DG789" s="408">
        <v>0</v>
      </c>
      <c r="DH789" s="408">
        <v>0</v>
      </c>
      <c r="DI789" s="408">
        <v>0</v>
      </c>
      <c r="DJ789" s="408"/>
      <c r="DK789" s="408">
        <v>0</v>
      </c>
      <c r="DL789" s="408">
        <v>0</v>
      </c>
      <c r="DM789" s="408"/>
      <c r="DN789" s="408">
        <v>0</v>
      </c>
      <c r="DO789" s="408">
        <v>0</v>
      </c>
      <c r="DP789" s="408">
        <v>-11.786084006094825</v>
      </c>
      <c r="DQ789" s="408">
        <v>0</v>
      </c>
      <c r="DR789" s="408">
        <v>0</v>
      </c>
      <c r="DS789" s="408"/>
      <c r="DT789" s="408"/>
      <c r="DU789" s="408">
        <v>48415.733888970302</v>
      </c>
      <c r="DV789" s="408"/>
      <c r="DW789" s="408">
        <v>0</v>
      </c>
      <c r="DX789" s="408">
        <v>0</v>
      </c>
      <c r="DY789" s="408">
        <v>-25645</v>
      </c>
      <c r="DZ789" s="408"/>
      <c r="EA789" s="408">
        <v>0</v>
      </c>
      <c r="EB789" s="408"/>
      <c r="EC789" s="408">
        <v>-25633.564311134465</v>
      </c>
      <c r="ED789" s="408"/>
      <c r="EE789" s="408">
        <v>0</v>
      </c>
      <c r="EF789" s="408">
        <v>0</v>
      </c>
      <c r="EG789" s="408"/>
      <c r="EH789" s="408">
        <v>0</v>
      </c>
      <c r="EI789" s="408">
        <v>0</v>
      </c>
      <c r="EJ789" s="408">
        <v>0</v>
      </c>
      <c r="EK789" s="408">
        <v>0</v>
      </c>
      <c r="EL789" s="408">
        <v>0</v>
      </c>
      <c r="EM789" s="408"/>
      <c r="EN789" s="408"/>
      <c r="EO789" s="408">
        <v>0</v>
      </c>
      <c r="EP789" s="408">
        <v>0</v>
      </c>
      <c r="EQ789" s="408"/>
      <c r="ER789" s="408">
        <v>0</v>
      </c>
      <c r="ES789" s="408"/>
      <c r="ET789" s="408">
        <v>0</v>
      </c>
      <c r="EU789" s="408"/>
      <c r="EV789" s="408">
        <v>239</v>
      </c>
      <c r="EW789" s="408"/>
      <c r="EX789" s="408"/>
      <c r="EY789" s="408"/>
      <c r="EZ789" s="408"/>
      <c r="FA789" s="408">
        <v>0</v>
      </c>
      <c r="FB789" s="408"/>
      <c r="FC789" s="408"/>
      <c r="FD789" s="408"/>
      <c r="FE789" s="408"/>
      <c r="FF789" s="408">
        <v>0</v>
      </c>
      <c r="FG789" s="408">
        <v>0</v>
      </c>
      <c r="FH789" s="408">
        <v>0</v>
      </c>
      <c r="FI789" s="408">
        <v>0</v>
      </c>
    </row>
    <row r="790" spans="1:165">
      <c r="A790" s="408">
        <v>797</v>
      </c>
      <c r="B790" s="408" t="s">
        <v>1034</v>
      </c>
      <c r="C790" s="408" t="s">
        <v>2241</v>
      </c>
      <c r="D790" s="408" t="s">
        <v>596</v>
      </c>
      <c r="E790" s="408" t="s">
        <v>968</v>
      </c>
      <c r="F790" s="408" t="s">
        <v>1320</v>
      </c>
      <c r="G790" s="408" t="s">
        <v>2323</v>
      </c>
      <c r="H790" s="408" t="s">
        <v>1320</v>
      </c>
      <c r="I790" s="408" t="s">
        <v>971</v>
      </c>
      <c r="J790" s="408" t="s">
        <v>2324</v>
      </c>
      <c r="K790" s="827">
        <v>44562</v>
      </c>
      <c r="L790" s="408">
        <v>0</v>
      </c>
      <c r="M790" s="408">
        <v>0</v>
      </c>
      <c r="N790" s="408">
        <v>8.8279999999999994</v>
      </c>
      <c r="O790" s="408">
        <v>4.1526911999999996</v>
      </c>
      <c r="P790" s="408">
        <v>0</v>
      </c>
      <c r="Q790" s="408">
        <v>0</v>
      </c>
      <c r="R790" s="408"/>
      <c r="S790" s="408">
        <v>1684.16</v>
      </c>
      <c r="T790" s="408"/>
      <c r="U790" s="408"/>
      <c r="V790" s="408">
        <v>14867.76448</v>
      </c>
      <c r="W790" s="408">
        <v>14867.76448</v>
      </c>
      <c r="X790" s="408">
        <v>9538.2125999999989</v>
      </c>
      <c r="Y790" s="408">
        <v>0</v>
      </c>
      <c r="Z790" s="408">
        <v>469.64983402569561</v>
      </c>
      <c r="AA790" s="408">
        <v>0</v>
      </c>
      <c r="AB790" s="408">
        <v>0</v>
      </c>
      <c r="AC790" s="408">
        <v>158.89870196174411</v>
      </c>
      <c r="AD790" s="408">
        <v>2424.0445828013135</v>
      </c>
      <c r="AE790" s="408">
        <v>10225.405797115598</v>
      </c>
      <c r="AF790" s="408"/>
      <c r="AG790" s="408"/>
      <c r="AH790" s="408"/>
      <c r="AI790" s="408">
        <v>0</v>
      </c>
      <c r="AJ790" s="408">
        <v>0</v>
      </c>
      <c r="AK790" s="408">
        <v>0</v>
      </c>
      <c r="AL790" s="408">
        <v>83.437812493462644</v>
      </c>
      <c r="AM790" s="408"/>
      <c r="AN790" s="408">
        <v>10.970826316612092</v>
      </c>
      <c r="AO790" s="408">
        <v>341.2564359574688</v>
      </c>
      <c r="AP790" s="408">
        <v>1097.3086676654391</v>
      </c>
      <c r="AQ790" s="408">
        <v>0</v>
      </c>
      <c r="AR790" s="408">
        <v>0</v>
      </c>
      <c r="AS790" s="408"/>
      <c r="AT790" s="408"/>
      <c r="AU790" s="408">
        <v>0</v>
      </c>
      <c r="AV790" s="408">
        <v>0</v>
      </c>
      <c r="AW790" s="408">
        <v>0</v>
      </c>
      <c r="AX790" s="408"/>
      <c r="AY790" s="408"/>
      <c r="AZ790" s="408">
        <v>0</v>
      </c>
      <c r="BA790" s="408"/>
      <c r="BB790" s="408">
        <v>0</v>
      </c>
      <c r="BC790" s="408">
        <v>0</v>
      </c>
      <c r="BD790" s="408">
        <v>0</v>
      </c>
      <c r="BE790" s="408">
        <v>1.6472485188193424</v>
      </c>
      <c r="BF790" s="408"/>
      <c r="BG790" s="408">
        <v>55.159371728196241</v>
      </c>
      <c r="BH790" s="408">
        <v>0</v>
      </c>
      <c r="BI790" s="408">
        <v>0</v>
      </c>
      <c r="BJ790" s="408">
        <v>0</v>
      </c>
      <c r="BK790" s="408">
        <v>0</v>
      </c>
      <c r="BL790" s="408">
        <v>0</v>
      </c>
      <c r="BM790" s="408"/>
      <c r="BN790" s="408">
        <v>5051.4373929599997</v>
      </c>
      <c r="BO790" s="408"/>
      <c r="BP790" s="408"/>
      <c r="BQ790" s="408"/>
      <c r="BR790" s="408"/>
      <c r="BS790" s="408"/>
      <c r="BT790" s="408"/>
      <c r="BU790" s="408"/>
      <c r="BV790" s="408">
        <v>56.806620247015587</v>
      </c>
      <c r="BW790" s="408"/>
      <c r="BX790" s="408"/>
      <c r="BY790" s="408"/>
      <c r="BZ790" s="408"/>
      <c r="CA790" s="408"/>
      <c r="CB790" s="408"/>
      <c r="CC790" s="408"/>
      <c r="CD790" s="408"/>
      <c r="CE790" s="408"/>
      <c r="CF790" s="408"/>
      <c r="CG790" s="408"/>
      <c r="CH790" s="408"/>
      <c r="CI790" s="408">
        <v>4483.8675000000003</v>
      </c>
      <c r="CJ790" s="408">
        <v>-2509.9589113920001</v>
      </c>
      <c r="CK790" s="408"/>
      <c r="CL790" s="408"/>
      <c r="CM790" s="408"/>
      <c r="CN790" s="408"/>
      <c r="CO790" s="408">
        <v>-5329.55188</v>
      </c>
      <c r="CP790" s="408">
        <v>0</v>
      </c>
      <c r="CQ790" s="408">
        <v>31</v>
      </c>
      <c r="CR790" s="408">
        <v>84.263387127833994</v>
      </c>
      <c r="CS790" s="408">
        <v>33.133843969574741</v>
      </c>
      <c r="CT790" s="408">
        <v>106.54173914369403</v>
      </c>
      <c r="CU790" s="408">
        <v>0</v>
      </c>
      <c r="CV790" s="408">
        <v>0</v>
      </c>
      <c r="CW790" s="408"/>
      <c r="CX790" s="408"/>
      <c r="CY790" s="408"/>
      <c r="CZ790" s="408">
        <v>-46.479134923442871</v>
      </c>
      <c r="DA790" s="408">
        <v>0</v>
      </c>
      <c r="DB790" s="408">
        <v>0</v>
      </c>
      <c r="DC790" s="408"/>
      <c r="DD790" s="408"/>
      <c r="DE790" s="408">
        <v>0.21144255286727898</v>
      </c>
      <c r="DF790" s="408">
        <v>0</v>
      </c>
      <c r="DG790" s="408">
        <v>7.0803149855762868</v>
      </c>
      <c r="DH790" s="408">
        <v>0</v>
      </c>
      <c r="DI790" s="408">
        <v>-13.725753817127782</v>
      </c>
      <c r="DJ790" s="408"/>
      <c r="DK790" s="408">
        <v>0</v>
      </c>
      <c r="DL790" s="408">
        <v>0</v>
      </c>
      <c r="DM790" s="408"/>
      <c r="DN790" s="408">
        <v>0</v>
      </c>
      <c r="DO790" s="408">
        <v>-2.1610105237239452</v>
      </c>
      <c r="DP790" s="408">
        <v>-0.33805425958325408</v>
      </c>
      <c r="DQ790" s="408">
        <v>0</v>
      </c>
      <c r="DR790" s="408">
        <v>0</v>
      </c>
      <c r="DS790" s="408"/>
      <c r="DT790" s="408"/>
      <c r="DU790" s="408"/>
      <c r="DV790" s="408">
        <v>10225.405797115598</v>
      </c>
      <c r="DW790" s="408">
        <v>0</v>
      </c>
      <c r="DX790" s="408">
        <v>0</v>
      </c>
      <c r="DY790" s="408">
        <v>-5329.5518800000009</v>
      </c>
      <c r="DZ790" s="408"/>
      <c r="EA790" s="408">
        <v>0</v>
      </c>
      <c r="EB790" s="408"/>
      <c r="EC790" s="408">
        <v>-5413.8102648387521</v>
      </c>
      <c r="ED790" s="408"/>
      <c r="EE790" s="408">
        <v>0</v>
      </c>
      <c r="EF790" s="408">
        <v>0</v>
      </c>
      <c r="EG790" s="408"/>
      <c r="EH790" s="408">
        <v>0</v>
      </c>
      <c r="EI790" s="408">
        <v>0</v>
      </c>
      <c r="EJ790" s="408">
        <v>0</v>
      </c>
      <c r="EK790" s="408">
        <v>0</v>
      </c>
      <c r="EL790" s="408">
        <v>0</v>
      </c>
      <c r="EM790" s="408"/>
      <c r="EN790" s="408"/>
      <c r="EO790" s="408">
        <v>0</v>
      </c>
      <c r="EP790" s="408">
        <v>0</v>
      </c>
      <c r="EQ790" s="408"/>
      <c r="ER790" s="408">
        <v>0</v>
      </c>
      <c r="ES790" s="408"/>
      <c r="ET790" s="408">
        <v>0</v>
      </c>
      <c r="EU790" s="408"/>
      <c r="EV790" s="408">
        <v>239</v>
      </c>
      <c r="EW790" s="408"/>
      <c r="EX790" s="408"/>
      <c r="EY790" s="408"/>
      <c r="EZ790" s="408"/>
      <c r="FA790" s="408">
        <v>0</v>
      </c>
      <c r="FB790" s="408"/>
      <c r="FC790" s="408"/>
      <c r="FD790" s="408"/>
      <c r="FE790" s="408"/>
      <c r="FF790" s="408">
        <v>0</v>
      </c>
      <c r="FG790" s="408">
        <v>0</v>
      </c>
      <c r="FH790" s="408">
        <v>0</v>
      </c>
      <c r="FI790" s="408">
        <v>0</v>
      </c>
    </row>
    <row r="791" spans="1:165">
      <c r="A791" s="408">
        <v>798</v>
      </c>
      <c r="B791" s="408" t="s">
        <v>1034</v>
      </c>
      <c r="C791" s="408" t="s">
        <v>2241</v>
      </c>
      <c r="D791" s="408" t="s">
        <v>596</v>
      </c>
      <c r="E791" s="408" t="s">
        <v>968</v>
      </c>
      <c r="F791" s="408" t="s">
        <v>1320</v>
      </c>
      <c r="G791" s="408" t="s">
        <v>2323</v>
      </c>
      <c r="H791" s="408" t="s">
        <v>1320</v>
      </c>
      <c r="I791" s="408" t="s">
        <v>2242</v>
      </c>
      <c r="J791" s="408" t="s">
        <v>2324</v>
      </c>
      <c r="K791" s="827">
        <v>44562</v>
      </c>
      <c r="L791" s="408">
        <v>0</v>
      </c>
      <c r="M791" s="408">
        <v>0</v>
      </c>
      <c r="N791" s="408">
        <v>584.05899999999997</v>
      </c>
      <c r="O791" s="408">
        <v>584.05899999999997</v>
      </c>
      <c r="P791" s="408">
        <v>0</v>
      </c>
      <c r="Q791" s="408">
        <v>0</v>
      </c>
      <c r="R791" s="408"/>
      <c r="S791" s="408">
        <v>70.33</v>
      </c>
      <c r="T791" s="408"/>
      <c r="U791" s="408"/>
      <c r="V791" s="408">
        <v>41076.869469999998</v>
      </c>
      <c r="W791" s="408">
        <v>41076.869469999998</v>
      </c>
      <c r="X791" s="408">
        <v>40486.969879999997</v>
      </c>
      <c r="Y791" s="408">
        <v>0</v>
      </c>
      <c r="Z791" s="408">
        <v>31071.954283100786</v>
      </c>
      <c r="AA791" s="408">
        <v>0</v>
      </c>
      <c r="AB791" s="408">
        <v>0</v>
      </c>
      <c r="AC791" s="408">
        <v>0</v>
      </c>
      <c r="AD791" s="408">
        <v>0</v>
      </c>
      <c r="AE791" s="408">
        <v>0</v>
      </c>
      <c r="AF791" s="408"/>
      <c r="AG791" s="408"/>
      <c r="AH791" s="408"/>
      <c r="AI791" s="408">
        <v>0</v>
      </c>
      <c r="AJ791" s="408">
        <v>0</v>
      </c>
      <c r="AK791" s="408">
        <v>0</v>
      </c>
      <c r="AL791" s="408">
        <v>5520.2316863524347</v>
      </c>
      <c r="AM791" s="408"/>
      <c r="AN791" s="408">
        <v>725.82802986567083</v>
      </c>
      <c r="AO791" s="408">
        <v>0</v>
      </c>
      <c r="AP791" s="408">
        <v>0</v>
      </c>
      <c r="AQ791" s="408">
        <v>0</v>
      </c>
      <c r="AR791" s="408">
        <v>0</v>
      </c>
      <c r="AS791" s="408"/>
      <c r="AT791" s="408"/>
      <c r="AU791" s="408">
        <v>0</v>
      </c>
      <c r="AV791" s="408">
        <v>0</v>
      </c>
      <c r="AW791" s="408">
        <v>0</v>
      </c>
      <c r="AX791" s="408"/>
      <c r="AY791" s="408"/>
      <c r="AZ791" s="408">
        <v>0</v>
      </c>
      <c r="BA791" s="408"/>
      <c r="BB791" s="408">
        <v>0</v>
      </c>
      <c r="BC791" s="408">
        <v>0</v>
      </c>
      <c r="BD791" s="408">
        <v>0</v>
      </c>
      <c r="BE791" s="408">
        <v>108.98168584652313</v>
      </c>
      <c r="BF791" s="408"/>
      <c r="BG791" s="408">
        <v>3649.334786157518</v>
      </c>
      <c r="BH791" s="408">
        <v>0</v>
      </c>
      <c r="BI791" s="408">
        <v>0</v>
      </c>
      <c r="BJ791" s="408">
        <v>0</v>
      </c>
      <c r="BK791" s="408">
        <v>0</v>
      </c>
      <c r="BL791" s="408">
        <v>0</v>
      </c>
      <c r="BM791" s="408"/>
      <c r="BN791" s="408"/>
      <c r="BO791" s="408"/>
      <c r="BP791" s="408"/>
      <c r="BQ791" s="408"/>
      <c r="BR791" s="408"/>
      <c r="BS791" s="408"/>
      <c r="BT791" s="408"/>
      <c r="BU791" s="408"/>
      <c r="BV791" s="408">
        <v>3758.3164720040413</v>
      </c>
      <c r="BW791" s="408"/>
      <c r="BX791" s="408"/>
      <c r="BY791" s="408"/>
      <c r="BZ791" s="408"/>
      <c r="CA791" s="408"/>
      <c r="CB791" s="408"/>
      <c r="CC791" s="408"/>
      <c r="CD791" s="408"/>
      <c r="CE791" s="408"/>
      <c r="CF791" s="408"/>
      <c r="CG791" s="408"/>
      <c r="CH791" s="408"/>
      <c r="CI791" s="408">
        <v>40487.039199999992</v>
      </c>
      <c r="CJ791" s="408">
        <v>-589.86027000001195</v>
      </c>
      <c r="CK791" s="408"/>
      <c r="CL791" s="408"/>
      <c r="CM791" s="408"/>
      <c r="CN791" s="408"/>
      <c r="CO791" s="408">
        <v>-589.89959000000295</v>
      </c>
      <c r="CP791" s="408">
        <v>0</v>
      </c>
      <c r="CQ791" s="408">
        <v>31</v>
      </c>
      <c r="CR791" s="408">
        <v>-591.0098222480301</v>
      </c>
      <c r="CS791" s="408">
        <v>0</v>
      </c>
      <c r="CT791" s="408">
        <v>0</v>
      </c>
      <c r="CU791" s="408">
        <v>0</v>
      </c>
      <c r="CV791" s="408">
        <v>0</v>
      </c>
      <c r="CW791" s="408"/>
      <c r="CX791" s="408"/>
      <c r="CY791" s="408"/>
      <c r="CZ791" s="408">
        <v>0</v>
      </c>
      <c r="DA791" s="408">
        <v>0</v>
      </c>
      <c r="DB791" s="408">
        <v>0</v>
      </c>
      <c r="DC791" s="408"/>
      <c r="DD791" s="408"/>
      <c r="DE791" s="408">
        <v>13.989003849695308</v>
      </c>
      <c r="DF791" s="408">
        <v>0</v>
      </c>
      <c r="DG791" s="408">
        <v>468.43245244230866</v>
      </c>
      <c r="DH791" s="408">
        <v>0</v>
      </c>
      <c r="DI791" s="408">
        <v>-908.09357144062233</v>
      </c>
      <c r="DJ791" s="408"/>
      <c r="DK791" s="408">
        <v>0</v>
      </c>
      <c r="DL791" s="408">
        <v>0</v>
      </c>
      <c r="DM791" s="408"/>
      <c r="DN791" s="408">
        <v>0</v>
      </c>
      <c r="DO791" s="408">
        <v>-142.97209395963728</v>
      </c>
      <c r="DP791" s="408">
        <v>-22.365613139775178</v>
      </c>
      <c r="DQ791" s="408">
        <v>0</v>
      </c>
      <c r="DR791" s="408">
        <v>0</v>
      </c>
      <c r="DS791" s="408"/>
      <c r="DT791" s="408"/>
      <c r="DU791" s="408"/>
      <c r="DV791" s="408">
        <v>0</v>
      </c>
      <c r="DW791" s="408">
        <v>0</v>
      </c>
      <c r="DX791" s="408">
        <v>0</v>
      </c>
      <c r="DY791" s="408">
        <v>-589.8995900000009</v>
      </c>
      <c r="DZ791" s="408"/>
      <c r="EA791" s="408">
        <v>0</v>
      </c>
      <c r="EB791" s="408"/>
      <c r="EC791" s="408">
        <v>0</v>
      </c>
      <c r="ED791" s="408"/>
      <c r="EE791" s="408">
        <v>0</v>
      </c>
      <c r="EF791" s="408">
        <v>0</v>
      </c>
      <c r="EG791" s="408"/>
      <c r="EH791" s="408">
        <v>0</v>
      </c>
      <c r="EI791" s="408">
        <v>0</v>
      </c>
      <c r="EJ791" s="408">
        <v>0</v>
      </c>
      <c r="EK791" s="408">
        <v>0</v>
      </c>
      <c r="EL791" s="408">
        <v>0</v>
      </c>
      <c r="EM791" s="408"/>
      <c r="EN791" s="408"/>
      <c r="EO791" s="408">
        <v>0</v>
      </c>
      <c r="EP791" s="408">
        <v>0</v>
      </c>
      <c r="EQ791" s="408"/>
      <c r="ER791" s="408">
        <v>0</v>
      </c>
      <c r="ES791" s="408"/>
      <c r="ET791" s="408">
        <v>0</v>
      </c>
      <c r="EU791" s="408"/>
      <c r="EV791" s="408">
        <v>239</v>
      </c>
      <c r="EW791" s="408"/>
      <c r="EX791" s="408"/>
      <c r="EY791" s="408"/>
      <c r="EZ791" s="408"/>
      <c r="FA791" s="408">
        <v>0</v>
      </c>
      <c r="FB791" s="408"/>
      <c r="FC791" s="408"/>
      <c r="FD791" s="408"/>
      <c r="FE791" s="408"/>
      <c r="FF791" s="408">
        <v>0</v>
      </c>
      <c r="FG791" s="408">
        <v>0</v>
      </c>
      <c r="FH791" s="408">
        <v>0</v>
      </c>
      <c r="FI791" s="408">
        <v>0</v>
      </c>
    </row>
    <row r="792" spans="1:165">
      <c r="A792" s="408">
        <v>799</v>
      </c>
      <c r="B792" s="408" t="s">
        <v>1034</v>
      </c>
      <c r="C792" s="408" t="s">
        <v>2241</v>
      </c>
      <c r="D792" s="408" t="s">
        <v>596</v>
      </c>
      <c r="E792" s="408" t="s">
        <v>968</v>
      </c>
      <c r="F792" s="408" t="s">
        <v>1320</v>
      </c>
      <c r="G792" s="408" t="s">
        <v>2323</v>
      </c>
      <c r="H792" s="408" t="s">
        <v>1320</v>
      </c>
      <c r="I792" s="408" t="s">
        <v>1320</v>
      </c>
      <c r="J792" s="408" t="s">
        <v>2324</v>
      </c>
      <c r="K792" s="827">
        <v>44562</v>
      </c>
      <c r="L792" s="408">
        <v>4100</v>
      </c>
      <c r="M792" s="408">
        <v>1601.87</v>
      </c>
      <c r="N792" s="408">
        <v>0</v>
      </c>
      <c r="O792" s="408">
        <v>0</v>
      </c>
      <c r="P792" s="408">
        <v>0</v>
      </c>
      <c r="Q792" s="408">
        <v>0</v>
      </c>
      <c r="R792" s="408">
        <v>59.12</v>
      </c>
      <c r="S792" s="408"/>
      <c r="T792" s="408"/>
      <c r="U792" s="408">
        <v>242392</v>
      </c>
      <c r="V792" s="408"/>
      <c r="W792" s="408">
        <v>242392</v>
      </c>
      <c r="X792" s="408">
        <v>139523</v>
      </c>
      <c r="Y792" s="408">
        <v>0</v>
      </c>
      <c r="Z792" s="408">
        <v>0</v>
      </c>
      <c r="AA792" s="408">
        <v>0</v>
      </c>
      <c r="AB792" s="408">
        <v>0</v>
      </c>
      <c r="AC792" s="408">
        <v>2345.4474896680963</v>
      </c>
      <c r="AD792" s="408">
        <v>20979.792867933265</v>
      </c>
      <c r="AE792" s="408">
        <v>197463.37078504788</v>
      </c>
      <c r="AF792" s="408"/>
      <c r="AG792" s="408"/>
      <c r="AH792" s="408"/>
      <c r="AI792" s="408">
        <v>0</v>
      </c>
      <c r="AJ792" s="408">
        <v>0</v>
      </c>
      <c r="AK792" s="408">
        <v>0</v>
      </c>
      <c r="AL792" s="408">
        <v>0</v>
      </c>
      <c r="AM792" s="408"/>
      <c r="AN792" s="408">
        <v>0</v>
      </c>
      <c r="AO792" s="408">
        <v>4953.0956743292463</v>
      </c>
      <c r="AP792" s="408">
        <v>16650.050242481753</v>
      </c>
      <c r="AQ792" s="408">
        <v>0</v>
      </c>
      <c r="AR792" s="408">
        <v>0</v>
      </c>
      <c r="AS792" s="408"/>
      <c r="AT792" s="408"/>
      <c r="AU792" s="408">
        <v>0</v>
      </c>
      <c r="AV792" s="408">
        <v>0</v>
      </c>
      <c r="AW792" s="408">
        <v>0</v>
      </c>
      <c r="AX792" s="408"/>
      <c r="AY792" s="408"/>
      <c r="AZ792" s="408">
        <v>0</v>
      </c>
      <c r="BA792" s="408"/>
      <c r="BB792" s="408">
        <v>0</v>
      </c>
      <c r="BC792" s="408">
        <v>0</v>
      </c>
      <c r="BD792" s="408">
        <v>0</v>
      </c>
      <c r="BE792" s="408">
        <v>0</v>
      </c>
      <c r="BF792" s="408"/>
      <c r="BG792" s="408">
        <v>0</v>
      </c>
      <c r="BH792" s="408">
        <v>0</v>
      </c>
      <c r="BI792" s="408">
        <v>0</v>
      </c>
      <c r="BJ792" s="408">
        <v>0</v>
      </c>
      <c r="BK792" s="408">
        <v>50740.83</v>
      </c>
      <c r="BL792" s="408">
        <v>4</v>
      </c>
      <c r="BM792" s="408"/>
      <c r="BN792" s="408">
        <v>85011.363900000011</v>
      </c>
      <c r="BO792" s="408"/>
      <c r="BP792" s="408"/>
      <c r="BQ792" s="408"/>
      <c r="BR792" s="408"/>
      <c r="BS792" s="408"/>
      <c r="BT792" s="408"/>
      <c r="BU792" s="408"/>
      <c r="BV792" s="408">
        <v>0</v>
      </c>
      <c r="BW792" s="408"/>
      <c r="BX792" s="408"/>
      <c r="BY792" s="408"/>
      <c r="BZ792" s="408"/>
      <c r="CA792" s="408"/>
      <c r="CB792" s="408"/>
      <c r="CC792" s="408"/>
      <c r="CD792" s="408"/>
      <c r="CE792" s="408"/>
      <c r="CF792" s="408"/>
      <c r="CG792" s="408"/>
      <c r="CH792" s="408"/>
      <c r="CI792" s="408">
        <v>54511.636099999996</v>
      </c>
      <c r="CJ792" s="408">
        <v>-40190.948299999982</v>
      </c>
      <c r="CK792" s="408"/>
      <c r="CL792" s="408"/>
      <c r="CM792" s="408"/>
      <c r="CN792" s="408"/>
      <c r="CO792" s="408">
        <v>-102868.99999999999</v>
      </c>
      <c r="CP792" s="408">
        <v>0</v>
      </c>
      <c r="CQ792" s="408">
        <v>31</v>
      </c>
      <c r="CR792" s="408">
        <v>1695.2580746327003</v>
      </c>
      <c r="CS792" s="408">
        <v>480.91429771614639</v>
      </c>
      <c r="CT792" s="408">
        <v>1616.6146882244611</v>
      </c>
      <c r="CU792" s="408">
        <v>0</v>
      </c>
      <c r="CV792" s="408">
        <v>0</v>
      </c>
      <c r="CW792" s="408"/>
      <c r="CX792" s="408"/>
      <c r="CY792" s="408"/>
      <c r="CZ792" s="408">
        <v>-402.27091130789995</v>
      </c>
      <c r="DA792" s="408">
        <v>0</v>
      </c>
      <c r="DB792" s="408">
        <v>0</v>
      </c>
      <c r="DC792" s="408"/>
      <c r="DD792" s="408"/>
      <c r="DE792" s="408">
        <v>0</v>
      </c>
      <c r="DF792" s="408">
        <v>0</v>
      </c>
      <c r="DG792" s="408">
        <v>0</v>
      </c>
      <c r="DH792" s="408">
        <v>0</v>
      </c>
      <c r="DI792" s="408">
        <v>0</v>
      </c>
      <c r="DJ792" s="408"/>
      <c r="DK792" s="408">
        <v>0</v>
      </c>
      <c r="DL792" s="408">
        <v>0</v>
      </c>
      <c r="DM792" s="408"/>
      <c r="DN792" s="408">
        <v>0</v>
      </c>
      <c r="DO792" s="408">
        <v>0</v>
      </c>
      <c r="DP792" s="408">
        <v>0</v>
      </c>
      <c r="DQ792" s="408">
        <v>0</v>
      </c>
      <c r="DR792" s="408">
        <v>0</v>
      </c>
      <c r="DS792" s="408"/>
      <c r="DT792" s="408"/>
      <c r="DU792" s="408">
        <v>197463.37078504788</v>
      </c>
      <c r="DV792" s="408"/>
      <c r="DW792" s="408">
        <v>0</v>
      </c>
      <c r="DX792" s="408">
        <v>0</v>
      </c>
      <c r="DY792" s="408">
        <v>-102869</v>
      </c>
      <c r="DZ792" s="408"/>
      <c r="EA792" s="408">
        <v>0</v>
      </c>
      <c r="EB792" s="408"/>
      <c r="EC792" s="408">
        <v>-104546.3862165068</v>
      </c>
      <c r="ED792" s="408"/>
      <c r="EE792" s="408">
        <v>0</v>
      </c>
      <c r="EF792" s="408">
        <v>0</v>
      </c>
      <c r="EG792" s="408"/>
      <c r="EH792" s="408">
        <v>0</v>
      </c>
      <c r="EI792" s="408">
        <v>0</v>
      </c>
      <c r="EJ792" s="408">
        <v>0</v>
      </c>
      <c r="EK792" s="408">
        <v>0</v>
      </c>
      <c r="EL792" s="408">
        <v>0</v>
      </c>
      <c r="EM792" s="408"/>
      <c r="EN792" s="408"/>
      <c r="EO792" s="408">
        <v>0</v>
      </c>
      <c r="EP792" s="408">
        <v>0</v>
      </c>
      <c r="EQ792" s="408"/>
      <c r="ER792" s="408">
        <v>0</v>
      </c>
      <c r="ES792" s="408"/>
      <c r="ET792" s="408">
        <v>0</v>
      </c>
      <c r="EU792" s="408"/>
      <c r="EV792" s="408">
        <v>239</v>
      </c>
      <c r="EW792" s="408"/>
      <c r="EX792" s="408"/>
      <c r="EY792" s="408"/>
      <c r="EZ792" s="408"/>
      <c r="FA792" s="408">
        <v>0</v>
      </c>
      <c r="FB792" s="408"/>
      <c r="FC792" s="408"/>
      <c r="FD792" s="408"/>
      <c r="FE792" s="408"/>
      <c r="FF792" s="408">
        <v>0</v>
      </c>
      <c r="FG792" s="408">
        <v>0</v>
      </c>
      <c r="FH792" s="408">
        <v>0</v>
      </c>
      <c r="FI792" s="408">
        <v>0</v>
      </c>
    </row>
    <row r="793" spans="1:165">
      <c r="A793" s="408">
        <v>800</v>
      </c>
      <c r="B793" s="408" t="s">
        <v>1034</v>
      </c>
      <c r="C793" s="408" t="s">
        <v>991</v>
      </c>
      <c r="D793" s="408" t="s">
        <v>596</v>
      </c>
      <c r="E793" s="408" t="s">
        <v>1320</v>
      </c>
      <c r="F793" s="408" t="s">
        <v>1320</v>
      </c>
      <c r="G793" s="408" t="s">
        <v>1320</v>
      </c>
      <c r="H793" s="408" t="s">
        <v>2325</v>
      </c>
      <c r="I793" s="408" t="s">
        <v>1320</v>
      </c>
      <c r="J793" s="408" t="s">
        <v>2255</v>
      </c>
      <c r="K793" s="827">
        <v>44562</v>
      </c>
      <c r="L793" s="408">
        <v>2300</v>
      </c>
      <c r="M793" s="408">
        <v>1150</v>
      </c>
      <c r="N793" s="408">
        <v>0</v>
      </c>
      <c r="O793" s="408">
        <v>0</v>
      </c>
      <c r="P793" s="408">
        <v>0</v>
      </c>
      <c r="Q793" s="408">
        <v>0</v>
      </c>
      <c r="R793" s="408">
        <v>21.22</v>
      </c>
      <c r="S793" s="408"/>
      <c r="T793" s="408"/>
      <c r="U793" s="408">
        <v>48806</v>
      </c>
      <c r="V793" s="408"/>
      <c r="W793" s="408">
        <v>48806</v>
      </c>
      <c r="X793" s="408">
        <v>23161</v>
      </c>
      <c r="Y793" s="408">
        <v>0</v>
      </c>
      <c r="Z793" s="408">
        <v>0</v>
      </c>
      <c r="AA793" s="408">
        <v>0</v>
      </c>
      <c r="AB793" s="408">
        <v>0</v>
      </c>
      <c r="AC793" s="408">
        <v>0</v>
      </c>
      <c r="AD793" s="408">
        <v>0</v>
      </c>
      <c r="AE793" s="408">
        <v>48415.733888970302</v>
      </c>
      <c r="AF793" s="408"/>
      <c r="AG793" s="408"/>
      <c r="AH793" s="408"/>
      <c r="AI793" s="408">
        <v>0</v>
      </c>
      <c r="AJ793" s="408">
        <v>0</v>
      </c>
      <c r="AK793" s="408">
        <v>0</v>
      </c>
      <c r="AL793" s="408">
        <v>0</v>
      </c>
      <c r="AM793" s="408"/>
      <c r="AN793" s="408">
        <v>382.49209089480081</v>
      </c>
      <c r="AO793" s="408">
        <v>0</v>
      </c>
      <c r="AP793" s="408">
        <v>0</v>
      </c>
      <c r="AQ793" s="408">
        <v>0</v>
      </c>
      <c r="AR793" s="408">
        <v>0</v>
      </c>
      <c r="AS793" s="408"/>
      <c r="AT793" s="408"/>
      <c r="AU793" s="408">
        <v>0</v>
      </c>
      <c r="AV793" s="408">
        <v>0</v>
      </c>
      <c r="AW793" s="408">
        <v>0</v>
      </c>
      <c r="AX793" s="408"/>
      <c r="AY793" s="408"/>
      <c r="AZ793" s="408">
        <v>0</v>
      </c>
      <c r="BA793" s="408"/>
      <c r="BB793" s="408">
        <v>0</v>
      </c>
      <c r="BC793" s="408">
        <v>0</v>
      </c>
      <c r="BD793" s="408">
        <v>0</v>
      </c>
      <c r="BE793" s="408">
        <v>0</v>
      </c>
      <c r="BF793" s="408"/>
      <c r="BG793" s="408">
        <v>0</v>
      </c>
      <c r="BH793" s="408">
        <v>0</v>
      </c>
      <c r="BI793" s="408">
        <v>0</v>
      </c>
      <c r="BJ793" s="408">
        <v>0</v>
      </c>
      <c r="BK793" s="408">
        <v>0</v>
      </c>
      <c r="BL793" s="408">
        <v>0</v>
      </c>
      <c r="BM793" s="408"/>
      <c r="BN793" s="408"/>
      <c r="BO793" s="408">
        <v>11580.5</v>
      </c>
      <c r="BP793" s="408"/>
      <c r="BQ793" s="408"/>
      <c r="BR793" s="408"/>
      <c r="BS793" s="408"/>
      <c r="BT793" s="408"/>
      <c r="BU793" s="408"/>
      <c r="BV793" s="408">
        <v>0</v>
      </c>
      <c r="BW793" s="408"/>
      <c r="BX793" s="408"/>
      <c r="BY793" s="408"/>
      <c r="BZ793" s="408"/>
      <c r="CA793" s="408"/>
      <c r="CB793" s="408"/>
      <c r="CC793" s="408"/>
      <c r="CD793" s="408"/>
      <c r="CE793" s="408"/>
      <c r="CF793" s="408"/>
      <c r="CG793" s="408"/>
      <c r="CH793" s="408"/>
      <c r="CI793" s="408">
        <v>11580.5</v>
      </c>
      <c r="CJ793" s="408">
        <v>-12822.529999999995</v>
      </c>
      <c r="CK793" s="408"/>
      <c r="CL793" s="408"/>
      <c r="CM793" s="408"/>
      <c r="CN793" s="408"/>
      <c r="CO793" s="408">
        <v>-25644.999999999996</v>
      </c>
      <c r="CP793" s="408">
        <v>0</v>
      </c>
      <c r="CQ793" s="408">
        <v>31</v>
      </c>
      <c r="CR793" s="408">
        <v>-11.786084006094825</v>
      </c>
      <c r="CS793" s="408">
        <v>0</v>
      </c>
      <c r="CT793" s="408">
        <v>0</v>
      </c>
      <c r="CU793" s="408">
        <v>0</v>
      </c>
      <c r="CV793" s="408">
        <v>0</v>
      </c>
      <c r="CW793" s="408"/>
      <c r="CX793" s="408"/>
      <c r="CY793" s="408"/>
      <c r="CZ793" s="408">
        <v>0</v>
      </c>
      <c r="DA793" s="408">
        <v>0</v>
      </c>
      <c r="DB793" s="408">
        <v>0</v>
      </c>
      <c r="DC793" s="408"/>
      <c r="DD793" s="408"/>
      <c r="DE793" s="408">
        <v>0</v>
      </c>
      <c r="DF793" s="408">
        <v>0</v>
      </c>
      <c r="DG793" s="408">
        <v>0</v>
      </c>
      <c r="DH793" s="408">
        <v>0</v>
      </c>
      <c r="DI793" s="408">
        <v>0</v>
      </c>
      <c r="DJ793" s="408"/>
      <c r="DK793" s="408">
        <v>0</v>
      </c>
      <c r="DL793" s="408">
        <v>0</v>
      </c>
      <c r="DM793" s="408"/>
      <c r="DN793" s="408">
        <v>0</v>
      </c>
      <c r="DO793" s="408">
        <v>0</v>
      </c>
      <c r="DP793" s="408">
        <v>-11.786084006094825</v>
      </c>
      <c r="DQ793" s="408">
        <v>0</v>
      </c>
      <c r="DR793" s="408">
        <v>0</v>
      </c>
      <c r="DS793" s="408"/>
      <c r="DT793" s="408"/>
      <c r="DU793" s="408">
        <v>48415.733888970302</v>
      </c>
      <c r="DV793" s="408"/>
      <c r="DW793" s="408">
        <v>0</v>
      </c>
      <c r="DX793" s="408">
        <v>0</v>
      </c>
      <c r="DY793" s="408">
        <v>-25645</v>
      </c>
      <c r="DZ793" s="408"/>
      <c r="EA793" s="408">
        <v>0</v>
      </c>
      <c r="EB793" s="408"/>
      <c r="EC793" s="408">
        <v>-25633.564311134465</v>
      </c>
      <c r="ED793" s="408"/>
      <c r="EE793" s="408">
        <v>0</v>
      </c>
      <c r="EF793" s="408">
        <v>0</v>
      </c>
      <c r="EG793" s="408"/>
      <c r="EH793" s="408">
        <v>0</v>
      </c>
      <c r="EI793" s="408">
        <v>0</v>
      </c>
      <c r="EJ793" s="408">
        <v>0</v>
      </c>
      <c r="EK793" s="408">
        <v>0</v>
      </c>
      <c r="EL793" s="408">
        <v>0</v>
      </c>
      <c r="EM793" s="408"/>
      <c r="EN793" s="408"/>
      <c r="EO793" s="408">
        <v>0</v>
      </c>
      <c r="EP793" s="408">
        <v>0</v>
      </c>
      <c r="EQ793" s="408"/>
      <c r="ER793" s="408">
        <v>0</v>
      </c>
      <c r="ES793" s="408"/>
      <c r="ET793" s="408">
        <v>0</v>
      </c>
      <c r="EU793" s="408"/>
      <c r="EV793" s="408">
        <v>239</v>
      </c>
      <c r="EW793" s="408"/>
      <c r="EX793" s="408"/>
      <c r="EY793" s="408"/>
      <c r="EZ793" s="408"/>
      <c r="FA793" s="408">
        <v>0</v>
      </c>
      <c r="FB793" s="408"/>
      <c r="FC793" s="408"/>
      <c r="FD793" s="408"/>
      <c r="FE793" s="408"/>
      <c r="FF793" s="408">
        <v>0</v>
      </c>
      <c r="FG793" s="408">
        <v>0</v>
      </c>
      <c r="FH793" s="408">
        <v>0</v>
      </c>
      <c r="FI793" s="408">
        <v>0</v>
      </c>
    </row>
    <row r="794" spans="1:165">
      <c r="A794" s="408">
        <v>801</v>
      </c>
      <c r="B794" s="408" t="s">
        <v>1034</v>
      </c>
      <c r="C794" s="408" t="s">
        <v>2241</v>
      </c>
      <c r="D794" s="408" t="s">
        <v>596</v>
      </c>
      <c r="E794" s="408" t="s">
        <v>968</v>
      </c>
      <c r="F794" s="408" t="s">
        <v>1320</v>
      </c>
      <c r="G794" s="408" t="s">
        <v>2323</v>
      </c>
      <c r="H794" s="408" t="s">
        <v>1320</v>
      </c>
      <c r="I794" s="408" t="s">
        <v>971</v>
      </c>
      <c r="J794" s="408" t="s">
        <v>2324</v>
      </c>
      <c r="K794" s="827">
        <v>44593</v>
      </c>
      <c r="L794" s="408">
        <v>0</v>
      </c>
      <c r="M794" s="408">
        <v>0</v>
      </c>
      <c r="N794" s="408">
        <v>7.8129999999999997</v>
      </c>
      <c r="O794" s="408">
        <v>3.7760229000000001</v>
      </c>
      <c r="P794" s="408">
        <v>0</v>
      </c>
      <c r="Q794" s="408">
        <v>0</v>
      </c>
      <c r="R794" s="408"/>
      <c r="S794" s="408">
        <v>1684.16</v>
      </c>
      <c r="T794" s="408"/>
      <c r="U794" s="408"/>
      <c r="V794" s="408">
        <v>13158.34208</v>
      </c>
      <c r="W794" s="408">
        <v>13158.34208</v>
      </c>
      <c r="X794" s="408">
        <v>8441.5558500000006</v>
      </c>
      <c r="Y794" s="408">
        <v>0</v>
      </c>
      <c r="Z794" s="408">
        <v>415.65180711857272</v>
      </c>
      <c r="AA794" s="408">
        <v>0</v>
      </c>
      <c r="AB794" s="408">
        <v>0</v>
      </c>
      <c r="AC794" s="408">
        <v>140.62931110411267</v>
      </c>
      <c r="AD794" s="408">
        <v>2145.3398646835817</v>
      </c>
      <c r="AE794" s="408">
        <v>9049.7389547875136</v>
      </c>
      <c r="AF794" s="408"/>
      <c r="AG794" s="408"/>
      <c r="AH794" s="408"/>
      <c r="AI794" s="408">
        <v>0</v>
      </c>
      <c r="AJ794" s="408">
        <v>0</v>
      </c>
      <c r="AK794" s="408">
        <v>0</v>
      </c>
      <c r="AL794" s="408">
        <v>73.844543385979122</v>
      </c>
      <c r="AM794" s="408"/>
      <c r="AN794" s="408">
        <v>9.7094546909481512</v>
      </c>
      <c r="AO794" s="408">
        <v>302.0204501739583</v>
      </c>
      <c r="AP794" s="408">
        <v>971.14551659153562</v>
      </c>
      <c r="AQ794" s="408">
        <v>0</v>
      </c>
      <c r="AR794" s="408">
        <v>0</v>
      </c>
      <c r="AS794" s="408"/>
      <c r="AT794" s="408"/>
      <c r="AU794" s="408">
        <v>0</v>
      </c>
      <c r="AV794" s="408">
        <v>0</v>
      </c>
      <c r="AW794" s="408">
        <v>0</v>
      </c>
      <c r="AX794" s="408"/>
      <c r="AY794" s="408"/>
      <c r="AZ794" s="408">
        <v>0</v>
      </c>
      <c r="BA794" s="408"/>
      <c r="BB794" s="408">
        <v>0</v>
      </c>
      <c r="BC794" s="408">
        <v>0</v>
      </c>
      <c r="BD794" s="408">
        <v>0</v>
      </c>
      <c r="BE794" s="408">
        <v>1.4578559897525512</v>
      </c>
      <c r="BF794" s="408"/>
      <c r="BG794" s="408">
        <v>48.81741858998609</v>
      </c>
      <c r="BH794" s="408">
        <v>0</v>
      </c>
      <c r="BI794" s="408">
        <v>0</v>
      </c>
      <c r="BJ794" s="408">
        <v>0</v>
      </c>
      <c r="BK794" s="408">
        <v>0</v>
      </c>
      <c r="BL794" s="408">
        <v>0</v>
      </c>
      <c r="BM794" s="408"/>
      <c r="BN794" s="408">
        <v>4361.7519076950002</v>
      </c>
      <c r="BO794" s="408"/>
      <c r="BP794" s="408"/>
      <c r="BQ794" s="408"/>
      <c r="BR794" s="408"/>
      <c r="BS794" s="408"/>
      <c r="BT794" s="408"/>
      <c r="BU794" s="408"/>
      <c r="BV794" s="408">
        <v>50.275274579738642</v>
      </c>
      <c r="BW794" s="408"/>
      <c r="BX794" s="408"/>
      <c r="BY794" s="408"/>
      <c r="BZ794" s="408"/>
      <c r="CA794" s="408"/>
      <c r="CB794" s="408"/>
      <c r="CC794" s="408"/>
      <c r="CD794" s="408"/>
      <c r="CE794" s="408"/>
      <c r="CF794" s="408"/>
      <c r="CG794" s="408"/>
      <c r="CH794" s="408"/>
      <c r="CI794" s="408">
        <v>4084.1010000000001</v>
      </c>
      <c r="CJ794" s="408">
        <v>-2275.3557272640014</v>
      </c>
      <c r="CK794" s="408"/>
      <c r="CL794" s="408"/>
      <c r="CM794" s="408"/>
      <c r="CN794" s="408"/>
      <c r="CO794" s="408">
        <v>-4716.7862299999997</v>
      </c>
      <c r="CP794" s="408">
        <v>0</v>
      </c>
      <c r="CQ794" s="408">
        <v>29</v>
      </c>
      <c r="CR794" s="408">
        <v>74.575197511302576</v>
      </c>
      <c r="CS794" s="408">
        <v>29.324277631885707</v>
      </c>
      <c r="CT794" s="408">
        <v>94.292094237616766</v>
      </c>
      <c r="CU794" s="408">
        <v>0</v>
      </c>
      <c r="CV794" s="408">
        <v>0</v>
      </c>
      <c r="CW794" s="408"/>
      <c r="CX794" s="408"/>
      <c r="CY794" s="408"/>
      <c r="CZ794" s="408">
        <v>-41.135192700142397</v>
      </c>
      <c r="DA794" s="408">
        <v>0</v>
      </c>
      <c r="DB794" s="408">
        <v>0</v>
      </c>
      <c r="DC794" s="408"/>
      <c r="DD794" s="408"/>
      <c r="DE794" s="408">
        <v>0.18713192858541605</v>
      </c>
      <c r="DF794" s="408">
        <v>0</v>
      </c>
      <c r="DG794" s="408">
        <v>6.2662552086891239</v>
      </c>
      <c r="DH794" s="408">
        <v>0</v>
      </c>
      <c r="DI794" s="408">
        <v>-12.147634183645152</v>
      </c>
      <c r="DJ794" s="408"/>
      <c r="DK794" s="408">
        <v>0</v>
      </c>
      <c r="DL794" s="408">
        <v>0</v>
      </c>
      <c r="DM794" s="408"/>
      <c r="DN794" s="408">
        <v>0</v>
      </c>
      <c r="DO794" s="408">
        <v>-1.9125481674054328</v>
      </c>
      <c r="DP794" s="408">
        <v>-0.29918644428227914</v>
      </c>
      <c r="DQ794" s="408">
        <v>0</v>
      </c>
      <c r="DR794" s="408">
        <v>0</v>
      </c>
      <c r="DS794" s="408"/>
      <c r="DT794" s="408"/>
      <c r="DU794" s="408"/>
      <c r="DV794" s="408">
        <v>9049.7389547875136</v>
      </c>
      <c r="DW794" s="408">
        <v>0</v>
      </c>
      <c r="DX794" s="408">
        <v>0</v>
      </c>
      <c r="DY794" s="408">
        <v>-4716.7862299999997</v>
      </c>
      <c r="DZ794" s="408"/>
      <c r="EA794" s="408">
        <v>0</v>
      </c>
      <c r="EB794" s="408"/>
      <c r="EC794" s="408">
        <v>-4791.3570003608029</v>
      </c>
      <c r="ED794" s="408"/>
      <c r="EE794" s="408">
        <v>0</v>
      </c>
      <c r="EF794" s="408">
        <v>0</v>
      </c>
      <c r="EG794" s="408"/>
      <c r="EH794" s="408">
        <v>0</v>
      </c>
      <c r="EI794" s="408">
        <v>0</v>
      </c>
      <c r="EJ794" s="408">
        <v>0</v>
      </c>
      <c r="EK794" s="408">
        <v>0</v>
      </c>
      <c r="EL794" s="408">
        <v>0</v>
      </c>
      <c r="EM794" s="408"/>
      <c r="EN794" s="408"/>
      <c r="EO794" s="408">
        <v>0</v>
      </c>
      <c r="EP794" s="408">
        <v>0</v>
      </c>
      <c r="EQ794" s="408"/>
      <c r="ER794" s="408">
        <v>0</v>
      </c>
      <c r="ES794" s="408"/>
      <c r="ET794" s="408">
        <v>0</v>
      </c>
      <c r="EU794" s="408"/>
      <c r="EV794" s="408">
        <v>239</v>
      </c>
      <c r="EW794" s="408"/>
      <c r="EX794" s="408"/>
      <c r="EY794" s="408"/>
      <c r="EZ794" s="408"/>
      <c r="FA794" s="408">
        <v>0</v>
      </c>
      <c r="FB794" s="408"/>
      <c r="FC794" s="408"/>
      <c r="FD794" s="408"/>
      <c r="FE794" s="408"/>
      <c r="FF794" s="408">
        <v>0</v>
      </c>
      <c r="FG794" s="408">
        <v>0</v>
      </c>
      <c r="FH794" s="408">
        <v>0</v>
      </c>
      <c r="FI794" s="408">
        <v>0</v>
      </c>
    </row>
    <row r="795" spans="1:165">
      <c r="A795" s="408">
        <v>802</v>
      </c>
      <c r="B795" s="408" t="s">
        <v>1034</v>
      </c>
      <c r="C795" s="408" t="s">
        <v>2241</v>
      </c>
      <c r="D795" s="408" t="s">
        <v>596</v>
      </c>
      <c r="E795" s="408" t="s">
        <v>968</v>
      </c>
      <c r="F795" s="408" t="s">
        <v>1320</v>
      </c>
      <c r="G795" s="408" t="s">
        <v>2323</v>
      </c>
      <c r="H795" s="408" t="s">
        <v>1320</v>
      </c>
      <c r="I795" s="408" t="s">
        <v>2242</v>
      </c>
      <c r="J795" s="408" t="s">
        <v>2324</v>
      </c>
      <c r="K795" s="827">
        <v>44593</v>
      </c>
      <c r="L795" s="408">
        <v>0</v>
      </c>
      <c r="M795" s="408">
        <v>0</v>
      </c>
      <c r="N795" s="408">
        <v>683.77200000000005</v>
      </c>
      <c r="O795" s="408">
        <v>683.77200000000005</v>
      </c>
      <c r="P795" s="408">
        <v>0</v>
      </c>
      <c r="Q795" s="408">
        <v>0</v>
      </c>
      <c r="R795" s="408"/>
      <c r="S795" s="408">
        <v>70.33</v>
      </c>
      <c r="T795" s="408"/>
      <c r="U795" s="408"/>
      <c r="V795" s="408">
        <v>48089.684760000004</v>
      </c>
      <c r="W795" s="408">
        <v>48089.684760000004</v>
      </c>
      <c r="X795" s="408">
        <v>47399.075039999996</v>
      </c>
      <c r="Y795" s="408">
        <v>0</v>
      </c>
      <c r="Z795" s="408">
        <v>36376.688526440637</v>
      </c>
      <c r="AA795" s="408">
        <v>0</v>
      </c>
      <c r="AB795" s="408">
        <v>0</v>
      </c>
      <c r="AC795" s="408">
        <v>0</v>
      </c>
      <c r="AD795" s="408">
        <v>0</v>
      </c>
      <c r="AE795" s="408">
        <v>0</v>
      </c>
      <c r="AF795" s="408"/>
      <c r="AG795" s="408"/>
      <c r="AH795" s="408"/>
      <c r="AI795" s="408">
        <v>0</v>
      </c>
      <c r="AJ795" s="408">
        <v>0</v>
      </c>
      <c r="AK795" s="408">
        <v>0</v>
      </c>
      <c r="AL795" s="408">
        <v>6462.6687725736228</v>
      </c>
      <c r="AM795" s="408"/>
      <c r="AN795" s="408">
        <v>849.7444327324971</v>
      </c>
      <c r="AO795" s="408">
        <v>0</v>
      </c>
      <c r="AP795" s="408">
        <v>0</v>
      </c>
      <c r="AQ795" s="408">
        <v>0</v>
      </c>
      <c r="AR795" s="408">
        <v>0</v>
      </c>
      <c r="AS795" s="408"/>
      <c r="AT795" s="408"/>
      <c r="AU795" s="408">
        <v>0</v>
      </c>
      <c r="AV795" s="408">
        <v>0</v>
      </c>
      <c r="AW795" s="408">
        <v>0</v>
      </c>
      <c r="AX795" s="408"/>
      <c r="AY795" s="408"/>
      <c r="AZ795" s="408">
        <v>0</v>
      </c>
      <c r="BA795" s="408"/>
      <c r="BB795" s="408">
        <v>0</v>
      </c>
      <c r="BC795" s="408">
        <v>0</v>
      </c>
      <c r="BD795" s="408">
        <v>0</v>
      </c>
      <c r="BE795" s="408">
        <v>127.5874959458699</v>
      </c>
      <c r="BF795" s="408"/>
      <c r="BG795" s="408">
        <v>4272.3645135174675</v>
      </c>
      <c r="BH795" s="408">
        <v>0</v>
      </c>
      <c r="BI795" s="408">
        <v>0</v>
      </c>
      <c r="BJ795" s="408">
        <v>0</v>
      </c>
      <c r="BK795" s="408">
        <v>0</v>
      </c>
      <c r="BL795" s="408">
        <v>0</v>
      </c>
      <c r="BM795" s="408"/>
      <c r="BN795" s="408"/>
      <c r="BO795" s="408"/>
      <c r="BP795" s="408"/>
      <c r="BQ795" s="408"/>
      <c r="BR795" s="408"/>
      <c r="BS795" s="408"/>
      <c r="BT795" s="408"/>
      <c r="BU795" s="408"/>
      <c r="BV795" s="408">
        <v>4399.9520094633372</v>
      </c>
      <c r="BW795" s="408"/>
      <c r="BX795" s="408"/>
      <c r="BY795" s="408"/>
      <c r="BZ795" s="408"/>
      <c r="CA795" s="408"/>
      <c r="CB795" s="408"/>
      <c r="CC795" s="408"/>
      <c r="CD795" s="408"/>
      <c r="CE795" s="408"/>
      <c r="CF795" s="408"/>
      <c r="CG795" s="408"/>
      <c r="CH795" s="408"/>
      <c r="CI795" s="408">
        <v>47398.936399999991</v>
      </c>
      <c r="CJ795" s="408">
        <v>-690.77836000001844</v>
      </c>
      <c r="CK795" s="408"/>
      <c r="CL795" s="408"/>
      <c r="CM795" s="408"/>
      <c r="CN795" s="408"/>
      <c r="CO795" s="408">
        <v>-690.60972000000356</v>
      </c>
      <c r="CP795" s="408">
        <v>0</v>
      </c>
      <c r="CQ795" s="408">
        <v>29</v>
      </c>
      <c r="CR795" s="408">
        <v>-691.90949574987462</v>
      </c>
      <c r="CS795" s="408">
        <v>0</v>
      </c>
      <c r="CT795" s="408">
        <v>0</v>
      </c>
      <c r="CU795" s="408">
        <v>0</v>
      </c>
      <c r="CV795" s="408">
        <v>0</v>
      </c>
      <c r="CW795" s="408"/>
      <c r="CX795" s="408"/>
      <c r="CY795" s="408"/>
      <c r="CZ795" s="408">
        <v>0</v>
      </c>
      <c r="DA795" s="408">
        <v>0</v>
      </c>
      <c r="DB795" s="408">
        <v>0</v>
      </c>
      <c r="DC795" s="408"/>
      <c r="DD795" s="408"/>
      <c r="DE795" s="408">
        <v>16.377265208333171</v>
      </c>
      <c r="DF795" s="408">
        <v>0</v>
      </c>
      <c r="DG795" s="408">
        <v>548.40520370610284</v>
      </c>
      <c r="DH795" s="408">
        <v>0</v>
      </c>
      <c r="DI795" s="408">
        <v>-1063.1271113553521</v>
      </c>
      <c r="DJ795" s="408"/>
      <c r="DK795" s="408">
        <v>0</v>
      </c>
      <c r="DL795" s="408">
        <v>0</v>
      </c>
      <c r="DM795" s="408"/>
      <c r="DN795" s="408">
        <v>0</v>
      </c>
      <c r="DO795" s="408">
        <v>-167.38088897006855</v>
      </c>
      <c r="DP795" s="408">
        <v>-26.183964338894498</v>
      </c>
      <c r="DQ795" s="408">
        <v>0</v>
      </c>
      <c r="DR795" s="408">
        <v>0</v>
      </c>
      <c r="DS795" s="408"/>
      <c r="DT795" s="408"/>
      <c r="DU795" s="408"/>
      <c r="DV795" s="408">
        <v>0</v>
      </c>
      <c r="DW795" s="408">
        <v>0</v>
      </c>
      <c r="DX795" s="408">
        <v>0</v>
      </c>
      <c r="DY795" s="408">
        <v>-690.60972000000766</v>
      </c>
      <c r="DZ795" s="408"/>
      <c r="EA795" s="408">
        <v>0</v>
      </c>
      <c r="EB795" s="408"/>
      <c r="EC795" s="408">
        <v>0</v>
      </c>
      <c r="ED795" s="408"/>
      <c r="EE795" s="408">
        <v>0</v>
      </c>
      <c r="EF795" s="408">
        <v>0</v>
      </c>
      <c r="EG795" s="408"/>
      <c r="EH795" s="408">
        <v>0</v>
      </c>
      <c r="EI795" s="408">
        <v>0</v>
      </c>
      <c r="EJ795" s="408">
        <v>0</v>
      </c>
      <c r="EK795" s="408">
        <v>0</v>
      </c>
      <c r="EL795" s="408">
        <v>0</v>
      </c>
      <c r="EM795" s="408"/>
      <c r="EN795" s="408"/>
      <c r="EO795" s="408">
        <v>0</v>
      </c>
      <c r="EP795" s="408">
        <v>0</v>
      </c>
      <c r="EQ795" s="408"/>
      <c r="ER795" s="408">
        <v>0</v>
      </c>
      <c r="ES795" s="408"/>
      <c r="ET795" s="408">
        <v>0</v>
      </c>
      <c r="EU795" s="408"/>
      <c r="EV795" s="408">
        <v>239</v>
      </c>
      <c r="EW795" s="408"/>
      <c r="EX795" s="408"/>
      <c r="EY795" s="408"/>
      <c r="EZ795" s="408"/>
      <c r="FA795" s="408">
        <v>0</v>
      </c>
      <c r="FB795" s="408"/>
      <c r="FC795" s="408"/>
      <c r="FD795" s="408"/>
      <c r="FE795" s="408"/>
      <c r="FF795" s="408">
        <v>0</v>
      </c>
      <c r="FG795" s="408">
        <v>0</v>
      </c>
      <c r="FH795" s="408">
        <v>0</v>
      </c>
      <c r="FI795" s="408">
        <v>0</v>
      </c>
    </row>
    <row r="796" spans="1:165">
      <c r="A796" s="408">
        <v>803</v>
      </c>
      <c r="B796" s="408" t="s">
        <v>1034</v>
      </c>
      <c r="C796" s="408" t="s">
        <v>2241</v>
      </c>
      <c r="D796" s="408" t="s">
        <v>596</v>
      </c>
      <c r="E796" s="408" t="s">
        <v>968</v>
      </c>
      <c r="F796" s="408" t="s">
        <v>1320</v>
      </c>
      <c r="G796" s="408" t="s">
        <v>2323</v>
      </c>
      <c r="H796" s="408" t="s">
        <v>1320</v>
      </c>
      <c r="I796" s="408" t="s">
        <v>1320</v>
      </c>
      <c r="J796" s="408" t="s">
        <v>2324</v>
      </c>
      <c r="K796" s="827">
        <v>44593</v>
      </c>
      <c r="L796" s="408">
        <v>4100</v>
      </c>
      <c r="M796" s="408">
        <v>1601.87</v>
      </c>
      <c r="N796" s="408">
        <v>0</v>
      </c>
      <c r="O796" s="408">
        <v>0</v>
      </c>
      <c r="P796" s="408">
        <v>0</v>
      </c>
      <c r="Q796" s="408">
        <v>0</v>
      </c>
      <c r="R796" s="408">
        <v>59.12</v>
      </c>
      <c r="S796" s="408"/>
      <c r="T796" s="408"/>
      <c r="U796" s="408">
        <v>242392</v>
      </c>
      <c r="V796" s="408"/>
      <c r="W796" s="408">
        <v>242392</v>
      </c>
      <c r="X796" s="408">
        <v>139523</v>
      </c>
      <c r="Y796" s="408">
        <v>0</v>
      </c>
      <c r="Z796" s="408">
        <v>0</v>
      </c>
      <c r="AA796" s="408">
        <v>0</v>
      </c>
      <c r="AB796" s="408">
        <v>0</v>
      </c>
      <c r="AC796" s="408">
        <v>2345.4474896680963</v>
      </c>
      <c r="AD796" s="408">
        <v>20979.792867933265</v>
      </c>
      <c r="AE796" s="408">
        <v>197463.37078504788</v>
      </c>
      <c r="AF796" s="408"/>
      <c r="AG796" s="408"/>
      <c r="AH796" s="408"/>
      <c r="AI796" s="408">
        <v>0</v>
      </c>
      <c r="AJ796" s="408">
        <v>0</v>
      </c>
      <c r="AK796" s="408">
        <v>0</v>
      </c>
      <c r="AL796" s="408">
        <v>0</v>
      </c>
      <c r="AM796" s="408"/>
      <c r="AN796" s="408">
        <v>0</v>
      </c>
      <c r="AO796" s="408">
        <v>4953.0956743292463</v>
      </c>
      <c r="AP796" s="408">
        <v>16650.050242481753</v>
      </c>
      <c r="AQ796" s="408">
        <v>0</v>
      </c>
      <c r="AR796" s="408">
        <v>0</v>
      </c>
      <c r="AS796" s="408"/>
      <c r="AT796" s="408"/>
      <c r="AU796" s="408">
        <v>0</v>
      </c>
      <c r="AV796" s="408">
        <v>0</v>
      </c>
      <c r="AW796" s="408">
        <v>0</v>
      </c>
      <c r="AX796" s="408"/>
      <c r="AY796" s="408"/>
      <c r="AZ796" s="408">
        <v>0</v>
      </c>
      <c r="BA796" s="408"/>
      <c r="BB796" s="408">
        <v>0</v>
      </c>
      <c r="BC796" s="408">
        <v>0</v>
      </c>
      <c r="BD796" s="408">
        <v>0</v>
      </c>
      <c r="BE796" s="408">
        <v>0</v>
      </c>
      <c r="BF796" s="408"/>
      <c r="BG796" s="408">
        <v>0</v>
      </c>
      <c r="BH796" s="408">
        <v>0</v>
      </c>
      <c r="BI796" s="408">
        <v>3726.92</v>
      </c>
      <c r="BJ796" s="408">
        <v>0</v>
      </c>
      <c r="BK796" s="408">
        <v>53854.98</v>
      </c>
      <c r="BL796" s="408">
        <v>4</v>
      </c>
      <c r="BM796" s="408"/>
      <c r="BN796" s="408">
        <v>85011.363900000011</v>
      </c>
      <c r="BO796" s="408"/>
      <c r="BP796" s="408"/>
      <c r="BQ796" s="408"/>
      <c r="BR796" s="408"/>
      <c r="BS796" s="408"/>
      <c r="BT796" s="408"/>
      <c r="BU796" s="408"/>
      <c r="BV796" s="408">
        <v>0</v>
      </c>
      <c r="BW796" s="408"/>
      <c r="BX796" s="408"/>
      <c r="BY796" s="408"/>
      <c r="BZ796" s="408"/>
      <c r="CA796" s="408"/>
      <c r="CB796" s="408"/>
      <c r="CC796" s="408"/>
      <c r="CD796" s="408"/>
      <c r="CE796" s="408"/>
      <c r="CF796" s="408"/>
      <c r="CG796" s="408"/>
      <c r="CH796" s="408"/>
      <c r="CI796" s="408">
        <v>54511.636099999996</v>
      </c>
      <c r="CJ796" s="408">
        <v>-40190.948299999982</v>
      </c>
      <c r="CK796" s="408"/>
      <c r="CL796" s="408"/>
      <c r="CM796" s="408"/>
      <c r="CN796" s="408"/>
      <c r="CO796" s="408">
        <v>-102868.99999999999</v>
      </c>
      <c r="CP796" s="408">
        <v>0</v>
      </c>
      <c r="CQ796" s="408">
        <v>29</v>
      </c>
      <c r="CR796" s="408">
        <v>1695.2580746327003</v>
      </c>
      <c r="CS796" s="408">
        <v>480.91429771614639</v>
      </c>
      <c r="CT796" s="408">
        <v>1616.6146882244611</v>
      </c>
      <c r="CU796" s="408">
        <v>0</v>
      </c>
      <c r="CV796" s="408">
        <v>0</v>
      </c>
      <c r="CW796" s="408"/>
      <c r="CX796" s="408"/>
      <c r="CY796" s="408"/>
      <c r="CZ796" s="408">
        <v>-402.27091130789995</v>
      </c>
      <c r="DA796" s="408">
        <v>0</v>
      </c>
      <c r="DB796" s="408">
        <v>0</v>
      </c>
      <c r="DC796" s="408"/>
      <c r="DD796" s="408"/>
      <c r="DE796" s="408">
        <v>0</v>
      </c>
      <c r="DF796" s="408">
        <v>0</v>
      </c>
      <c r="DG796" s="408">
        <v>0</v>
      </c>
      <c r="DH796" s="408">
        <v>0</v>
      </c>
      <c r="DI796" s="408">
        <v>0</v>
      </c>
      <c r="DJ796" s="408"/>
      <c r="DK796" s="408">
        <v>0</v>
      </c>
      <c r="DL796" s="408">
        <v>0</v>
      </c>
      <c r="DM796" s="408"/>
      <c r="DN796" s="408">
        <v>0</v>
      </c>
      <c r="DO796" s="408">
        <v>0</v>
      </c>
      <c r="DP796" s="408">
        <v>0</v>
      </c>
      <c r="DQ796" s="408">
        <v>0</v>
      </c>
      <c r="DR796" s="408">
        <v>0</v>
      </c>
      <c r="DS796" s="408"/>
      <c r="DT796" s="408"/>
      <c r="DU796" s="408">
        <v>197463.37078504788</v>
      </c>
      <c r="DV796" s="408"/>
      <c r="DW796" s="408">
        <v>0</v>
      </c>
      <c r="DX796" s="408">
        <v>0</v>
      </c>
      <c r="DY796" s="408">
        <v>-102869</v>
      </c>
      <c r="DZ796" s="408"/>
      <c r="EA796" s="408">
        <v>0</v>
      </c>
      <c r="EB796" s="408"/>
      <c r="EC796" s="408">
        <v>-104546.3862165068</v>
      </c>
      <c r="ED796" s="408"/>
      <c r="EE796" s="408">
        <v>0</v>
      </c>
      <c r="EF796" s="408">
        <v>0</v>
      </c>
      <c r="EG796" s="408"/>
      <c r="EH796" s="408">
        <v>0</v>
      </c>
      <c r="EI796" s="408">
        <v>0</v>
      </c>
      <c r="EJ796" s="408">
        <v>0</v>
      </c>
      <c r="EK796" s="408">
        <v>0</v>
      </c>
      <c r="EL796" s="408">
        <v>0</v>
      </c>
      <c r="EM796" s="408"/>
      <c r="EN796" s="408"/>
      <c r="EO796" s="408">
        <v>0</v>
      </c>
      <c r="EP796" s="408">
        <v>0</v>
      </c>
      <c r="EQ796" s="408"/>
      <c r="ER796" s="408">
        <v>0</v>
      </c>
      <c r="ES796" s="408"/>
      <c r="ET796" s="408">
        <v>0</v>
      </c>
      <c r="EU796" s="408"/>
      <c r="EV796" s="408">
        <v>239</v>
      </c>
      <c r="EW796" s="408"/>
      <c r="EX796" s="408"/>
      <c r="EY796" s="408"/>
      <c r="EZ796" s="408"/>
      <c r="FA796" s="408">
        <v>0</v>
      </c>
      <c r="FB796" s="408"/>
      <c r="FC796" s="408"/>
      <c r="FD796" s="408"/>
      <c r="FE796" s="408"/>
      <c r="FF796" s="408">
        <v>0</v>
      </c>
      <c r="FG796" s="408">
        <v>0</v>
      </c>
      <c r="FH796" s="408">
        <v>0</v>
      </c>
      <c r="FI796" s="408">
        <v>0</v>
      </c>
    </row>
    <row r="797" spans="1:165">
      <c r="A797" s="408">
        <v>804</v>
      </c>
      <c r="B797" s="408" t="s">
        <v>1034</v>
      </c>
      <c r="C797" s="408" t="s">
        <v>991</v>
      </c>
      <c r="D797" s="408" t="s">
        <v>596</v>
      </c>
      <c r="E797" s="408" t="s">
        <v>1320</v>
      </c>
      <c r="F797" s="408" t="s">
        <v>1320</v>
      </c>
      <c r="G797" s="408" t="s">
        <v>1320</v>
      </c>
      <c r="H797" s="408" t="s">
        <v>2325</v>
      </c>
      <c r="I797" s="408" t="s">
        <v>1320</v>
      </c>
      <c r="J797" s="408" t="s">
        <v>2255</v>
      </c>
      <c r="K797" s="827">
        <v>44593</v>
      </c>
      <c r="L797" s="408">
        <v>2300</v>
      </c>
      <c r="M797" s="408">
        <v>1150</v>
      </c>
      <c r="N797" s="408">
        <v>0</v>
      </c>
      <c r="O797" s="408">
        <v>0</v>
      </c>
      <c r="P797" s="408">
        <v>0</v>
      </c>
      <c r="Q797" s="408">
        <v>0</v>
      </c>
      <c r="R797" s="408">
        <v>21.22</v>
      </c>
      <c r="S797" s="408"/>
      <c r="T797" s="408"/>
      <c r="U797" s="408">
        <v>48806</v>
      </c>
      <c r="V797" s="408"/>
      <c r="W797" s="408">
        <v>48806</v>
      </c>
      <c r="X797" s="408">
        <v>23161</v>
      </c>
      <c r="Y797" s="408">
        <v>0</v>
      </c>
      <c r="Z797" s="408">
        <v>0</v>
      </c>
      <c r="AA797" s="408">
        <v>0</v>
      </c>
      <c r="AB797" s="408">
        <v>0</v>
      </c>
      <c r="AC797" s="408">
        <v>0</v>
      </c>
      <c r="AD797" s="408">
        <v>0</v>
      </c>
      <c r="AE797" s="408">
        <v>48415.733888970302</v>
      </c>
      <c r="AF797" s="408"/>
      <c r="AG797" s="408"/>
      <c r="AH797" s="408"/>
      <c r="AI797" s="408">
        <v>0</v>
      </c>
      <c r="AJ797" s="408">
        <v>0</v>
      </c>
      <c r="AK797" s="408">
        <v>0</v>
      </c>
      <c r="AL797" s="408">
        <v>0</v>
      </c>
      <c r="AM797" s="408"/>
      <c r="AN797" s="408">
        <v>382.49209089480081</v>
      </c>
      <c r="AO797" s="408">
        <v>0</v>
      </c>
      <c r="AP797" s="408">
        <v>0</v>
      </c>
      <c r="AQ797" s="408">
        <v>0</v>
      </c>
      <c r="AR797" s="408">
        <v>0</v>
      </c>
      <c r="AS797" s="408"/>
      <c r="AT797" s="408"/>
      <c r="AU797" s="408">
        <v>0</v>
      </c>
      <c r="AV797" s="408">
        <v>0</v>
      </c>
      <c r="AW797" s="408">
        <v>0</v>
      </c>
      <c r="AX797" s="408"/>
      <c r="AY797" s="408"/>
      <c r="AZ797" s="408">
        <v>0</v>
      </c>
      <c r="BA797" s="408"/>
      <c r="BB797" s="408">
        <v>0</v>
      </c>
      <c r="BC797" s="408">
        <v>0</v>
      </c>
      <c r="BD797" s="408">
        <v>0</v>
      </c>
      <c r="BE797" s="408">
        <v>0</v>
      </c>
      <c r="BF797" s="408"/>
      <c r="BG797" s="408">
        <v>0</v>
      </c>
      <c r="BH797" s="408">
        <v>0</v>
      </c>
      <c r="BI797" s="408">
        <v>449.73</v>
      </c>
      <c r="BJ797" s="408">
        <v>0</v>
      </c>
      <c r="BK797" s="408">
        <v>0</v>
      </c>
      <c r="BL797" s="408">
        <v>0</v>
      </c>
      <c r="BM797" s="408"/>
      <c r="BN797" s="408"/>
      <c r="BO797" s="408">
        <v>11580.5</v>
      </c>
      <c r="BP797" s="408"/>
      <c r="BQ797" s="408"/>
      <c r="BR797" s="408"/>
      <c r="BS797" s="408"/>
      <c r="BT797" s="408"/>
      <c r="BU797" s="408"/>
      <c r="BV797" s="408">
        <v>0</v>
      </c>
      <c r="BW797" s="408"/>
      <c r="BX797" s="408"/>
      <c r="BY797" s="408"/>
      <c r="BZ797" s="408"/>
      <c r="CA797" s="408"/>
      <c r="CB797" s="408"/>
      <c r="CC797" s="408"/>
      <c r="CD797" s="408"/>
      <c r="CE797" s="408"/>
      <c r="CF797" s="408"/>
      <c r="CG797" s="408"/>
      <c r="CH797" s="408"/>
      <c r="CI797" s="408">
        <v>11580.5</v>
      </c>
      <c r="CJ797" s="408">
        <v>-12822.529999999995</v>
      </c>
      <c r="CK797" s="408"/>
      <c r="CL797" s="408"/>
      <c r="CM797" s="408"/>
      <c r="CN797" s="408"/>
      <c r="CO797" s="408">
        <v>-25644.999999999996</v>
      </c>
      <c r="CP797" s="408">
        <v>0</v>
      </c>
      <c r="CQ797" s="408">
        <v>29</v>
      </c>
      <c r="CR797" s="408">
        <v>-11.786084006094825</v>
      </c>
      <c r="CS797" s="408">
        <v>0</v>
      </c>
      <c r="CT797" s="408">
        <v>0</v>
      </c>
      <c r="CU797" s="408">
        <v>0</v>
      </c>
      <c r="CV797" s="408">
        <v>0</v>
      </c>
      <c r="CW797" s="408"/>
      <c r="CX797" s="408"/>
      <c r="CY797" s="408"/>
      <c r="CZ797" s="408">
        <v>0</v>
      </c>
      <c r="DA797" s="408">
        <v>0</v>
      </c>
      <c r="DB797" s="408">
        <v>0</v>
      </c>
      <c r="DC797" s="408"/>
      <c r="DD797" s="408"/>
      <c r="DE797" s="408">
        <v>0</v>
      </c>
      <c r="DF797" s="408">
        <v>0</v>
      </c>
      <c r="DG797" s="408">
        <v>0</v>
      </c>
      <c r="DH797" s="408">
        <v>0</v>
      </c>
      <c r="DI797" s="408">
        <v>0</v>
      </c>
      <c r="DJ797" s="408"/>
      <c r="DK797" s="408">
        <v>0</v>
      </c>
      <c r="DL797" s="408">
        <v>0</v>
      </c>
      <c r="DM797" s="408"/>
      <c r="DN797" s="408">
        <v>0</v>
      </c>
      <c r="DO797" s="408">
        <v>0</v>
      </c>
      <c r="DP797" s="408">
        <v>-11.786084006094825</v>
      </c>
      <c r="DQ797" s="408">
        <v>0</v>
      </c>
      <c r="DR797" s="408">
        <v>0</v>
      </c>
      <c r="DS797" s="408"/>
      <c r="DT797" s="408"/>
      <c r="DU797" s="408">
        <v>48415.733888970302</v>
      </c>
      <c r="DV797" s="408"/>
      <c r="DW797" s="408">
        <v>0</v>
      </c>
      <c r="DX797" s="408">
        <v>0</v>
      </c>
      <c r="DY797" s="408">
        <v>-25645</v>
      </c>
      <c r="DZ797" s="408"/>
      <c r="EA797" s="408">
        <v>0</v>
      </c>
      <c r="EB797" s="408"/>
      <c r="EC797" s="408">
        <v>-25633.564311134465</v>
      </c>
      <c r="ED797" s="408"/>
      <c r="EE797" s="408">
        <v>0</v>
      </c>
      <c r="EF797" s="408">
        <v>0</v>
      </c>
      <c r="EG797" s="408"/>
      <c r="EH797" s="408">
        <v>0</v>
      </c>
      <c r="EI797" s="408">
        <v>0</v>
      </c>
      <c r="EJ797" s="408">
        <v>0</v>
      </c>
      <c r="EK797" s="408">
        <v>0</v>
      </c>
      <c r="EL797" s="408">
        <v>0</v>
      </c>
      <c r="EM797" s="408"/>
      <c r="EN797" s="408"/>
      <c r="EO797" s="408">
        <v>0</v>
      </c>
      <c r="EP797" s="408">
        <v>0</v>
      </c>
      <c r="EQ797" s="408"/>
      <c r="ER797" s="408">
        <v>0</v>
      </c>
      <c r="ES797" s="408"/>
      <c r="ET797" s="408">
        <v>0</v>
      </c>
      <c r="EU797" s="408"/>
      <c r="EV797" s="408">
        <v>239</v>
      </c>
      <c r="EW797" s="408"/>
      <c r="EX797" s="408"/>
      <c r="EY797" s="408"/>
      <c r="EZ797" s="408"/>
      <c r="FA797" s="408">
        <v>0</v>
      </c>
      <c r="FB797" s="408"/>
      <c r="FC797" s="408"/>
      <c r="FD797" s="408"/>
      <c r="FE797" s="408"/>
      <c r="FF797" s="408">
        <v>0</v>
      </c>
      <c r="FG797" s="408">
        <v>0</v>
      </c>
      <c r="FH797" s="408">
        <v>0</v>
      </c>
      <c r="FI797" s="408">
        <v>0</v>
      </c>
    </row>
    <row r="798" spans="1:165">
      <c r="A798" s="408">
        <v>805</v>
      </c>
      <c r="B798" s="408" t="s">
        <v>1034</v>
      </c>
      <c r="C798" s="408" t="s">
        <v>2241</v>
      </c>
      <c r="D798" s="408" t="s">
        <v>596</v>
      </c>
      <c r="E798" s="408" t="s">
        <v>968</v>
      </c>
      <c r="F798" s="408" t="s">
        <v>1320</v>
      </c>
      <c r="G798" s="408" t="s">
        <v>2323</v>
      </c>
      <c r="H798" s="408" t="s">
        <v>1320</v>
      </c>
      <c r="I798" s="408" t="s">
        <v>971</v>
      </c>
      <c r="J798" s="408" t="s">
        <v>2324</v>
      </c>
      <c r="K798" s="827">
        <v>44621</v>
      </c>
      <c r="L798" s="408">
        <v>0</v>
      </c>
      <c r="M798" s="408">
        <v>0</v>
      </c>
      <c r="N798" s="408">
        <v>11.5</v>
      </c>
      <c r="O798" s="408">
        <v>6.1191500000000003</v>
      </c>
      <c r="P798" s="408">
        <v>0</v>
      </c>
      <c r="Q798" s="408">
        <v>0</v>
      </c>
      <c r="R798" s="408"/>
      <c r="S798" s="408">
        <v>1684.16</v>
      </c>
      <c r="T798" s="408"/>
      <c r="U798" s="408"/>
      <c r="V798" s="408">
        <v>19367.84</v>
      </c>
      <c r="W798" s="408">
        <v>19367.84</v>
      </c>
      <c r="X798" s="408">
        <v>12425.175000000001</v>
      </c>
      <c r="Y798" s="408">
        <v>0</v>
      </c>
      <c r="Z798" s="408">
        <v>611.80030485902807</v>
      </c>
      <c r="AA798" s="408">
        <v>0</v>
      </c>
      <c r="AB798" s="408">
        <v>0</v>
      </c>
      <c r="AC798" s="408">
        <v>206.99309838695712</v>
      </c>
      <c r="AD798" s="408">
        <v>3157.7381855703561</v>
      </c>
      <c r="AE798" s="408">
        <v>13320.363238199976</v>
      </c>
      <c r="AF798" s="408"/>
      <c r="AG798" s="408"/>
      <c r="AH798" s="408"/>
      <c r="AI798" s="408">
        <v>0</v>
      </c>
      <c r="AJ798" s="408">
        <v>0</v>
      </c>
      <c r="AK798" s="408">
        <v>0</v>
      </c>
      <c r="AL798" s="408">
        <v>108.69221156262125</v>
      </c>
      <c r="AM798" s="408"/>
      <c r="AN798" s="408">
        <v>14.29140265530574</v>
      </c>
      <c r="AO798" s="408">
        <v>444.5456517343556</v>
      </c>
      <c r="AP798" s="408">
        <v>1429.4347166008781</v>
      </c>
      <c r="AQ798" s="408">
        <v>0</v>
      </c>
      <c r="AR798" s="408">
        <v>0</v>
      </c>
      <c r="AS798" s="408"/>
      <c r="AT798" s="408"/>
      <c r="AU798" s="408">
        <v>0</v>
      </c>
      <c r="AV798" s="408">
        <v>0</v>
      </c>
      <c r="AW798" s="408">
        <v>0</v>
      </c>
      <c r="AX798" s="408"/>
      <c r="AY798" s="408"/>
      <c r="AZ798" s="408">
        <v>0</v>
      </c>
      <c r="BA798" s="408"/>
      <c r="BB798" s="408">
        <v>0</v>
      </c>
      <c r="BC798" s="408">
        <v>0</v>
      </c>
      <c r="BD798" s="408">
        <v>0</v>
      </c>
      <c r="BE798" s="408">
        <v>2.1458266840079787</v>
      </c>
      <c r="BF798" s="408"/>
      <c r="BG798" s="408">
        <v>71.854641467405614</v>
      </c>
      <c r="BH798" s="408">
        <v>0</v>
      </c>
      <c r="BI798" s="408">
        <v>0</v>
      </c>
      <c r="BJ798" s="408">
        <v>0</v>
      </c>
      <c r="BK798" s="408">
        <v>0</v>
      </c>
      <c r="BL798" s="408">
        <v>0</v>
      </c>
      <c r="BM798" s="408"/>
      <c r="BN798" s="408">
        <v>5813.7393824999999</v>
      </c>
      <c r="BO798" s="408"/>
      <c r="BP798" s="408"/>
      <c r="BQ798" s="408"/>
      <c r="BR798" s="408"/>
      <c r="BS798" s="408"/>
      <c r="BT798" s="408"/>
      <c r="BU798" s="408"/>
      <c r="BV798" s="408">
        <v>74.0004681514136</v>
      </c>
      <c r="BW798" s="408"/>
      <c r="BX798" s="408"/>
      <c r="BY798" s="408"/>
      <c r="BZ798" s="408"/>
      <c r="CA798" s="408"/>
      <c r="CB798" s="408"/>
      <c r="CC798" s="408"/>
      <c r="CD798" s="408"/>
      <c r="CE798" s="408"/>
      <c r="CF798" s="408"/>
      <c r="CG798" s="408"/>
      <c r="CH798" s="408"/>
      <c r="CI798" s="408">
        <v>6612.3540000000003</v>
      </c>
      <c r="CJ798" s="408">
        <v>-3693.3036640000018</v>
      </c>
      <c r="CK798" s="408"/>
      <c r="CL798" s="408"/>
      <c r="CM798" s="408"/>
      <c r="CN798" s="408"/>
      <c r="CO798" s="408">
        <v>-6942.6650000000009</v>
      </c>
      <c r="CP798" s="408">
        <v>0</v>
      </c>
      <c r="CQ798" s="408">
        <v>31</v>
      </c>
      <c r="CR798" s="408">
        <v>109.76766560603664</v>
      </c>
      <c r="CS798" s="408">
        <v>43.16257426938256</v>
      </c>
      <c r="CT798" s="408">
        <v>138.78908021663779</v>
      </c>
      <c r="CU798" s="408">
        <v>0</v>
      </c>
      <c r="CV798" s="408">
        <v>0</v>
      </c>
      <c r="CW798" s="408"/>
      <c r="CX798" s="408"/>
      <c r="CY798" s="408"/>
      <c r="CZ798" s="408">
        <v>-60.547128638376762</v>
      </c>
      <c r="DA798" s="408">
        <v>0</v>
      </c>
      <c r="DB798" s="408">
        <v>0</v>
      </c>
      <c r="DC798" s="408"/>
      <c r="DD798" s="408"/>
      <c r="DE798" s="408">
        <v>0.27544057068120908</v>
      </c>
      <c r="DF798" s="408">
        <v>0</v>
      </c>
      <c r="DG798" s="408">
        <v>9.2233373735984827</v>
      </c>
      <c r="DH798" s="408">
        <v>0</v>
      </c>
      <c r="DI798" s="408">
        <v>-17.880173187241667</v>
      </c>
      <c r="DJ798" s="408"/>
      <c r="DK798" s="408">
        <v>0</v>
      </c>
      <c r="DL798" s="408">
        <v>0</v>
      </c>
      <c r="DM798" s="408"/>
      <c r="DN798" s="408">
        <v>0</v>
      </c>
      <c r="DO798" s="408">
        <v>-2.8150907366136551</v>
      </c>
      <c r="DP798" s="408">
        <v>-0.44037426203074581</v>
      </c>
      <c r="DQ798" s="408">
        <v>0</v>
      </c>
      <c r="DR798" s="408">
        <v>0</v>
      </c>
      <c r="DS798" s="408"/>
      <c r="DT798" s="408"/>
      <c r="DU798" s="408"/>
      <c r="DV798" s="408">
        <v>13320.363238199976</v>
      </c>
      <c r="DW798" s="408">
        <v>0</v>
      </c>
      <c r="DX798" s="408">
        <v>0</v>
      </c>
      <c r="DY798" s="408">
        <v>-6942.6649999999991</v>
      </c>
      <c r="DZ798" s="408"/>
      <c r="EA798" s="408">
        <v>0</v>
      </c>
      <c r="EB798" s="408"/>
      <c r="EC798" s="408">
        <v>-7052.4261492575497</v>
      </c>
      <c r="ED798" s="408"/>
      <c r="EE798" s="408">
        <v>0</v>
      </c>
      <c r="EF798" s="408">
        <v>0</v>
      </c>
      <c r="EG798" s="408"/>
      <c r="EH798" s="408">
        <v>0</v>
      </c>
      <c r="EI798" s="408">
        <v>0</v>
      </c>
      <c r="EJ798" s="408">
        <v>0</v>
      </c>
      <c r="EK798" s="408">
        <v>0</v>
      </c>
      <c r="EL798" s="408">
        <v>0</v>
      </c>
      <c r="EM798" s="408"/>
      <c r="EN798" s="408"/>
      <c r="EO798" s="408">
        <v>0</v>
      </c>
      <c r="EP798" s="408">
        <v>0</v>
      </c>
      <c r="EQ798" s="408"/>
      <c r="ER798" s="408">
        <v>0</v>
      </c>
      <c r="ES798" s="408"/>
      <c r="ET798" s="408">
        <v>0</v>
      </c>
      <c r="EU798" s="408"/>
      <c r="EV798" s="408">
        <v>239</v>
      </c>
      <c r="EW798" s="408"/>
      <c r="EX798" s="408"/>
      <c r="EY798" s="408"/>
      <c r="EZ798" s="408"/>
      <c r="FA798" s="408">
        <v>0</v>
      </c>
      <c r="FB798" s="408"/>
      <c r="FC798" s="408"/>
      <c r="FD798" s="408"/>
      <c r="FE798" s="408"/>
      <c r="FF798" s="408">
        <v>0</v>
      </c>
      <c r="FG798" s="408">
        <v>0</v>
      </c>
      <c r="FH798" s="408">
        <v>0</v>
      </c>
      <c r="FI798" s="408">
        <v>0</v>
      </c>
    </row>
    <row r="799" spans="1:165">
      <c r="A799" s="408">
        <v>806</v>
      </c>
      <c r="B799" s="408" t="s">
        <v>1034</v>
      </c>
      <c r="C799" s="408" t="s">
        <v>2241</v>
      </c>
      <c r="D799" s="408" t="s">
        <v>596</v>
      </c>
      <c r="E799" s="408" t="s">
        <v>968</v>
      </c>
      <c r="F799" s="408" t="s">
        <v>1320</v>
      </c>
      <c r="G799" s="408" t="s">
        <v>2323</v>
      </c>
      <c r="H799" s="408" t="s">
        <v>1320</v>
      </c>
      <c r="I799" s="408" t="s">
        <v>2242</v>
      </c>
      <c r="J799" s="408" t="s">
        <v>2324</v>
      </c>
      <c r="K799" s="827">
        <v>44621</v>
      </c>
      <c r="L799" s="408">
        <v>0</v>
      </c>
      <c r="M799" s="408">
        <v>0</v>
      </c>
      <c r="N799" s="408">
        <v>816.57799999999997</v>
      </c>
      <c r="O799" s="408">
        <v>816.57799999999997</v>
      </c>
      <c r="P799" s="408">
        <v>0</v>
      </c>
      <c r="Q799" s="408">
        <v>0</v>
      </c>
      <c r="R799" s="408"/>
      <c r="S799" s="408">
        <v>70.33</v>
      </c>
      <c r="T799" s="408"/>
      <c r="U799" s="408"/>
      <c r="V799" s="408">
        <v>57429.930739999996</v>
      </c>
      <c r="W799" s="408">
        <v>57429.930739999996</v>
      </c>
      <c r="X799" s="408">
        <v>56605.186959999992</v>
      </c>
      <c r="Y799" s="408">
        <v>0</v>
      </c>
      <c r="Z799" s="408">
        <v>43441.971247058733</v>
      </c>
      <c r="AA799" s="408">
        <v>0</v>
      </c>
      <c r="AB799" s="408">
        <v>0</v>
      </c>
      <c r="AC799" s="408">
        <v>0</v>
      </c>
      <c r="AD799" s="408">
        <v>0</v>
      </c>
      <c r="AE799" s="408">
        <v>0</v>
      </c>
      <c r="AF799" s="408"/>
      <c r="AG799" s="408"/>
      <c r="AH799" s="408"/>
      <c r="AI799" s="408">
        <v>0</v>
      </c>
      <c r="AJ799" s="408">
        <v>0</v>
      </c>
      <c r="AK799" s="408">
        <v>0</v>
      </c>
      <c r="AL799" s="408">
        <v>7717.8842376854036</v>
      </c>
      <c r="AM799" s="408"/>
      <c r="AN799" s="408">
        <v>1014.7865215186305</v>
      </c>
      <c r="AO799" s="408">
        <v>0</v>
      </c>
      <c r="AP799" s="408">
        <v>0</v>
      </c>
      <c r="AQ799" s="408">
        <v>0</v>
      </c>
      <c r="AR799" s="408">
        <v>0</v>
      </c>
      <c r="AS799" s="408"/>
      <c r="AT799" s="408"/>
      <c r="AU799" s="408">
        <v>0</v>
      </c>
      <c r="AV799" s="408">
        <v>0</v>
      </c>
      <c r="AW799" s="408">
        <v>0</v>
      </c>
      <c r="AX799" s="408"/>
      <c r="AY799" s="408"/>
      <c r="AZ799" s="408">
        <v>0</v>
      </c>
      <c r="BA799" s="408"/>
      <c r="BB799" s="408">
        <v>0</v>
      </c>
      <c r="BC799" s="408">
        <v>0</v>
      </c>
      <c r="BD799" s="408">
        <v>0</v>
      </c>
      <c r="BE799" s="408">
        <v>152.36824886729281</v>
      </c>
      <c r="BF799" s="408"/>
      <c r="BG799" s="408">
        <v>5102.1669061018383</v>
      </c>
      <c r="BH799" s="408">
        <v>0</v>
      </c>
      <c r="BI799" s="408">
        <v>0</v>
      </c>
      <c r="BJ799" s="408">
        <v>0</v>
      </c>
      <c r="BK799" s="408">
        <v>0</v>
      </c>
      <c r="BL799" s="408">
        <v>0</v>
      </c>
      <c r="BM799" s="408"/>
      <c r="BN799" s="408"/>
      <c r="BO799" s="408"/>
      <c r="BP799" s="408"/>
      <c r="BQ799" s="408"/>
      <c r="BR799" s="408"/>
      <c r="BS799" s="408"/>
      <c r="BT799" s="408"/>
      <c r="BU799" s="408"/>
      <c r="BV799" s="408">
        <v>5254.5351549691313</v>
      </c>
      <c r="BW799" s="408"/>
      <c r="BX799" s="408"/>
      <c r="BY799" s="408"/>
      <c r="BZ799" s="408"/>
      <c r="CA799" s="408"/>
      <c r="CB799" s="408"/>
      <c r="CC799" s="408"/>
      <c r="CD799" s="408"/>
      <c r="CE799" s="408"/>
      <c r="CF799" s="408"/>
      <c r="CG799" s="408"/>
      <c r="CH799" s="408"/>
      <c r="CI799" s="408">
        <v>56605.325599999996</v>
      </c>
      <c r="CJ799" s="408">
        <v>-824.63514000000578</v>
      </c>
      <c r="CK799" s="408"/>
      <c r="CL799" s="408"/>
      <c r="CM799" s="408"/>
      <c r="CN799" s="408"/>
      <c r="CO799" s="408">
        <v>-824.74378000000411</v>
      </c>
      <c r="CP799" s="408">
        <v>0</v>
      </c>
      <c r="CQ799" s="408">
        <v>31</v>
      </c>
      <c r="CR799" s="408">
        <v>-826.29600542351545</v>
      </c>
      <c r="CS799" s="408">
        <v>0</v>
      </c>
      <c r="CT799" s="408">
        <v>0</v>
      </c>
      <c r="CU799" s="408">
        <v>0</v>
      </c>
      <c r="CV799" s="408">
        <v>0</v>
      </c>
      <c r="CW799" s="408"/>
      <c r="CX799" s="408"/>
      <c r="CY799" s="408"/>
      <c r="CZ799" s="408">
        <v>0</v>
      </c>
      <c r="DA799" s="408">
        <v>0</v>
      </c>
      <c r="DB799" s="408">
        <v>0</v>
      </c>
      <c r="DC799" s="408"/>
      <c r="DD799" s="408"/>
      <c r="DE799" s="408">
        <v>19.558148723975648</v>
      </c>
      <c r="DF799" s="408">
        <v>0</v>
      </c>
      <c r="DG799" s="408">
        <v>654.91951181376498</v>
      </c>
      <c r="DH799" s="408">
        <v>0</v>
      </c>
      <c r="DI799" s="408">
        <v>-1269.6135705123015</v>
      </c>
      <c r="DJ799" s="408"/>
      <c r="DK799" s="408">
        <v>0</v>
      </c>
      <c r="DL799" s="408">
        <v>0</v>
      </c>
      <c r="DM799" s="408"/>
      <c r="DN799" s="408">
        <v>0</v>
      </c>
      <c r="DO799" s="408">
        <v>-199.89053595847872</v>
      </c>
      <c r="DP799" s="408">
        <v>-31.269559490481925</v>
      </c>
      <c r="DQ799" s="408">
        <v>0</v>
      </c>
      <c r="DR799" s="408">
        <v>0</v>
      </c>
      <c r="DS799" s="408"/>
      <c r="DT799" s="408"/>
      <c r="DU799" s="408"/>
      <c r="DV799" s="408">
        <v>0</v>
      </c>
      <c r="DW799" s="408">
        <v>0</v>
      </c>
      <c r="DX799" s="408">
        <v>0</v>
      </c>
      <c r="DY799" s="408">
        <v>-824.74378000000434</v>
      </c>
      <c r="DZ799" s="408"/>
      <c r="EA799" s="408">
        <v>0</v>
      </c>
      <c r="EB799" s="408"/>
      <c r="EC799" s="408">
        <v>0</v>
      </c>
      <c r="ED799" s="408"/>
      <c r="EE799" s="408">
        <v>0</v>
      </c>
      <c r="EF799" s="408">
        <v>0</v>
      </c>
      <c r="EG799" s="408"/>
      <c r="EH799" s="408">
        <v>0</v>
      </c>
      <c r="EI799" s="408">
        <v>0</v>
      </c>
      <c r="EJ799" s="408">
        <v>0</v>
      </c>
      <c r="EK799" s="408">
        <v>0</v>
      </c>
      <c r="EL799" s="408">
        <v>0</v>
      </c>
      <c r="EM799" s="408"/>
      <c r="EN799" s="408"/>
      <c r="EO799" s="408">
        <v>0</v>
      </c>
      <c r="EP799" s="408">
        <v>0</v>
      </c>
      <c r="EQ799" s="408"/>
      <c r="ER799" s="408">
        <v>0</v>
      </c>
      <c r="ES799" s="408"/>
      <c r="ET799" s="408">
        <v>0</v>
      </c>
      <c r="EU799" s="408"/>
      <c r="EV799" s="408">
        <v>239</v>
      </c>
      <c r="EW799" s="408"/>
      <c r="EX799" s="408"/>
      <c r="EY799" s="408"/>
      <c r="EZ799" s="408"/>
      <c r="FA799" s="408">
        <v>0</v>
      </c>
      <c r="FB799" s="408"/>
      <c r="FC799" s="408"/>
      <c r="FD799" s="408"/>
      <c r="FE799" s="408"/>
      <c r="FF799" s="408">
        <v>0</v>
      </c>
      <c r="FG799" s="408">
        <v>0</v>
      </c>
      <c r="FH799" s="408">
        <v>0</v>
      </c>
      <c r="FI799" s="408">
        <v>0</v>
      </c>
    </row>
    <row r="800" spans="1:165">
      <c r="A800" s="408">
        <v>807</v>
      </c>
      <c r="B800" s="408" t="s">
        <v>1034</v>
      </c>
      <c r="C800" s="408" t="s">
        <v>2241</v>
      </c>
      <c r="D800" s="408" t="s">
        <v>596</v>
      </c>
      <c r="E800" s="408" t="s">
        <v>968</v>
      </c>
      <c r="F800" s="408" t="s">
        <v>1320</v>
      </c>
      <c r="G800" s="408" t="s">
        <v>2323</v>
      </c>
      <c r="H800" s="408" t="s">
        <v>1320</v>
      </c>
      <c r="I800" s="408" t="s">
        <v>1320</v>
      </c>
      <c r="J800" s="408" t="s">
        <v>2324</v>
      </c>
      <c r="K800" s="827">
        <v>44621</v>
      </c>
      <c r="L800" s="408">
        <v>4190</v>
      </c>
      <c r="M800" s="408">
        <v>2120.9780000000001</v>
      </c>
      <c r="N800" s="408">
        <v>0</v>
      </c>
      <c r="O800" s="408">
        <v>0</v>
      </c>
      <c r="P800" s="408">
        <v>0</v>
      </c>
      <c r="Q800" s="408">
        <v>0</v>
      </c>
      <c r="R800" s="408">
        <v>59.12</v>
      </c>
      <c r="S800" s="408"/>
      <c r="T800" s="408"/>
      <c r="U800" s="408">
        <v>247712.8</v>
      </c>
      <c r="V800" s="408"/>
      <c r="W800" s="408">
        <v>247712.8</v>
      </c>
      <c r="X800" s="408">
        <v>142585.70000000001</v>
      </c>
      <c r="Y800" s="408">
        <v>0</v>
      </c>
      <c r="Z800" s="408">
        <v>0</v>
      </c>
      <c r="AA800" s="408">
        <v>0</v>
      </c>
      <c r="AB800" s="408">
        <v>0</v>
      </c>
      <c r="AC800" s="408">
        <v>2396.9329223681279</v>
      </c>
      <c r="AD800" s="408">
        <v>21440.324906497652</v>
      </c>
      <c r="AE800" s="408">
        <v>201797.93258276844</v>
      </c>
      <c r="AF800" s="408"/>
      <c r="AG800" s="408"/>
      <c r="AH800" s="408"/>
      <c r="AI800" s="408">
        <v>0</v>
      </c>
      <c r="AJ800" s="408">
        <v>0</v>
      </c>
      <c r="AK800" s="408">
        <v>0</v>
      </c>
      <c r="AL800" s="408">
        <v>0</v>
      </c>
      <c r="AM800" s="408"/>
      <c r="AN800" s="408">
        <v>0</v>
      </c>
      <c r="AO800" s="408">
        <v>5061.8221647413511</v>
      </c>
      <c r="AP800" s="408">
        <v>17015.539150243549</v>
      </c>
      <c r="AQ800" s="408">
        <v>0</v>
      </c>
      <c r="AR800" s="408">
        <v>0</v>
      </c>
      <c r="AS800" s="408"/>
      <c r="AT800" s="408"/>
      <c r="AU800" s="408">
        <v>0</v>
      </c>
      <c r="AV800" s="408">
        <v>0</v>
      </c>
      <c r="AW800" s="408">
        <v>0</v>
      </c>
      <c r="AX800" s="408"/>
      <c r="AY800" s="408"/>
      <c r="AZ800" s="408">
        <v>0</v>
      </c>
      <c r="BA800" s="408"/>
      <c r="BB800" s="408">
        <v>0</v>
      </c>
      <c r="BC800" s="408">
        <v>0</v>
      </c>
      <c r="BD800" s="408">
        <v>0</v>
      </c>
      <c r="BE800" s="408">
        <v>0</v>
      </c>
      <c r="BF800" s="408"/>
      <c r="BG800" s="408">
        <v>0</v>
      </c>
      <c r="BH800" s="408">
        <v>0</v>
      </c>
      <c r="BI800" s="408">
        <v>0</v>
      </c>
      <c r="BJ800" s="408">
        <v>0</v>
      </c>
      <c r="BK800" s="408">
        <v>57173.91</v>
      </c>
      <c r="BL800" s="408">
        <v>5</v>
      </c>
      <c r="BM800" s="408"/>
      <c r="BN800" s="408">
        <v>70408.818660000004</v>
      </c>
      <c r="BO800" s="408"/>
      <c r="BP800" s="408"/>
      <c r="BQ800" s="408"/>
      <c r="BR800" s="408"/>
      <c r="BS800" s="408"/>
      <c r="BT800" s="408"/>
      <c r="BU800" s="408"/>
      <c r="BV800" s="408">
        <v>0</v>
      </c>
      <c r="BW800" s="408"/>
      <c r="BX800" s="408"/>
      <c r="BY800" s="408"/>
      <c r="BZ800" s="408"/>
      <c r="CA800" s="408"/>
      <c r="CB800" s="408"/>
      <c r="CC800" s="408"/>
      <c r="CD800" s="408"/>
      <c r="CE800" s="408"/>
      <c r="CF800" s="408"/>
      <c r="CG800" s="408"/>
      <c r="CH800" s="408"/>
      <c r="CI800" s="408">
        <v>72176.949399999998</v>
      </c>
      <c r="CJ800" s="408">
        <v>-53215.299959999989</v>
      </c>
      <c r="CK800" s="408"/>
      <c r="CL800" s="408"/>
      <c r="CM800" s="408"/>
      <c r="CN800" s="408"/>
      <c r="CO800" s="408">
        <v>-105127.09999999999</v>
      </c>
      <c r="CP800" s="408">
        <v>0</v>
      </c>
      <c r="CQ800" s="408">
        <v>31</v>
      </c>
      <c r="CR800" s="408">
        <v>1732.4710567587899</v>
      </c>
      <c r="CS800" s="408">
        <v>491.47095303186779</v>
      </c>
      <c r="CT800" s="408">
        <v>1652.1013521123132</v>
      </c>
      <c r="CU800" s="408">
        <v>0</v>
      </c>
      <c r="CV800" s="408">
        <v>0</v>
      </c>
      <c r="CW800" s="408"/>
      <c r="CX800" s="408"/>
      <c r="CY800" s="408"/>
      <c r="CZ800" s="408">
        <v>-411.10124838538832</v>
      </c>
      <c r="DA800" s="408">
        <v>0</v>
      </c>
      <c r="DB800" s="408">
        <v>0</v>
      </c>
      <c r="DC800" s="408"/>
      <c r="DD800" s="408"/>
      <c r="DE800" s="408">
        <v>0</v>
      </c>
      <c r="DF800" s="408">
        <v>0</v>
      </c>
      <c r="DG800" s="408">
        <v>0</v>
      </c>
      <c r="DH800" s="408">
        <v>0</v>
      </c>
      <c r="DI800" s="408">
        <v>0</v>
      </c>
      <c r="DJ800" s="408"/>
      <c r="DK800" s="408">
        <v>0</v>
      </c>
      <c r="DL800" s="408">
        <v>0</v>
      </c>
      <c r="DM800" s="408"/>
      <c r="DN800" s="408">
        <v>0</v>
      </c>
      <c r="DO800" s="408">
        <v>0</v>
      </c>
      <c r="DP800" s="408">
        <v>0</v>
      </c>
      <c r="DQ800" s="408">
        <v>0</v>
      </c>
      <c r="DR800" s="408">
        <v>0</v>
      </c>
      <c r="DS800" s="408"/>
      <c r="DT800" s="408"/>
      <c r="DU800" s="408">
        <v>201797.93258276844</v>
      </c>
      <c r="DV800" s="408"/>
      <c r="DW800" s="408">
        <v>0</v>
      </c>
      <c r="DX800" s="408">
        <v>0</v>
      </c>
      <c r="DY800" s="408">
        <v>-105127.09999999998</v>
      </c>
      <c r="DZ800" s="408"/>
      <c r="EA800" s="408">
        <v>0</v>
      </c>
      <c r="EB800" s="408"/>
      <c r="EC800" s="408">
        <v>-106841.30688955206</v>
      </c>
      <c r="ED800" s="408"/>
      <c r="EE800" s="408">
        <v>0</v>
      </c>
      <c r="EF800" s="408">
        <v>0</v>
      </c>
      <c r="EG800" s="408"/>
      <c r="EH800" s="408">
        <v>0</v>
      </c>
      <c r="EI800" s="408">
        <v>0</v>
      </c>
      <c r="EJ800" s="408">
        <v>0</v>
      </c>
      <c r="EK800" s="408">
        <v>0</v>
      </c>
      <c r="EL800" s="408">
        <v>0</v>
      </c>
      <c r="EM800" s="408"/>
      <c r="EN800" s="408"/>
      <c r="EO800" s="408">
        <v>0</v>
      </c>
      <c r="EP800" s="408">
        <v>0</v>
      </c>
      <c r="EQ800" s="408"/>
      <c r="ER800" s="408">
        <v>0</v>
      </c>
      <c r="ES800" s="408"/>
      <c r="ET800" s="408">
        <v>0</v>
      </c>
      <c r="EU800" s="408"/>
      <c r="EV800" s="408">
        <v>239</v>
      </c>
      <c r="EW800" s="408"/>
      <c r="EX800" s="408"/>
      <c r="EY800" s="408"/>
      <c r="EZ800" s="408"/>
      <c r="FA800" s="408">
        <v>0</v>
      </c>
      <c r="FB800" s="408"/>
      <c r="FC800" s="408"/>
      <c r="FD800" s="408"/>
      <c r="FE800" s="408"/>
      <c r="FF800" s="408">
        <v>0</v>
      </c>
      <c r="FG800" s="408">
        <v>0</v>
      </c>
      <c r="FH800" s="408">
        <v>0</v>
      </c>
      <c r="FI800" s="408">
        <v>0</v>
      </c>
    </row>
    <row r="801" spans="1:165">
      <c r="A801" s="408">
        <v>808</v>
      </c>
      <c r="B801" s="408" t="s">
        <v>1034</v>
      </c>
      <c r="C801" s="408" t="s">
        <v>991</v>
      </c>
      <c r="D801" s="408" t="s">
        <v>596</v>
      </c>
      <c r="E801" s="408" t="s">
        <v>1320</v>
      </c>
      <c r="F801" s="408" t="s">
        <v>1320</v>
      </c>
      <c r="G801" s="408" t="s">
        <v>1320</v>
      </c>
      <c r="H801" s="408" t="s">
        <v>2325</v>
      </c>
      <c r="I801" s="408" t="s">
        <v>1320</v>
      </c>
      <c r="J801" s="408" t="s">
        <v>2255</v>
      </c>
      <c r="K801" s="827">
        <v>44621</v>
      </c>
      <c r="L801" s="408">
        <v>2300</v>
      </c>
      <c r="M801" s="408">
        <v>1150</v>
      </c>
      <c r="N801" s="408">
        <v>0</v>
      </c>
      <c r="O801" s="408">
        <v>0</v>
      </c>
      <c r="P801" s="408">
        <v>0</v>
      </c>
      <c r="Q801" s="408">
        <v>0</v>
      </c>
      <c r="R801" s="408">
        <v>21.22</v>
      </c>
      <c r="S801" s="408"/>
      <c r="T801" s="408"/>
      <c r="U801" s="408">
        <v>48806</v>
      </c>
      <c r="V801" s="408"/>
      <c r="W801" s="408">
        <v>48806</v>
      </c>
      <c r="X801" s="408">
        <v>23161</v>
      </c>
      <c r="Y801" s="408">
        <v>0</v>
      </c>
      <c r="Z801" s="408">
        <v>0</v>
      </c>
      <c r="AA801" s="408">
        <v>0</v>
      </c>
      <c r="AB801" s="408">
        <v>0</v>
      </c>
      <c r="AC801" s="408">
        <v>0</v>
      </c>
      <c r="AD801" s="408">
        <v>0</v>
      </c>
      <c r="AE801" s="408">
        <v>48415.733888970302</v>
      </c>
      <c r="AF801" s="408"/>
      <c r="AG801" s="408"/>
      <c r="AH801" s="408"/>
      <c r="AI801" s="408">
        <v>0</v>
      </c>
      <c r="AJ801" s="408">
        <v>0</v>
      </c>
      <c r="AK801" s="408">
        <v>0</v>
      </c>
      <c r="AL801" s="408">
        <v>0</v>
      </c>
      <c r="AM801" s="408"/>
      <c r="AN801" s="408">
        <v>382.49209089480081</v>
      </c>
      <c r="AO801" s="408">
        <v>0</v>
      </c>
      <c r="AP801" s="408">
        <v>0</v>
      </c>
      <c r="AQ801" s="408">
        <v>0</v>
      </c>
      <c r="AR801" s="408">
        <v>0</v>
      </c>
      <c r="AS801" s="408"/>
      <c r="AT801" s="408"/>
      <c r="AU801" s="408">
        <v>0</v>
      </c>
      <c r="AV801" s="408">
        <v>0</v>
      </c>
      <c r="AW801" s="408">
        <v>0</v>
      </c>
      <c r="AX801" s="408"/>
      <c r="AY801" s="408"/>
      <c r="AZ801" s="408">
        <v>0</v>
      </c>
      <c r="BA801" s="408"/>
      <c r="BB801" s="408">
        <v>0</v>
      </c>
      <c r="BC801" s="408">
        <v>0</v>
      </c>
      <c r="BD801" s="408">
        <v>0</v>
      </c>
      <c r="BE801" s="408">
        <v>0</v>
      </c>
      <c r="BF801" s="408"/>
      <c r="BG801" s="408">
        <v>0</v>
      </c>
      <c r="BH801" s="408">
        <v>0</v>
      </c>
      <c r="BI801" s="408">
        <v>0</v>
      </c>
      <c r="BJ801" s="408">
        <v>0</v>
      </c>
      <c r="BK801" s="408">
        <v>0</v>
      </c>
      <c r="BL801" s="408">
        <v>0</v>
      </c>
      <c r="BM801" s="408"/>
      <c r="BN801" s="408"/>
      <c r="BO801" s="408">
        <v>11580.5</v>
      </c>
      <c r="BP801" s="408"/>
      <c r="BQ801" s="408"/>
      <c r="BR801" s="408"/>
      <c r="BS801" s="408"/>
      <c r="BT801" s="408"/>
      <c r="BU801" s="408"/>
      <c r="BV801" s="408">
        <v>0</v>
      </c>
      <c r="BW801" s="408"/>
      <c r="BX801" s="408"/>
      <c r="BY801" s="408"/>
      <c r="BZ801" s="408"/>
      <c r="CA801" s="408"/>
      <c r="CB801" s="408"/>
      <c r="CC801" s="408"/>
      <c r="CD801" s="408"/>
      <c r="CE801" s="408"/>
      <c r="CF801" s="408"/>
      <c r="CG801" s="408"/>
      <c r="CH801" s="408"/>
      <c r="CI801" s="408">
        <v>11580.5</v>
      </c>
      <c r="CJ801" s="408">
        <v>-12822.529999999995</v>
      </c>
      <c r="CK801" s="408"/>
      <c r="CL801" s="408"/>
      <c r="CM801" s="408"/>
      <c r="CN801" s="408"/>
      <c r="CO801" s="408">
        <v>-25644.999999999996</v>
      </c>
      <c r="CP801" s="408">
        <v>0</v>
      </c>
      <c r="CQ801" s="408">
        <v>31</v>
      </c>
      <c r="CR801" s="408">
        <v>-11.786084006094825</v>
      </c>
      <c r="CS801" s="408">
        <v>0</v>
      </c>
      <c r="CT801" s="408">
        <v>0</v>
      </c>
      <c r="CU801" s="408">
        <v>0</v>
      </c>
      <c r="CV801" s="408">
        <v>0</v>
      </c>
      <c r="CW801" s="408"/>
      <c r="CX801" s="408"/>
      <c r="CY801" s="408"/>
      <c r="CZ801" s="408">
        <v>0</v>
      </c>
      <c r="DA801" s="408">
        <v>0</v>
      </c>
      <c r="DB801" s="408">
        <v>0</v>
      </c>
      <c r="DC801" s="408"/>
      <c r="DD801" s="408"/>
      <c r="DE801" s="408">
        <v>0</v>
      </c>
      <c r="DF801" s="408">
        <v>0</v>
      </c>
      <c r="DG801" s="408">
        <v>0</v>
      </c>
      <c r="DH801" s="408">
        <v>0</v>
      </c>
      <c r="DI801" s="408">
        <v>0</v>
      </c>
      <c r="DJ801" s="408"/>
      <c r="DK801" s="408">
        <v>0</v>
      </c>
      <c r="DL801" s="408">
        <v>0</v>
      </c>
      <c r="DM801" s="408"/>
      <c r="DN801" s="408">
        <v>0</v>
      </c>
      <c r="DO801" s="408">
        <v>0</v>
      </c>
      <c r="DP801" s="408">
        <v>-11.786084006094825</v>
      </c>
      <c r="DQ801" s="408">
        <v>0</v>
      </c>
      <c r="DR801" s="408">
        <v>0</v>
      </c>
      <c r="DS801" s="408"/>
      <c r="DT801" s="408"/>
      <c r="DU801" s="408">
        <v>48415.733888970302</v>
      </c>
      <c r="DV801" s="408"/>
      <c r="DW801" s="408">
        <v>0</v>
      </c>
      <c r="DX801" s="408">
        <v>0</v>
      </c>
      <c r="DY801" s="408">
        <v>-25645</v>
      </c>
      <c r="DZ801" s="408"/>
      <c r="EA801" s="408">
        <v>0</v>
      </c>
      <c r="EB801" s="408"/>
      <c r="EC801" s="408">
        <v>-25633.564311134465</v>
      </c>
      <c r="ED801" s="408"/>
      <c r="EE801" s="408">
        <v>0</v>
      </c>
      <c r="EF801" s="408">
        <v>0</v>
      </c>
      <c r="EG801" s="408"/>
      <c r="EH801" s="408">
        <v>0</v>
      </c>
      <c r="EI801" s="408">
        <v>0</v>
      </c>
      <c r="EJ801" s="408">
        <v>0</v>
      </c>
      <c r="EK801" s="408">
        <v>0</v>
      </c>
      <c r="EL801" s="408">
        <v>0</v>
      </c>
      <c r="EM801" s="408"/>
      <c r="EN801" s="408"/>
      <c r="EO801" s="408">
        <v>0</v>
      </c>
      <c r="EP801" s="408">
        <v>0</v>
      </c>
      <c r="EQ801" s="408"/>
      <c r="ER801" s="408">
        <v>0</v>
      </c>
      <c r="ES801" s="408"/>
      <c r="ET801" s="408">
        <v>0</v>
      </c>
      <c r="EU801" s="408"/>
      <c r="EV801" s="408">
        <v>239</v>
      </c>
      <c r="EW801" s="408"/>
      <c r="EX801" s="408"/>
      <c r="EY801" s="408"/>
      <c r="EZ801" s="408"/>
      <c r="FA801" s="408">
        <v>0</v>
      </c>
      <c r="FB801" s="408"/>
      <c r="FC801" s="408"/>
      <c r="FD801" s="408"/>
      <c r="FE801" s="408"/>
      <c r="FF801" s="408">
        <v>0</v>
      </c>
      <c r="FG801" s="408">
        <v>0</v>
      </c>
      <c r="FH801" s="408">
        <v>0</v>
      </c>
      <c r="FI801" s="408">
        <v>0</v>
      </c>
    </row>
    <row r="802" spans="1:165">
      <c r="A802" s="408">
        <v>809</v>
      </c>
      <c r="B802" s="408" t="s">
        <v>1034</v>
      </c>
      <c r="C802" s="408" t="s">
        <v>2241</v>
      </c>
      <c r="D802" s="408" t="s">
        <v>596</v>
      </c>
      <c r="E802" s="408" t="s">
        <v>968</v>
      </c>
      <c r="F802" s="408" t="s">
        <v>1320</v>
      </c>
      <c r="G802" s="408" t="s">
        <v>2323</v>
      </c>
      <c r="H802" s="408" t="s">
        <v>1320</v>
      </c>
      <c r="I802" s="408" t="s">
        <v>971</v>
      </c>
      <c r="J802" s="408" t="s">
        <v>2324</v>
      </c>
      <c r="K802" s="827">
        <v>44652</v>
      </c>
      <c r="L802" s="408">
        <v>0</v>
      </c>
      <c r="M802" s="408">
        <v>0</v>
      </c>
      <c r="N802" s="408">
        <v>8.1679999999999993</v>
      </c>
      <c r="O802" s="408">
        <v>4.3461927999999999</v>
      </c>
      <c r="P802" s="408">
        <v>0</v>
      </c>
      <c r="Q802" s="408">
        <v>0</v>
      </c>
      <c r="R802" s="408"/>
      <c r="S802" s="408">
        <v>1684.16</v>
      </c>
      <c r="T802" s="408"/>
      <c r="U802" s="408"/>
      <c r="V802" s="408">
        <v>13756.218879999999</v>
      </c>
      <c r="W802" s="408">
        <v>13756.218879999999</v>
      </c>
      <c r="X802" s="408">
        <v>8825.1155999999992</v>
      </c>
      <c r="Y802" s="408">
        <v>0</v>
      </c>
      <c r="Z802" s="408">
        <v>434.53781652943832</v>
      </c>
      <c r="AA802" s="408">
        <v>0</v>
      </c>
      <c r="AB802" s="408">
        <v>0</v>
      </c>
      <c r="AC802" s="408">
        <v>147.01909805431873</v>
      </c>
      <c r="AD802" s="408">
        <v>2242.8178695424926</v>
      </c>
      <c r="AE802" s="408">
        <v>9460.9327764884692</v>
      </c>
      <c r="AF802" s="408"/>
      <c r="AG802" s="408"/>
      <c r="AH802" s="408"/>
      <c r="AI802" s="408">
        <v>0</v>
      </c>
      <c r="AJ802" s="408">
        <v>0</v>
      </c>
      <c r="AK802" s="408">
        <v>0</v>
      </c>
      <c r="AL802" s="408">
        <v>77.199824699433947</v>
      </c>
      <c r="AM802" s="408"/>
      <c r="AN802" s="408">
        <v>10.15062407726411</v>
      </c>
      <c r="AO802" s="408">
        <v>315.74338116227966</v>
      </c>
      <c r="AP802" s="408">
        <v>1015.2715447996496</v>
      </c>
      <c r="AQ802" s="408">
        <v>0</v>
      </c>
      <c r="AR802" s="408">
        <v>0</v>
      </c>
      <c r="AS802" s="408"/>
      <c r="AT802" s="408"/>
      <c r="AU802" s="408">
        <v>0</v>
      </c>
      <c r="AV802" s="408">
        <v>0</v>
      </c>
      <c r="AW802" s="408">
        <v>0</v>
      </c>
      <c r="AX802" s="408"/>
      <c r="AY802" s="408"/>
      <c r="AZ802" s="408">
        <v>0</v>
      </c>
      <c r="BA802" s="408"/>
      <c r="BB802" s="408">
        <v>0</v>
      </c>
      <c r="BC802" s="408">
        <v>0</v>
      </c>
      <c r="BD802" s="408">
        <v>0</v>
      </c>
      <c r="BE802" s="408">
        <v>1.524096726519754</v>
      </c>
      <c r="BF802" s="408"/>
      <c r="BG802" s="408">
        <v>51.03554013093644</v>
      </c>
      <c r="BH802" s="408">
        <v>0</v>
      </c>
      <c r="BI802" s="408">
        <v>0</v>
      </c>
      <c r="BJ802" s="408">
        <v>0</v>
      </c>
      <c r="BK802" s="408">
        <v>0</v>
      </c>
      <c r="BL802" s="408">
        <v>0</v>
      </c>
      <c r="BM802" s="408"/>
      <c r="BN802" s="408">
        <v>4129.2715892399992</v>
      </c>
      <c r="BO802" s="408"/>
      <c r="BP802" s="408"/>
      <c r="BQ802" s="408"/>
      <c r="BR802" s="408"/>
      <c r="BS802" s="408"/>
      <c r="BT802" s="408"/>
      <c r="BU802" s="408"/>
      <c r="BV802" s="408">
        <v>52.559636857456191</v>
      </c>
      <c r="BW802" s="408"/>
      <c r="BX802" s="408"/>
      <c r="BY802" s="408"/>
      <c r="BZ802" s="408"/>
      <c r="CA802" s="408"/>
      <c r="CB802" s="408"/>
      <c r="CC802" s="408"/>
      <c r="CD802" s="408"/>
      <c r="CE802" s="408"/>
      <c r="CF802" s="408"/>
      <c r="CG802" s="408"/>
      <c r="CH802" s="408"/>
      <c r="CI802" s="408">
        <v>4699.9574999999995</v>
      </c>
      <c r="CJ802" s="408">
        <v>-2619.7565660480013</v>
      </c>
      <c r="CK802" s="408"/>
      <c r="CL802" s="408"/>
      <c r="CM802" s="408"/>
      <c r="CN802" s="408"/>
      <c r="CO802" s="408">
        <v>-4931.1032800000003</v>
      </c>
      <c r="CP802" s="408">
        <v>0</v>
      </c>
      <c r="CQ802" s="408">
        <v>30</v>
      </c>
      <c r="CR802" s="408">
        <v>77.963677623488365</v>
      </c>
      <c r="CS802" s="408">
        <v>30.656687533244963</v>
      </c>
      <c r="CT802" s="408">
        <v>98.576452800825905</v>
      </c>
      <c r="CU802" s="408">
        <v>0</v>
      </c>
      <c r="CV802" s="408">
        <v>0</v>
      </c>
      <c r="CW802" s="408"/>
      <c r="CX802" s="408"/>
      <c r="CY802" s="408"/>
      <c r="CZ802" s="408">
        <v>-43.004256236370566</v>
      </c>
      <c r="DA802" s="408">
        <v>0</v>
      </c>
      <c r="DB802" s="408">
        <v>0</v>
      </c>
      <c r="DC802" s="408"/>
      <c r="DD802" s="408"/>
      <c r="DE802" s="408">
        <v>0.19563465924557488</v>
      </c>
      <c r="DF802" s="408">
        <v>0</v>
      </c>
      <c r="DG802" s="408">
        <v>6.5509756232654155</v>
      </c>
      <c r="DH802" s="408">
        <v>0</v>
      </c>
      <c r="DI802" s="408">
        <v>-12.69958735594696</v>
      </c>
      <c r="DJ802" s="408"/>
      <c r="DK802" s="408">
        <v>0</v>
      </c>
      <c r="DL802" s="408">
        <v>0</v>
      </c>
      <c r="DM802" s="408"/>
      <c r="DN802" s="408">
        <v>0</v>
      </c>
      <c r="DO802" s="408">
        <v>-1.9994487944922099</v>
      </c>
      <c r="DP802" s="408">
        <v>-0.31278060628409854</v>
      </c>
      <c r="DQ802" s="408">
        <v>0</v>
      </c>
      <c r="DR802" s="408">
        <v>0</v>
      </c>
      <c r="DS802" s="408"/>
      <c r="DT802" s="408"/>
      <c r="DU802" s="408"/>
      <c r="DV802" s="408">
        <v>9460.9327764884692</v>
      </c>
      <c r="DW802" s="408">
        <v>0</v>
      </c>
      <c r="DX802" s="408">
        <v>0</v>
      </c>
      <c r="DY802" s="408">
        <v>-4931.1032799999994</v>
      </c>
      <c r="DZ802" s="408"/>
      <c r="EA802" s="408">
        <v>0</v>
      </c>
      <c r="EB802" s="408"/>
      <c r="EC802" s="408">
        <v>-5009.0623293161452</v>
      </c>
      <c r="ED802" s="408"/>
      <c r="EE802" s="408">
        <v>0</v>
      </c>
      <c r="EF802" s="408">
        <v>0</v>
      </c>
      <c r="EG802" s="408"/>
      <c r="EH802" s="408">
        <v>0</v>
      </c>
      <c r="EI802" s="408">
        <v>0</v>
      </c>
      <c r="EJ802" s="408">
        <v>0</v>
      </c>
      <c r="EK802" s="408">
        <v>0</v>
      </c>
      <c r="EL802" s="408">
        <v>0</v>
      </c>
      <c r="EM802" s="408"/>
      <c r="EN802" s="408"/>
      <c r="EO802" s="408">
        <v>0</v>
      </c>
      <c r="EP802" s="408">
        <v>0</v>
      </c>
      <c r="EQ802" s="408"/>
      <c r="ER802" s="408">
        <v>0</v>
      </c>
      <c r="ES802" s="408"/>
      <c r="ET802" s="408">
        <v>0</v>
      </c>
      <c r="EU802" s="408"/>
      <c r="EV802" s="408">
        <v>239</v>
      </c>
      <c r="EW802" s="408"/>
      <c r="EX802" s="408"/>
      <c r="EY802" s="408"/>
      <c r="EZ802" s="408"/>
      <c r="FA802" s="408">
        <v>0</v>
      </c>
      <c r="FB802" s="408"/>
      <c r="FC802" s="408"/>
      <c r="FD802" s="408"/>
      <c r="FE802" s="408"/>
      <c r="FF802" s="408">
        <v>0</v>
      </c>
      <c r="FG802" s="408">
        <v>0</v>
      </c>
      <c r="FH802" s="408">
        <v>0</v>
      </c>
      <c r="FI802" s="408">
        <v>0</v>
      </c>
    </row>
    <row r="803" spans="1:165">
      <c r="A803" s="408">
        <v>810</v>
      </c>
      <c r="B803" s="408" t="s">
        <v>1034</v>
      </c>
      <c r="C803" s="408" t="s">
        <v>2241</v>
      </c>
      <c r="D803" s="408" t="s">
        <v>596</v>
      </c>
      <c r="E803" s="408" t="s">
        <v>968</v>
      </c>
      <c r="F803" s="408" t="s">
        <v>1320</v>
      </c>
      <c r="G803" s="408" t="s">
        <v>2323</v>
      </c>
      <c r="H803" s="408" t="s">
        <v>1320</v>
      </c>
      <c r="I803" s="408" t="s">
        <v>2242</v>
      </c>
      <c r="J803" s="408" t="s">
        <v>2324</v>
      </c>
      <c r="K803" s="827">
        <v>44652</v>
      </c>
      <c r="L803" s="408">
        <v>0</v>
      </c>
      <c r="M803" s="408">
        <v>0</v>
      </c>
      <c r="N803" s="408">
        <v>729.55499999999995</v>
      </c>
      <c r="O803" s="408">
        <v>729.55499999999995</v>
      </c>
      <c r="P803" s="408">
        <v>0</v>
      </c>
      <c r="Q803" s="408">
        <v>0</v>
      </c>
      <c r="R803" s="408"/>
      <c r="S803" s="408">
        <v>70.33</v>
      </c>
      <c r="T803" s="408"/>
      <c r="U803" s="408"/>
      <c r="V803" s="408">
        <v>51309.603149999995</v>
      </c>
      <c r="W803" s="408">
        <v>51309.603149999995</v>
      </c>
      <c r="X803" s="408">
        <v>50572.752599999993</v>
      </c>
      <c r="Y803" s="408">
        <v>0</v>
      </c>
      <c r="Z803" s="408">
        <v>38812.345340124193</v>
      </c>
      <c r="AA803" s="408">
        <v>0</v>
      </c>
      <c r="AB803" s="408">
        <v>0</v>
      </c>
      <c r="AC803" s="408">
        <v>0</v>
      </c>
      <c r="AD803" s="408">
        <v>0</v>
      </c>
      <c r="AE803" s="408">
        <v>0</v>
      </c>
      <c r="AF803" s="408"/>
      <c r="AG803" s="408"/>
      <c r="AH803" s="408"/>
      <c r="AI803" s="408">
        <v>0</v>
      </c>
      <c r="AJ803" s="408">
        <v>0</v>
      </c>
      <c r="AK803" s="408">
        <v>0</v>
      </c>
      <c r="AL803" s="408">
        <v>6895.3866440494039</v>
      </c>
      <c r="AM803" s="408"/>
      <c r="AN803" s="408">
        <v>906.64037079926766</v>
      </c>
      <c r="AO803" s="408">
        <v>0</v>
      </c>
      <c r="AP803" s="408">
        <v>0</v>
      </c>
      <c r="AQ803" s="408">
        <v>0</v>
      </c>
      <c r="AR803" s="408">
        <v>0</v>
      </c>
      <c r="AS803" s="408"/>
      <c r="AT803" s="408"/>
      <c r="AU803" s="408">
        <v>0</v>
      </c>
      <c r="AV803" s="408">
        <v>0</v>
      </c>
      <c r="AW803" s="408">
        <v>0</v>
      </c>
      <c r="AX803" s="408"/>
      <c r="AY803" s="408"/>
      <c r="AZ803" s="408">
        <v>0</v>
      </c>
      <c r="BA803" s="408"/>
      <c r="BB803" s="408">
        <v>0</v>
      </c>
      <c r="BC803" s="408">
        <v>0</v>
      </c>
      <c r="BD803" s="408">
        <v>0</v>
      </c>
      <c r="BE803" s="408">
        <v>136.13031186534269</v>
      </c>
      <c r="BF803" s="408"/>
      <c r="BG803" s="408">
        <v>4558.4272135437477</v>
      </c>
      <c r="BH803" s="408">
        <v>0</v>
      </c>
      <c r="BI803" s="408">
        <v>0</v>
      </c>
      <c r="BJ803" s="408">
        <v>0</v>
      </c>
      <c r="BK803" s="408">
        <v>0</v>
      </c>
      <c r="BL803" s="408">
        <v>0</v>
      </c>
      <c r="BM803" s="408"/>
      <c r="BN803" s="408"/>
      <c r="BO803" s="408"/>
      <c r="BP803" s="408"/>
      <c r="BQ803" s="408"/>
      <c r="BR803" s="408"/>
      <c r="BS803" s="408"/>
      <c r="BT803" s="408"/>
      <c r="BU803" s="408"/>
      <c r="BV803" s="408">
        <v>4694.55752540909</v>
      </c>
      <c r="BW803" s="408"/>
      <c r="BX803" s="408"/>
      <c r="BY803" s="408"/>
      <c r="BZ803" s="408"/>
      <c r="CA803" s="408"/>
      <c r="CB803" s="408"/>
      <c r="CC803" s="408"/>
      <c r="CD803" s="408"/>
      <c r="CE803" s="408"/>
      <c r="CF803" s="408"/>
      <c r="CG803" s="408"/>
      <c r="CH803" s="408"/>
      <c r="CI803" s="408">
        <v>50573.09919999999</v>
      </c>
      <c r="CJ803" s="408">
        <v>-736.53395000001183</v>
      </c>
      <c r="CK803" s="408"/>
      <c r="CL803" s="408"/>
      <c r="CM803" s="408"/>
      <c r="CN803" s="408"/>
      <c r="CO803" s="408">
        <v>-736.85055000000364</v>
      </c>
      <c r="CP803" s="408">
        <v>0</v>
      </c>
      <c r="CQ803" s="408">
        <v>30</v>
      </c>
      <c r="CR803" s="408">
        <v>-738.23735422305617</v>
      </c>
      <c r="CS803" s="408">
        <v>0</v>
      </c>
      <c r="CT803" s="408">
        <v>0</v>
      </c>
      <c r="CU803" s="408">
        <v>0</v>
      </c>
      <c r="CV803" s="408">
        <v>0</v>
      </c>
      <c r="CW803" s="408"/>
      <c r="CX803" s="408"/>
      <c r="CY803" s="408"/>
      <c r="CZ803" s="408">
        <v>0</v>
      </c>
      <c r="DA803" s="408">
        <v>0</v>
      </c>
      <c r="DB803" s="408">
        <v>0</v>
      </c>
      <c r="DC803" s="408"/>
      <c r="DD803" s="408"/>
      <c r="DE803" s="408">
        <v>17.473830047246025</v>
      </c>
      <c r="DF803" s="408">
        <v>0</v>
      </c>
      <c r="DG803" s="408">
        <v>585.1245128344035</v>
      </c>
      <c r="DH803" s="408">
        <v>0</v>
      </c>
      <c r="DI803" s="408">
        <v>-1134.3104130102729</v>
      </c>
      <c r="DJ803" s="408"/>
      <c r="DK803" s="408">
        <v>0</v>
      </c>
      <c r="DL803" s="408">
        <v>0</v>
      </c>
      <c r="DM803" s="408"/>
      <c r="DN803" s="408">
        <v>0</v>
      </c>
      <c r="DO803" s="408">
        <v>-178.58813237827599</v>
      </c>
      <c r="DP803" s="408">
        <v>-27.937151716159974</v>
      </c>
      <c r="DQ803" s="408">
        <v>0</v>
      </c>
      <c r="DR803" s="408">
        <v>0</v>
      </c>
      <c r="DS803" s="408"/>
      <c r="DT803" s="408"/>
      <c r="DU803" s="408"/>
      <c r="DV803" s="408">
        <v>0</v>
      </c>
      <c r="DW803" s="408">
        <v>0</v>
      </c>
      <c r="DX803" s="408">
        <v>0</v>
      </c>
      <c r="DY803" s="408">
        <v>-736.85055000000284</v>
      </c>
      <c r="DZ803" s="408"/>
      <c r="EA803" s="408">
        <v>0</v>
      </c>
      <c r="EB803" s="408"/>
      <c r="EC803" s="408">
        <v>0</v>
      </c>
      <c r="ED803" s="408"/>
      <c r="EE803" s="408">
        <v>0</v>
      </c>
      <c r="EF803" s="408">
        <v>0</v>
      </c>
      <c r="EG803" s="408"/>
      <c r="EH803" s="408">
        <v>0</v>
      </c>
      <c r="EI803" s="408">
        <v>0</v>
      </c>
      <c r="EJ803" s="408">
        <v>0</v>
      </c>
      <c r="EK803" s="408">
        <v>0</v>
      </c>
      <c r="EL803" s="408">
        <v>0</v>
      </c>
      <c r="EM803" s="408"/>
      <c r="EN803" s="408"/>
      <c r="EO803" s="408">
        <v>0</v>
      </c>
      <c r="EP803" s="408">
        <v>0</v>
      </c>
      <c r="EQ803" s="408"/>
      <c r="ER803" s="408">
        <v>0</v>
      </c>
      <c r="ES803" s="408"/>
      <c r="ET803" s="408">
        <v>0</v>
      </c>
      <c r="EU803" s="408"/>
      <c r="EV803" s="408">
        <v>239</v>
      </c>
      <c r="EW803" s="408"/>
      <c r="EX803" s="408"/>
      <c r="EY803" s="408"/>
      <c r="EZ803" s="408"/>
      <c r="FA803" s="408">
        <v>0</v>
      </c>
      <c r="FB803" s="408"/>
      <c r="FC803" s="408"/>
      <c r="FD803" s="408"/>
      <c r="FE803" s="408"/>
      <c r="FF803" s="408">
        <v>0</v>
      </c>
      <c r="FG803" s="408">
        <v>0</v>
      </c>
      <c r="FH803" s="408">
        <v>0</v>
      </c>
      <c r="FI803" s="408">
        <v>0</v>
      </c>
    </row>
    <row r="804" spans="1:165">
      <c r="A804" s="408">
        <v>811</v>
      </c>
      <c r="B804" s="408" t="s">
        <v>1034</v>
      </c>
      <c r="C804" s="408" t="s">
        <v>2241</v>
      </c>
      <c r="D804" s="408" t="s">
        <v>596</v>
      </c>
      <c r="E804" s="408" t="s">
        <v>968</v>
      </c>
      <c r="F804" s="408" t="s">
        <v>1320</v>
      </c>
      <c r="G804" s="408" t="s">
        <v>2323</v>
      </c>
      <c r="H804" s="408" t="s">
        <v>1320</v>
      </c>
      <c r="I804" s="408" t="s">
        <v>1320</v>
      </c>
      <c r="J804" s="408" t="s">
        <v>2324</v>
      </c>
      <c r="K804" s="827">
        <v>44652</v>
      </c>
      <c r="L804" s="408">
        <v>4220</v>
      </c>
      <c r="M804" s="408">
        <v>2115.9079999999999</v>
      </c>
      <c r="N804" s="408">
        <v>0</v>
      </c>
      <c r="O804" s="408">
        <v>0</v>
      </c>
      <c r="P804" s="408">
        <v>0</v>
      </c>
      <c r="Q804" s="408">
        <v>0</v>
      </c>
      <c r="R804" s="408">
        <v>59.12</v>
      </c>
      <c r="S804" s="408"/>
      <c r="T804" s="408"/>
      <c r="U804" s="408">
        <v>249486.4</v>
      </c>
      <c r="V804" s="408"/>
      <c r="W804" s="408">
        <v>249486.4</v>
      </c>
      <c r="X804" s="408">
        <v>143606.6</v>
      </c>
      <c r="Y804" s="408">
        <v>0</v>
      </c>
      <c r="Z804" s="408">
        <v>0</v>
      </c>
      <c r="AA804" s="408">
        <v>0</v>
      </c>
      <c r="AB804" s="408">
        <v>0</v>
      </c>
      <c r="AC804" s="408">
        <v>2414.094733268138</v>
      </c>
      <c r="AD804" s="408">
        <v>21593.835586019115</v>
      </c>
      <c r="AE804" s="408">
        <v>203242.78651534196</v>
      </c>
      <c r="AF804" s="408"/>
      <c r="AG804" s="408"/>
      <c r="AH804" s="408"/>
      <c r="AI804" s="408">
        <v>0</v>
      </c>
      <c r="AJ804" s="408">
        <v>0</v>
      </c>
      <c r="AK804" s="408">
        <v>0</v>
      </c>
      <c r="AL804" s="408">
        <v>0</v>
      </c>
      <c r="AM804" s="408"/>
      <c r="AN804" s="408">
        <v>0</v>
      </c>
      <c r="AO804" s="408">
        <v>5098.0643282120536</v>
      </c>
      <c r="AP804" s="408">
        <v>17137.368786164148</v>
      </c>
      <c r="AQ804" s="408">
        <v>0</v>
      </c>
      <c r="AR804" s="408">
        <v>0</v>
      </c>
      <c r="AS804" s="408"/>
      <c r="AT804" s="408"/>
      <c r="AU804" s="408">
        <v>0</v>
      </c>
      <c r="AV804" s="408">
        <v>0</v>
      </c>
      <c r="AW804" s="408">
        <v>0</v>
      </c>
      <c r="AX804" s="408"/>
      <c r="AY804" s="408"/>
      <c r="AZ804" s="408">
        <v>0</v>
      </c>
      <c r="BA804" s="408"/>
      <c r="BB804" s="408">
        <v>0</v>
      </c>
      <c r="BC804" s="408">
        <v>0</v>
      </c>
      <c r="BD804" s="408">
        <v>0</v>
      </c>
      <c r="BE804" s="408">
        <v>0</v>
      </c>
      <c r="BF804" s="408"/>
      <c r="BG804" s="408">
        <v>0</v>
      </c>
      <c r="BH804" s="408">
        <v>0</v>
      </c>
      <c r="BI804" s="408">
        <v>2148.09</v>
      </c>
      <c r="BJ804" s="408">
        <v>0</v>
      </c>
      <c r="BK804" s="408">
        <v>53637.54</v>
      </c>
      <c r="BL804" s="408">
        <v>6</v>
      </c>
      <c r="BM804" s="408"/>
      <c r="BN804" s="408">
        <v>71602.25076000001</v>
      </c>
      <c r="BO804" s="408"/>
      <c r="BP804" s="408"/>
      <c r="BQ804" s="408"/>
      <c r="BR804" s="408"/>
      <c r="BS804" s="408"/>
      <c r="BT804" s="408"/>
      <c r="BU804" s="408"/>
      <c r="BV804" s="408">
        <v>0</v>
      </c>
      <c r="BW804" s="408"/>
      <c r="BX804" s="408"/>
      <c r="BY804" s="408"/>
      <c r="BZ804" s="408"/>
      <c r="CA804" s="408"/>
      <c r="CB804" s="408"/>
      <c r="CC804" s="408"/>
      <c r="CD804" s="408"/>
      <c r="CE804" s="408"/>
      <c r="CF804" s="408"/>
      <c r="CG804" s="408"/>
      <c r="CH804" s="408"/>
      <c r="CI804" s="408">
        <v>72004.417300000001</v>
      </c>
      <c r="CJ804" s="408">
        <v>-53088.09365999997</v>
      </c>
      <c r="CK804" s="408"/>
      <c r="CL804" s="408"/>
      <c r="CM804" s="408"/>
      <c r="CN804" s="408"/>
      <c r="CO804" s="408">
        <v>-105879.79999999999</v>
      </c>
      <c r="CP804" s="408">
        <v>0</v>
      </c>
      <c r="CQ804" s="408">
        <v>30</v>
      </c>
      <c r="CR804" s="408">
        <v>1744.8753841341531</v>
      </c>
      <c r="CS804" s="408">
        <v>494.98983813710674</v>
      </c>
      <c r="CT804" s="408">
        <v>1663.9302400749293</v>
      </c>
      <c r="CU804" s="408">
        <v>0</v>
      </c>
      <c r="CV804" s="408">
        <v>0</v>
      </c>
      <c r="CW804" s="408"/>
      <c r="CX804" s="408"/>
      <c r="CY804" s="408"/>
      <c r="CZ804" s="408">
        <v>-414.04469407788565</v>
      </c>
      <c r="DA804" s="408">
        <v>0</v>
      </c>
      <c r="DB804" s="408">
        <v>0</v>
      </c>
      <c r="DC804" s="408"/>
      <c r="DD804" s="408"/>
      <c r="DE804" s="408">
        <v>0</v>
      </c>
      <c r="DF804" s="408">
        <v>0</v>
      </c>
      <c r="DG804" s="408">
        <v>0</v>
      </c>
      <c r="DH804" s="408">
        <v>0</v>
      </c>
      <c r="DI804" s="408">
        <v>0</v>
      </c>
      <c r="DJ804" s="408"/>
      <c r="DK804" s="408">
        <v>0</v>
      </c>
      <c r="DL804" s="408">
        <v>0</v>
      </c>
      <c r="DM804" s="408"/>
      <c r="DN804" s="408">
        <v>0</v>
      </c>
      <c r="DO804" s="408">
        <v>0</v>
      </c>
      <c r="DP804" s="408">
        <v>0</v>
      </c>
      <c r="DQ804" s="408">
        <v>0</v>
      </c>
      <c r="DR804" s="408">
        <v>0</v>
      </c>
      <c r="DS804" s="408"/>
      <c r="DT804" s="408"/>
      <c r="DU804" s="408">
        <v>203242.78651534196</v>
      </c>
      <c r="DV804" s="408"/>
      <c r="DW804" s="408">
        <v>0</v>
      </c>
      <c r="DX804" s="408">
        <v>0</v>
      </c>
      <c r="DY804" s="408">
        <v>-105879.79999999999</v>
      </c>
      <c r="DZ804" s="408"/>
      <c r="EA804" s="408">
        <v>0</v>
      </c>
      <c r="EB804" s="408"/>
      <c r="EC804" s="408">
        <v>-107606.28044723382</v>
      </c>
      <c r="ED804" s="408"/>
      <c r="EE804" s="408">
        <v>0</v>
      </c>
      <c r="EF804" s="408">
        <v>0</v>
      </c>
      <c r="EG804" s="408"/>
      <c r="EH804" s="408">
        <v>0</v>
      </c>
      <c r="EI804" s="408">
        <v>0</v>
      </c>
      <c r="EJ804" s="408">
        <v>0</v>
      </c>
      <c r="EK804" s="408">
        <v>0</v>
      </c>
      <c r="EL804" s="408">
        <v>0</v>
      </c>
      <c r="EM804" s="408"/>
      <c r="EN804" s="408"/>
      <c r="EO804" s="408">
        <v>0</v>
      </c>
      <c r="EP804" s="408">
        <v>0</v>
      </c>
      <c r="EQ804" s="408"/>
      <c r="ER804" s="408">
        <v>0</v>
      </c>
      <c r="ES804" s="408"/>
      <c r="ET804" s="408">
        <v>0</v>
      </c>
      <c r="EU804" s="408"/>
      <c r="EV804" s="408">
        <v>239</v>
      </c>
      <c r="EW804" s="408"/>
      <c r="EX804" s="408"/>
      <c r="EY804" s="408"/>
      <c r="EZ804" s="408"/>
      <c r="FA804" s="408">
        <v>0</v>
      </c>
      <c r="FB804" s="408"/>
      <c r="FC804" s="408"/>
      <c r="FD804" s="408"/>
      <c r="FE804" s="408"/>
      <c r="FF804" s="408">
        <v>0</v>
      </c>
      <c r="FG804" s="408">
        <v>0</v>
      </c>
      <c r="FH804" s="408">
        <v>0</v>
      </c>
      <c r="FI804" s="408">
        <v>0</v>
      </c>
    </row>
    <row r="805" spans="1:165">
      <c r="A805" s="408">
        <v>812</v>
      </c>
      <c r="B805" s="408" t="s">
        <v>1034</v>
      </c>
      <c r="C805" s="408" t="s">
        <v>991</v>
      </c>
      <c r="D805" s="408" t="s">
        <v>596</v>
      </c>
      <c r="E805" s="408" t="s">
        <v>1320</v>
      </c>
      <c r="F805" s="408" t="s">
        <v>1320</v>
      </c>
      <c r="G805" s="408" t="s">
        <v>1320</v>
      </c>
      <c r="H805" s="408" t="s">
        <v>2325</v>
      </c>
      <c r="I805" s="408" t="s">
        <v>1320</v>
      </c>
      <c r="J805" s="408" t="s">
        <v>2255</v>
      </c>
      <c r="K805" s="827">
        <v>44652</v>
      </c>
      <c r="L805" s="408">
        <v>2300</v>
      </c>
      <c r="M805" s="408">
        <v>1150</v>
      </c>
      <c r="N805" s="408">
        <v>0</v>
      </c>
      <c r="O805" s="408">
        <v>0</v>
      </c>
      <c r="P805" s="408">
        <v>0</v>
      </c>
      <c r="Q805" s="408">
        <v>0</v>
      </c>
      <c r="R805" s="408">
        <v>21.22</v>
      </c>
      <c r="S805" s="408"/>
      <c r="T805" s="408"/>
      <c r="U805" s="408">
        <v>48806</v>
      </c>
      <c r="V805" s="408"/>
      <c r="W805" s="408">
        <v>48806</v>
      </c>
      <c r="X805" s="408">
        <v>23161</v>
      </c>
      <c r="Y805" s="408">
        <v>0</v>
      </c>
      <c r="Z805" s="408">
        <v>0</v>
      </c>
      <c r="AA805" s="408">
        <v>0</v>
      </c>
      <c r="AB805" s="408">
        <v>0</v>
      </c>
      <c r="AC805" s="408">
        <v>0</v>
      </c>
      <c r="AD805" s="408">
        <v>0</v>
      </c>
      <c r="AE805" s="408">
        <v>48415.733888970302</v>
      </c>
      <c r="AF805" s="408"/>
      <c r="AG805" s="408"/>
      <c r="AH805" s="408"/>
      <c r="AI805" s="408">
        <v>0</v>
      </c>
      <c r="AJ805" s="408">
        <v>0</v>
      </c>
      <c r="AK805" s="408">
        <v>0</v>
      </c>
      <c r="AL805" s="408">
        <v>0</v>
      </c>
      <c r="AM805" s="408"/>
      <c r="AN805" s="408">
        <v>382.49209089480081</v>
      </c>
      <c r="AO805" s="408">
        <v>0</v>
      </c>
      <c r="AP805" s="408">
        <v>0</v>
      </c>
      <c r="AQ805" s="408">
        <v>0</v>
      </c>
      <c r="AR805" s="408">
        <v>0</v>
      </c>
      <c r="AS805" s="408"/>
      <c r="AT805" s="408"/>
      <c r="AU805" s="408">
        <v>0</v>
      </c>
      <c r="AV805" s="408">
        <v>0</v>
      </c>
      <c r="AW805" s="408">
        <v>0</v>
      </c>
      <c r="AX805" s="408"/>
      <c r="AY805" s="408"/>
      <c r="AZ805" s="408">
        <v>0</v>
      </c>
      <c r="BA805" s="408"/>
      <c r="BB805" s="408">
        <v>0</v>
      </c>
      <c r="BC805" s="408">
        <v>0</v>
      </c>
      <c r="BD805" s="408">
        <v>0</v>
      </c>
      <c r="BE805" s="408">
        <v>0</v>
      </c>
      <c r="BF805" s="408"/>
      <c r="BG805" s="408">
        <v>0</v>
      </c>
      <c r="BH805" s="408">
        <v>0</v>
      </c>
      <c r="BI805" s="408">
        <v>254.68</v>
      </c>
      <c r="BJ805" s="408">
        <v>0</v>
      </c>
      <c r="BK805" s="408">
        <v>0</v>
      </c>
      <c r="BL805" s="408">
        <v>0</v>
      </c>
      <c r="BM805" s="408"/>
      <c r="BN805" s="408"/>
      <c r="BO805" s="408">
        <v>11580.5</v>
      </c>
      <c r="BP805" s="408"/>
      <c r="BQ805" s="408"/>
      <c r="BR805" s="408"/>
      <c r="BS805" s="408"/>
      <c r="BT805" s="408"/>
      <c r="BU805" s="408"/>
      <c r="BV805" s="408">
        <v>0</v>
      </c>
      <c r="BW805" s="408"/>
      <c r="BX805" s="408"/>
      <c r="BY805" s="408"/>
      <c r="BZ805" s="408"/>
      <c r="CA805" s="408"/>
      <c r="CB805" s="408"/>
      <c r="CC805" s="408"/>
      <c r="CD805" s="408"/>
      <c r="CE805" s="408"/>
      <c r="CF805" s="408"/>
      <c r="CG805" s="408"/>
      <c r="CH805" s="408"/>
      <c r="CI805" s="408">
        <v>11580.5</v>
      </c>
      <c r="CJ805" s="408">
        <v>-12822.529999999995</v>
      </c>
      <c r="CK805" s="408"/>
      <c r="CL805" s="408"/>
      <c r="CM805" s="408"/>
      <c r="CN805" s="408"/>
      <c r="CO805" s="408">
        <v>-25644.999999999996</v>
      </c>
      <c r="CP805" s="408">
        <v>0</v>
      </c>
      <c r="CQ805" s="408">
        <v>30</v>
      </c>
      <c r="CR805" s="408">
        <v>-11.786084006094825</v>
      </c>
      <c r="CS805" s="408">
        <v>0</v>
      </c>
      <c r="CT805" s="408">
        <v>0</v>
      </c>
      <c r="CU805" s="408">
        <v>0</v>
      </c>
      <c r="CV805" s="408">
        <v>0</v>
      </c>
      <c r="CW805" s="408"/>
      <c r="CX805" s="408"/>
      <c r="CY805" s="408"/>
      <c r="CZ805" s="408">
        <v>0</v>
      </c>
      <c r="DA805" s="408">
        <v>0</v>
      </c>
      <c r="DB805" s="408">
        <v>0</v>
      </c>
      <c r="DC805" s="408"/>
      <c r="DD805" s="408"/>
      <c r="DE805" s="408">
        <v>0</v>
      </c>
      <c r="DF805" s="408">
        <v>0</v>
      </c>
      <c r="DG805" s="408">
        <v>0</v>
      </c>
      <c r="DH805" s="408">
        <v>0</v>
      </c>
      <c r="DI805" s="408">
        <v>0</v>
      </c>
      <c r="DJ805" s="408"/>
      <c r="DK805" s="408">
        <v>0</v>
      </c>
      <c r="DL805" s="408">
        <v>0</v>
      </c>
      <c r="DM805" s="408"/>
      <c r="DN805" s="408">
        <v>0</v>
      </c>
      <c r="DO805" s="408">
        <v>0</v>
      </c>
      <c r="DP805" s="408">
        <v>-11.786084006094825</v>
      </c>
      <c r="DQ805" s="408">
        <v>0</v>
      </c>
      <c r="DR805" s="408">
        <v>0</v>
      </c>
      <c r="DS805" s="408"/>
      <c r="DT805" s="408"/>
      <c r="DU805" s="408">
        <v>48415.733888970302</v>
      </c>
      <c r="DV805" s="408"/>
      <c r="DW805" s="408">
        <v>0</v>
      </c>
      <c r="DX805" s="408">
        <v>0</v>
      </c>
      <c r="DY805" s="408">
        <v>-25645</v>
      </c>
      <c r="DZ805" s="408"/>
      <c r="EA805" s="408">
        <v>0</v>
      </c>
      <c r="EB805" s="408"/>
      <c r="EC805" s="408">
        <v>-25633.564311134465</v>
      </c>
      <c r="ED805" s="408"/>
      <c r="EE805" s="408">
        <v>0</v>
      </c>
      <c r="EF805" s="408">
        <v>0</v>
      </c>
      <c r="EG805" s="408"/>
      <c r="EH805" s="408">
        <v>0</v>
      </c>
      <c r="EI805" s="408">
        <v>0</v>
      </c>
      <c r="EJ805" s="408">
        <v>0</v>
      </c>
      <c r="EK805" s="408">
        <v>0</v>
      </c>
      <c r="EL805" s="408">
        <v>0</v>
      </c>
      <c r="EM805" s="408"/>
      <c r="EN805" s="408"/>
      <c r="EO805" s="408">
        <v>0</v>
      </c>
      <c r="EP805" s="408">
        <v>0</v>
      </c>
      <c r="EQ805" s="408"/>
      <c r="ER805" s="408">
        <v>0</v>
      </c>
      <c r="ES805" s="408"/>
      <c r="ET805" s="408">
        <v>0</v>
      </c>
      <c r="EU805" s="408"/>
      <c r="EV805" s="408">
        <v>239</v>
      </c>
      <c r="EW805" s="408"/>
      <c r="EX805" s="408"/>
      <c r="EY805" s="408"/>
      <c r="EZ805" s="408"/>
      <c r="FA805" s="408">
        <v>0</v>
      </c>
      <c r="FB805" s="408"/>
      <c r="FC805" s="408"/>
      <c r="FD805" s="408"/>
      <c r="FE805" s="408"/>
      <c r="FF805" s="408">
        <v>0</v>
      </c>
      <c r="FG805" s="408">
        <v>0</v>
      </c>
      <c r="FH805" s="408">
        <v>0</v>
      </c>
      <c r="FI805" s="408">
        <v>0</v>
      </c>
    </row>
    <row r="806" spans="1:165">
      <c r="A806" s="408">
        <v>813</v>
      </c>
      <c r="B806" s="408" t="s">
        <v>1034</v>
      </c>
      <c r="C806" s="408" t="s">
        <v>2241</v>
      </c>
      <c r="D806" s="408" t="s">
        <v>596</v>
      </c>
      <c r="E806" s="408" t="s">
        <v>968</v>
      </c>
      <c r="F806" s="408" t="s">
        <v>1320</v>
      </c>
      <c r="G806" s="408" t="s">
        <v>2323</v>
      </c>
      <c r="H806" s="408" t="s">
        <v>1320</v>
      </c>
      <c r="I806" s="408" t="s">
        <v>971</v>
      </c>
      <c r="J806" s="408" t="s">
        <v>2324</v>
      </c>
      <c r="K806" s="827">
        <v>44682</v>
      </c>
      <c r="L806" s="408">
        <v>0</v>
      </c>
      <c r="M806" s="408">
        <v>0</v>
      </c>
      <c r="N806" s="408">
        <v>10.214</v>
      </c>
      <c r="O806" s="408">
        <v>5.4348694000000002</v>
      </c>
      <c r="P806" s="408">
        <v>0</v>
      </c>
      <c r="Q806" s="408">
        <v>0</v>
      </c>
      <c r="R806" s="408"/>
      <c r="S806" s="408">
        <v>1684.16</v>
      </c>
      <c r="T806" s="408"/>
      <c r="U806" s="408"/>
      <c r="V806" s="408">
        <v>17202.010240000003</v>
      </c>
      <c r="W806" s="408">
        <v>17202.010240000003</v>
      </c>
      <c r="X806" s="408">
        <v>11035.7163</v>
      </c>
      <c r="Y806" s="408">
        <v>0</v>
      </c>
      <c r="Z806" s="408">
        <v>543.38507076783594</v>
      </c>
      <c r="AA806" s="408">
        <v>0</v>
      </c>
      <c r="AB806" s="408">
        <v>0</v>
      </c>
      <c r="AC806" s="408">
        <v>183.84587016733741</v>
      </c>
      <c r="AD806" s="408">
        <v>2804.6206806448363</v>
      </c>
      <c r="AE806" s="408">
        <v>11830.799140432571</v>
      </c>
      <c r="AF806" s="408"/>
      <c r="AG806" s="408"/>
      <c r="AH806" s="408"/>
      <c r="AI806" s="408">
        <v>0</v>
      </c>
      <c r="AJ806" s="408">
        <v>0</v>
      </c>
      <c r="AK806" s="408">
        <v>0</v>
      </c>
      <c r="AL806" s="408">
        <v>96.537586860922914</v>
      </c>
      <c r="AM806" s="408"/>
      <c r="AN806" s="408">
        <v>12.693251019242854</v>
      </c>
      <c r="AO806" s="408">
        <v>394.83385102736594</v>
      </c>
      <c r="AP806" s="408">
        <v>1269.5866256835973</v>
      </c>
      <c r="AQ806" s="408">
        <v>0</v>
      </c>
      <c r="AR806" s="408">
        <v>0</v>
      </c>
      <c r="AS806" s="408"/>
      <c r="AT806" s="408"/>
      <c r="AU806" s="408">
        <v>0</v>
      </c>
      <c r="AV806" s="408">
        <v>0</v>
      </c>
      <c r="AW806" s="408">
        <v>0</v>
      </c>
      <c r="AX806" s="408"/>
      <c r="AY806" s="408"/>
      <c r="AZ806" s="408">
        <v>0</v>
      </c>
      <c r="BA806" s="408"/>
      <c r="BB806" s="408">
        <v>0</v>
      </c>
      <c r="BC806" s="408">
        <v>0</v>
      </c>
      <c r="BD806" s="408">
        <v>0</v>
      </c>
      <c r="BE806" s="408">
        <v>1.9058672826484782</v>
      </c>
      <c r="BF806" s="408"/>
      <c r="BG806" s="408">
        <v>63.819418082441828</v>
      </c>
      <c r="BH806" s="408">
        <v>0</v>
      </c>
      <c r="BI806" s="408">
        <v>0</v>
      </c>
      <c r="BJ806" s="408">
        <v>0</v>
      </c>
      <c r="BK806" s="408">
        <v>0</v>
      </c>
      <c r="BL806" s="408">
        <v>0</v>
      </c>
      <c r="BM806" s="408"/>
      <c r="BN806" s="408">
        <v>5163.6116567700001</v>
      </c>
      <c r="BO806" s="408"/>
      <c r="BP806" s="408"/>
      <c r="BQ806" s="408"/>
      <c r="BR806" s="408"/>
      <c r="BS806" s="408"/>
      <c r="BT806" s="408"/>
      <c r="BU806" s="408"/>
      <c r="BV806" s="408">
        <v>65.725285365090301</v>
      </c>
      <c r="BW806" s="408"/>
      <c r="BX806" s="408"/>
      <c r="BY806" s="408"/>
      <c r="BZ806" s="408"/>
      <c r="CA806" s="408"/>
      <c r="CB806" s="408"/>
      <c r="CC806" s="408"/>
      <c r="CD806" s="408"/>
      <c r="CE806" s="408"/>
      <c r="CF806" s="408"/>
      <c r="CG806" s="408"/>
      <c r="CH806" s="408"/>
      <c r="CI806" s="408">
        <v>5866.8434999999999</v>
      </c>
      <c r="CJ806" s="408">
        <v>-3286.3761487040019</v>
      </c>
      <c r="CK806" s="408"/>
      <c r="CL806" s="408"/>
      <c r="CM806" s="408"/>
      <c r="CN806" s="408"/>
      <c r="CO806" s="408">
        <v>-6166.2939400000005</v>
      </c>
      <c r="CP806" s="408">
        <v>0</v>
      </c>
      <c r="CQ806" s="408">
        <v>31</v>
      </c>
      <c r="CR806" s="408">
        <v>97.492777086962633</v>
      </c>
      <c r="CS806" s="408">
        <v>38.335872485867299</v>
      </c>
      <c r="CT806" s="408">
        <v>123.26884046371651</v>
      </c>
      <c r="CU806" s="408">
        <v>0</v>
      </c>
      <c r="CV806" s="408">
        <v>0</v>
      </c>
      <c r="CW806" s="408"/>
      <c r="CX806" s="408"/>
      <c r="CY806" s="408"/>
      <c r="CZ806" s="408">
        <v>-53.77638016629362</v>
      </c>
      <c r="DA806" s="408">
        <v>0</v>
      </c>
      <c r="DB806" s="408">
        <v>0</v>
      </c>
      <c r="DC806" s="408"/>
      <c r="DD806" s="408"/>
      <c r="DE806" s="408">
        <v>0.2446391294728576</v>
      </c>
      <c r="DF806" s="408">
        <v>0</v>
      </c>
      <c r="DG806" s="408">
        <v>8.1919276464291073</v>
      </c>
      <c r="DH806" s="408">
        <v>0</v>
      </c>
      <c r="DI806" s="408">
        <v>-15.880703385607603</v>
      </c>
      <c r="DJ806" s="408"/>
      <c r="DK806" s="408">
        <v>0</v>
      </c>
      <c r="DL806" s="408">
        <v>0</v>
      </c>
      <c r="DM806" s="408"/>
      <c r="DN806" s="408">
        <v>0</v>
      </c>
      <c r="DO806" s="408">
        <v>-2.5002901551105907</v>
      </c>
      <c r="DP806" s="408">
        <v>-0.39112893151148143</v>
      </c>
      <c r="DQ806" s="408">
        <v>0</v>
      </c>
      <c r="DR806" s="408">
        <v>0</v>
      </c>
      <c r="DS806" s="408"/>
      <c r="DT806" s="408"/>
      <c r="DU806" s="408"/>
      <c r="DV806" s="408">
        <v>11830.799140432571</v>
      </c>
      <c r="DW806" s="408">
        <v>0</v>
      </c>
      <c r="DX806" s="408">
        <v>0</v>
      </c>
      <c r="DY806" s="408">
        <v>-6166.2939400000032</v>
      </c>
      <c r="DZ806" s="408"/>
      <c r="EA806" s="408">
        <v>0</v>
      </c>
      <c r="EB806" s="408"/>
      <c r="EC806" s="408">
        <v>-6263.7809294362287</v>
      </c>
      <c r="ED806" s="408"/>
      <c r="EE806" s="408">
        <v>0</v>
      </c>
      <c r="EF806" s="408">
        <v>0</v>
      </c>
      <c r="EG806" s="408"/>
      <c r="EH806" s="408">
        <v>0</v>
      </c>
      <c r="EI806" s="408">
        <v>0</v>
      </c>
      <c r="EJ806" s="408">
        <v>0</v>
      </c>
      <c r="EK806" s="408">
        <v>0</v>
      </c>
      <c r="EL806" s="408">
        <v>0</v>
      </c>
      <c r="EM806" s="408"/>
      <c r="EN806" s="408"/>
      <c r="EO806" s="408">
        <v>0</v>
      </c>
      <c r="EP806" s="408">
        <v>0</v>
      </c>
      <c r="EQ806" s="408"/>
      <c r="ER806" s="408">
        <v>0</v>
      </c>
      <c r="ES806" s="408"/>
      <c r="ET806" s="408">
        <v>0</v>
      </c>
      <c r="EU806" s="408"/>
      <c r="EV806" s="408">
        <v>239</v>
      </c>
      <c r="EW806" s="408"/>
      <c r="EX806" s="408"/>
      <c r="EY806" s="408"/>
      <c r="EZ806" s="408"/>
      <c r="FA806" s="408">
        <v>0</v>
      </c>
      <c r="FB806" s="408"/>
      <c r="FC806" s="408"/>
      <c r="FD806" s="408"/>
      <c r="FE806" s="408"/>
      <c r="FF806" s="408">
        <v>0</v>
      </c>
      <c r="FG806" s="408">
        <v>0</v>
      </c>
      <c r="FH806" s="408">
        <v>0</v>
      </c>
      <c r="FI806" s="408">
        <v>0</v>
      </c>
    </row>
    <row r="807" spans="1:165">
      <c r="A807" s="408">
        <v>814</v>
      </c>
      <c r="B807" s="408" t="s">
        <v>1034</v>
      </c>
      <c r="C807" s="408" t="s">
        <v>2241</v>
      </c>
      <c r="D807" s="408" t="s">
        <v>596</v>
      </c>
      <c r="E807" s="408" t="s">
        <v>968</v>
      </c>
      <c r="F807" s="408" t="s">
        <v>1320</v>
      </c>
      <c r="G807" s="408" t="s">
        <v>2323</v>
      </c>
      <c r="H807" s="408" t="s">
        <v>1320</v>
      </c>
      <c r="I807" s="408" t="s">
        <v>2242</v>
      </c>
      <c r="J807" s="408" t="s">
        <v>2324</v>
      </c>
      <c r="K807" s="827">
        <v>44682</v>
      </c>
      <c r="L807" s="408">
        <v>0</v>
      </c>
      <c r="M807" s="408">
        <v>0</v>
      </c>
      <c r="N807" s="408">
        <v>796.33100000000002</v>
      </c>
      <c r="O807" s="408">
        <v>796.33100000000002</v>
      </c>
      <c r="P807" s="408">
        <v>0</v>
      </c>
      <c r="Q807" s="408">
        <v>0</v>
      </c>
      <c r="R807" s="408"/>
      <c r="S807" s="408">
        <v>70.33</v>
      </c>
      <c r="T807" s="408"/>
      <c r="U807" s="408"/>
      <c r="V807" s="408">
        <v>56005.95923</v>
      </c>
      <c r="W807" s="408">
        <v>56005.95923</v>
      </c>
      <c r="X807" s="408">
        <v>55201.664919999996</v>
      </c>
      <c r="Y807" s="408">
        <v>0</v>
      </c>
      <c r="Z807" s="408">
        <v>42364.830310321275</v>
      </c>
      <c r="AA807" s="408">
        <v>0</v>
      </c>
      <c r="AB807" s="408">
        <v>0</v>
      </c>
      <c r="AC807" s="408">
        <v>0</v>
      </c>
      <c r="AD807" s="408">
        <v>0</v>
      </c>
      <c r="AE807" s="408">
        <v>0</v>
      </c>
      <c r="AF807" s="408"/>
      <c r="AG807" s="408"/>
      <c r="AH807" s="408"/>
      <c r="AI807" s="408">
        <v>0</v>
      </c>
      <c r="AJ807" s="408">
        <v>0</v>
      </c>
      <c r="AK807" s="408">
        <v>0</v>
      </c>
      <c r="AL807" s="408">
        <v>7526.5197848585867</v>
      </c>
      <c r="AM807" s="408"/>
      <c r="AN807" s="408">
        <v>989.62495373063268</v>
      </c>
      <c r="AO807" s="408">
        <v>0</v>
      </c>
      <c r="AP807" s="408">
        <v>0</v>
      </c>
      <c r="AQ807" s="408">
        <v>0</v>
      </c>
      <c r="AR807" s="408">
        <v>0</v>
      </c>
      <c r="AS807" s="408"/>
      <c r="AT807" s="408"/>
      <c r="AU807" s="408">
        <v>0</v>
      </c>
      <c r="AV807" s="408">
        <v>0</v>
      </c>
      <c r="AW807" s="408">
        <v>0</v>
      </c>
      <c r="AX807" s="408"/>
      <c r="AY807" s="408"/>
      <c r="AZ807" s="408">
        <v>0</v>
      </c>
      <c r="BA807" s="408"/>
      <c r="BB807" s="408">
        <v>0</v>
      </c>
      <c r="BC807" s="408">
        <v>0</v>
      </c>
      <c r="BD807" s="408">
        <v>0</v>
      </c>
      <c r="BE807" s="408">
        <v>148.59028774806592</v>
      </c>
      <c r="BF807" s="408"/>
      <c r="BG807" s="408">
        <v>4975.6589995113554</v>
      </c>
      <c r="BH807" s="408">
        <v>0</v>
      </c>
      <c r="BI807" s="408">
        <v>0</v>
      </c>
      <c r="BJ807" s="408">
        <v>0</v>
      </c>
      <c r="BK807" s="408">
        <v>0</v>
      </c>
      <c r="BL807" s="408">
        <v>0</v>
      </c>
      <c r="BM807" s="408"/>
      <c r="BN807" s="408"/>
      <c r="BO807" s="408"/>
      <c r="BP807" s="408"/>
      <c r="BQ807" s="408"/>
      <c r="BR807" s="408"/>
      <c r="BS807" s="408"/>
      <c r="BT807" s="408"/>
      <c r="BU807" s="408"/>
      <c r="BV807" s="408">
        <v>5124.2492872594212</v>
      </c>
      <c r="BW807" s="408"/>
      <c r="BX807" s="408"/>
      <c r="BY807" s="408"/>
      <c r="BZ807" s="408"/>
      <c r="CA807" s="408"/>
      <c r="CB807" s="408"/>
      <c r="CC807" s="408"/>
      <c r="CD807" s="408"/>
      <c r="CE807" s="408"/>
      <c r="CF807" s="408"/>
      <c r="CG807" s="408"/>
      <c r="CH807" s="408"/>
      <c r="CI807" s="408">
        <v>55201.595600000001</v>
      </c>
      <c r="CJ807" s="408">
        <v>-804.39363000000594</v>
      </c>
      <c r="CK807" s="408"/>
      <c r="CL807" s="408"/>
      <c r="CM807" s="408"/>
      <c r="CN807" s="408"/>
      <c r="CO807" s="408">
        <v>-804.29431000000409</v>
      </c>
      <c r="CP807" s="408">
        <v>0</v>
      </c>
      <c r="CQ807" s="408">
        <v>31</v>
      </c>
      <c r="CR807" s="408">
        <v>-805.80804809206893</v>
      </c>
      <c r="CS807" s="408">
        <v>0</v>
      </c>
      <c r="CT807" s="408">
        <v>0</v>
      </c>
      <c r="CU807" s="408">
        <v>0</v>
      </c>
      <c r="CV807" s="408">
        <v>0</v>
      </c>
      <c r="CW807" s="408"/>
      <c r="CX807" s="408"/>
      <c r="CY807" s="408"/>
      <c r="CZ807" s="408">
        <v>0</v>
      </c>
      <c r="DA807" s="408">
        <v>0</v>
      </c>
      <c r="DB807" s="408">
        <v>0</v>
      </c>
      <c r="DC807" s="408"/>
      <c r="DD807" s="408"/>
      <c r="DE807" s="408">
        <v>19.073205660098921</v>
      </c>
      <c r="DF807" s="408">
        <v>0</v>
      </c>
      <c r="DG807" s="408">
        <v>638.68082383087312</v>
      </c>
      <c r="DH807" s="408">
        <v>0</v>
      </c>
      <c r="DI807" s="408">
        <v>-1238.1335821190733</v>
      </c>
      <c r="DJ807" s="408"/>
      <c r="DK807" s="408">
        <v>0</v>
      </c>
      <c r="DL807" s="408">
        <v>0</v>
      </c>
      <c r="DM807" s="408"/>
      <c r="DN807" s="408">
        <v>0</v>
      </c>
      <c r="DO807" s="408">
        <v>-194.93426272854686</v>
      </c>
      <c r="DP807" s="408">
        <v>-30.494232735409241</v>
      </c>
      <c r="DQ807" s="408">
        <v>0</v>
      </c>
      <c r="DR807" s="408">
        <v>0</v>
      </c>
      <c r="DS807" s="408"/>
      <c r="DT807" s="408"/>
      <c r="DU807" s="408"/>
      <c r="DV807" s="408">
        <v>0</v>
      </c>
      <c r="DW807" s="408">
        <v>0</v>
      </c>
      <c r="DX807" s="408">
        <v>0</v>
      </c>
      <c r="DY807" s="408">
        <v>-804.29431000000477</v>
      </c>
      <c r="DZ807" s="408"/>
      <c r="EA807" s="408">
        <v>0</v>
      </c>
      <c r="EB807" s="408"/>
      <c r="EC807" s="408">
        <v>0</v>
      </c>
      <c r="ED807" s="408"/>
      <c r="EE807" s="408">
        <v>0</v>
      </c>
      <c r="EF807" s="408">
        <v>0</v>
      </c>
      <c r="EG807" s="408"/>
      <c r="EH807" s="408">
        <v>0</v>
      </c>
      <c r="EI807" s="408">
        <v>0</v>
      </c>
      <c r="EJ807" s="408">
        <v>0</v>
      </c>
      <c r="EK807" s="408">
        <v>0</v>
      </c>
      <c r="EL807" s="408">
        <v>0</v>
      </c>
      <c r="EM807" s="408"/>
      <c r="EN807" s="408"/>
      <c r="EO807" s="408">
        <v>0</v>
      </c>
      <c r="EP807" s="408">
        <v>0</v>
      </c>
      <c r="EQ807" s="408"/>
      <c r="ER807" s="408">
        <v>0</v>
      </c>
      <c r="ES807" s="408"/>
      <c r="ET807" s="408">
        <v>0</v>
      </c>
      <c r="EU807" s="408"/>
      <c r="EV807" s="408">
        <v>239</v>
      </c>
      <c r="EW807" s="408"/>
      <c r="EX807" s="408"/>
      <c r="EY807" s="408"/>
      <c r="EZ807" s="408"/>
      <c r="FA807" s="408">
        <v>0</v>
      </c>
      <c r="FB807" s="408"/>
      <c r="FC807" s="408"/>
      <c r="FD807" s="408"/>
      <c r="FE807" s="408"/>
      <c r="FF807" s="408">
        <v>0</v>
      </c>
      <c r="FG807" s="408">
        <v>0</v>
      </c>
      <c r="FH807" s="408">
        <v>0</v>
      </c>
      <c r="FI807" s="408">
        <v>0</v>
      </c>
    </row>
    <row r="808" spans="1:165">
      <c r="A808" s="265">
        <v>815</v>
      </c>
      <c r="B808" s="265" t="s">
        <v>1034</v>
      </c>
      <c r="C808" s="265" t="s">
        <v>2241</v>
      </c>
      <c r="D808" s="265" t="s">
        <v>596</v>
      </c>
      <c r="E808" s="265" t="s">
        <v>968</v>
      </c>
      <c r="F808" s="265" t="s">
        <v>1320</v>
      </c>
      <c r="G808" s="265" t="s">
        <v>2323</v>
      </c>
      <c r="H808" s="265" t="s">
        <v>1320</v>
      </c>
      <c r="I808" s="265" t="s">
        <v>1320</v>
      </c>
      <c r="J808" s="265" t="s">
        <v>2324</v>
      </c>
      <c r="K808" s="1617">
        <v>44682</v>
      </c>
      <c r="L808" s="265">
        <v>4220</v>
      </c>
      <c r="M808" s="265">
        <v>2117.174</v>
      </c>
      <c r="N808" s="265">
        <v>0</v>
      </c>
      <c r="O808" s="265">
        <v>0</v>
      </c>
      <c r="P808" s="265">
        <v>0</v>
      </c>
      <c r="Q808" s="265">
        <v>0</v>
      </c>
      <c r="R808" s="265">
        <v>59.12</v>
      </c>
      <c r="S808" s="265"/>
      <c r="T808" s="265"/>
      <c r="U808" s="265">
        <v>249486.4</v>
      </c>
      <c r="V808" s="265"/>
      <c r="W808" s="265">
        <v>249486.4</v>
      </c>
      <c r="X808" s="265">
        <v>143606.6</v>
      </c>
      <c r="Y808" s="265">
        <v>0</v>
      </c>
      <c r="Z808" s="265">
        <v>0</v>
      </c>
      <c r="AA808" s="265">
        <v>0</v>
      </c>
      <c r="AB808" s="265">
        <v>0</v>
      </c>
      <c r="AC808" s="265">
        <v>2414.094733268138</v>
      </c>
      <c r="AD808" s="265">
        <v>21593.835586019115</v>
      </c>
      <c r="AE808" s="265">
        <v>203242.78651534196</v>
      </c>
      <c r="AF808" s="265"/>
      <c r="AG808" s="265"/>
      <c r="AH808" s="265"/>
      <c r="AI808" s="265">
        <v>0</v>
      </c>
      <c r="AJ808" s="265">
        <v>0</v>
      </c>
      <c r="AK808" s="265">
        <v>0</v>
      </c>
      <c r="AL808" s="265">
        <v>0</v>
      </c>
      <c r="AM808" s="265"/>
      <c r="AN808" s="265">
        <v>0</v>
      </c>
      <c r="AO808" s="265">
        <v>5098.0643282120536</v>
      </c>
      <c r="AP808" s="265">
        <v>17137.368786164148</v>
      </c>
      <c r="AQ808" s="265">
        <v>0</v>
      </c>
      <c r="AR808" s="265">
        <v>0</v>
      </c>
      <c r="AS808" s="265"/>
      <c r="AT808" s="265"/>
      <c r="AU808" s="265">
        <v>0</v>
      </c>
      <c r="AV808" s="265">
        <v>0</v>
      </c>
      <c r="AW808" s="265">
        <v>0</v>
      </c>
      <c r="AX808" s="265"/>
      <c r="AY808" s="265"/>
      <c r="AZ808" s="265">
        <v>0</v>
      </c>
      <c r="BA808" s="265"/>
      <c r="BB808" s="265">
        <v>0</v>
      </c>
      <c r="BC808" s="265">
        <v>0</v>
      </c>
      <c r="BD808" s="265">
        <v>0</v>
      </c>
      <c r="BE808" s="265">
        <v>0</v>
      </c>
      <c r="BF808" s="265"/>
      <c r="BG808" s="265">
        <v>0</v>
      </c>
      <c r="BH808" s="265">
        <v>0</v>
      </c>
      <c r="BI808" s="265">
        <v>8911.09</v>
      </c>
      <c r="BJ808" s="265">
        <v>0</v>
      </c>
      <c r="BK808" s="265">
        <v>57418.47</v>
      </c>
      <c r="BL808" s="265">
        <v>6</v>
      </c>
      <c r="BM808" s="265"/>
      <c r="BN808" s="265">
        <v>71559.168780000007</v>
      </c>
      <c r="BO808" s="265"/>
      <c r="BP808" s="265"/>
      <c r="BQ808" s="265"/>
      <c r="BR808" s="265"/>
      <c r="BS808" s="265"/>
      <c r="BT808" s="265"/>
      <c r="BU808" s="265"/>
      <c r="BV808" s="265">
        <v>0</v>
      </c>
      <c r="BW808" s="265"/>
      <c r="BX808" s="265"/>
      <c r="BY808" s="265"/>
      <c r="BZ808" s="265"/>
      <c r="CA808" s="265"/>
      <c r="CB808" s="265"/>
      <c r="CC808" s="265"/>
      <c r="CD808" s="265"/>
      <c r="CE808" s="265"/>
      <c r="CF808" s="265"/>
      <c r="CG808" s="265"/>
      <c r="CH808" s="265"/>
      <c r="CI808" s="265">
        <v>72047.295100000003</v>
      </c>
      <c r="CJ808" s="265">
        <v>-53120.061779999975</v>
      </c>
      <c r="CK808" s="265"/>
      <c r="CL808" s="265"/>
      <c r="CM808" s="265"/>
      <c r="CN808" s="265"/>
      <c r="CO808" s="265">
        <v>-105879.79999999999</v>
      </c>
      <c r="CP808" s="265">
        <v>0</v>
      </c>
      <c r="CQ808" s="265">
        <v>31</v>
      </c>
      <c r="CR808" s="265">
        <v>1744.8753841341531</v>
      </c>
      <c r="CS808" s="265">
        <v>494.98983813710674</v>
      </c>
      <c r="CT808" s="265">
        <v>1663.9302400749293</v>
      </c>
      <c r="CU808" s="265">
        <v>0</v>
      </c>
      <c r="CV808" s="265">
        <v>0</v>
      </c>
      <c r="CW808" s="265"/>
      <c r="CX808" s="265"/>
      <c r="CY808" s="265"/>
      <c r="CZ808" s="265">
        <v>-414.04469407788565</v>
      </c>
      <c r="DA808" s="265">
        <v>0</v>
      </c>
      <c r="DB808" s="265">
        <v>0</v>
      </c>
      <c r="DC808" s="265"/>
      <c r="DD808" s="265"/>
      <c r="DE808" s="265">
        <v>0</v>
      </c>
      <c r="DF808" s="265">
        <v>0</v>
      </c>
      <c r="DG808" s="265">
        <v>0</v>
      </c>
      <c r="DH808" s="265">
        <v>0</v>
      </c>
      <c r="DI808" s="265">
        <v>0</v>
      </c>
      <c r="DJ808" s="265"/>
      <c r="DK808" s="265">
        <v>0</v>
      </c>
      <c r="DL808" s="265">
        <v>0</v>
      </c>
      <c r="DM808" s="265"/>
      <c r="DN808" s="265">
        <v>0</v>
      </c>
      <c r="DO808" s="265">
        <v>0</v>
      </c>
      <c r="DP808" s="265">
        <v>0</v>
      </c>
      <c r="DQ808" s="265">
        <v>0</v>
      </c>
      <c r="DR808" s="265">
        <v>0</v>
      </c>
      <c r="DS808" s="265"/>
      <c r="DT808" s="265"/>
      <c r="DU808" s="265">
        <v>203242.78651534196</v>
      </c>
      <c r="DV808" s="265"/>
      <c r="DW808" s="265">
        <v>0</v>
      </c>
      <c r="DX808" s="265">
        <v>0</v>
      </c>
      <c r="DY808" s="265">
        <v>-105879.79999999999</v>
      </c>
      <c r="DZ808" s="265"/>
      <c r="EA808" s="265">
        <v>0</v>
      </c>
      <c r="EB808" s="265"/>
      <c r="EC808" s="265">
        <v>-107606.28044723382</v>
      </c>
      <c r="ED808" s="265"/>
      <c r="EE808" s="265">
        <v>0</v>
      </c>
      <c r="EF808" s="265">
        <v>0</v>
      </c>
      <c r="EG808" s="265"/>
      <c r="EH808" s="265">
        <v>0</v>
      </c>
      <c r="EI808" s="265">
        <v>0</v>
      </c>
      <c r="EJ808" s="265">
        <v>0</v>
      </c>
      <c r="EK808" s="265">
        <v>0</v>
      </c>
      <c r="EL808" s="265">
        <v>0</v>
      </c>
      <c r="EM808" s="265"/>
      <c r="EN808" s="265"/>
      <c r="EO808" s="265">
        <v>0</v>
      </c>
      <c r="EP808" s="265">
        <v>0</v>
      </c>
      <c r="EQ808" s="265"/>
      <c r="ER808" s="265">
        <v>0</v>
      </c>
      <c r="ES808" s="265"/>
      <c r="ET808" s="265">
        <v>0</v>
      </c>
      <c r="EU808" s="265"/>
      <c r="EV808" s="265">
        <v>239</v>
      </c>
      <c r="EW808" s="265"/>
      <c r="EX808" s="265"/>
      <c r="EY808" s="265"/>
      <c r="EZ808" s="265"/>
      <c r="FA808" s="265">
        <v>0</v>
      </c>
      <c r="FB808" s="265"/>
      <c r="FC808" s="265"/>
      <c r="FD808" s="265"/>
      <c r="FE808" s="265"/>
      <c r="FF808" s="265">
        <v>0</v>
      </c>
      <c r="FG808" s="265">
        <v>0</v>
      </c>
      <c r="FH808" s="265">
        <v>0</v>
      </c>
      <c r="FI808" s="265">
        <v>0</v>
      </c>
    </row>
    <row r="809" spans="1:165">
      <c r="A809" s="265">
        <v>816</v>
      </c>
      <c r="B809" s="265" t="s">
        <v>1034</v>
      </c>
      <c r="C809" s="265" t="s">
        <v>991</v>
      </c>
      <c r="D809" s="265" t="s">
        <v>596</v>
      </c>
      <c r="E809" s="265" t="s">
        <v>1320</v>
      </c>
      <c r="F809" s="265" t="s">
        <v>1320</v>
      </c>
      <c r="G809" s="265" t="s">
        <v>1320</v>
      </c>
      <c r="H809" s="265" t="s">
        <v>2325</v>
      </c>
      <c r="I809" s="265" t="s">
        <v>1320</v>
      </c>
      <c r="J809" s="265" t="s">
        <v>2255</v>
      </c>
      <c r="K809" s="1617">
        <v>44682</v>
      </c>
      <c r="L809" s="265">
        <v>2300</v>
      </c>
      <c r="M809" s="265">
        <v>1150</v>
      </c>
      <c r="N809" s="265">
        <v>0</v>
      </c>
      <c r="O809" s="265">
        <v>0</v>
      </c>
      <c r="P809" s="265">
        <v>0</v>
      </c>
      <c r="Q809" s="265">
        <v>0</v>
      </c>
      <c r="R809" s="265">
        <v>21.22</v>
      </c>
      <c r="S809" s="265"/>
      <c r="T809" s="265"/>
      <c r="U809" s="265">
        <v>48806</v>
      </c>
      <c r="V809" s="265"/>
      <c r="W809" s="265">
        <v>48806</v>
      </c>
      <c r="X809" s="265">
        <v>23161</v>
      </c>
      <c r="Y809" s="265">
        <v>0</v>
      </c>
      <c r="Z809" s="265">
        <v>0</v>
      </c>
      <c r="AA809" s="265">
        <v>0</v>
      </c>
      <c r="AB809" s="265">
        <v>0</v>
      </c>
      <c r="AC809" s="265">
        <v>0</v>
      </c>
      <c r="AD809" s="265">
        <v>0</v>
      </c>
      <c r="AE809" s="265">
        <v>48415.733888970302</v>
      </c>
      <c r="AF809" s="265"/>
      <c r="AG809" s="265"/>
      <c r="AH809" s="265"/>
      <c r="AI809" s="265">
        <v>0</v>
      </c>
      <c r="AJ809" s="265">
        <v>0</v>
      </c>
      <c r="AK809" s="265">
        <v>0</v>
      </c>
      <c r="AL809" s="265">
        <v>0</v>
      </c>
      <c r="AM809" s="265"/>
      <c r="AN809" s="265">
        <v>382.49209089480081</v>
      </c>
      <c r="AO809" s="265">
        <v>0</v>
      </c>
      <c r="AP809" s="265">
        <v>0</v>
      </c>
      <c r="AQ809" s="265">
        <v>0</v>
      </c>
      <c r="AR809" s="265">
        <v>0</v>
      </c>
      <c r="AS809" s="265"/>
      <c r="AT809" s="265"/>
      <c r="AU809" s="265">
        <v>0</v>
      </c>
      <c r="AV809" s="265">
        <v>0</v>
      </c>
      <c r="AW809" s="265">
        <v>0</v>
      </c>
      <c r="AX809" s="265"/>
      <c r="AY809" s="265"/>
      <c r="AZ809" s="265">
        <v>0</v>
      </c>
      <c r="BA809" s="265"/>
      <c r="BB809" s="265">
        <v>0</v>
      </c>
      <c r="BC809" s="265">
        <v>0</v>
      </c>
      <c r="BD809" s="265">
        <v>0</v>
      </c>
      <c r="BE809" s="265">
        <v>0</v>
      </c>
      <c r="BF809" s="265"/>
      <c r="BG809" s="265">
        <v>0</v>
      </c>
      <c r="BH809" s="265">
        <v>0</v>
      </c>
      <c r="BI809" s="265">
        <v>1130.22</v>
      </c>
      <c r="BJ809" s="265">
        <v>0</v>
      </c>
      <c r="BK809" s="265">
        <v>0</v>
      </c>
      <c r="BL809" s="265">
        <v>0</v>
      </c>
      <c r="BM809" s="265"/>
      <c r="BN809" s="265"/>
      <c r="BO809" s="265">
        <v>11580.5</v>
      </c>
      <c r="BP809" s="265"/>
      <c r="BQ809" s="265"/>
      <c r="BR809" s="265"/>
      <c r="BS809" s="265"/>
      <c r="BT809" s="265"/>
      <c r="BU809" s="265"/>
      <c r="BV809" s="265">
        <v>0</v>
      </c>
      <c r="BW809" s="265"/>
      <c r="BX809" s="265"/>
      <c r="BY809" s="265"/>
      <c r="BZ809" s="265"/>
      <c r="CA809" s="265"/>
      <c r="CB809" s="265"/>
      <c r="CC809" s="265"/>
      <c r="CD809" s="265"/>
      <c r="CE809" s="265"/>
      <c r="CF809" s="265"/>
      <c r="CG809" s="265"/>
      <c r="CH809" s="265"/>
      <c r="CI809" s="265">
        <v>11580.5</v>
      </c>
      <c r="CJ809" s="265">
        <v>-12822.529999999995</v>
      </c>
      <c r="CK809" s="265"/>
      <c r="CL809" s="265"/>
      <c r="CM809" s="265"/>
      <c r="CN809" s="265"/>
      <c r="CO809" s="265">
        <v>-25644.999999999996</v>
      </c>
      <c r="CP809" s="265">
        <v>0</v>
      </c>
      <c r="CQ809" s="265">
        <v>31</v>
      </c>
      <c r="CR809" s="265">
        <v>-11.786084006094825</v>
      </c>
      <c r="CS809" s="265">
        <v>0</v>
      </c>
      <c r="CT809" s="265">
        <v>0</v>
      </c>
      <c r="CU809" s="265">
        <v>0</v>
      </c>
      <c r="CV809" s="265">
        <v>0</v>
      </c>
      <c r="CW809" s="265"/>
      <c r="CX809" s="265"/>
      <c r="CY809" s="265"/>
      <c r="CZ809" s="265">
        <v>0</v>
      </c>
      <c r="DA809" s="265">
        <v>0</v>
      </c>
      <c r="DB809" s="265">
        <v>0</v>
      </c>
      <c r="DC809" s="265"/>
      <c r="DD809" s="265"/>
      <c r="DE809" s="265">
        <v>0</v>
      </c>
      <c r="DF809" s="265">
        <v>0</v>
      </c>
      <c r="DG809" s="265">
        <v>0</v>
      </c>
      <c r="DH809" s="265">
        <v>0</v>
      </c>
      <c r="DI809" s="265">
        <v>0</v>
      </c>
      <c r="DJ809" s="265"/>
      <c r="DK809" s="265">
        <v>0</v>
      </c>
      <c r="DL809" s="265">
        <v>0</v>
      </c>
      <c r="DM809" s="265"/>
      <c r="DN809" s="265">
        <v>0</v>
      </c>
      <c r="DO809" s="265">
        <v>0</v>
      </c>
      <c r="DP809" s="265">
        <v>-11.786084006094825</v>
      </c>
      <c r="DQ809" s="265">
        <v>0</v>
      </c>
      <c r="DR809" s="265">
        <v>0</v>
      </c>
      <c r="DS809" s="265"/>
      <c r="DT809" s="265"/>
      <c r="DU809" s="265">
        <v>48415.733888970302</v>
      </c>
      <c r="DV809" s="265"/>
      <c r="DW809" s="265">
        <v>0</v>
      </c>
      <c r="DX809" s="265">
        <v>0</v>
      </c>
      <c r="DY809" s="265">
        <v>-25645</v>
      </c>
      <c r="DZ809" s="265"/>
      <c r="EA809" s="265">
        <v>0</v>
      </c>
      <c r="EB809" s="265"/>
      <c r="EC809" s="265">
        <v>-25633.564311134465</v>
      </c>
      <c r="ED809" s="265"/>
      <c r="EE809" s="265">
        <v>0</v>
      </c>
      <c r="EF809" s="265">
        <v>0</v>
      </c>
      <c r="EG809" s="265"/>
      <c r="EH809" s="265">
        <v>0</v>
      </c>
      <c r="EI809" s="265">
        <v>0</v>
      </c>
      <c r="EJ809" s="265">
        <v>0</v>
      </c>
      <c r="EK809" s="265">
        <v>0</v>
      </c>
      <c r="EL809" s="265">
        <v>0</v>
      </c>
      <c r="EM809" s="265"/>
      <c r="EN809" s="265"/>
      <c r="EO809" s="265">
        <v>0</v>
      </c>
      <c r="EP809" s="265">
        <v>0</v>
      </c>
      <c r="EQ809" s="265"/>
      <c r="ER809" s="265">
        <v>0</v>
      </c>
      <c r="ES809" s="265"/>
      <c r="ET809" s="265">
        <v>0</v>
      </c>
      <c r="EU809" s="265"/>
      <c r="EV809" s="265">
        <v>239</v>
      </c>
      <c r="EW809" s="265"/>
      <c r="EX809" s="265"/>
      <c r="EY809" s="265"/>
      <c r="EZ809" s="265"/>
      <c r="FA809" s="265">
        <v>0</v>
      </c>
      <c r="FB809" s="265"/>
      <c r="FC809" s="265"/>
      <c r="FD809" s="265"/>
      <c r="FE809" s="265"/>
      <c r="FF809" s="265">
        <v>0</v>
      </c>
      <c r="FG809" s="265">
        <v>0</v>
      </c>
      <c r="FH809" s="265">
        <v>0</v>
      </c>
      <c r="FI809" s="265">
        <v>0</v>
      </c>
    </row>
    <row r="810" spans="1:165">
      <c r="A810" s="265">
        <v>817</v>
      </c>
      <c r="B810" s="265" t="s">
        <v>1034</v>
      </c>
      <c r="C810" s="265" t="s">
        <v>2241</v>
      </c>
      <c r="D810" s="265" t="s">
        <v>596</v>
      </c>
      <c r="E810" s="265" t="s">
        <v>968</v>
      </c>
      <c r="F810" s="265" t="s">
        <v>1320</v>
      </c>
      <c r="G810" s="265" t="s">
        <v>2323</v>
      </c>
      <c r="H810" s="265" t="s">
        <v>1320</v>
      </c>
      <c r="I810" s="265" t="s">
        <v>971</v>
      </c>
      <c r="J810" s="265" t="s">
        <v>2324</v>
      </c>
      <c r="K810" s="1617">
        <v>44713</v>
      </c>
      <c r="L810" s="265">
        <v>0</v>
      </c>
      <c r="M810" s="265">
        <v>0</v>
      </c>
      <c r="N810" s="265">
        <v>10.557</v>
      </c>
      <c r="O810" s="265">
        <v>5.6173796999999999</v>
      </c>
      <c r="P810" s="265">
        <v>0</v>
      </c>
      <c r="Q810" s="265">
        <v>0</v>
      </c>
      <c r="R810" s="265"/>
      <c r="S810" s="265">
        <v>1684.16</v>
      </c>
      <c r="T810" s="265"/>
      <c r="U810" s="265"/>
      <c r="V810" s="265">
        <v>17779.67712</v>
      </c>
      <c r="W810" s="265">
        <v>17779.67712</v>
      </c>
      <c r="X810" s="265">
        <v>11406.310650000001</v>
      </c>
      <c r="Y810" s="265">
        <v>0</v>
      </c>
      <c r="Z810" s="265">
        <v>561.63267986058781</v>
      </c>
      <c r="AA810" s="265">
        <v>0</v>
      </c>
      <c r="AB810" s="265">
        <v>0</v>
      </c>
      <c r="AC810" s="265">
        <v>190.01966431922665</v>
      </c>
      <c r="AD810" s="265">
        <v>2898.8036543535873</v>
      </c>
      <c r="AE810" s="265">
        <v>12228.093452667579</v>
      </c>
      <c r="AF810" s="265"/>
      <c r="AG810" s="265"/>
      <c r="AH810" s="265"/>
      <c r="AI810" s="265">
        <v>0</v>
      </c>
      <c r="AJ810" s="265">
        <v>0</v>
      </c>
      <c r="AK810" s="265">
        <v>0</v>
      </c>
      <c r="AL810" s="265">
        <v>99.779450214486317</v>
      </c>
      <c r="AM810" s="265"/>
      <c r="AN810" s="265">
        <v>13.119507637570671</v>
      </c>
      <c r="AO810" s="265">
        <v>408.09290829213847</v>
      </c>
      <c r="AP810" s="265">
        <v>1312.2210698396061</v>
      </c>
      <c r="AQ810" s="265">
        <v>0</v>
      </c>
      <c r="AR810" s="265">
        <v>0</v>
      </c>
      <c r="AS810" s="265"/>
      <c r="AT810" s="265"/>
      <c r="AU810" s="265">
        <v>0</v>
      </c>
      <c r="AV810" s="265">
        <v>0</v>
      </c>
      <c r="AW810" s="265">
        <v>0</v>
      </c>
      <c r="AX810" s="265"/>
      <c r="AY810" s="265"/>
      <c r="AZ810" s="265">
        <v>0</v>
      </c>
      <c r="BA810" s="265"/>
      <c r="BB810" s="265">
        <v>0</v>
      </c>
      <c r="BC810" s="265">
        <v>0</v>
      </c>
      <c r="BD810" s="265">
        <v>0</v>
      </c>
      <c r="BE810" s="265">
        <v>1.9698688959193247</v>
      </c>
      <c r="BF810" s="265"/>
      <c r="BG810" s="265">
        <v>65.962560867078352</v>
      </c>
      <c r="BH810" s="265">
        <v>0</v>
      </c>
      <c r="BI810" s="265">
        <v>0</v>
      </c>
      <c r="BJ810" s="265">
        <v>0</v>
      </c>
      <c r="BK810" s="265">
        <v>0</v>
      </c>
      <c r="BL810" s="265">
        <v>0</v>
      </c>
      <c r="BM810" s="265"/>
      <c r="BN810" s="265">
        <v>5337.0127531350008</v>
      </c>
      <c r="BO810" s="265"/>
      <c r="BP810" s="265"/>
      <c r="BQ810" s="265"/>
      <c r="BR810" s="265"/>
      <c r="BS810" s="265"/>
      <c r="BT810" s="265"/>
      <c r="BU810" s="265"/>
      <c r="BV810" s="265">
        <v>67.932429762997671</v>
      </c>
      <c r="BW810" s="265"/>
      <c r="BX810" s="265"/>
      <c r="BY810" s="265"/>
      <c r="BZ810" s="265"/>
      <c r="CA810" s="265"/>
      <c r="CB810" s="265"/>
      <c r="CC810" s="265"/>
      <c r="CD810" s="265"/>
      <c r="CE810" s="265"/>
      <c r="CF810" s="265"/>
      <c r="CG810" s="265"/>
      <c r="CH810" s="265"/>
      <c r="CI810" s="265">
        <v>6072.1290000000008</v>
      </c>
      <c r="CJ810" s="265">
        <v>-3388.4671955520007</v>
      </c>
      <c r="CK810" s="265"/>
      <c r="CL810" s="265"/>
      <c r="CM810" s="265"/>
      <c r="CN810" s="265"/>
      <c r="CO810" s="265">
        <v>-6373.3664700000008</v>
      </c>
      <c r="CP810" s="265">
        <v>0</v>
      </c>
      <c r="CQ810" s="265">
        <v>30</v>
      </c>
      <c r="CR810" s="265">
        <v>100.76671702634303</v>
      </c>
      <c r="CS810" s="265">
        <v>39.623243179293183</v>
      </c>
      <c r="CT810" s="265">
        <v>127.40837563887362</v>
      </c>
      <c r="CU810" s="265">
        <v>0</v>
      </c>
      <c r="CV810" s="265">
        <v>0</v>
      </c>
      <c r="CW810" s="265"/>
      <c r="CX810" s="265"/>
      <c r="CY810" s="265"/>
      <c r="CZ810" s="265">
        <v>-55.582264090030094</v>
      </c>
      <c r="DA810" s="265">
        <v>0</v>
      </c>
      <c r="DB810" s="265">
        <v>0</v>
      </c>
      <c r="DC810" s="265"/>
      <c r="DD810" s="265"/>
      <c r="DE810" s="265">
        <v>0.25285444388534972</v>
      </c>
      <c r="DF810" s="265">
        <v>0</v>
      </c>
      <c r="DG810" s="265">
        <v>8.4670237089634099</v>
      </c>
      <c r="DH810" s="265">
        <v>0</v>
      </c>
      <c r="DI810" s="265">
        <v>-16.413998985887929</v>
      </c>
      <c r="DJ810" s="265"/>
      <c r="DK810" s="265">
        <v>0</v>
      </c>
      <c r="DL810" s="265">
        <v>0</v>
      </c>
      <c r="DM810" s="265"/>
      <c r="DN810" s="265">
        <v>0</v>
      </c>
      <c r="DO810" s="265">
        <v>-2.5842532962113296</v>
      </c>
      <c r="DP810" s="265">
        <v>-0.40426357254422562</v>
      </c>
      <c r="DQ810" s="265">
        <v>0</v>
      </c>
      <c r="DR810" s="265">
        <v>0</v>
      </c>
      <c r="DS810" s="265"/>
      <c r="DT810" s="265"/>
      <c r="DU810" s="265"/>
      <c r="DV810" s="265">
        <v>12228.093452667579</v>
      </c>
      <c r="DW810" s="265">
        <v>0</v>
      </c>
      <c r="DX810" s="265">
        <v>0</v>
      </c>
      <c r="DY810" s="265">
        <v>-6373.366469999999</v>
      </c>
      <c r="DZ810" s="265"/>
      <c r="EA810" s="265">
        <v>0</v>
      </c>
      <c r="EB810" s="265"/>
      <c r="EC810" s="265">
        <v>-6474.1272050184316</v>
      </c>
      <c r="ED810" s="265"/>
      <c r="EE810" s="265">
        <v>0</v>
      </c>
      <c r="EF810" s="265">
        <v>0</v>
      </c>
      <c r="EG810" s="265"/>
      <c r="EH810" s="265">
        <v>0</v>
      </c>
      <c r="EI810" s="265">
        <v>0</v>
      </c>
      <c r="EJ810" s="265">
        <v>0</v>
      </c>
      <c r="EK810" s="265">
        <v>0</v>
      </c>
      <c r="EL810" s="265">
        <v>0</v>
      </c>
      <c r="EM810" s="265"/>
      <c r="EN810" s="265"/>
      <c r="EO810" s="265">
        <v>0</v>
      </c>
      <c r="EP810" s="265">
        <v>0</v>
      </c>
      <c r="EQ810" s="265"/>
      <c r="ER810" s="265">
        <v>0</v>
      </c>
      <c r="ES810" s="265"/>
      <c r="ET810" s="265">
        <v>0</v>
      </c>
      <c r="EU810" s="265"/>
      <c r="EV810" s="265">
        <v>239</v>
      </c>
      <c r="EW810" s="265"/>
      <c r="EX810" s="265"/>
      <c r="EY810" s="265"/>
      <c r="EZ810" s="265"/>
      <c r="FA810" s="265">
        <v>0</v>
      </c>
      <c r="FB810" s="265"/>
      <c r="FC810" s="265"/>
      <c r="FD810" s="265"/>
      <c r="FE810" s="265"/>
      <c r="FF810" s="265">
        <v>0</v>
      </c>
      <c r="FG810" s="265">
        <v>0</v>
      </c>
      <c r="FH810" s="265">
        <v>0</v>
      </c>
      <c r="FI810" s="265">
        <v>0</v>
      </c>
    </row>
    <row r="811" spans="1:165">
      <c r="A811" s="265">
        <v>818</v>
      </c>
      <c r="B811" s="265" t="s">
        <v>1034</v>
      </c>
      <c r="C811" s="265" t="s">
        <v>2241</v>
      </c>
      <c r="D811" s="265" t="s">
        <v>596</v>
      </c>
      <c r="E811" s="265" t="s">
        <v>968</v>
      </c>
      <c r="F811" s="265" t="s">
        <v>1320</v>
      </c>
      <c r="G811" s="265" t="s">
        <v>2323</v>
      </c>
      <c r="H811" s="265" t="s">
        <v>1320</v>
      </c>
      <c r="I811" s="265" t="s">
        <v>2242</v>
      </c>
      <c r="J811" s="265" t="s">
        <v>2324</v>
      </c>
      <c r="K811" s="1617">
        <v>44713</v>
      </c>
      <c r="L811" s="265">
        <v>0</v>
      </c>
      <c r="M811" s="265">
        <v>0</v>
      </c>
      <c r="N811" s="265">
        <v>722.28700000000003</v>
      </c>
      <c r="O811" s="265">
        <v>722.28700000000003</v>
      </c>
      <c r="P811" s="265">
        <v>0</v>
      </c>
      <c r="Q811" s="265">
        <v>0</v>
      </c>
      <c r="R811" s="265"/>
      <c r="S811" s="265">
        <v>70.33</v>
      </c>
      <c r="T811" s="265"/>
      <c r="U811" s="265"/>
      <c r="V811" s="265">
        <v>50798.444710000003</v>
      </c>
      <c r="W811" s="265">
        <v>50798.444710000003</v>
      </c>
      <c r="X811" s="265">
        <v>50068.934839999994</v>
      </c>
      <c r="Y811" s="265">
        <v>0</v>
      </c>
      <c r="Z811" s="265">
        <v>38425.687547453286</v>
      </c>
      <c r="AA811" s="265">
        <v>0</v>
      </c>
      <c r="AB811" s="265">
        <v>0</v>
      </c>
      <c r="AC811" s="265">
        <v>0</v>
      </c>
      <c r="AD811" s="265">
        <v>0</v>
      </c>
      <c r="AE811" s="265">
        <v>0</v>
      </c>
      <c r="AF811" s="265"/>
      <c r="AG811" s="265"/>
      <c r="AH811" s="265"/>
      <c r="AI811" s="265">
        <v>0</v>
      </c>
      <c r="AJ811" s="265">
        <v>0</v>
      </c>
      <c r="AK811" s="265">
        <v>0</v>
      </c>
      <c r="AL811" s="265">
        <v>6826.6931663418281</v>
      </c>
      <c r="AM811" s="265"/>
      <c r="AN811" s="265">
        <v>897.60820432111461</v>
      </c>
      <c r="AO811" s="265">
        <v>0</v>
      </c>
      <c r="AP811" s="265">
        <v>0</v>
      </c>
      <c r="AQ811" s="265">
        <v>0</v>
      </c>
      <c r="AR811" s="265">
        <v>0</v>
      </c>
      <c r="AS811" s="265"/>
      <c r="AT811" s="265"/>
      <c r="AU811" s="265">
        <v>0</v>
      </c>
      <c r="AV811" s="265">
        <v>0</v>
      </c>
      <c r="AW811" s="265">
        <v>0</v>
      </c>
      <c r="AX811" s="265"/>
      <c r="AY811" s="265"/>
      <c r="AZ811" s="265">
        <v>0</v>
      </c>
      <c r="BA811" s="265"/>
      <c r="BB811" s="265">
        <v>0</v>
      </c>
      <c r="BC811" s="265">
        <v>0</v>
      </c>
      <c r="BD811" s="265">
        <v>0</v>
      </c>
      <c r="BE811" s="265">
        <v>134.77414940104967</v>
      </c>
      <c r="BF811" s="265"/>
      <c r="BG811" s="265">
        <v>4513.0150801363479</v>
      </c>
      <c r="BH811" s="265">
        <v>0</v>
      </c>
      <c r="BI811" s="265">
        <v>0</v>
      </c>
      <c r="BJ811" s="265">
        <v>0</v>
      </c>
      <c r="BK811" s="265">
        <v>0</v>
      </c>
      <c r="BL811" s="265">
        <v>0</v>
      </c>
      <c r="BM811" s="265"/>
      <c r="BN811" s="265"/>
      <c r="BO811" s="265"/>
      <c r="BP811" s="265"/>
      <c r="BQ811" s="265"/>
      <c r="BR811" s="265"/>
      <c r="BS811" s="265"/>
      <c r="BT811" s="265"/>
      <c r="BU811" s="265"/>
      <c r="BV811" s="265">
        <v>4647.7892295373977</v>
      </c>
      <c r="BW811" s="265"/>
      <c r="BX811" s="265"/>
      <c r="BY811" s="265"/>
      <c r="BZ811" s="265"/>
      <c r="CA811" s="265"/>
      <c r="CB811" s="265"/>
      <c r="CC811" s="265"/>
      <c r="CD811" s="265"/>
      <c r="CE811" s="265"/>
      <c r="CF811" s="265"/>
      <c r="CG811" s="265"/>
      <c r="CH811" s="265"/>
      <c r="CI811" s="265">
        <v>50069.142799999994</v>
      </c>
      <c r="CJ811" s="265">
        <v>-729.33191000001534</v>
      </c>
      <c r="CK811" s="265"/>
      <c r="CL811" s="265"/>
      <c r="CM811" s="265"/>
      <c r="CN811" s="265"/>
      <c r="CO811" s="265">
        <v>-729.50987000000373</v>
      </c>
      <c r="CP811" s="265">
        <v>0</v>
      </c>
      <c r="CQ811" s="265">
        <v>30</v>
      </c>
      <c r="CR811" s="265">
        <v>-730.88285855035792</v>
      </c>
      <c r="CS811" s="265">
        <v>0</v>
      </c>
      <c r="CT811" s="265">
        <v>0</v>
      </c>
      <c r="CU811" s="265">
        <v>0</v>
      </c>
      <c r="CV811" s="265">
        <v>0</v>
      </c>
      <c r="CW811" s="265"/>
      <c r="CX811" s="265"/>
      <c r="CY811" s="265"/>
      <c r="CZ811" s="265">
        <v>0</v>
      </c>
      <c r="DA811" s="265">
        <v>0</v>
      </c>
      <c r="DB811" s="265">
        <v>0</v>
      </c>
      <c r="DC811" s="265"/>
      <c r="DD811" s="265"/>
      <c r="DE811" s="265">
        <v>17.299751606575484</v>
      </c>
      <c r="DF811" s="265">
        <v>0</v>
      </c>
      <c r="DG811" s="265">
        <v>579.29536361428927</v>
      </c>
      <c r="DH811" s="265">
        <v>0</v>
      </c>
      <c r="DI811" s="265">
        <v>-1123.0101435559336</v>
      </c>
      <c r="DJ811" s="265"/>
      <c r="DK811" s="265">
        <v>0</v>
      </c>
      <c r="DL811" s="265">
        <v>0</v>
      </c>
      <c r="DM811" s="265"/>
      <c r="DN811" s="265">
        <v>0</v>
      </c>
      <c r="DO811" s="265">
        <v>-176.80899503273668</v>
      </c>
      <c r="DP811" s="265">
        <v>-27.658835182556686</v>
      </c>
      <c r="DQ811" s="265">
        <v>0</v>
      </c>
      <c r="DR811" s="265">
        <v>0</v>
      </c>
      <c r="DS811" s="265"/>
      <c r="DT811" s="265"/>
      <c r="DU811" s="265"/>
      <c r="DV811" s="265">
        <v>0</v>
      </c>
      <c r="DW811" s="265">
        <v>0</v>
      </c>
      <c r="DX811" s="265">
        <v>0</v>
      </c>
      <c r="DY811" s="265">
        <v>-729.50987000000896</v>
      </c>
      <c r="DZ811" s="265"/>
      <c r="EA811" s="265">
        <v>0</v>
      </c>
      <c r="EB811" s="265"/>
      <c r="EC811" s="265">
        <v>0</v>
      </c>
      <c r="ED811" s="265"/>
      <c r="EE811" s="265">
        <v>0</v>
      </c>
      <c r="EF811" s="265">
        <v>0</v>
      </c>
      <c r="EG811" s="265"/>
      <c r="EH811" s="265">
        <v>0</v>
      </c>
      <c r="EI811" s="265">
        <v>0</v>
      </c>
      <c r="EJ811" s="265">
        <v>0</v>
      </c>
      <c r="EK811" s="265">
        <v>0</v>
      </c>
      <c r="EL811" s="265">
        <v>0</v>
      </c>
      <c r="EM811" s="265"/>
      <c r="EN811" s="265"/>
      <c r="EO811" s="265">
        <v>0</v>
      </c>
      <c r="EP811" s="265">
        <v>0</v>
      </c>
      <c r="EQ811" s="265"/>
      <c r="ER811" s="265">
        <v>0</v>
      </c>
      <c r="ES811" s="265"/>
      <c r="ET811" s="265">
        <v>0</v>
      </c>
      <c r="EU811" s="265"/>
      <c r="EV811" s="265">
        <v>239</v>
      </c>
      <c r="EW811" s="265"/>
      <c r="EX811" s="265"/>
      <c r="EY811" s="265"/>
      <c r="EZ811" s="265"/>
      <c r="FA811" s="265">
        <v>0</v>
      </c>
      <c r="FB811" s="265"/>
      <c r="FC811" s="265"/>
      <c r="FD811" s="265"/>
      <c r="FE811" s="265"/>
      <c r="FF811" s="265">
        <v>0</v>
      </c>
      <c r="FG811" s="265">
        <v>0</v>
      </c>
      <c r="FH811" s="265">
        <v>0</v>
      </c>
      <c r="FI811" s="265">
        <v>0</v>
      </c>
    </row>
    <row r="812" spans="1:165">
      <c r="A812" s="265">
        <v>819</v>
      </c>
      <c r="B812" s="265" t="s">
        <v>1034</v>
      </c>
      <c r="C812" s="265" t="s">
        <v>2241</v>
      </c>
      <c r="D812" s="265" t="s">
        <v>596</v>
      </c>
      <c r="E812" s="265" t="s">
        <v>968</v>
      </c>
      <c r="F812" s="265" t="s">
        <v>1320</v>
      </c>
      <c r="G812" s="265" t="s">
        <v>2323</v>
      </c>
      <c r="H812" s="265" t="s">
        <v>1320</v>
      </c>
      <c r="I812" s="265" t="s">
        <v>1320</v>
      </c>
      <c r="J812" s="265" t="s">
        <v>2324</v>
      </c>
      <c r="K812" s="1617">
        <v>44713</v>
      </c>
      <c r="L812" s="265">
        <v>4220</v>
      </c>
      <c r="M812" s="265">
        <v>2142.0720000000001</v>
      </c>
      <c r="N812" s="265">
        <v>0</v>
      </c>
      <c r="O812" s="265">
        <v>0</v>
      </c>
      <c r="P812" s="265">
        <v>0</v>
      </c>
      <c r="Q812" s="265">
        <v>0</v>
      </c>
      <c r="R812" s="265">
        <v>59.12</v>
      </c>
      <c r="S812" s="265"/>
      <c r="T812" s="265"/>
      <c r="U812" s="265">
        <v>249486.4</v>
      </c>
      <c r="V812" s="265"/>
      <c r="W812" s="265">
        <v>249486.4</v>
      </c>
      <c r="X812" s="265">
        <v>143606.6</v>
      </c>
      <c r="Y812" s="265">
        <v>0</v>
      </c>
      <c r="Z812" s="265">
        <v>0</v>
      </c>
      <c r="AA812" s="265">
        <v>0</v>
      </c>
      <c r="AB812" s="265">
        <v>0</v>
      </c>
      <c r="AC812" s="265">
        <v>2414.094733268138</v>
      </c>
      <c r="AD812" s="265">
        <v>21593.835586019115</v>
      </c>
      <c r="AE812" s="265">
        <v>203242.78651534196</v>
      </c>
      <c r="AF812" s="265"/>
      <c r="AG812" s="265"/>
      <c r="AH812" s="265"/>
      <c r="AI812" s="265">
        <v>0</v>
      </c>
      <c r="AJ812" s="265">
        <v>0</v>
      </c>
      <c r="AK812" s="265">
        <v>0</v>
      </c>
      <c r="AL812" s="265">
        <v>0</v>
      </c>
      <c r="AM812" s="265"/>
      <c r="AN812" s="265">
        <v>0</v>
      </c>
      <c r="AO812" s="265">
        <v>5098.0643282120536</v>
      </c>
      <c r="AP812" s="265">
        <v>17137.368786164148</v>
      </c>
      <c r="AQ812" s="265">
        <v>0</v>
      </c>
      <c r="AR812" s="265">
        <v>0</v>
      </c>
      <c r="AS812" s="265"/>
      <c r="AT812" s="265"/>
      <c r="AU812" s="265">
        <v>0</v>
      </c>
      <c r="AV812" s="265">
        <v>0</v>
      </c>
      <c r="AW812" s="265">
        <v>0</v>
      </c>
      <c r="AX812" s="265"/>
      <c r="AY812" s="265"/>
      <c r="AZ812" s="265">
        <v>0</v>
      </c>
      <c r="BA812" s="265"/>
      <c r="BB812" s="265">
        <v>0</v>
      </c>
      <c r="BC812" s="265">
        <v>0</v>
      </c>
      <c r="BD812" s="265">
        <v>0</v>
      </c>
      <c r="BE812" s="265">
        <v>0</v>
      </c>
      <c r="BF812" s="265"/>
      <c r="BG812" s="265">
        <v>0</v>
      </c>
      <c r="BH812" s="265">
        <v>0</v>
      </c>
      <c r="BI812" s="265">
        <v>6346.62</v>
      </c>
      <c r="BJ812" s="265">
        <v>0</v>
      </c>
      <c r="BK812" s="265">
        <v>56247.27</v>
      </c>
      <c r="BL812" s="265">
        <v>6</v>
      </c>
      <c r="BM812" s="265"/>
      <c r="BN812" s="265">
        <v>70711.889840000003</v>
      </c>
      <c r="BO812" s="265"/>
      <c r="BP812" s="265"/>
      <c r="BQ812" s="265"/>
      <c r="BR812" s="265"/>
      <c r="BS812" s="265"/>
      <c r="BT812" s="265"/>
      <c r="BU812" s="265"/>
      <c r="BV812" s="265">
        <v>0</v>
      </c>
      <c r="BW812" s="265"/>
      <c r="BX812" s="265"/>
      <c r="BY812" s="265"/>
      <c r="BZ812" s="265"/>
      <c r="CA812" s="265"/>
      <c r="CB812" s="265"/>
      <c r="CC812" s="265"/>
      <c r="CD812" s="265"/>
      <c r="CE812" s="265"/>
      <c r="CF812" s="265"/>
      <c r="CG812" s="265"/>
      <c r="CH812" s="265"/>
      <c r="CI812" s="265">
        <v>72894.642100000012</v>
      </c>
      <c r="CJ812" s="265">
        <v>-53744.684539999973</v>
      </c>
      <c r="CK812" s="265"/>
      <c r="CL812" s="265"/>
      <c r="CM812" s="265"/>
      <c r="CN812" s="265"/>
      <c r="CO812" s="265">
        <v>-105879.79999999999</v>
      </c>
      <c r="CP812" s="265">
        <v>0</v>
      </c>
      <c r="CQ812" s="265">
        <v>30</v>
      </c>
      <c r="CR812" s="265">
        <v>1744.8753841341531</v>
      </c>
      <c r="CS812" s="265">
        <v>494.98983813710674</v>
      </c>
      <c r="CT812" s="265">
        <v>1663.9302400749293</v>
      </c>
      <c r="CU812" s="265">
        <v>0</v>
      </c>
      <c r="CV812" s="265">
        <v>0</v>
      </c>
      <c r="CW812" s="265"/>
      <c r="CX812" s="265"/>
      <c r="CY812" s="265"/>
      <c r="CZ812" s="265">
        <v>-414.04469407788565</v>
      </c>
      <c r="DA812" s="265">
        <v>0</v>
      </c>
      <c r="DB812" s="265">
        <v>0</v>
      </c>
      <c r="DC812" s="265"/>
      <c r="DD812" s="265"/>
      <c r="DE812" s="265">
        <v>0</v>
      </c>
      <c r="DF812" s="265">
        <v>0</v>
      </c>
      <c r="DG812" s="265">
        <v>0</v>
      </c>
      <c r="DH812" s="265">
        <v>0</v>
      </c>
      <c r="DI812" s="265">
        <v>0</v>
      </c>
      <c r="DJ812" s="265"/>
      <c r="DK812" s="265">
        <v>0</v>
      </c>
      <c r="DL812" s="265">
        <v>0</v>
      </c>
      <c r="DM812" s="265"/>
      <c r="DN812" s="265">
        <v>0</v>
      </c>
      <c r="DO812" s="265">
        <v>0</v>
      </c>
      <c r="DP812" s="265">
        <v>0</v>
      </c>
      <c r="DQ812" s="265">
        <v>0</v>
      </c>
      <c r="DR812" s="265">
        <v>0</v>
      </c>
      <c r="DS812" s="265"/>
      <c r="DT812" s="265"/>
      <c r="DU812" s="265">
        <v>203242.78651534196</v>
      </c>
      <c r="DV812" s="265"/>
      <c r="DW812" s="265">
        <v>0</v>
      </c>
      <c r="DX812" s="265">
        <v>0</v>
      </c>
      <c r="DY812" s="265">
        <v>-105879.79999999999</v>
      </c>
      <c r="DZ812" s="265"/>
      <c r="EA812" s="265">
        <v>0</v>
      </c>
      <c r="EB812" s="265"/>
      <c r="EC812" s="265">
        <v>-107606.28044723382</v>
      </c>
      <c r="ED812" s="265"/>
      <c r="EE812" s="265">
        <v>0</v>
      </c>
      <c r="EF812" s="265">
        <v>0</v>
      </c>
      <c r="EG812" s="265"/>
      <c r="EH812" s="265">
        <v>0</v>
      </c>
      <c r="EI812" s="265">
        <v>0</v>
      </c>
      <c r="EJ812" s="265">
        <v>0</v>
      </c>
      <c r="EK812" s="265">
        <v>0</v>
      </c>
      <c r="EL812" s="265">
        <v>0</v>
      </c>
      <c r="EM812" s="265"/>
      <c r="EN812" s="265"/>
      <c r="EO812" s="265">
        <v>0</v>
      </c>
      <c r="EP812" s="265">
        <v>0</v>
      </c>
      <c r="EQ812" s="265"/>
      <c r="ER812" s="265">
        <v>0</v>
      </c>
      <c r="ES812" s="265"/>
      <c r="ET812" s="265">
        <v>0</v>
      </c>
      <c r="EU812" s="265"/>
      <c r="EV812" s="265">
        <v>239</v>
      </c>
      <c r="EW812" s="265"/>
      <c r="EX812" s="265"/>
      <c r="EY812" s="265"/>
      <c r="EZ812" s="265"/>
      <c r="FA812" s="265">
        <v>0</v>
      </c>
      <c r="FB812" s="265"/>
      <c r="FC812" s="265"/>
      <c r="FD812" s="265"/>
      <c r="FE812" s="265"/>
      <c r="FF812" s="265">
        <v>0</v>
      </c>
      <c r="FG812" s="265">
        <v>0</v>
      </c>
      <c r="FH812" s="265">
        <v>0</v>
      </c>
      <c r="FI812" s="265">
        <v>0</v>
      </c>
    </row>
    <row r="813" spans="1:165">
      <c r="A813" s="265">
        <v>820</v>
      </c>
      <c r="B813" s="265" t="s">
        <v>1034</v>
      </c>
      <c r="C813" s="265" t="s">
        <v>991</v>
      </c>
      <c r="D813" s="265" t="s">
        <v>596</v>
      </c>
      <c r="E813" s="265" t="s">
        <v>1320</v>
      </c>
      <c r="F813" s="265" t="s">
        <v>1320</v>
      </c>
      <c r="G813" s="265" t="s">
        <v>1320</v>
      </c>
      <c r="H813" s="265" t="s">
        <v>2325</v>
      </c>
      <c r="I813" s="265" t="s">
        <v>1320</v>
      </c>
      <c r="J813" s="265" t="s">
        <v>2255</v>
      </c>
      <c r="K813" s="1617">
        <v>44713</v>
      </c>
      <c r="L813" s="265">
        <v>2300</v>
      </c>
      <c r="M813" s="265">
        <v>1150</v>
      </c>
      <c r="N813" s="265">
        <v>0</v>
      </c>
      <c r="O813" s="265">
        <v>0</v>
      </c>
      <c r="P813" s="265">
        <v>0</v>
      </c>
      <c r="Q813" s="265">
        <v>0</v>
      </c>
      <c r="R813" s="265">
        <v>21.22</v>
      </c>
      <c r="S813" s="265"/>
      <c r="T813" s="265"/>
      <c r="U813" s="265">
        <v>48806</v>
      </c>
      <c r="V813" s="265"/>
      <c r="W813" s="265">
        <v>48806</v>
      </c>
      <c r="X813" s="265">
        <v>23161</v>
      </c>
      <c r="Y813" s="265">
        <v>0</v>
      </c>
      <c r="Z813" s="265">
        <v>0</v>
      </c>
      <c r="AA813" s="265">
        <v>0</v>
      </c>
      <c r="AB813" s="265">
        <v>0</v>
      </c>
      <c r="AC813" s="265">
        <v>0</v>
      </c>
      <c r="AD813" s="265">
        <v>0</v>
      </c>
      <c r="AE813" s="265">
        <v>48415.733888970302</v>
      </c>
      <c r="AF813" s="265"/>
      <c r="AG813" s="265"/>
      <c r="AH813" s="265"/>
      <c r="AI813" s="265">
        <v>0</v>
      </c>
      <c r="AJ813" s="265">
        <v>0</v>
      </c>
      <c r="AK813" s="265">
        <v>0</v>
      </c>
      <c r="AL813" s="265">
        <v>0</v>
      </c>
      <c r="AM813" s="265"/>
      <c r="AN813" s="265">
        <v>382.49209089480081</v>
      </c>
      <c r="AO813" s="265">
        <v>0</v>
      </c>
      <c r="AP813" s="265">
        <v>0</v>
      </c>
      <c r="AQ813" s="265">
        <v>0</v>
      </c>
      <c r="AR813" s="265">
        <v>0</v>
      </c>
      <c r="AS813" s="265"/>
      <c r="AT813" s="265"/>
      <c r="AU813" s="265">
        <v>0</v>
      </c>
      <c r="AV813" s="265">
        <v>0</v>
      </c>
      <c r="AW813" s="265">
        <v>0</v>
      </c>
      <c r="AX813" s="265"/>
      <c r="AY813" s="265"/>
      <c r="AZ813" s="265">
        <v>0</v>
      </c>
      <c r="BA813" s="265"/>
      <c r="BB813" s="265">
        <v>0</v>
      </c>
      <c r="BC813" s="265">
        <v>0</v>
      </c>
      <c r="BD813" s="265">
        <v>0</v>
      </c>
      <c r="BE813" s="265">
        <v>0</v>
      </c>
      <c r="BF813" s="265"/>
      <c r="BG813" s="265">
        <v>0</v>
      </c>
      <c r="BH813" s="265">
        <v>0</v>
      </c>
      <c r="BI813" s="265">
        <v>823.5</v>
      </c>
      <c r="BJ813" s="265">
        <v>0</v>
      </c>
      <c r="BK813" s="265">
        <v>0</v>
      </c>
      <c r="BL813" s="265">
        <v>0</v>
      </c>
      <c r="BM813" s="265"/>
      <c r="BN813" s="265"/>
      <c r="BO813" s="265">
        <v>11580.5</v>
      </c>
      <c r="BP813" s="265"/>
      <c r="BQ813" s="265"/>
      <c r="BR813" s="265"/>
      <c r="BS813" s="265"/>
      <c r="BT813" s="265"/>
      <c r="BU813" s="265"/>
      <c r="BV813" s="265">
        <v>0</v>
      </c>
      <c r="BW813" s="265"/>
      <c r="BX813" s="265"/>
      <c r="BY813" s="265"/>
      <c r="BZ813" s="265"/>
      <c r="CA813" s="265"/>
      <c r="CB813" s="265"/>
      <c r="CC813" s="265"/>
      <c r="CD813" s="265"/>
      <c r="CE813" s="265"/>
      <c r="CF813" s="265"/>
      <c r="CG813" s="265"/>
      <c r="CH813" s="265"/>
      <c r="CI813" s="265">
        <v>11580.5</v>
      </c>
      <c r="CJ813" s="265">
        <v>-12822.529999999995</v>
      </c>
      <c r="CK813" s="265"/>
      <c r="CL813" s="265"/>
      <c r="CM813" s="265"/>
      <c r="CN813" s="265"/>
      <c r="CO813" s="265">
        <v>-25644.999999999996</v>
      </c>
      <c r="CP813" s="265">
        <v>0</v>
      </c>
      <c r="CQ813" s="265">
        <v>30</v>
      </c>
      <c r="CR813" s="265">
        <v>-11.786084006094825</v>
      </c>
      <c r="CS813" s="265">
        <v>0</v>
      </c>
      <c r="CT813" s="265">
        <v>0</v>
      </c>
      <c r="CU813" s="265">
        <v>0</v>
      </c>
      <c r="CV813" s="265">
        <v>0</v>
      </c>
      <c r="CW813" s="265"/>
      <c r="CX813" s="265"/>
      <c r="CY813" s="265"/>
      <c r="CZ813" s="265">
        <v>0</v>
      </c>
      <c r="DA813" s="265">
        <v>0</v>
      </c>
      <c r="DB813" s="265">
        <v>0</v>
      </c>
      <c r="DC813" s="265"/>
      <c r="DD813" s="265"/>
      <c r="DE813" s="265">
        <v>0</v>
      </c>
      <c r="DF813" s="265">
        <v>0</v>
      </c>
      <c r="DG813" s="265">
        <v>0</v>
      </c>
      <c r="DH813" s="265">
        <v>0</v>
      </c>
      <c r="DI813" s="265">
        <v>0</v>
      </c>
      <c r="DJ813" s="265"/>
      <c r="DK813" s="265">
        <v>0</v>
      </c>
      <c r="DL813" s="265">
        <v>0</v>
      </c>
      <c r="DM813" s="265"/>
      <c r="DN813" s="265">
        <v>0</v>
      </c>
      <c r="DO813" s="265">
        <v>0</v>
      </c>
      <c r="DP813" s="265">
        <v>-11.786084006094825</v>
      </c>
      <c r="DQ813" s="265">
        <v>0</v>
      </c>
      <c r="DR813" s="265">
        <v>0</v>
      </c>
      <c r="DS813" s="265"/>
      <c r="DT813" s="265"/>
      <c r="DU813" s="265">
        <v>48415.733888970302</v>
      </c>
      <c r="DV813" s="265"/>
      <c r="DW813" s="265">
        <v>0</v>
      </c>
      <c r="DX813" s="265">
        <v>0</v>
      </c>
      <c r="DY813" s="265">
        <v>-25645</v>
      </c>
      <c r="DZ813" s="265"/>
      <c r="EA813" s="265">
        <v>0</v>
      </c>
      <c r="EB813" s="265"/>
      <c r="EC813" s="265">
        <v>-25633.564311134465</v>
      </c>
      <c r="ED813" s="265"/>
      <c r="EE813" s="265">
        <v>0</v>
      </c>
      <c r="EF813" s="265">
        <v>0</v>
      </c>
      <c r="EG813" s="265"/>
      <c r="EH813" s="265">
        <v>0</v>
      </c>
      <c r="EI813" s="265">
        <v>0</v>
      </c>
      <c r="EJ813" s="265">
        <v>0</v>
      </c>
      <c r="EK813" s="265">
        <v>0</v>
      </c>
      <c r="EL813" s="265">
        <v>0</v>
      </c>
      <c r="EM813" s="265"/>
      <c r="EN813" s="265"/>
      <c r="EO813" s="265">
        <v>0</v>
      </c>
      <c r="EP813" s="265">
        <v>0</v>
      </c>
      <c r="EQ813" s="265"/>
      <c r="ER813" s="265">
        <v>0</v>
      </c>
      <c r="ES813" s="265"/>
      <c r="ET813" s="265">
        <v>0</v>
      </c>
      <c r="EU813" s="265"/>
      <c r="EV813" s="265">
        <v>239</v>
      </c>
      <c r="EW813" s="265"/>
      <c r="EX813" s="265"/>
      <c r="EY813" s="265"/>
      <c r="EZ813" s="265"/>
      <c r="FA813" s="265">
        <v>0</v>
      </c>
      <c r="FB813" s="265"/>
      <c r="FC813" s="265"/>
      <c r="FD813" s="265"/>
      <c r="FE813" s="265"/>
      <c r="FF813" s="265">
        <v>0</v>
      </c>
      <c r="FG813" s="265">
        <v>0</v>
      </c>
      <c r="FH813" s="265">
        <v>0</v>
      </c>
      <c r="FI813" s="265">
        <v>0</v>
      </c>
    </row>
    <row r="814" spans="1:165">
      <c r="K814" s="266"/>
      <c r="L814" s="266"/>
      <c r="M814" s="266"/>
      <c r="N814" s="266"/>
      <c r="O814" s="266"/>
      <c r="P814" s="266"/>
      <c r="Q814" s="266"/>
      <c r="BR814" s="266"/>
      <c r="BS814" s="266"/>
      <c r="BT814" s="266"/>
      <c r="BU814" s="266"/>
      <c r="BV814" s="266"/>
      <c r="CJ814" s="266"/>
      <c r="CO814" s="266"/>
      <c r="CP814" s="266"/>
      <c r="CQ814" s="266"/>
      <c r="CR814" s="266"/>
      <c r="CS814" s="266"/>
      <c r="CT814" s="266"/>
      <c r="CU814" s="266"/>
      <c r="CV814" s="266"/>
      <c r="CW814" s="266"/>
      <c r="CX814" s="266"/>
      <c r="CY814" s="266"/>
      <c r="CZ814" s="266"/>
      <c r="DA814" s="266"/>
      <c r="DB814" s="266"/>
      <c r="DC814" s="266"/>
      <c r="DD814" s="266"/>
      <c r="DE814" s="266"/>
      <c r="DF814" s="266"/>
      <c r="DG814" s="266"/>
      <c r="DH814" s="266"/>
      <c r="DI814" s="266"/>
      <c r="DJ814" s="266"/>
      <c r="DK814" s="266"/>
      <c r="DL814" s="266"/>
      <c r="DM814" s="266"/>
      <c r="DN814" s="266"/>
      <c r="DO814" s="266"/>
      <c r="DP814" s="266"/>
      <c r="DQ814" s="266"/>
      <c r="DR814" s="266"/>
      <c r="DS814" s="266"/>
      <c r="DY814" s="266"/>
      <c r="EC814" s="266"/>
      <c r="EP814" s="266"/>
    </row>
    <row r="815" spans="1:165">
      <c r="K815" s="266"/>
      <c r="L815" s="266"/>
      <c r="M815" s="266"/>
      <c r="N815" s="266"/>
      <c r="O815" s="266"/>
      <c r="P815" s="266"/>
      <c r="Q815" s="266"/>
      <c r="BR815" s="266"/>
      <c r="BS815" s="266"/>
      <c r="BT815" s="266"/>
      <c r="BU815" s="266"/>
      <c r="BV815" s="266"/>
      <c r="CJ815" s="266"/>
      <c r="CO815" s="266"/>
      <c r="CP815" s="266"/>
      <c r="CQ815" s="266"/>
      <c r="CR815" s="266"/>
      <c r="CS815" s="266"/>
      <c r="CT815" s="266"/>
      <c r="CU815" s="266"/>
      <c r="CV815" s="266"/>
      <c r="CW815" s="266"/>
      <c r="CX815" s="266"/>
      <c r="CY815" s="266"/>
      <c r="CZ815" s="266"/>
      <c r="DA815" s="266"/>
      <c r="DB815" s="266"/>
      <c r="DC815" s="266"/>
      <c r="DD815" s="266"/>
      <c r="DE815" s="266"/>
      <c r="DF815" s="266"/>
      <c r="DG815" s="266"/>
      <c r="DH815" s="266"/>
      <c r="DI815" s="266"/>
      <c r="DJ815" s="266"/>
      <c r="DK815" s="266"/>
      <c r="DL815" s="266"/>
      <c r="DM815" s="266"/>
      <c r="DN815" s="266"/>
      <c r="DO815" s="266"/>
      <c r="DP815" s="266"/>
      <c r="DQ815" s="266"/>
      <c r="DR815" s="266"/>
      <c r="DS815" s="266"/>
      <c r="DY815" s="266"/>
      <c r="EC815" s="266"/>
      <c r="EP815" s="266"/>
    </row>
    <row r="816" spans="1:165">
      <c r="K816" s="266"/>
      <c r="L816" s="266"/>
      <c r="M816" s="266"/>
      <c r="N816" s="266"/>
      <c r="O816" s="266"/>
      <c r="P816" s="266"/>
      <c r="Q816" s="266"/>
      <c r="BR816" s="266"/>
      <c r="BS816" s="266"/>
      <c r="BT816" s="266"/>
      <c r="BU816" s="266"/>
      <c r="BV816" s="266"/>
      <c r="CJ816" s="266"/>
      <c r="CO816" s="266"/>
      <c r="CP816" s="266"/>
      <c r="CQ816" s="266"/>
      <c r="CR816" s="266"/>
      <c r="CS816" s="266"/>
      <c r="CT816" s="266"/>
      <c r="CU816" s="266"/>
      <c r="CV816" s="266"/>
      <c r="CW816" s="266"/>
      <c r="CX816" s="266"/>
      <c r="CY816" s="266"/>
      <c r="CZ816" s="266"/>
      <c r="DA816" s="266"/>
      <c r="DB816" s="266"/>
      <c r="DC816" s="266"/>
      <c r="DD816" s="266"/>
      <c r="DE816" s="266"/>
      <c r="DF816" s="266"/>
      <c r="DG816" s="266"/>
      <c r="DH816" s="266"/>
      <c r="DI816" s="266"/>
      <c r="DJ816" s="266"/>
      <c r="DK816" s="266"/>
      <c r="DL816" s="266"/>
      <c r="DM816" s="266"/>
      <c r="DN816" s="266"/>
      <c r="DO816" s="266"/>
      <c r="DP816" s="266"/>
      <c r="DQ816" s="266"/>
      <c r="DR816" s="266"/>
      <c r="DS816" s="266"/>
      <c r="DY816" s="266"/>
      <c r="EC816" s="266"/>
      <c r="EP816" s="266"/>
    </row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94"/>
  <sheetViews>
    <sheetView showGridLines="0" topLeftCell="J15" zoomScale="90" zoomScaleNormal="90" workbookViewId="0">
      <selection activeCell="N30" sqref="N30"/>
    </sheetView>
  </sheetViews>
  <sheetFormatPr defaultColWidth="9.140625" defaultRowHeight="14.25"/>
  <cols>
    <col min="1" max="1" width="16.7109375" style="68" customWidth="1"/>
    <col min="2" max="2" width="57.140625" style="68" bestFit="1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5.7109375" style="125" bestFit="1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07" t="s">
        <v>1158</v>
      </c>
      <c r="C1" s="1104"/>
      <c r="D1" s="1008"/>
      <c r="E1" s="1008"/>
      <c r="F1" s="1217" t="s">
        <v>951</v>
      </c>
      <c r="G1" s="1218">
        <f ca="1">LnkTXTIRTEco</f>
        <v>0.1182</v>
      </c>
    </row>
    <row r="2" spans="2:19" ht="23.25" customHeight="1">
      <c r="B2" s="138" t="str">
        <f>CAPA!C9</f>
        <v>Certaja</v>
      </c>
      <c r="C2" s="70"/>
      <c r="D2" s="70"/>
      <c r="E2" s="70"/>
      <c r="F2" s="121" t="s">
        <v>955</v>
      </c>
      <c r="G2" s="122">
        <f ca="1">LnkTXTIRTTotal</f>
        <v>-0.2044</v>
      </c>
    </row>
    <row r="3" spans="2:19" ht="16.5">
      <c r="B3" s="71" t="s">
        <v>760</v>
      </c>
      <c r="K3" s="71" t="s">
        <v>1159</v>
      </c>
      <c r="O3" s="9" t="s">
        <v>1160</v>
      </c>
    </row>
    <row r="4" spans="2:19">
      <c r="B4" s="1265" t="s">
        <v>854</v>
      </c>
      <c r="C4" s="1265" t="s">
        <v>772</v>
      </c>
      <c r="K4" s="1265" t="s">
        <v>973</v>
      </c>
      <c r="L4" s="1265" t="s">
        <v>771</v>
      </c>
      <c r="M4" s="1265" t="s">
        <v>976</v>
      </c>
      <c r="P4" s="68" t="s">
        <v>1161</v>
      </c>
    </row>
    <row r="5" spans="2:19">
      <c r="B5" s="1266" t="s">
        <v>1162</v>
      </c>
      <c r="C5" s="1267">
        <f ca="1">SUM(C6,C9)</f>
        <v>122987.91510000001</v>
      </c>
      <c r="K5" s="68" t="s">
        <v>857</v>
      </c>
      <c r="L5" s="93">
        <f ca="1">M5</f>
        <v>107828.46300000002</v>
      </c>
      <c r="M5" s="141">
        <f ca="1">FornecimentoE</f>
        <v>107828.46300000002</v>
      </c>
      <c r="P5" s="68" t="s">
        <v>1163</v>
      </c>
    </row>
    <row r="6" spans="2:19">
      <c r="B6" s="1268" t="s">
        <v>1164</v>
      </c>
      <c r="C6" s="1269">
        <f ca="1">SUM(C7:C8)</f>
        <v>107828.46300000002</v>
      </c>
      <c r="E6" s="1575">
        <f ca="1">C23/LnkTXTEV-1</f>
        <v>0.14058859486849951</v>
      </c>
      <c r="K6" s="68" t="s">
        <v>866</v>
      </c>
      <c r="L6" s="68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1165</v>
      </c>
    </row>
    <row r="7" spans="2:19">
      <c r="B7" s="145" t="s">
        <v>857</v>
      </c>
      <c r="C7" s="146">
        <f ca="1">M5</f>
        <v>107828.46300000002</v>
      </c>
      <c r="K7" s="68" t="s">
        <v>1166</v>
      </c>
      <c r="L7" s="68">
        <f t="shared" ca="1" si="0"/>
        <v>8298.1389999999992</v>
      </c>
      <c r="M7" s="141">
        <f ca="1">LivreE</f>
        <v>8298.1389999999992</v>
      </c>
      <c r="P7" s="68" t="s">
        <v>1167</v>
      </c>
    </row>
    <row r="8" spans="2:19">
      <c r="B8" s="145" t="s">
        <v>866</v>
      </c>
      <c r="C8" s="146">
        <f ca="1">M6</f>
        <v>0</v>
      </c>
      <c r="K8" s="68" t="s">
        <v>956</v>
      </c>
      <c r="L8" s="68">
        <f t="shared" ca="1" si="0"/>
        <v>0</v>
      </c>
      <c r="M8" s="141">
        <f ca="1">LivreE_A1</f>
        <v>0</v>
      </c>
      <c r="P8" s="68" t="s">
        <v>1168</v>
      </c>
    </row>
    <row r="9" spans="2:19">
      <c r="B9" s="1268" t="s">
        <v>1169</v>
      </c>
      <c r="C9" s="1269">
        <f ca="1">SUM(C10:C12)</f>
        <v>15159.452099999997</v>
      </c>
      <c r="K9" s="823" t="s">
        <v>1170</v>
      </c>
      <c r="L9" s="823">
        <f t="shared" ca="1" si="0"/>
        <v>75160.651000000042</v>
      </c>
      <c r="M9" s="1270">
        <f ca="1">FornecimentoE_BT</f>
        <v>75160.651000000042</v>
      </c>
      <c r="P9" s="68" t="s">
        <v>1171</v>
      </c>
    </row>
    <row r="10" spans="2:19">
      <c r="B10" s="145" t="s">
        <v>1172</v>
      </c>
      <c r="C10" s="146">
        <f ca="1">N16+N17</f>
        <v>11535.279299999997</v>
      </c>
      <c r="J10" s="125"/>
      <c r="P10" s="79"/>
    </row>
    <row r="11" spans="2:19">
      <c r="B11" s="145" t="s">
        <v>1173</v>
      </c>
      <c r="C11" s="146">
        <f ca="1">N18</f>
        <v>350.23906484425817</v>
      </c>
      <c r="K11" s="71" t="s">
        <v>1174</v>
      </c>
      <c r="L11" s="71"/>
      <c r="M11" s="126"/>
      <c r="P11" s="68" t="s">
        <v>1175</v>
      </c>
      <c r="Q11" s="504">
        <f ca="1">M20/(C6+M20)</f>
        <v>9.6639725579381358E-2</v>
      </c>
      <c r="R11" s="69">
        <f ca="1">Q11*($M$24+LnkTXTGPM)</f>
        <v>1722.4678437613736</v>
      </c>
    </row>
    <row r="12" spans="2:19">
      <c r="B12" s="145" t="s">
        <v>1176</v>
      </c>
      <c r="C12" s="146">
        <f ca="1">N19</f>
        <v>3273.9337351557419</v>
      </c>
      <c r="D12" s="72"/>
      <c r="F12" s="72"/>
      <c r="G12" s="127"/>
      <c r="K12" s="147" t="s">
        <v>854</v>
      </c>
      <c r="L12" s="147" t="s">
        <v>771</v>
      </c>
      <c r="M12" s="1271" t="s">
        <v>1177</v>
      </c>
      <c r="N12" s="1272" t="s">
        <v>29</v>
      </c>
      <c r="P12" s="68" t="s">
        <v>1178</v>
      </c>
      <c r="Q12" s="398">
        <v>0.1389</v>
      </c>
      <c r="R12" s="69"/>
      <c r="S12" s="142"/>
    </row>
    <row r="13" spans="2:19">
      <c r="B13" s="1273" t="s">
        <v>1179</v>
      </c>
      <c r="C13" s="1274">
        <f ca="1">IFERROR(E23,0)</f>
        <v>172.17436304647768</v>
      </c>
      <c r="D13" s="92"/>
      <c r="E13" s="92"/>
      <c r="F13" s="92"/>
      <c r="G13" s="92"/>
      <c r="K13" s="68" t="s">
        <v>1180</v>
      </c>
      <c r="M13" s="398">
        <f>CAPA!H30</f>
        <v>0</v>
      </c>
      <c r="N13" s="475">
        <f ca="1">IFERROR(IF($M$21&lt;$M$20,M13,($M$20/$M$21)*M13),0)</f>
        <v>0</v>
      </c>
      <c r="P13" s="68" t="s">
        <v>1181</v>
      </c>
      <c r="Q13" s="504">
        <f ca="1">IF(Q11&lt;Q12,Q11,(IF(Q11=0,0,Q11*0.75+Q12*0.25)))</f>
        <v>9.6639725579381358E-2</v>
      </c>
      <c r="R13" s="69">
        <f ca="1">($M$5+$M$6-$M$8)*Q13/(1-Q13)</f>
        <v>11535.279299999997</v>
      </c>
    </row>
    <row r="14" spans="2:19">
      <c r="B14" s="1275" t="s">
        <v>1182</v>
      </c>
      <c r="C14" s="1276">
        <f ca="1">C13*C5</f>
        <v>21175365.944756776</v>
      </c>
      <c r="D14" s="128"/>
      <c r="E14" s="128"/>
      <c r="F14" s="128"/>
      <c r="G14" s="129"/>
      <c r="K14" s="68" t="s">
        <v>1183</v>
      </c>
      <c r="L14" s="79">
        <f>LinkTXTPR</f>
        <v>8.6099074972921394E-2</v>
      </c>
      <c r="M14" s="398">
        <f>IF(CAPA!P1="verdadeiro",IF(CAPA!H29=0,CAPA!K34,CAPA!H29),CAPA!H41)</f>
        <v>9.7799999999999998E-2</v>
      </c>
      <c r="N14" s="398">
        <f ca="1">IFERROR(N17/((M5+M6-M8+N16)+N17),0)</f>
        <v>9.6639725579381358E-2</v>
      </c>
      <c r="P14" s="68" t="s">
        <v>1184</v>
      </c>
      <c r="Q14" s="504">
        <f ca="1">(M17+M16)/(M16+M17+M5+M6)</f>
        <v>9.7799999999999998E-2</v>
      </c>
      <c r="R14" s="69">
        <f ca="1">IF(CAPA!H33="",(M5+M6-M8)/(1-M14)*M14,CAPA!H33)+IF(CAPA!H34="",M13*M9,CAPA!H34)</f>
        <v>11688.787055420087</v>
      </c>
    </row>
    <row r="15" spans="2:19">
      <c r="E15" s="79"/>
      <c r="F15" s="72"/>
      <c r="G15" s="127"/>
      <c r="K15" s="823" t="s">
        <v>1185</v>
      </c>
      <c r="L15" s="1705">
        <v>2.9863438745030273E-2</v>
      </c>
      <c r="M15" s="1584">
        <f>IF(CAPA!H31=0,0,CAPA!H31)</f>
        <v>0</v>
      </c>
      <c r="N15" s="1585">
        <f ca="1">IFERROR(M22/(LnkTXTEV+N17+N16),0)</f>
        <v>3.0362426061435573E-2</v>
      </c>
      <c r="P15" s="68" t="s">
        <v>1186</v>
      </c>
      <c r="Q15" s="79">
        <f ca="1">IF(Q14&lt;Q13,Q14,Q13)</f>
        <v>9.6639725579381358E-2</v>
      </c>
      <c r="R15" s="69">
        <f ca="1">IF(R14&lt;R13,R14,R13)</f>
        <v>11535.279299999997</v>
      </c>
      <c r="S15" s="79">
        <f ca="1">R15/(M5+R15)</f>
        <v>9.6639725579381358E-2</v>
      </c>
    </row>
    <row r="16" spans="2:19">
      <c r="B16" s="130" t="s">
        <v>1187</v>
      </c>
      <c r="C16" s="131"/>
      <c r="D16" s="132"/>
      <c r="E16" s="132"/>
      <c r="F16" s="132"/>
      <c r="K16" s="1277" t="s">
        <v>1188</v>
      </c>
      <c r="L16" s="1277">
        <f ca="1">L9*L13</f>
        <v>0</v>
      </c>
      <c r="M16" s="1277">
        <f ca="1">IF(CAPA!H34="",M13*M9,CAPA!H34)</f>
        <v>0</v>
      </c>
      <c r="N16" s="476">
        <f ca="1">IF(CAPA!P1="verdadeiro",IF($M$21&lt;$M$20,M16,($M$20/$M$21)*M16),M16)</f>
        <v>0</v>
      </c>
      <c r="P16" s="142" t="s">
        <v>1189</v>
      </c>
      <c r="Q16" s="79">
        <f ca="1">IF(Q15&gt;Q12,Q12,Q15)</f>
        <v>9.6639725579381358E-2</v>
      </c>
      <c r="R16" s="69">
        <f ca="1">($M$5+$M$6-$M$8+R15)*Q16</f>
        <v>11535.279299999997</v>
      </c>
    </row>
    <row r="17" spans="1:23">
      <c r="B17" s="1265" t="s">
        <v>1190</v>
      </c>
      <c r="C17" s="1265" t="s">
        <v>1191</v>
      </c>
      <c r="D17" s="1265"/>
      <c r="E17" s="1265" t="s">
        <v>1192</v>
      </c>
      <c r="F17" s="1265" t="s">
        <v>1193</v>
      </c>
      <c r="K17" s="141" t="s">
        <v>1194</v>
      </c>
      <c r="L17" s="141">
        <f ca="1">IF(CAPA!H33="",(L5+L6-L8+L16)/(1-L14)*L14,CAPA!H33)</f>
        <v>10158.574814635187</v>
      </c>
      <c r="M17" s="141">
        <f ca="1">IF(CAPA!H33="",(M5+M6-M8+M16)/(1-M14)*M14,CAPA!H33)</f>
        <v>11688.787055420087</v>
      </c>
      <c r="N17" s="476">
        <f ca="1">IF(CAPA!P1="verdadeiro",IF($M$21&lt;$M$20,M17,($M$20/$M$21)*M17),M17)+M23</f>
        <v>11535.279299999997</v>
      </c>
      <c r="O17" s="142"/>
      <c r="P17" s="68" t="s">
        <v>1195</v>
      </c>
      <c r="Q17" s="398">
        <f ca="1">Q15-Q16</f>
        <v>0</v>
      </c>
      <c r="R17" s="69">
        <f ca="1">R15-R16</f>
        <v>0</v>
      </c>
    </row>
    <row r="18" spans="1:23">
      <c r="B18" s="78" t="s">
        <v>270</v>
      </c>
      <c r="C18" s="797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8"/>
      <c r="H18" s="800"/>
      <c r="I18" s="134"/>
      <c r="K18" s="141" t="s">
        <v>1173</v>
      </c>
      <c r="L18" s="141">
        <f ca="1">(L16+L17)*L15</f>
        <v>303.36997671366515</v>
      </c>
      <c r="M18" s="476"/>
      <c r="N18" s="1634">
        <f ca="1">(N16+N17)*N15</f>
        <v>350.23906484425817</v>
      </c>
      <c r="P18" s="68" t="s">
        <v>1196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1894.971763920269</v>
      </c>
      <c r="D19" s="89"/>
      <c r="E19" s="89">
        <v>0</v>
      </c>
      <c r="F19" s="77">
        <v>0</v>
      </c>
      <c r="G19" s="799"/>
      <c r="H19" s="800"/>
      <c r="K19" s="1270" t="s">
        <v>1176</v>
      </c>
      <c r="L19" s="1270">
        <f ca="1">(L5+L6)*L15</f>
        <v>3220.1286997712637</v>
      </c>
      <c r="M19" s="1586"/>
      <c r="N19" s="1635">
        <f ca="1">(M5+M6)*N15</f>
        <v>3273.9337351557419</v>
      </c>
      <c r="Q19" s="142"/>
    </row>
    <row r="20" spans="1:23">
      <c r="B20" s="78" t="str">
        <f>B63</f>
        <v>Angra</v>
      </c>
      <c r="C20" s="256">
        <f ca="1">C63*O30</f>
        <v>4381.9798071596342</v>
      </c>
      <c r="D20" s="89"/>
      <c r="E20" s="89">
        <f>E63</f>
        <v>349.15</v>
      </c>
      <c r="F20" s="77">
        <f ca="1">E20*C20</f>
        <v>1529968.2496697861</v>
      </c>
      <c r="G20" s="799"/>
      <c r="H20" s="800"/>
      <c r="J20" s="134"/>
      <c r="K20" s="141" t="s">
        <v>1197</v>
      </c>
      <c r="L20" s="141"/>
      <c r="M20" s="1662">
        <v>11535.279299999997</v>
      </c>
      <c r="N20" s="399"/>
      <c r="O20" s="142"/>
    </row>
    <row r="21" spans="1:23">
      <c r="B21" s="78" t="str">
        <f>B64</f>
        <v>CCGF</v>
      </c>
      <c r="C21" s="256">
        <f ca="1">(C64+C65)*O30</f>
        <v>29227.95051678142</v>
      </c>
      <c r="D21" s="89"/>
      <c r="E21" s="89">
        <f>SUM(F64:F65)/(C64+C65)</f>
        <v>145.39655665520965</v>
      </c>
      <c r="F21" s="77">
        <f ca="1">E21*C21</f>
        <v>4249643.3632288743</v>
      </c>
      <c r="G21" s="799"/>
      <c r="H21" s="800"/>
      <c r="K21" s="1270" t="s">
        <v>1198</v>
      </c>
      <c r="L21" s="1270"/>
      <c r="M21" s="1270">
        <f ca="1">M16+M17</f>
        <v>11688.787055420087</v>
      </c>
      <c r="N21" s="1278"/>
    </row>
    <row r="22" spans="1:23">
      <c r="B22" s="78" t="s">
        <v>1199</v>
      </c>
      <c r="C22" s="256">
        <f ca="1">IF(J60=0,E35,(J48+J60))*O30</f>
        <v>87483.01301213869</v>
      </c>
      <c r="D22" s="89"/>
      <c r="E22" s="89">
        <f ca="1">IF(K60=0,H35,(N48+N60)/(M48+M60))</f>
        <v>175.98564340395868</v>
      </c>
      <c r="F22" s="77">
        <f ca="1">E22*C22</f>
        <v>15395754.331858117</v>
      </c>
      <c r="G22" s="799"/>
      <c r="H22" s="800"/>
      <c r="K22" s="68" t="s">
        <v>2194</v>
      </c>
      <c r="M22" s="1583">
        <f>SUMIFS(TabPerdaDIT[Valor],TabPerdaDIT[Dados de perda],"Perdas RB")</f>
        <v>3624.1728000000003</v>
      </c>
    </row>
    <row r="23" spans="1:23">
      <c r="B23" s="1279" t="s">
        <v>1200</v>
      </c>
      <c r="C23" s="1280">
        <f ca="1">SUM(C18:C22)</f>
        <v>122987.91510000001</v>
      </c>
      <c r="D23" s="1281"/>
      <c r="E23" s="1281">
        <f ca="1">IF(SUM(C18:C22)=0,0,SUM(F18:F22)/SUM(C18:C22))</f>
        <v>172.17436304647768</v>
      </c>
      <c r="F23" s="1282">
        <f ca="1">SUM(F18:F22)</f>
        <v>21175365.944756776</v>
      </c>
      <c r="G23" s="799"/>
      <c r="H23" s="800"/>
      <c r="K23" s="68" t="s">
        <v>2302</v>
      </c>
      <c r="M23" s="1583">
        <f>SUMIFS(TabPerdaDIT[Valor],TabPerdaDIT[Dados de perda],"Perdas DITs")</f>
        <v>0</v>
      </c>
    </row>
    <row r="24" spans="1:23" ht="27.75" customHeight="1">
      <c r="F24" s="135"/>
      <c r="G24" s="799"/>
      <c r="H24" s="848"/>
      <c r="J24" s="72"/>
      <c r="K24" s="1283" t="s">
        <v>1201</v>
      </c>
      <c r="L24" s="1283"/>
      <c r="M24" s="1284">
        <f ca="1">SUMIF(CUSD!F6:F30,"Energia",CUSD!G6:G30)/1000-M7</f>
        <v>17823.600319999998</v>
      </c>
      <c r="N24" s="68">
        <f ca="1">LnkTXTEV</f>
        <v>107828.46300000002</v>
      </c>
    </row>
    <row r="25" spans="1:23">
      <c r="D25" s="142"/>
      <c r="E25" s="93"/>
      <c r="F25" s="135"/>
      <c r="G25" s="127"/>
      <c r="H25" s="72"/>
      <c r="I25" s="72"/>
      <c r="J25" s="72"/>
      <c r="K25" s="1283" t="s">
        <v>878</v>
      </c>
      <c r="L25" s="1283"/>
      <c r="M25" s="1285">
        <f>E35+M26+C70</f>
        <v>5045</v>
      </c>
      <c r="N25" s="782">
        <f ca="1">M24/M25-1</f>
        <v>2.5329237502477695</v>
      </c>
    </row>
    <row r="26" spans="1:23">
      <c r="A26" s="74"/>
      <c r="B26" s="895" t="s">
        <v>2193</v>
      </c>
      <c r="F26" s="91"/>
      <c r="G26" s="72"/>
      <c r="H26" s="72"/>
      <c r="I26" s="72"/>
      <c r="K26" s="1283" t="s">
        <v>1202</v>
      </c>
      <c r="L26" s="1283"/>
      <c r="M26" s="1286">
        <f>SUMIFS(Faturas!V:V,Faturas!U:U,"Proinfa*")/1000</f>
        <v>0</v>
      </c>
    </row>
    <row r="27" spans="1:23" ht="24" customHeight="1">
      <c r="B27" s="1287" t="s">
        <v>27</v>
      </c>
      <c r="C27" s="1287" t="s">
        <v>953</v>
      </c>
      <c r="D27" s="1287" t="s">
        <v>1203</v>
      </c>
      <c r="E27" s="1287" t="s">
        <v>976</v>
      </c>
      <c r="F27" s="1287" t="s">
        <v>1204</v>
      </c>
      <c r="G27" s="1288" t="s">
        <v>1205</v>
      </c>
      <c r="H27" s="1288" t="s">
        <v>1206</v>
      </c>
      <c r="I27" s="1288" t="s">
        <v>1207</v>
      </c>
      <c r="K27" s="130"/>
      <c r="L27" s="130"/>
      <c r="M27" s="844"/>
      <c r="N27" s="101"/>
      <c r="O27" s="101"/>
    </row>
    <row r="28" spans="1:23">
      <c r="A28" s="74" t="s">
        <v>2319</v>
      </c>
      <c r="B28" s="524" t="s">
        <v>2320</v>
      </c>
      <c r="C28" s="524" t="s">
        <v>2177</v>
      </c>
      <c r="D28" s="524">
        <f>IF(B28="","",SUMIFS(Faturas!V:V,Faturas!U:U,"Consumo*",Faturas!S:S,Energia!C28,Faturas!R:R,Energia!B28))</f>
        <v>5045000</v>
      </c>
      <c r="E28" s="524">
        <f>IF(B28="","",D28/1000)</f>
        <v>5045</v>
      </c>
      <c r="F28" s="616">
        <f>I28</f>
        <v>0</v>
      </c>
      <c r="G28" s="525">
        <f>IFERROR(VLOOKUP(CONCATENATE(A28,A78),BD!$H$43:$S$59,12,FALSE),"")</f>
        <v>273.92</v>
      </c>
      <c r="H28" s="525">
        <f>IF(B28="","",IFERROR(G28*(1-F28),0))</f>
        <v>273.92</v>
      </c>
      <c r="I28" s="523">
        <f>IF(A78="","",_xlfn.IFNA(VLOOKUP(CONCATENATE($B$2,A28,A78),DescontosTE[[#All],[chave]:[2021]],8,FALSE),0))</f>
        <v>0</v>
      </c>
      <c r="K28" s="71" t="s">
        <v>1208</v>
      </c>
      <c r="L28" s="71"/>
      <c r="Q28" s="68" t="s">
        <v>976</v>
      </c>
      <c r="R28" s="68" t="s">
        <v>1204</v>
      </c>
      <c r="S28" s="68" t="s">
        <v>1205</v>
      </c>
      <c r="T28" s="68" t="s">
        <v>1206</v>
      </c>
      <c r="U28" s="68" t="s">
        <v>1207</v>
      </c>
    </row>
    <row r="29" spans="1:23" ht="16.5">
      <c r="A29" s="74" t="s">
        <v>2321</v>
      </c>
      <c r="B29" s="524" t="s">
        <v>2322</v>
      </c>
      <c r="C29" s="524" t="s">
        <v>2177</v>
      </c>
      <c r="D29" s="524">
        <f>IF(B29="","",SUMIFS(Faturas!V:V,Faturas!U:U,"Consumo*",Faturas!S:S,Energia!C29,Faturas!R:R,Energia!B29))</f>
        <v>0</v>
      </c>
      <c r="E29" s="524">
        <f>IF(B29="","",D29/1000)</f>
        <v>0</v>
      </c>
      <c r="F29" s="616">
        <f t="shared" ref="F29:F32" si="1">I29</f>
        <v>0</v>
      </c>
      <c r="G29" s="525">
        <f>IFERROR(VLOOKUP(CONCATENATE(A29,A79),BD!$H$43:$S$59,12,FALSE),"")</f>
        <v>316.45999999999998</v>
      </c>
      <c r="H29" s="525">
        <f t="shared" ref="H29:H34" si="2">IF(B29="","",IFERROR(G29*(1-F29),0))</f>
        <v>316.45999999999998</v>
      </c>
      <c r="I29" s="523">
        <f>IF(A79="","",_xlfn.IFNA(VLOOKUP(CONCATENATE($B$2,A29,A79),DescontosTE[[#All],[chave]:[2021]],8,FALSE),0))</f>
        <v>0</v>
      </c>
      <c r="K29" s="1289" t="s">
        <v>22</v>
      </c>
      <c r="L29" s="1290"/>
      <c r="M29" s="1290" t="s">
        <v>1209</v>
      </c>
      <c r="N29" s="1290" t="s">
        <v>1210</v>
      </c>
      <c r="O29" s="1291" t="s">
        <v>1211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5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4"/>
      <c r="C30" s="524"/>
      <c r="D30" s="524" t="str">
        <f>IF(B30="","",SUMIFS(Faturas!V:V,Faturas!U:U,"Consumo*",Faturas!S:S,Energia!C30,Faturas!R:R,Energia!B30))</f>
        <v/>
      </c>
      <c r="E30" s="524" t="str">
        <f>IF(B30="","",D30/1000)</f>
        <v/>
      </c>
      <c r="F30" s="616" t="str">
        <f t="shared" si="1"/>
        <v/>
      </c>
      <c r="G30" s="525" t="str">
        <f>IFERROR(VLOOKUP(CONCATENATE(A30,A80),BD!$H$43:$S$59,12,FALSE),"")</f>
        <v/>
      </c>
      <c r="H30" s="525" t="str">
        <f t="shared" si="2"/>
        <v/>
      </c>
      <c r="I30" s="523" t="str">
        <f>IF(A80="","",_xlfn.IFNA(VLOOKUP(CONCATENATE($B$2,A30,A80),DescontosTE[[#All],[chave]:[2021]],8,FALSE),0))</f>
        <v/>
      </c>
      <c r="K30" s="68" t="s">
        <v>1212</v>
      </c>
      <c r="M30" s="142">
        <f>IF(J60=0,E35,(J48+J60))+C63+C64+C65+C70</f>
        <v>119408.41791453797</v>
      </c>
      <c r="N30" s="93">
        <f ca="1">LnkTXTER-LnkTXTProinfa</f>
        <v>121092.94333607974</v>
      </c>
      <c r="O30" s="212">
        <f ca="1">N30/M30</f>
        <v>1.0141072585246662</v>
      </c>
      <c r="P30" s="130"/>
      <c r="Q30" s="68">
        <v>121096.97702999999</v>
      </c>
      <c r="R30" s="68">
        <v>0.63819999999999999</v>
      </c>
      <c r="S30" s="68">
        <v>273.60000000000002</v>
      </c>
      <c r="T30" s="525" t="str">
        <f>IF(J28="","",IFERROR(S30*(1-R30),0))</f>
        <v/>
      </c>
      <c r="U30" s="142" t="e">
        <f t="shared" ref="U30" si="3">T30*Q30</f>
        <v>#VALUE!</v>
      </c>
      <c r="V30" s="68">
        <f t="shared" ref="V30" si="4">S30*Q30</f>
        <v>33132132.915408</v>
      </c>
      <c r="W30" s="142" t="e">
        <f t="shared" ref="V30:W31" si="5">V30-U30</f>
        <v>#VALUE!</v>
      </c>
    </row>
    <row r="31" spans="1:23" ht="15.75">
      <c r="A31" s="74"/>
      <c r="B31" s="524"/>
      <c r="C31" s="524"/>
      <c r="D31" s="524" t="str">
        <f>IF(B31="","",SUMIFS(Faturas!V:V,Faturas!U:U,"Consumo*",Faturas!S:S,Energia!C31,Faturas!R:R,Energia!B31))</f>
        <v/>
      </c>
      <c r="E31" s="524" t="str">
        <f t="shared" ref="E31:E34" si="6">IF(B31="","",D31/1000)</f>
        <v/>
      </c>
      <c r="F31" s="616" t="str">
        <f t="shared" si="1"/>
        <v/>
      </c>
      <c r="G31" s="525" t="str">
        <f>IFERROR(VLOOKUP(CONCATENATE(A31,A81),BD!$H$43:$S$59,12,FALSE),"")</f>
        <v/>
      </c>
      <c r="H31" s="525" t="str">
        <f t="shared" si="2"/>
        <v/>
      </c>
      <c r="I31" s="523" t="str">
        <f>IF(A81="","",_xlfn.IFNA(VLOOKUP(CONCATENATE($B$2,A31,A81),DescontosTE[[#All],[chave]:[2021]],8,FALSE),0))</f>
        <v/>
      </c>
      <c r="K31" s="831"/>
      <c r="L31" s="833"/>
      <c r="M31" s="832"/>
      <c r="N31" s="834"/>
      <c r="O31" s="130"/>
      <c r="P31" s="68">
        <v>252593.90320000003</v>
      </c>
      <c r="Q31" s="68">
        <v>0.53600000000000003</v>
      </c>
      <c r="R31" s="68">
        <v>273.60000000000002</v>
      </c>
      <c r="S31" s="525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5"/>
        <v>#VALUE!</v>
      </c>
    </row>
    <row r="32" spans="1:23" ht="15.75">
      <c r="A32" s="74"/>
      <c r="B32" s="524"/>
      <c r="C32" s="524"/>
      <c r="D32" s="524" t="str">
        <f>IF(B32="","",SUMIFS(Faturas!V:V,Faturas!U:U,"Consumo*",Faturas!S:S,Energia!C32,Faturas!R:R,Energia!B32))</f>
        <v/>
      </c>
      <c r="E32" s="524" t="str">
        <f t="shared" si="6"/>
        <v/>
      </c>
      <c r="F32" s="616" t="str">
        <f t="shared" si="1"/>
        <v/>
      </c>
      <c r="G32" s="525" t="str">
        <f>IFERROR(VLOOKUP(CONCATENATE(A32,A82),BD!$H$43:$S$59,12,FALSE),"")</f>
        <v/>
      </c>
      <c r="H32" s="525" t="str">
        <f t="shared" si="2"/>
        <v/>
      </c>
      <c r="I32" s="523" t="str">
        <f>IF(A82="","",_xlfn.IFNA(VLOOKUP(CONCATENATE($B$2,A32,A82),DescontosTE[[#All],[chave]:[2021]],8,FALSE),0))</f>
        <v/>
      </c>
      <c r="K32" s="1804"/>
      <c r="L32" s="1804"/>
      <c r="M32" s="835"/>
      <c r="N32" s="835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>SUM(V29:V31)</f>
        <v>#VALUE!</v>
      </c>
    </row>
    <row r="33" spans="1:22" ht="16.5" customHeight="1">
      <c r="A33" s="74"/>
      <c r="B33" s="524"/>
      <c r="C33" s="524"/>
      <c r="D33" s="524"/>
      <c r="E33" s="524" t="str">
        <f t="shared" si="6"/>
        <v/>
      </c>
      <c r="F33" s="616" t="str">
        <f t="shared" ref="F33:F34" si="7">IF(B33="","",I33)</f>
        <v/>
      </c>
      <c r="G33" s="525" t="str">
        <f>IFERROR(VLOOKUP(CONCATENATE(A33,A83),BD!$H$43:$S$59,12,FALSE),"")</f>
        <v/>
      </c>
      <c r="H33" s="525" t="str">
        <f t="shared" si="2"/>
        <v/>
      </c>
      <c r="I33" s="523" t="str">
        <f>IF(A83="","",_xlfn.IFNA(VLOOKUP(CONCATENATE($B$2,A33,A83),DescontosTE[[#All],[chave]:[2021]],8,FALSE),0))</f>
        <v/>
      </c>
      <c r="K33" s="836"/>
      <c r="L33" s="837"/>
      <c r="M33" s="835"/>
      <c r="N33" s="833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4"/>
      <c r="C34" s="524"/>
      <c r="D34" s="524" t="str">
        <f>IF(B34="","",SUMIFS(Faturas!V:V,Faturas!U:U,"Consumo*",Faturas!S:S,Energia!C34,Faturas!R:R,Energia!B34))</f>
        <v/>
      </c>
      <c r="E34" s="524" t="str">
        <f t="shared" si="6"/>
        <v/>
      </c>
      <c r="F34" s="616" t="str">
        <f t="shared" si="7"/>
        <v/>
      </c>
      <c r="G34" s="525" t="str">
        <f>IFERROR(VLOOKUP(CONCATENATE(A34,A84),BD!$H$43:$S$59,12,FALSE),"")</f>
        <v/>
      </c>
      <c r="H34" s="525" t="str">
        <f t="shared" si="2"/>
        <v/>
      </c>
      <c r="I34" s="523" t="str">
        <f>IF(A84="","",_xlfn.IFNA(VLOOKUP(CONCATENATE($B$2,A34,A84),DescontosTE[[#All],[chave]:[2021]],8,FALSE),0))</f>
        <v/>
      </c>
      <c r="K34" s="1706" t="s">
        <v>2363</v>
      </c>
      <c r="L34" s="1707"/>
      <c r="M34" s="780"/>
      <c r="N34" s="101"/>
      <c r="O34" s="130"/>
      <c r="V34" s="142" t="e">
        <f>V32+V33</f>
        <v>#VALUE!</v>
      </c>
    </row>
    <row r="35" spans="1:22" ht="14.25" customHeight="1">
      <c r="A35" s="74"/>
      <c r="B35" s="761"/>
      <c r="C35" s="762"/>
      <c r="D35" s="763">
        <f>SUM(D28:D34)</f>
        <v>5045000</v>
      </c>
      <c r="E35" s="763">
        <f>SUM(E28:E34)</f>
        <v>5045</v>
      </c>
      <c r="F35" s="760"/>
      <c r="G35" s="756">
        <f>IFERROR(SUMPRODUCT(G28:G34,E28:E34)/SUM(E28:E34),0)</f>
        <v>273.92</v>
      </c>
      <c r="H35" s="757">
        <f>IFERROR(SUMPRODUCT(H28:H34,E28:E34)/SUM(E28:E34),0)</f>
        <v>273.92</v>
      </c>
      <c r="I35" s="756"/>
      <c r="K35" s="1708" t="s">
        <v>2364</v>
      </c>
      <c r="L35" s="1709">
        <f ca="1">(L16+L17+L18+L19)/LnkTXTEV</f>
        <v>0.12688740162344811</v>
      </c>
      <c r="M35" s="780"/>
      <c r="N35" s="781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5" t="s">
        <v>2190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95" t="s">
        <v>2191</v>
      </c>
      <c r="C39" s="69"/>
      <c r="G39" s="137"/>
      <c r="O39" s="130"/>
    </row>
    <row r="40" spans="1:22" ht="24" customHeight="1">
      <c r="A40" s="74"/>
      <c r="B40" s="1292" t="s">
        <v>854</v>
      </c>
      <c r="C40" s="1293" t="s">
        <v>1213</v>
      </c>
      <c r="D40" s="1294"/>
      <c r="E40" s="1293" t="s">
        <v>62</v>
      </c>
      <c r="F40" s="1293" t="s">
        <v>61</v>
      </c>
      <c r="G40" s="1293" t="s">
        <v>1214</v>
      </c>
      <c r="H40" s="1293" t="s">
        <v>1215</v>
      </c>
      <c r="I40" s="1293" t="s">
        <v>1216</v>
      </c>
      <c r="J40" s="1293" t="s">
        <v>976</v>
      </c>
      <c r="K40" s="1293" t="s">
        <v>1217</v>
      </c>
      <c r="L40" s="1293" t="s">
        <v>1218</v>
      </c>
      <c r="M40" s="1293" t="s">
        <v>1219</v>
      </c>
      <c r="N40" s="1293" t="s">
        <v>1220</v>
      </c>
      <c r="O40" s="130"/>
    </row>
    <row r="41" spans="1:22" ht="24" customHeight="1">
      <c r="A41" s="74"/>
      <c r="B41" s="1576" t="s">
        <v>2332</v>
      </c>
      <c r="C41" s="1576"/>
      <c r="D41" s="1576"/>
      <c r="E41" s="1577"/>
      <c r="F41" s="1578"/>
      <c r="G41" s="1579"/>
      <c r="H41" s="1580"/>
      <c r="I41" s="1577"/>
      <c r="J41" s="1576">
        <f>C90</f>
        <v>5800.4999999999991</v>
      </c>
      <c r="K41" s="1581">
        <f>H28</f>
        <v>273.92</v>
      </c>
      <c r="L41" s="829">
        <f>IFERROR(J41*K41,0)</f>
        <v>1588872.9599999997</v>
      </c>
      <c r="M41" s="838">
        <f t="shared" ref="M41:M47" ca="1" si="8">IFERROR(J41*$O$30,0)</f>
        <v>5882.3291530723254</v>
      </c>
      <c r="N41" s="829">
        <f ca="1">IFERROR(K41*M41,0)</f>
        <v>1611287.6016095714</v>
      </c>
      <c r="O41" s="130"/>
    </row>
    <row r="42" spans="1:22" ht="24" customHeight="1">
      <c r="A42" s="74"/>
      <c r="B42" s="1576"/>
      <c r="C42" s="1576"/>
      <c r="D42" s="1576"/>
      <c r="E42" s="1577"/>
      <c r="F42" s="1578"/>
      <c r="G42" s="1579"/>
      <c r="H42" s="1580"/>
      <c r="I42" s="1582"/>
      <c r="J42" s="1576"/>
      <c r="K42" s="1581"/>
      <c r="L42" s="829">
        <f>IFERROR(J42*K42,0)</f>
        <v>0</v>
      </c>
      <c r="M42" s="838">
        <f t="shared" ca="1" si="8"/>
        <v>0</v>
      </c>
      <c r="N42" s="829">
        <f ca="1">IFERROR(K42*M42,0)</f>
        <v>0</v>
      </c>
      <c r="O42" s="130"/>
    </row>
    <row r="43" spans="1:22" ht="24" customHeight="1">
      <c r="A43" s="74"/>
      <c r="B43" s="1576"/>
      <c r="C43" s="1576"/>
      <c r="D43" s="1576"/>
      <c r="E43" s="1577"/>
      <c r="F43" s="1578"/>
      <c r="G43" s="1579"/>
      <c r="H43" s="1580"/>
      <c r="I43" s="1577"/>
      <c r="J43" s="1576"/>
      <c r="K43" s="1581"/>
      <c r="L43" s="829">
        <f t="shared" ref="L43:L47" si="9">J43*K43</f>
        <v>0</v>
      </c>
      <c r="M43" s="838">
        <f t="shared" ca="1" si="8"/>
        <v>0</v>
      </c>
      <c r="N43" s="829">
        <f t="shared" ref="N43:N47" ca="1" si="10">K43*M43</f>
        <v>0</v>
      </c>
      <c r="O43" s="130"/>
    </row>
    <row r="44" spans="1:22" ht="24" customHeight="1">
      <c r="A44" s="74"/>
      <c r="B44" s="1576"/>
      <c r="C44" s="1576"/>
      <c r="D44" s="1576" t="s">
        <v>138</v>
      </c>
      <c r="E44" s="1577" t="str">
        <f t="shared" ref="E44:E47" si="11">IF(B44="","",D44/1000)</f>
        <v/>
      </c>
      <c r="F44" s="1578" t="str">
        <f>IF(B44="","",I44)</f>
        <v/>
      </c>
      <c r="G44" s="1579" t="s">
        <v>138</v>
      </c>
      <c r="H44" s="1580"/>
      <c r="I44" s="1577"/>
      <c r="J44" s="1576"/>
      <c r="K44" s="1581"/>
      <c r="L44" s="829">
        <f t="shared" si="9"/>
        <v>0</v>
      </c>
      <c r="M44" s="838">
        <f t="shared" ca="1" si="8"/>
        <v>0</v>
      </c>
      <c r="N44" s="829">
        <f ca="1">K44*M44</f>
        <v>0</v>
      </c>
      <c r="O44" s="130"/>
    </row>
    <row r="45" spans="1:22" ht="24" customHeight="1">
      <c r="A45" s="74"/>
      <c r="B45" s="1576"/>
      <c r="C45" s="1576"/>
      <c r="D45" s="1576" t="s">
        <v>138</v>
      </c>
      <c r="E45" s="1577" t="str">
        <f t="shared" si="11"/>
        <v/>
      </c>
      <c r="F45" s="1578" t="str">
        <f>IF(B45="","",I45)</f>
        <v/>
      </c>
      <c r="G45" s="1579" t="s">
        <v>138</v>
      </c>
      <c r="H45" s="1580"/>
      <c r="I45" s="1577"/>
      <c r="J45" s="1576"/>
      <c r="K45" s="1581"/>
      <c r="L45" s="829">
        <f t="shared" si="9"/>
        <v>0</v>
      </c>
      <c r="M45" s="838">
        <f t="shared" ca="1" si="8"/>
        <v>0</v>
      </c>
      <c r="N45" s="829">
        <f t="shared" ca="1" si="10"/>
        <v>0</v>
      </c>
      <c r="O45" s="130"/>
    </row>
    <row r="46" spans="1:22" ht="24" customHeight="1">
      <c r="A46" s="74"/>
      <c r="B46" s="1576"/>
      <c r="C46" s="1576"/>
      <c r="D46" s="1576" t="s">
        <v>138</v>
      </c>
      <c r="E46" s="1577" t="str">
        <f t="shared" si="11"/>
        <v/>
      </c>
      <c r="F46" s="1578" t="str">
        <f>IF(B46="","",I46)</f>
        <v/>
      </c>
      <c r="G46" s="1579" t="s">
        <v>138</v>
      </c>
      <c r="H46" s="1580"/>
      <c r="I46" s="1577"/>
      <c r="J46" s="1576"/>
      <c r="K46" s="1581"/>
      <c r="L46" s="829">
        <f t="shared" si="9"/>
        <v>0</v>
      </c>
      <c r="M46" s="838">
        <f t="shared" ca="1" si="8"/>
        <v>0</v>
      </c>
      <c r="N46" s="829">
        <f t="shared" ca="1" si="10"/>
        <v>0</v>
      </c>
      <c r="O46" s="130"/>
    </row>
    <row r="47" spans="1:22" ht="24" customHeight="1">
      <c r="A47" s="74"/>
      <c r="B47" s="1576"/>
      <c r="C47" s="1576"/>
      <c r="D47" s="1576" t="s">
        <v>138</v>
      </c>
      <c r="E47" s="1577" t="str">
        <f t="shared" si="11"/>
        <v/>
      </c>
      <c r="F47" s="1578" t="str">
        <f>IF(B47="","",I47)</f>
        <v/>
      </c>
      <c r="G47" s="1579" t="s">
        <v>138</v>
      </c>
      <c r="H47" s="1580"/>
      <c r="I47" s="1577"/>
      <c r="J47" s="1576"/>
      <c r="K47" s="1581"/>
      <c r="L47" s="829">
        <f t="shared" si="9"/>
        <v>0</v>
      </c>
      <c r="M47" s="838">
        <f t="shared" ca="1" si="8"/>
        <v>0</v>
      </c>
      <c r="N47" s="829">
        <f t="shared" ca="1" si="10"/>
        <v>0</v>
      </c>
      <c r="O47" s="130"/>
    </row>
    <row r="48" spans="1:22" ht="24" customHeight="1">
      <c r="A48" s="74"/>
      <c r="B48" s="1295" t="s">
        <v>845</v>
      </c>
      <c r="C48" s="1296"/>
      <c r="D48" s="1296"/>
      <c r="E48" s="1295"/>
      <c r="F48" s="1295"/>
      <c r="G48" s="1297"/>
      <c r="H48" s="1295"/>
      <c r="I48" s="1295"/>
      <c r="J48" s="1298">
        <f>SUM(J41:J47)</f>
        <v>5800.4999999999991</v>
      </c>
      <c r="K48" s="1299">
        <f ca="1">IFERROR(SUMPRODUCT(K41:K47,M41:M47)/SUM(M41:M47),0)</f>
        <v>273.92</v>
      </c>
      <c r="L48" s="1295"/>
      <c r="M48" s="1300">
        <f ca="1">SUM(M41:M47)</f>
        <v>5882.3291530723254</v>
      </c>
      <c r="N48" s="1300">
        <f ca="1">SUM(N41:N47)</f>
        <v>1611287.6016095714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5" t="s">
        <v>2192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92" t="s">
        <v>854</v>
      </c>
      <c r="C52" s="1293" t="s">
        <v>1213</v>
      </c>
      <c r="D52" s="1294"/>
      <c r="E52" s="1293" t="s">
        <v>62</v>
      </c>
      <c r="F52" s="1293" t="s">
        <v>61</v>
      </c>
      <c r="G52" s="1293" t="s">
        <v>1214</v>
      </c>
      <c r="H52" s="1293" t="s">
        <v>1215</v>
      </c>
      <c r="I52" s="1293" t="s">
        <v>1216</v>
      </c>
      <c r="J52" s="1293" t="s">
        <v>976</v>
      </c>
      <c r="K52" s="1293" t="s">
        <v>1217</v>
      </c>
      <c r="L52" s="1293" t="s">
        <v>1218</v>
      </c>
      <c r="M52" s="1293" t="s">
        <v>1219</v>
      </c>
      <c r="N52" s="1293" t="s">
        <v>1220</v>
      </c>
      <c r="O52" s="130"/>
      <c r="V52" s="142" t="e">
        <f>V34-V51</f>
        <v>#VALUE!</v>
      </c>
    </row>
    <row r="53" spans="1:22" ht="18" customHeight="1">
      <c r="A53" s="74"/>
      <c r="B53" s="1576" t="s">
        <v>2336</v>
      </c>
      <c r="C53" s="1576"/>
      <c r="D53" s="1576" t="s">
        <v>138</v>
      </c>
      <c r="E53" s="1577">
        <v>146.85</v>
      </c>
      <c r="F53" s="1578">
        <v>43831</v>
      </c>
      <c r="G53" s="1579">
        <v>44562</v>
      </c>
      <c r="H53" s="1580"/>
      <c r="I53" s="1667"/>
      <c r="J53" s="1668">
        <f>H94</f>
        <v>80465.535743999993</v>
      </c>
      <c r="K53" s="1581">
        <f>IFERROR(E53*(VLOOKUP(EDATE(G53,-1),Índices!B5:D499,3,FALSE)/VLOOKUP(EDATE(F53,-1),Índices!B5:D499,3,FALSE)),0)</f>
        <v>168.92587265636013</v>
      </c>
      <c r="L53" s="829">
        <f>IFERROR(J53*K53,0)</f>
        <v>13592710.844316738</v>
      </c>
      <c r="M53" s="838">
        <f t="shared" ref="M53:M59" ca="1" si="12">IFERROR(J53*$O$30,0)</f>
        <v>81600.683859066368</v>
      </c>
      <c r="N53" s="829">
        <f ca="1">IFERROR(K53*M53,0)</f>
        <v>13784466.730248546</v>
      </c>
      <c r="O53" s="136"/>
    </row>
    <row r="54" spans="1:22">
      <c r="B54" s="1576"/>
      <c r="C54" s="1576"/>
      <c r="D54" s="1576"/>
      <c r="E54" s="1577"/>
      <c r="F54" s="1578"/>
      <c r="G54" s="1579"/>
      <c r="H54" s="1580"/>
      <c r="I54" s="1582"/>
      <c r="J54" s="1576"/>
      <c r="K54" s="1581">
        <f>IFERROR(E54*(VLOOKUP(EDATE(G54,-1),Índices!B6:D500,3,FALSE)/VLOOKUP(EDATE(F54,-1),Índices!B6:D500,3,FALSE)),0)</f>
        <v>0</v>
      </c>
      <c r="L54" s="829">
        <f>IFERROR(J54*K54,0)</f>
        <v>0</v>
      </c>
      <c r="M54" s="838">
        <f t="shared" ca="1" si="12"/>
        <v>0</v>
      </c>
      <c r="N54" s="829">
        <f ca="1">IFERROR(K54*M54,0)</f>
        <v>0</v>
      </c>
      <c r="V54" s="68">
        <v>7728827.6146981604</v>
      </c>
    </row>
    <row r="55" spans="1:22">
      <c r="B55" s="1576"/>
      <c r="C55" s="1576"/>
      <c r="D55" s="1576" t="s">
        <v>138</v>
      </c>
      <c r="E55" s="1577" t="str">
        <f t="shared" ref="E55:E59" si="13">IF(B55="","",D55/1000)</f>
        <v/>
      </c>
      <c r="F55" s="1578" t="str">
        <f>IF(B55="","",I55)</f>
        <v/>
      </c>
      <c r="G55" s="1579" t="s">
        <v>138</v>
      </c>
      <c r="H55" s="1580"/>
      <c r="I55" s="1577"/>
      <c r="J55" s="1576"/>
      <c r="K55" s="1581">
        <f>IFERROR(E55*(VLOOKUP(EDATE(G55,-1),Índices!B7:D501,3,FALSE)/VLOOKUP(EDATE(F55,-1),Índices!B7:D501,3,FALSE)),0)</f>
        <v>0</v>
      </c>
      <c r="L55" s="829">
        <f t="shared" ref="L55:L59" si="14">J55*K55</f>
        <v>0</v>
      </c>
      <c r="M55" s="838">
        <f t="shared" ca="1" si="12"/>
        <v>0</v>
      </c>
      <c r="N55" s="829">
        <f t="shared" ref="N55:N59" ca="1" si="15">K55*M55</f>
        <v>0</v>
      </c>
    </row>
    <row r="56" spans="1:22">
      <c r="B56" s="1576"/>
      <c r="C56" s="1576"/>
      <c r="D56" s="1576" t="s">
        <v>138</v>
      </c>
      <c r="E56" s="1577" t="str">
        <f t="shared" si="13"/>
        <v/>
      </c>
      <c r="F56" s="1578" t="str">
        <f>IF(B56="","",I56)</f>
        <v/>
      </c>
      <c r="G56" s="1579" t="s">
        <v>138</v>
      </c>
      <c r="H56" s="1580"/>
      <c r="I56" s="1577"/>
      <c r="J56" s="1576"/>
      <c r="K56" s="1581">
        <f>IFERROR(E56*(VLOOKUP(EDATE(G56,-1),Índices!B8:D502,3,FALSE)/VLOOKUP(EDATE(F56,-1),Índices!B8:D502,3,FALSE)),0)</f>
        <v>0</v>
      </c>
      <c r="L56" s="829">
        <f t="shared" si="14"/>
        <v>0</v>
      </c>
      <c r="M56" s="838">
        <f t="shared" ca="1" si="12"/>
        <v>0</v>
      </c>
      <c r="N56" s="829">
        <f t="shared" ca="1" si="15"/>
        <v>0</v>
      </c>
      <c r="V56" s="142" t="e">
        <f>V52+V54</f>
        <v>#VALUE!</v>
      </c>
    </row>
    <row r="57" spans="1:22">
      <c r="B57" s="1576"/>
      <c r="C57" s="1576"/>
      <c r="D57" s="1576" t="s">
        <v>138</v>
      </c>
      <c r="E57" s="1577" t="str">
        <f t="shared" si="13"/>
        <v/>
      </c>
      <c r="F57" s="1578" t="str">
        <f>IF(B57="","",I57)</f>
        <v/>
      </c>
      <c r="G57" s="1579" t="s">
        <v>138</v>
      </c>
      <c r="H57" s="1580"/>
      <c r="I57" s="1577"/>
      <c r="J57" s="1576"/>
      <c r="K57" s="1581">
        <f>IFERROR(E57*(VLOOKUP(EDATE(G57,-1),Índices!B9:D503,3,FALSE)/VLOOKUP(EDATE(F57,-1),Índices!B9:D503,3,FALSE)),0)</f>
        <v>0</v>
      </c>
      <c r="L57" s="829">
        <f t="shared" si="14"/>
        <v>0</v>
      </c>
      <c r="M57" s="838">
        <f t="shared" ca="1" si="12"/>
        <v>0</v>
      </c>
      <c r="N57" s="829">
        <f t="shared" ca="1" si="15"/>
        <v>0</v>
      </c>
    </row>
    <row r="58" spans="1:22">
      <c r="B58" s="1576"/>
      <c r="C58" s="1576"/>
      <c r="D58" s="1576" t="s">
        <v>138</v>
      </c>
      <c r="E58" s="1577" t="str">
        <f t="shared" si="13"/>
        <v/>
      </c>
      <c r="F58" s="1578" t="str">
        <f>IF(B58="","",I58)</f>
        <v/>
      </c>
      <c r="G58" s="1579" t="s">
        <v>138</v>
      </c>
      <c r="H58" s="1580"/>
      <c r="I58" s="1577"/>
      <c r="J58" s="1576"/>
      <c r="K58" s="1581">
        <f>IFERROR(E58*(VLOOKUP(EDATE(G58,-1),Índices!B10:D504,3,FALSE)/VLOOKUP(EDATE(F58,-1),Índices!B10:D504,3,FALSE)),0)</f>
        <v>0</v>
      </c>
      <c r="L58" s="829">
        <f t="shared" si="14"/>
        <v>0</v>
      </c>
      <c r="M58" s="838">
        <f t="shared" ca="1" si="12"/>
        <v>0</v>
      </c>
      <c r="N58" s="829">
        <f t="shared" ca="1" si="15"/>
        <v>0</v>
      </c>
    </row>
    <row r="59" spans="1:22">
      <c r="B59" s="1576"/>
      <c r="C59" s="1576"/>
      <c r="D59" s="1576" t="s">
        <v>138</v>
      </c>
      <c r="E59" s="1577" t="str">
        <f t="shared" si="13"/>
        <v/>
      </c>
      <c r="F59" s="1578" t="str">
        <f>IF(B59="","",I59)</f>
        <v/>
      </c>
      <c r="G59" s="1579" t="s">
        <v>138</v>
      </c>
      <c r="H59" s="1580"/>
      <c r="I59" s="1577"/>
      <c r="J59" s="1576"/>
      <c r="K59" s="1581">
        <f>IFERROR(E59*(VLOOKUP(EDATE(G59,-1),Índices!B11:D505,3,FALSE)/VLOOKUP(EDATE(F59,-1),Índices!B11:D505,3,FALSE)),0)</f>
        <v>0</v>
      </c>
      <c r="L59" s="829">
        <f t="shared" si="14"/>
        <v>0</v>
      </c>
      <c r="M59" s="838">
        <f t="shared" ca="1" si="12"/>
        <v>0</v>
      </c>
      <c r="N59" s="829">
        <f t="shared" ca="1" si="15"/>
        <v>0</v>
      </c>
    </row>
    <row r="60" spans="1:22">
      <c r="B60" s="1295" t="s">
        <v>845</v>
      </c>
      <c r="C60" s="1296"/>
      <c r="D60" s="1296"/>
      <c r="E60" s="1295"/>
      <c r="F60" s="1295"/>
      <c r="G60" s="1297"/>
      <c r="H60" s="1295"/>
      <c r="I60" s="1295"/>
      <c r="J60" s="1298">
        <f>SUM(J53:J59)</f>
        <v>80465.535743999993</v>
      </c>
      <c r="K60" s="1299">
        <f ca="1">IFERROR(SUMPRODUCT(K53:K59,M53:M59)/SUM(M53:M59),0)</f>
        <v>168.92587265636013</v>
      </c>
      <c r="L60" s="1295"/>
      <c r="M60" s="1300">
        <f ca="1">SUM(M53:M59)</f>
        <v>81600.683859066368</v>
      </c>
      <c r="N60" s="1300">
        <f ca="1">SUM(N53:N59)</f>
        <v>13784466.730248546</v>
      </c>
    </row>
    <row r="61" spans="1:22">
      <c r="C61" s="424"/>
      <c r="D61" s="424"/>
      <c r="E61" s="424"/>
      <c r="K61" s="68" t="s">
        <v>2195</v>
      </c>
    </row>
    <row r="62" spans="1:22" ht="15.75">
      <c r="B62" s="1301" t="s">
        <v>1221</v>
      </c>
      <c r="C62" s="1302" t="s">
        <v>1222</v>
      </c>
      <c r="D62" s="1303"/>
      <c r="E62" s="1304" t="s">
        <v>1223</v>
      </c>
      <c r="F62" s="1304" t="s">
        <v>1224</v>
      </c>
      <c r="H62" s="1305" t="s">
        <v>1225</v>
      </c>
      <c r="I62" s="1306" t="s">
        <v>42</v>
      </c>
      <c r="J62" s="1307" t="s">
        <v>43</v>
      </c>
      <c r="K62" s="1308" t="s">
        <v>1193</v>
      </c>
    </row>
    <row r="63" spans="1:22" ht="15.75">
      <c r="B63" s="78" t="s">
        <v>1226</v>
      </c>
      <c r="C63" s="845">
        <f>IF(ISERROR(VLOOKUP("Angra",AngraCota[],5,FALSE)),0,VLOOKUP("Angra",AngraCota[],5,FALSE))</f>
        <v>4321.022032259767</v>
      </c>
      <c r="D63" s="846">
        <f t="shared" ref="D63:D65" si="16">E63</f>
        <v>349.15</v>
      </c>
      <c r="E63" s="828">
        <f>IFERROR(VLOOKUP("Angra",AngraCota[],4,FALSE),0)</f>
        <v>349.15</v>
      </c>
      <c r="F63" s="108">
        <f>C63*E63</f>
        <v>1508684.8425634976</v>
      </c>
      <c r="H63" s="1309" t="s">
        <v>1227</v>
      </c>
      <c r="I63" s="1310" cm="1">
        <f t="array" ref="I63">GSFRH[GSF previsto]</f>
        <v>0.88500000000000001</v>
      </c>
      <c r="J63" s="1311" cm="1">
        <f t="array" ref="J63">GSFRH[PLD]</f>
        <v>195.04</v>
      </c>
      <c r="K63" s="1312">
        <f>(J63*(1-I63)*(C64+C65))</f>
        <v>646451.5793575251</v>
      </c>
    </row>
    <row r="64" spans="1:22" ht="15.75">
      <c r="B64" s="78" t="s">
        <v>1227</v>
      </c>
      <c r="C64" s="845">
        <f>BD!AE22</f>
        <v>12635.71101085159</v>
      </c>
      <c r="D64" s="846">
        <f t="shared" si="16"/>
        <v>152.35845172525617</v>
      </c>
      <c r="E64" s="828">
        <f>BD!AG22</f>
        <v>152.35845172525617</v>
      </c>
      <c r="F64" s="108">
        <f>C64*E64</f>
        <v>1925157.3660611198</v>
      </c>
      <c r="H64" s="839" t="s">
        <v>1228</v>
      </c>
      <c r="I64" s="840">
        <f>I63</f>
        <v>0.88500000000000001</v>
      </c>
      <c r="J64" s="841">
        <f>J63</f>
        <v>195.04</v>
      </c>
      <c r="K64" s="842"/>
    </row>
    <row r="65" spans="1:13" ht="15.75">
      <c r="B65" s="78" t="s">
        <v>1227</v>
      </c>
      <c r="C65" s="845">
        <f>BD!AE23</f>
        <v>16185.649127426634</v>
      </c>
      <c r="D65" s="846">
        <f t="shared" si="16"/>
        <v>139.96158809136514</v>
      </c>
      <c r="E65" s="828">
        <f>BD!AG23</f>
        <v>139.96158809136514</v>
      </c>
      <c r="F65" s="108">
        <f>C65*E65</f>
        <v>2265369.1561642503</v>
      </c>
      <c r="H65" s="843" t="s">
        <v>1229</v>
      </c>
      <c r="I65" s="840">
        <f>I64</f>
        <v>0.88500000000000001</v>
      </c>
      <c r="J65" s="841">
        <f>J64</f>
        <v>195.04</v>
      </c>
      <c r="K65" s="842">
        <f>(J65*(1-I65)*I68*K68*365*24)</f>
        <v>1039109.5968124688</v>
      </c>
      <c r="M65" s="68">
        <f>SUM(dados_MercadoBase[EnergiaRevenda],dados_MercadoBase[perdasnt],dados_MercadoBase[perdastec],dados_MercadoBase[perdasrb_d],dados_MercadoBase[perdasrb_c])</f>
        <v>19270899.865357097</v>
      </c>
    </row>
    <row r="66" spans="1:13" ht="15.75">
      <c r="B66" s="830"/>
      <c r="C66" s="830">
        <f>SUM(C63:C65)</f>
        <v>33142.382170537996</v>
      </c>
      <c r="D66" s="830"/>
      <c r="E66" s="830"/>
      <c r="F66" s="830">
        <f>SUM(F63:F65)</f>
        <v>5699211.3647888675</v>
      </c>
      <c r="H66" s="824" t="s">
        <v>1230</v>
      </c>
      <c r="I66" s="1313"/>
      <c r="J66" s="1314"/>
      <c r="K66" s="1315">
        <f>SUM(K63:K65)</f>
        <v>1685561.1761699938</v>
      </c>
    </row>
    <row r="67" spans="1:13" ht="15.75">
      <c r="H67" s="1805" t="s">
        <v>45</v>
      </c>
      <c r="I67" s="1805"/>
      <c r="J67" s="1316"/>
      <c r="K67" s="1316" t="s">
        <v>44</v>
      </c>
    </row>
    <row r="68" spans="1:13" ht="15.75">
      <c r="C68" s="124">
        <f ca="1">+C64*O30</f>
        <v>12813.966252724646</v>
      </c>
      <c r="F68" s="142">
        <f>F64+F65</f>
        <v>4190526.5222253702</v>
      </c>
      <c r="H68" s="825" t="str">
        <f>CAPA!C9</f>
        <v>Certaja</v>
      </c>
      <c r="I68" s="847" cm="1">
        <f t="array" ref="I68">GSFRH[Fator de rateio]</f>
        <v>3.587946E-4</v>
      </c>
      <c r="J68" s="962">
        <f>J63</f>
        <v>195.04</v>
      </c>
      <c r="K68" s="826" cm="1">
        <f t="array" ref="K68">GSFRH[MWm repactuado]</f>
        <v>14739.74</v>
      </c>
    </row>
    <row r="69" spans="1:13" ht="15">
      <c r="B69" s="1301" t="s">
        <v>1231</v>
      </c>
      <c r="C69" s="1302" t="s">
        <v>1222</v>
      </c>
      <c r="D69" s="1303"/>
      <c r="E69" s="1304" t="s">
        <v>1223</v>
      </c>
      <c r="F69" s="1304" t="s">
        <v>1224</v>
      </c>
    </row>
    <row r="70" spans="1:13">
      <c r="B70" s="78" t="s">
        <v>1232</v>
      </c>
      <c r="C70" s="845">
        <f>CAPA!D58</f>
        <v>0</v>
      </c>
      <c r="D70" s="846">
        <f t="shared" ref="D70" si="17">E70</f>
        <v>0</v>
      </c>
      <c r="E70" s="828">
        <v>0</v>
      </c>
      <c r="F70" s="108">
        <f>C70*E70</f>
        <v>0</v>
      </c>
    </row>
    <row r="71" spans="1:13">
      <c r="B71" s="78"/>
      <c r="C71" s="845"/>
      <c r="D71" s="846"/>
      <c r="E71" s="828"/>
      <c r="F71" s="108"/>
      <c r="J71" s="142"/>
    </row>
    <row r="72" spans="1:13">
      <c r="B72" s="830"/>
      <c r="C72" s="830">
        <f>SUM(C70:C71)</f>
        <v>0</v>
      </c>
      <c r="D72" s="830"/>
      <c r="E72" s="830"/>
      <c r="F72" s="830">
        <f>SUM(F70:F71)</f>
        <v>0</v>
      </c>
      <c r="J72" s="142"/>
    </row>
    <row r="74" spans="1:13" ht="16.5">
      <c r="F74" s="492" t="s">
        <v>2339</v>
      </c>
    </row>
    <row r="77" spans="1:13" ht="16.5">
      <c r="A77" s="68" t="s">
        <v>1233</v>
      </c>
      <c r="B77" s="492" t="s">
        <v>2335</v>
      </c>
    </row>
    <row r="78" spans="1:13">
      <c r="A78" s="68" t="str">
        <f>TRIM(LEFT(C28,3))</f>
        <v>A4</v>
      </c>
      <c r="B78" s="1664">
        <v>44743</v>
      </c>
      <c r="C78" s="124">
        <v>99</v>
      </c>
    </row>
    <row r="79" spans="1:13">
      <c r="A79" s="68" t="str">
        <f t="shared" ref="A79:A84" si="18">TRIM(LEFT(C29,3))</f>
        <v>A4</v>
      </c>
      <c r="B79" s="1664">
        <v>44774</v>
      </c>
      <c r="C79" s="124">
        <v>100</v>
      </c>
    </row>
    <row r="80" spans="1:13">
      <c r="A80" s="68" t="str">
        <f t="shared" si="18"/>
        <v/>
      </c>
      <c r="B80" s="1664">
        <v>44805</v>
      </c>
      <c r="C80" s="124">
        <v>100</v>
      </c>
    </row>
    <row r="81" spans="1:8">
      <c r="A81" s="68" t="str">
        <f t="shared" si="18"/>
        <v/>
      </c>
      <c r="B81" s="1664">
        <v>44835</v>
      </c>
      <c r="C81" s="124">
        <v>229</v>
      </c>
      <c r="E81" s="124" t="s">
        <v>715</v>
      </c>
      <c r="F81" s="124" t="s">
        <v>2337</v>
      </c>
      <c r="G81" s="124" t="s">
        <v>2338</v>
      </c>
      <c r="H81" s="124" t="s">
        <v>976</v>
      </c>
    </row>
    <row r="82" spans="1:8">
      <c r="A82" s="68" t="str">
        <f t="shared" si="18"/>
        <v/>
      </c>
      <c r="B82" s="1664">
        <v>44866</v>
      </c>
      <c r="C82" s="124">
        <v>370</v>
      </c>
      <c r="E82" s="1664">
        <f t="shared" ref="E82:E93" si="19">B78</f>
        <v>44743</v>
      </c>
      <c r="F82" s="68">
        <f>DAY(DATE(YEAR(E82),MONTH(E82)+1,1)-1)</f>
        <v>31</v>
      </c>
      <c r="G82" s="68">
        <v>8.2871170000000003</v>
      </c>
      <c r="H82" s="69">
        <f>F82*G82*24</f>
        <v>6165.6150479999997</v>
      </c>
    </row>
    <row r="83" spans="1:8">
      <c r="A83" s="68" t="str">
        <f t="shared" si="18"/>
        <v/>
      </c>
      <c r="B83" s="1664">
        <v>44896</v>
      </c>
      <c r="C83" s="124">
        <v>2070</v>
      </c>
      <c r="E83" s="1664">
        <f t="shared" si="19"/>
        <v>44774</v>
      </c>
      <c r="F83" s="68">
        <f t="shared" ref="F83:F93" si="20">DAY(DATE(YEAR(E83),MONTH(E83)+1,1)-1)</f>
        <v>31</v>
      </c>
      <c r="G83" s="68">
        <v>8.3268649999999997</v>
      </c>
      <c r="H83" s="69">
        <f t="shared" ref="H83:H93" si="21">F83*G83*24</f>
        <v>6195.1875600000003</v>
      </c>
    </row>
    <row r="84" spans="1:8">
      <c r="A84" s="68" t="str">
        <f t="shared" si="18"/>
        <v/>
      </c>
      <c r="B84" s="1664">
        <v>44927</v>
      </c>
      <c r="C84" s="1665">
        <f>(5665/12)</f>
        <v>472.08333333333331</v>
      </c>
      <c r="E84" s="1664">
        <f t="shared" si="19"/>
        <v>44805</v>
      </c>
      <c r="F84" s="68">
        <f t="shared" si="20"/>
        <v>30</v>
      </c>
      <c r="G84" s="68">
        <v>8.6700289999999995</v>
      </c>
      <c r="H84" s="69">
        <f t="shared" si="21"/>
        <v>6242.4208799999997</v>
      </c>
    </row>
    <row r="85" spans="1:8">
      <c r="B85" s="1664">
        <v>44958</v>
      </c>
      <c r="C85" s="1665">
        <f t="shared" ref="C85:C89" si="22">(5665/12)</f>
        <v>472.08333333333331</v>
      </c>
      <c r="E85" s="1664">
        <f t="shared" si="19"/>
        <v>44835</v>
      </c>
      <c r="F85" s="68">
        <f t="shared" si="20"/>
        <v>31</v>
      </c>
      <c r="G85" s="68">
        <v>9.1845040000000004</v>
      </c>
      <c r="H85" s="69">
        <f t="shared" si="21"/>
        <v>6833.2709759999998</v>
      </c>
    </row>
    <row r="86" spans="1:8">
      <c r="B86" s="1664">
        <v>44986</v>
      </c>
      <c r="C86" s="1665">
        <f t="shared" si="22"/>
        <v>472.08333333333331</v>
      </c>
      <c r="E86" s="1664">
        <f t="shared" si="19"/>
        <v>44866</v>
      </c>
      <c r="F86" s="68">
        <f t="shared" si="20"/>
        <v>30</v>
      </c>
      <c r="G86" s="68">
        <v>10.134323999999999</v>
      </c>
      <c r="H86" s="69">
        <f t="shared" si="21"/>
        <v>7296.7132799999999</v>
      </c>
    </row>
    <row r="87" spans="1:8">
      <c r="B87" s="1664">
        <v>45017</v>
      </c>
      <c r="C87" s="1665">
        <f t="shared" si="22"/>
        <v>472.08333333333331</v>
      </c>
      <c r="E87" s="1664">
        <f t="shared" si="19"/>
        <v>44896</v>
      </c>
      <c r="F87" s="68">
        <f t="shared" si="20"/>
        <v>31</v>
      </c>
      <c r="G87" s="68">
        <v>10.557</v>
      </c>
      <c r="H87" s="69">
        <f t="shared" si="21"/>
        <v>7854.4079999999994</v>
      </c>
    </row>
    <row r="88" spans="1:8">
      <c r="B88" s="1664">
        <v>45047</v>
      </c>
      <c r="C88" s="1665">
        <f t="shared" si="22"/>
        <v>472.08333333333331</v>
      </c>
      <c r="E88" s="1664">
        <f t="shared" si="19"/>
        <v>44927</v>
      </c>
      <c r="F88" s="68">
        <f t="shared" si="20"/>
        <v>31</v>
      </c>
      <c r="G88" s="68">
        <v>9.18</v>
      </c>
      <c r="H88" s="69">
        <f t="shared" si="21"/>
        <v>6829.92</v>
      </c>
    </row>
    <row r="89" spans="1:8">
      <c r="B89" s="1664">
        <v>45078</v>
      </c>
      <c r="C89" s="1665">
        <f t="shared" si="22"/>
        <v>472.08333333333331</v>
      </c>
      <c r="E89" s="1664">
        <f t="shared" si="19"/>
        <v>44958</v>
      </c>
      <c r="F89" s="68">
        <f t="shared" si="20"/>
        <v>28</v>
      </c>
      <c r="G89" s="68">
        <v>9.18</v>
      </c>
      <c r="H89" s="69">
        <f t="shared" si="21"/>
        <v>6168.9599999999991</v>
      </c>
    </row>
    <row r="90" spans="1:8">
      <c r="C90" s="1666">
        <f>SUM(C78:C89)</f>
        <v>5800.4999999999991</v>
      </c>
      <c r="E90" s="1664">
        <f t="shared" si="19"/>
        <v>44986</v>
      </c>
      <c r="F90" s="68">
        <f t="shared" si="20"/>
        <v>31</v>
      </c>
      <c r="G90" s="68">
        <v>9.18</v>
      </c>
      <c r="H90" s="69">
        <f t="shared" si="21"/>
        <v>6829.92</v>
      </c>
    </row>
    <row r="91" spans="1:8">
      <c r="E91" s="1664">
        <f t="shared" si="19"/>
        <v>45017</v>
      </c>
      <c r="F91" s="68">
        <f t="shared" si="20"/>
        <v>30</v>
      </c>
      <c r="G91" s="68">
        <v>9.18</v>
      </c>
      <c r="H91" s="69">
        <f t="shared" si="21"/>
        <v>6609.5999999999995</v>
      </c>
    </row>
    <row r="92" spans="1:8">
      <c r="E92" s="1664">
        <f t="shared" si="19"/>
        <v>45047</v>
      </c>
      <c r="F92" s="68">
        <f t="shared" si="20"/>
        <v>31</v>
      </c>
      <c r="G92" s="68">
        <v>9.18</v>
      </c>
      <c r="H92" s="69">
        <f t="shared" si="21"/>
        <v>6829.92</v>
      </c>
    </row>
    <row r="93" spans="1:8">
      <c r="E93" s="1664">
        <f t="shared" si="19"/>
        <v>45078</v>
      </c>
      <c r="F93" s="68">
        <f t="shared" si="20"/>
        <v>30</v>
      </c>
      <c r="G93" s="68">
        <v>9.18</v>
      </c>
      <c r="H93" s="69">
        <f t="shared" si="21"/>
        <v>6609.5999999999995</v>
      </c>
    </row>
    <row r="94" spans="1:8">
      <c r="G94" s="68"/>
      <c r="H94" s="848">
        <f>SUM(H82:H93)</f>
        <v>80465.535743999993</v>
      </c>
    </row>
  </sheetData>
  <mergeCells count="2">
    <mergeCell ref="K32:L32"/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2431-0510-4713-AAFA-0F4813FE87E6}">
  <dimension ref="B3:X27"/>
  <sheetViews>
    <sheetView topLeftCell="A3" workbookViewId="0">
      <selection activeCell="I15" sqref="I15"/>
    </sheetView>
  </sheetViews>
  <sheetFormatPr defaultRowHeight="12.75"/>
  <cols>
    <col min="1" max="1" width="3.7109375" style="1675" customWidth="1"/>
    <col min="2" max="2" width="11.42578125" style="1675" bestFit="1" customWidth="1"/>
    <col min="3" max="3" width="19.28515625" style="1675" customWidth="1"/>
    <col min="4" max="4" width="17.7109375" style="1675" customWidth="1"/>
    <col min="5" max="5" width="13.7109375" style="1675" customWidth="1"/>
    <col min="6" max="8" width="14.7109375" style="1675" customWidth="1"/>
    <col min="9" max="9" width="16.42578125" style="1675" customWidth="1"/>
    <col min="10" max="10" width="19.5703125" style="1675" customWidth="1"/>
    <col min="11" max="18" width="15.7109375" style="1675" customWidth="1"/>
    <col min="19" max="40" width="9" style="1675" customWidth="1"/>
    <col min="41" max="16384" width="9.140625" style="1675"/>
  </cols>
  <sheetData>
    <row r="3" spans="2:24" ht="51">
      <c r="B3" s="1676" t="s">
        <v>2340</v>
      </c>
      <c r="C3" s="1677"/>
      <c r="D3" s="1678" t="s">
        <v>2341</v>
      </c>
      <c r="E3" s="1679" t="s">
        <v>2342</v>
      </c>
      <c r="F3" s="1677"/>
      <c r="G3" s="1678" t="s">
        <v>2343</v>
      </c>
      <c r="H3" s="1678" t="s">
        <v>2344</v>
      </c>
      <c r="I3" s="1678" t="s">
        <v>2345</v>
      </c>
      <c r="J3" s="1678" t="s">
        <v>2346</v>
      </c>
      <c r="K3" s="1678" t="s">
        <v>2347</v>
      </c>
      <c r="L3" s="1678" t="s">
        <v>2348</v>
      </c>
      <c r="M3" s="1678" t="s">
        <v>2349</v>
      </c>
      <c r="N3" s="1678" t="s">
        <v>2350</v>
      </c>
      <c r="O3" s="1678" t="s">
        <v>2351</v>
      </c>
      <c r="P3" s="1678" t="s">
        <v>2352</v>
      </c>
      <c r="Q3" s="1678" t="s">
        <v>2353</v>
      </c>
      <c r="R3" s="1680" t="s">
        <v>2354</v>
      </c>
    </row>
    <row r="4" spans="2:24">
      <c r="B4" s="1681" t="s">
        <v>2355</v>
      </c>
      <c r="C4" s="1681"/>
      <c r="D4" s="1681"/>
      <c r="E4" s="1682" t="s">
        <v>138</v>
      </c>
      <c r="F4" s="1683"/>
      <c r="G4" s="1681">
        <v>0</v>
      </c>
      <c r="H4" s="1684">
        <f>D4+G4</f>
        <v>0</v>
      </c>
      <c r="I4" s="1685">
        <f>+D6</f>
        <v>0</v>
      </c>
      <c r="J4" s="1685">
        <f>+F27</f>
        <v>3716038.383190468</v>
      </c>
      <c r="K4" s="1686"/>
      <c r="L4" s="1687">
        <f>K4*VLOOKUP(SAS_RA0_DataFim,Índices!$B$6:$F$50000,5,0)/VLOOKUP(DATE(YEAR(SAS_RA0_DataFim)-2,MONTH(CAPA!C15),1),Índices!$B$6:$F$50000,5,0)</f>
        <v>0</v>
      </c>
      <c r="M4" s="1681"/>
      <c r="N4" s="1685">
        <f>M4*VLOOKUP(SAS_RA0_DataFim,Índices!$B$6:$F$50000,5,0)/VLOOKUP(DATE(YEAR(SAS_RA0_DataFim)-1,MONTH(SAS_RA0_DataFim),1),Índices!$B$6:$F$50000,5,0)</f>
        <v>0</v>
      </c>
      <c r="O4" s="1685">
        <f>G27</f>
        <v>0</v>
      </c>
      <c r="P4" s="1685">
        <f>J4+L4+N4-O4</f>
        <v>3716038.383190468</v>
      </c>
      <c r="Q4" s="1685">
        <v>0</v>
      </c>
      <c r="R4" s="1688">
        <f>P4+Q4</f>
        <v>3716038.383190468</v>
      </c>
    </row>
    <row r="6" spans="2:24">
      <c r="B6" s="1689" t="s">
        <v>2356</v>
      </c>
      <c r="C6" s="1690"/>
      <c r="D6" s="1691"/>
      <c r="N6" s="1692"/>
    </row>
    <row r="8" spans="2:24" ht="51">
      <c r="B8" s="1676" t="s">
        <v>34</v>
      </c>
      <c r="C8" s="1678" t="s">
        <v>2357</v>
      </c>
      <c r="D8" s="1678" t="s">
        <v>2358</v>
      </c>
      <c r="E8" s="1678" t="s">
        <v>2359</v>
      </c>
      <c r="F8" s="1678" t="s">
        <v>2360</v>
      </c>
      <c r="G8" s="1678" t="s">
        <v>2361</v>
      </c>
      <c r="H8" s="1678" t="s">
        <v>2362</v>
      </c>
    </row>
    <row r="9" spans="2:24">
      <c r="B9" s="1693">
        <v>43586</v>
      </c>
      <c r="C9" s="1702">
        <v>3163611.42</v>
      </c>
      <c r="D9" s="1694"/>
      <c r="E9" s="1695"/>
      <c r="F9" s="1696">
        <f>C9*VLOOKUP(SAS_RA0_DataFim,Índices!$B$6:$F$50000,5,0)/VLOOKUP(DATE(YEAR($B9),MONTH($B9)-1,1),Índices!$B$6:$F$50000,5,0)</f>
        <v>3716038.383190468</v>
      </c>
      <c r="G9" s="1696">
        <f>D9*VLOOKUP(SAS_RA0_DataFim,Índices!$B$6:$F$50000,5,0)/VLOOKUP(DATE(YEAR($B9),MONTH($B9)-1,1),Índices!$B$6:$F$50000,5,0)</f>
        <v>0</v>
      </c>
      <c r="H9" s="1696">
        <f>E9*VLOOKUP(SAS_RA0_DataFim,Índices!$B$6:$F$50000,5,0)/VLOOKUP(DATE(YEAR($B9),MONTH($B9)-1,1),Índices!$B$6:$F$50000,5,0)</f>
        <v>0</v>
      </c>
    </row>
    <row r="10" spans="2:24">
      <c r="B10" s="1693">
        <v>43617</v>
      </c>
      <c r="C10" s="1697"/>
      <c r="D10" s="1694"/>
      <c r="E10" s="1698"/>
      <c r="F10" s="1699">
        <f>C10*VLOOKUP(SAS_RA0_DataFim,Índices!$B$6:$F$50000,5,0)/VLOOKUP(DATE(YEAR($B10),MONTH($B10)-1,1),Índices!$B$6:$F$50000,5,0)</f>
        <v>0</v>
      </c>
      <c r="G10" s="1699">
        <f>D10*VLOOKUP(SAS_RA0_DataFim,Índices!$B$6:$F$50000,5,0)/VLOOKUP(DATE(YEAR($B10),MONTH($B10)-1,1),Índices!$B$6:$F$50000,5,0)</f>
        <v>0</v>
      </c>
      <c r="H10" s="1699">
        <f>E10*VLOOKUP(SAS_RA0_DataFim,Índices!$B$6:$F$50000,5,0)/VLOOKUP(DATE(YEAR($B10),MONTH($B10)-1,1),Índices!$B$6:$F$50000,5,0)</f>
        <v>0</v>
      </c>
      <c r="X10" s="1700"/>
    </row>
    <row r="11" spans="2:24">
      <c r="B11" s="1693">
        <v>43647</v>
      </c>
      <c r="C11" s="1697"/>
      <c r="D11" s="1694"/>
      <c r="E11" s="1698"/>
      <c r="F11" s="1699">
        <f>C11*VLOOKUP(SAS_RA0_DataFim,Índices!$B$6:$F$50000,5,0)/VLOOKUP(DATE(YEAR($B11),MONTH($B11)-1,1),Índices!$B$6:$F$50000,5,0)</f>
        <v>0</v>
      </c>
      <c r="G11" s="1699">
        <f>D11*VLOOKUP(SAS_RA0_DataFim,Índices!$B$6:$F$50000,5,0)/VLOOKUP(DATE(YEAR($B11),MONTH($B11)-1,1),Índices!$B$6:$F$50000,5,0)</f>
        <v>0</v>
      </c>
      <c r="H11" s="1699">
        <f>E11*VLOOKUP(SAS_RA0_DataFim,Índices!$B$6:$F$50000,5,0)/VLOOKUP(DATE(YEAR($B11),MONTH($B11)-1,1),Índices!$B$6:$F$50000,5,0)</f>
        <v>0</v>
      </c>
    </row>
    <row r="12" spans="2:24">
      <c r="B12" s="1693">
        <v>43678</v>
      </c>
      <c r="C12" s="1697"/>
      <c r="D12" s="1694"/>
      <c r="E12" s="1698"/>
      <c r="F12" s="1699">
        <f>C12*VLOOKUP(SAS_RA0_DataFim,Índices!$B$6:$F$50000,5,0)/VLOOKUP(DATE(YEAR($B12),MONTH($B12)-1,1),Índices!$B$6:$F$50000,5,0)</f>
        <v>0</v>
      </c>
      <c r="G12" s="1699">
        <f>D12*VLOOKUP(SAS_RA0_DataFim,Índices!$B$6:$F$50000,5,0)/VLOOKUP(DATE(YEAR($B12),MONTH($B12)-1,1),Índices!$B$6:$F$50000,5,0)</f>
        <v>0</v>
      </c>
      <c r="H12" s="1699">
        <f>E12*VLOOKUP(SAS_RA0_DataFim,Índices!$B$6:$F$50000,5,0)/VLOOKUP(DATE(YEAR($B12),MONTH($B12)-1,1),Índices!$B$6:$F$50000,5,0)</f>
        <v>0</v>
      </c>
    </row>
    <row r="13" spans="2:24">
      <c r="B13" s="1693">
        <v>43709</v>
      </c>
      <c r="C13" s="1698"/>
      <c r="D13" s="1701"/>
      <c r="E13" s="1698"/>
      <c r="F13" s="1699">
        <f>C13*VLOOKUP(SAS_RA0_DataFim,Índices!$B$6:$F$50000,5,0)/VLOOKUP(DATE(YEAR($B13),MONTH($B13)-1,1),Índices!$B$6:$F$50000,5,0)</f>
        <v>0</v>
      </c>
      <c r="G13" s="1699">
        <f>D13*VLOOKUP(SAS_RA0_DataFim,Índices!$B$6:$F$50000,5,0)/VLOOKUP(DATE(YEAR($B13),MONTH($B13)-1,1),Índices!$B$6:$F$50000,5,0)</f>
        <v>0</v>
      </c>
      <c r="H13" s="1699">
        <f>E13*VLOOKUP(SAS_RA0_DataFim,Índices!$B$6:$F$50000,5,0)/VLOOKUP(DATE(YEAR($B13),MONTH($B13)-1,1),Índices!$B$6:$F$50000,5,0)</f>
        <v>0</v>
      </c>
    </row>
    <row r="14" spans="2:24">
      <c r="B14" s="1693">
        <v>43739</v>
      </c>
      <c r="C14" s="1702"/>
      <c r="D14" s="1701"/>
      <c r="E14" s="1698"/>
      <c r="F14" s="1699">
        <f>C14*VLOOKUP(SAS_RA0_DataFim,Índices!$B$6:$F$50000,5,0)/VLOOKUP(DATE(YEAR($B14),MONTH($B14)-1,1),Índices!$B$6:$F$50000,5,0)</f>
        <v>0</v>
      </c>
      <c r="G14" s="1699">
        <f>D14*VLOOKUP(SAS_RA0_DataFim,Índices!$B$6:$F$50000,5,0)/VLOOKUP(DATE(YEAR($B14),MONTH($B14)-1,1),Índices!$B$6:$F$50000,5,0)</f>
        <v>0</v>
      </c>
      <c r="H14" s="1699">
        <f>E14*VLOOKUP(SAS_RA0_DataFim,Índices!$B$6:$F$50000,5,0)/VLOOKUP(DATE(YEAR($B14),MONTH($B14)-1,1),Índices!$B$6:$F$50000,5,0)</f>
        <v>0</v>
      </c>
    </row>
    <row r="15" spans="2:24">
      <c r="B15" s="1693">
        <v>43770</v>
      </c>
      <c r="C15" s="1702"/>
      <c r="D15" s="1701"/>
      <c r="E15" s="1698"/>
      <c r="F15" s="1699">
        <f>C15*VLOOKUP(SAS_RA0_DataFim,Índices!$B$6:$F$50000,5,0)/VLOOKUP(DATE(YEAR($B15),MONTH($B15)-1,1),Índices!$B$6:$F$50000,5,0)</f>
        <v>0</v>
      </c>
      <c r="G15" s="1699">
        <f>D15*VLOOKUP(SAS_RA0_DataFim,Índices!$B$6:$F$50000,5,0)/VLOOKUP(DATE(YEAR($B15),MONTH($B15)-1,1),Índices!$B$6:$F$50000,5,0)</f>
        <v>0</v>
      </c>
      <c r="H15" s="1699">
        <f>E15*VLOOKUP(SAS_RA0_DataFim,Índices!$B$6:$F$50000,5,0)/VLOOKUP(DATE(YEAR($B15),MONTH($B15)-1,1),Índices!$B$6:$F$50000,5,0)</f>
        <v>0</v>
      </c>
    </row>
    <row r="16" spans="2:24">
      <c r="B16" s="1693">
        <v>43800</v>
      </c>
      <c r="C16" s="1702"/>
      <c r="D16" s="1701"/>
      <c r="E16" s="1698"/>
      <c r="F16" s="1699">
        <f>C16*VLOOKUP(SAS_RA0_DataFim,Índices!$B$6:$F$50000,5,0)/VLOOKUP(DATE(YEAR($B16),MONTH($B16)-1,1),Índices!$B$6:$F$50000,5,0)</f>
        <v>0</v>
      </c>
      <c r="G16" s="1699">
        <f>D16*VLOOKUP(SAS_RA0_DataFim,Índices!$B$6:$F$50000,5,0)/VLOOKUP(DATE(YEAR($B16),MONTH($B16)-1,1),Índices!$B$6:$F$50000,5,0)</f>
        <v>0</v>
      </c>
      <c r="H16" s="1699">
        <f>E16*VLOOKUP(SAS_RA0_DataFim,Índices!$B$6:$F$50000,5,0)/VLOOKUP(DATE(YEAR($B16),MONTH($B16)-1,1),Índices!$B$6:$F$50000,5,0)</f>
        <v>0</v>
      </c>
    </row>
    <row r="17" spans="2:8">
      <c r="B17" s="1693">
        <v>43831</v>
      </c>
      <c r="C17" s="1702"/>
      <c r="D17" s="1701"/>
      <c r="E17" s="1698"/>
      <c r="F17" s="1699">
        <f>C17*VLOOKUP(SAS_RA0_DataFim,Índices!$B$6:$F$50000,5,0)/VLOOKUP(DATE(YEAR($B17),MONTH($B17)-1,1),Índices!$B$6:$F$50000,5,0)</f>
        <v>0</v>
      </c>
      <c r="G17" s="1699">
        <f>D17*VLOOKUP(SAS_RA0_DataFim,Índices!$B$6:$F$50000,5,0)/VLOOKUP(DATE(YEAR($B17),MONTH($B17)-1,1),Índices!$B$6:$F$50000,5,0)</f>
        <v>0</v>
      </c>
      <c r="H17" s="1699">
        <f>E17*VLOOKUP(SAS_RA0_DataFim,Índices!$B$6:$F$50000,5,0)/VLOOKUP(DATE(YEAR($B17),MONTH($B17)-1,1),Índices!$B$6:$F$50000,5,0)</f>
        <v>0</v>
      </c>
    </row>
    <row r="18" spans="2:8">
      <c r="B18" s="1693">
        <v>43862</v>
      </c>
      <c r="C18" s="1702"/>
      <c r="D18" s="1701"/>
      <c r="E18" s="1698"/>
      <c r="F18" s="1699">
        <f>C18*VLOOKUP(SAS_RA0_DataFim,Índices!$B$6:$F$50000,5,0)/VLOOKUP(DATE(YEAR($B18),MONTH($B18)-1,1),Índices!$B$6:$F$50000,5,0)</f>
        <v>0</v>
      </c>
      <c r="G18" s="1699">
        <f>D18*VLOOKUP(SAS_RA0_DataFim,Índices!$B$6:$F$50000,5,0)/VLOOKUP(DATE(YEAR($B18),MONTH($B18)-1,1),Índices!$B$6:$F$50000,5,0)</f>
        <v>0</v>
      </c>
      <c r="H18" s="1699">
        <f>E18*VLOOKUP(SAS_RA0_DataFim,Índices!$B$6:$F$50000,5,0)/VLOOKUP(DATE(YEAR($B18),MONTH($B18)-1,1),Índices!$B$6:$F$50000,5,0)</f>
        <v>0</v>
      </c>
    </row>
    <row r="19" spans="2:8">
      <c r="B19" s="1693">
        <v>43891</v>
      </c>
      <c r="C19" s="1702"/>
      <c r="D19" s="1701"/>
      <c r="E19" s="1698"/>
      <c r="F19" s="1699">
        <f>C19*VLOOKUP(SAS_RA0_DataFim,Índices!$B$6:$F$50000,5,0)/VLOOKUP(DATE(YEAR($B19),MONTH($B19)-1,1),Índices!$B$6:$F$50000,5,0)</f>
        <v>0</v>
      </c>
      <c r="G19" s="1699">
        <f>D19*VLOOKUP(SAS_RA0_DataFim,Índices!$B$6:$F$50000,5,0)/VLOOKUP(DATE(YEAR($B19),MONTH($B19)-1,1),Índices!$B$6:$F$50000,5,0)</f>
        <v>0</v>
      </c>
      <c r="H19" s="1699">
        <f>E19*VLOOKUP(SAS_RA0_DataFim,Índices!$B$6:$F$50000,5,0)/VLOOKUP(DATE(YEAR($B19),MONTH($B19)-1,1),Índices!$B$6:$F$50000,5,0)</f>
        <v>0</v>
      </c>
    </row>
    <row r="20" spans="2:8">
      <c r="B20" s="1693">
        <v>43922</v>
      </c>
      <c r="C20" s="1702"/>
      <c r="D20" s="1701"/>
      <c r="E20" s="1698"/>
      <c r="F20" s="1699">
        <f>C20*VLOOKUP(SAS_RA0_DataFim,Índices!$B$6:$F$50000,5,0)/VLOOKUP(DATE(YEAR($B20),MONTH($B20)-1,1),Índices!$B$6:$F$50000,5,0)</f>
        <v>0</v>
      </c>
      <c r="G20" s="1699">
        <f>D20*VLOOKUP(SAS_RA0_DataFim,Índices!$B$6:$F$50000,5,0)/VLOOKUP(DATE(YEAR($B20),MONTH($B20)-1,1),Índices!$B$6:$F$50000,5,0)</f>
        <v>0</v>
      </c>
      <c r="H20" s="1699">
        <f>E20*VLOOKUP(SAS_RA0_DataFim,Índices!$B$6:$F$50000,5,0)/VLOOKUP(DATE(YEAR($B20),MONTH($B20)-1,1),Índices!$B$6:$F$50000,5,0)</f>
        <v>0</v>
      </c>
    </row>
    <row r="21" spans="2:8">
      <c r="B21" s="1693">
        <v>43952</v>
      </c>
      <c r="C21" s="1702"/>
      <c r="D21" s="1701"/>
      <c r="E21" s="1698"/>
      <c r="F21" s="1699">
        <f>C21*VLOOKUP(SAS_RA0_DataFim,Índices!$B$6:$F$50000,5,0)/VLOOKUP(DATE(YEAR($B21),MONTH($B21)-1,1),Índices!$B$6:$F$50000,5,0)</f>
        <v>0</v>
      </c>
      <c r="G21" s="1699">
        <f>D21*VLOOKUP(SAS_RA0_DataFim,Índices!$B$6:$F$50000,5,0)/VLOOKUP(DATE(YEAR($B21),MONTH($B21)-1,1),Índices!$B$6:$F$50000,5,0)</f>
        <v>0</v>
      </c>
      <c r="H21" s="1699">
        <f>E21*VLOOKUP(SAS_RA0_DataFim,Índices!$B$6:$F$50000,5,0)/VLOOKUP(DATE(YEAR($B21),MONTH($B21)-1,1),Índices!$B$6:$F$50000,5,0)</f>
        <v>0</v>
      </c>
    </row>
    <row r="22" spans="2:8">
      <c r="B22" s="1693">
        <v>43983</v>
      </c>
      <c r="C22" s="1702"/>
      <c r="D22" s="1701"/>
      <c r="E22" s="1698"/>
      <c r="F22" s="1699">
        <f>C22*VLOOKUP(SAS_RA0_DataFim,Índices!$B$6:$F$50000,5,0)/VLOOKUP(DATE(YEAR($B22),MONTH($B22)-1,1),Índices!$B$6:$F$50000,5,0)</f>
        <v>0</v>
      </c>
      <c r="G22" s="1699">
        <f>D22*VLOOKUP(SAS_RA0_DataFim,Índices!$B$6:$F$50000,5,0)/VLOOKUP(DATE(YEAR($B22),MONTH($B22)-1,1),Índices!$B$6:$F$50000,5,0)</f>
        <v>0</v>
      </c>
      <c r="H22" s="1699">
        <f>E22*VLOOKUP(SAS_RA0_DataFim,Índices!$B$6:$F$50000,5,0)/VLOOKUP(DATE(YEAR($B22),MONTH($B22)-1,1),Índices!$B$6:$F$50000,5,0)</f>
        <v>0</v>
      </c>
    </row>
    <row r="23" spans="2:8">
      <c r="B23" s="1693">
        <v>44013</v>
      </c>
      <c r="C23" s="1702"/>
      <c r="D23" s="1701"/>
      <c r="E23" s="1698"/>
      <c r="F23" s="1699">
        <f>C23*VLOOKUP(SAS_RA0_DataFim,Índices!$B$6:$F$50000,5,0)/VLOOKUP(DATE(YEAR($B23),MONTH($B23)-1,1),Índices!$B$6:$F$50000,5,0)</f>
        <v>0</v>
      </c>
      <c r="G23" s="1699">
        <f>D23*VLOOKUP(SAS_RA0_DataFim,Índices!$B$6:$F$50000,5,0)/VLOOKUP(DATE(YEAR($B23),MONTH($B23)-1,1),Índices!$B$6:$F$50000,5,0)</f>
        <v>0</v>
      </c>
      <c r="H23" s="1699">
        <f>E23*VLOOKUP(SAS_RA0_DataFim,Índices!$B$6:$F$50000,5,0)/VLOOKUP(DATE(YEAR($B23),MONTH($B23)-1,1),Índices!$B$6:$F$50000,5,0)</f>
        <v>0</v>
      </c>
    </row>
    <row r="24" spans="2:8">
      <c r="B24" s="1693">
        <v>44044</v>
      </c>
      <c r="C24" s="1702"/>
      <c r="D24" s="1701"/>
      <c r="E24" s="1698"/>
      <c r="F24" s="1699">
        <f>C24*VLOOKUP(SAS_RA0_DataFim,Índices!$B$6:$F$50000,5,0)/VLOOKUP(DATE(YEAR($B24),MONTH($B24)-1,1),Índices!$B$6:$F$50000,5,0)</f>
        <v>0</v>
      </c>
      <c r="G24" s="1699">
        <f>D24*VLOOKUP(SAS_RA0_DataFim,Índices!$B$6:$F$50000,5,0)/VLOOKUP(DATE(YEAR($B24),MONTH($B24)-1,1),Índices!$B$6:$F$50000,5,0)</f>
        <v>0</v>
      </c>
      <c r="H24" s="1699">
        <f>E24*VLOOKUP(SAS_RA0_DataFim,Índices!$B$6:$F$50000,5,0)/VLOOKUP(DATE(YEAR($B24),MONTH($B24)-1,1),Índices!$B$6:$F$50000,5,0)</f>
        <v>0</v>
      </c>
    </row>
    <row r="25" spans="2:8">
      <c r="B25" s="1693">
        <v>44075</v>
      </c>
      <c r="C25" s="1702"/>
      <c r="D25" s="1701"/>
      <c r="E25" s="1698"/>
      <c r="F25" s="1699">
        <f>C25*VLOOKUP(SAS_RA0_DataFim,Índices!$B$6:$F$50000,5,0)/VLOOKUP(DATE(YEAR($B25),MONTH($B25)-1,1),Índices!$B$6:$F$50000,5,0)</f>
        <v>0</v>
      </c>
      <c r="G25" s="1699">
        <f>D25*VLOOKUP(SAS_RA0_DataFim,Índices!$B$6:$F$50000,5,0)/VLOOKUP(DATE(YEAR($B25),MONTH($B25)-1,1),Índices!$B$6:$F$50000,5,0)</f>
        <v>0</v>
      </c>
      <c r="H25" s="1699">
        <f>E25*VLOOKUP(SAS_RA0_DataFim,Índices!$B$6:$F$50000,5,0)/VLOOKUP(DATE(YEAR($B25),MONTH($B25)-1,1),Índices!$B$6:$F$50000,5,0)</f>
        <v>0</v>
      </c>
    </row>
    <row r="26" spans="2:8">
      <c r="B26" s="1693">
        <v>44105</v>
      </c>
      <c r="C26" s="1702"/>
      <c r="D26" s="1701"/>
      <c r="E26" s="1698"/>
      <c r="F26" s="1699">
        <f>C26*VLOOKUP(SAS_RA0_DataFim,[16]Índices!$B$6:$F$50000,5,0)/VLOOKUP(DATE(YEAR($B26),MONTH($B26)-1,1),[16]Índices!$B$6:$F$50000,5,0)</f>
        <v>0</v>
      </c>
      <c r="G26" s="1699">
        <f>D26*VLOOKUP(SAS_RA0_DataFim,[16]Índices!$B$6:$F$50000,5,0)/VLOOKUP(DATE(YEAR($B26),MONTH($B26)-1,1),[16]Índices!$B$6:$F$50000,5,0)</f>
        <v>0</v>
      </c>
      <c r="H26" s="1699">
        <f>E26*VLOOKUP(SAS_RA0_DataFim,[16]Índices!$B$6:$F$50000,5,0)/VLOOKUP(DATE(YEAR($B26),MONTH($B26)-1,1),[16]Índices!$B$6:$F$50000,5,0)</f>
        <v>0</v>
      </c>
    </row>
    <row r="27" spans="2:8">
      <c r="B27" s="1703" t="s">
        <v>836</v>
      </c>
      <c r="C27" s="1704">
        <f>SUM(C9:C26)</f>
        <v>3163611.42</v>
      </c>
      <c r="D27" s="1704">
        <f t="shared" ref="D27:E27" si="0">SUM(D9:D26)</f>
        <v>0</v>
      </c>
      <c r="E27" s="1704">
        <f t="shared" si="0"/>
        <v>0</v>
      </c>
      <c r="F27" s="1704">
        <f>SUM(F9:F26)</f>
        <v>3716038.383190468</v>
      </c>
      <c r="G27" s="1704">
        <f t="shared" ref="G27:H27" si="1">SUM(G9:G26)</f>
        <v>0</v>
      </c>
      <c r="H27" s="1704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4" zoomScale="90" zoomScaleNormal="90" workbookViewId="0">
      <selection activeCell="G18" sqref="G18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17" t="s">
        <v>704</v>
      </c>
      <c r="C1" s="1104">
        <f>Resultado!C1</f>
        <v>0</v>
      </c>
      <c r="D1" s="1318"/>
      <c r="E1" s="1319"/>
      <c r="F1" s="1320"/>
      <c r="G1" s="1217" t="s">
        <v>951</v>
      </c>
      <c r="H1" s="1321">
        <f ca="1">LnkTXTIRTEco</f>
        <v>0.1182</v>
      </c>
    </row>
    <row r="2" spans="2:27">
      <c r="B2" s="138" t="str">
        <f>CAPA!C9</f>
        <v>Certaja</v>
      </c>
      <c r="C2" s="70"/>
      <c r="D2" s="70"/>
      <c r="G2" s="121" t="s">
        <v>955</v>
      </c>
      <c r="H2" s="148">
        <f ca="1">LnkTXTIRTTotal</f>
        <v>-0.2044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22" t="s">
        <v>1234</v>
      </c>
      <c r="C6" s="1322"/>
      <c r="D6" s="1322"/>
      <c r="E6" s="1322"/>
      <c r="F6" s="1322"/>
      <c r="G6" s="1322"/>
      <c r="H6" s="1322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23" t="s">
        <v>854</v>
      </c>
      <c r="C8" s="1323" t="s">
        <v>1235</v>
      </c>
      <c r="D8" s="1323" t="s">
        <v>1236</v>
      </c>
      <c r="E8" s="1323" t="s">
        <v>1237</v>
      </c>
      <c r="H8" s="152"/>
    </row>
    <row r="9" spans="2:27">
      <c r="B9" s="158" t="s">
        <v>971</v>
      </c>
      <c r="C9" s="181">
        <f>SUMIFS($M$18:$M$63,$D$18:$D$63,"Ponta")</f>
        <v>246.6</v>
      </c>
      <c r="D9" s="181">
        <f>SUMIFS($J$18:$J$63,$D$18:$D$63,"Ponta")</f>
        <v>1690741.8</v>
      </c>
      <c r="E9" s="181">
        <f>SUMIFS($L$18:$L$63,$D$18:$D$63,"Ponta")</f>
        <v>331293.59999999998</v>
      </c>
    </row>
    <row r="10" spans="2:27">
      <c r="B10" s="1324" t="s">
        <v>1238</v>
      </c>
      <c r="C10" s="1325">
        <f>SUMIFS($M$18:$M$63,$D$18:$D$63,"Fora Ponta")</f>
        <v>281.2</v>
      </c>
      <c r="D10" s="1325">
        <f>SUMIFS($J$18:$J$63,$D$18:$D$63,"Fora Ponta")</f>
        <v>2046233.2</v>
      </c>
      <c r="E10" s="1325">
        <f>SUMIFS($L$18:$L$63,$D$18:$D$63,"Fora Ponta")</f>
        <v>383253.2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26" t="s">
        <v>1239</v>
      </c>
      <c r="G14" s="1327"/>
      <c r="H14" s="1327"/>
      <c r="I14" s="1327"/>
      <c r="J14" s="1327"/>
      <c r="K14" s="1327"/>
      <c r="L14" s="1327"/>
      <c r="M14" s="1327"/>
      <c r="N14" s="1327"/>
      <c r="O14" s="1327"/>
      <c r="P14" s="1327"/>
      <c r="Q14" s="1327"/>
      <c r="R14" s="1328"/>
    </row>
    <row r="15" spans="2:27">
      <c r="B15" s="1811" t="s">
        <v>1240</v>
      </c>
      <c r="C15" s="1812" t="s">
        <v>1241</v>
      </c>
      <c r="D15" s="1813" t="s">
        <v>78</v>
      </c>
      <c r="E15" s="1814" t="s">
        <v>1242</v>
      </c>
      <c r="F15" s="1814"/>
      <c r="G15" s="1814"/>
      <c r="H15" s="1815"/>
      <c r="I15" s="1816" t="s">
        <v>1243</v>
      </c>
      <c r="J15" s="1817"/>
      <c r="K15" s="1817"/>
      <c r="L15" s="1817"/>
      <c r="M15" s="1818" t="s">
        <v>1244</v>
      </c>
      <c r="N15" s="1819"/>
      <c r="O15" s="1819"/>
      <c r="P15" s="1819"/>
      <c r="Q15" s="1819"/>
      <c r="R15" s="1819"/>
      <c r="S15" s="1819"/>
      <c r="T15" s="1819"/>
      <c r="U15" s="1819"/>
      <c r="V15" s="1819"/>
      <c r="W15" s="1819"/>
      <c r="X15" s="1819"/>
      <c r="Y15" s="1819"/>
      <c r="Z15" s="65"/>
      <c r="AA15" s="387"/>
    </row>
    <row r="16" spans="2:27">
      <c r="B16" s="1811"/>
      <c r="C16" s="1812"/>
      <c r="D16" s="1813"/>
      <c r="E16" s="1822" t="s">
        <v>123</v>
      </c>
      <c r="F16" s="1823"/>
      <c r="G16" s="1823" t="s">
        <v>1245</v>
      </c>
      <c r="H16" s="1824"/>
      <c r="I16" s="1825" t="s">
        <v>123</v>
      </c>
      <c r="J16" s="1826"/>
      <c r="K16" s="1826" t="s">
        <v>1245</v>
      </c>
      <c r="L16" s="1827"/>
      <c r="M16" s="1820"/>
      <c r="N16" s="1821"/>
      <c r="O16" s="1821"/>
      <c r="P16" s="1821"/>
      <c r="Q16" s="1821"/>
      <c r="R16" s="1821"/>
      <c r="S16" s="1821"/>
      <c r="T16" s="1821"/>
      <c r="U16" s="1821"/>
      <c r="V16" s="1821"/>
      <c r="W16" s="1821"/>
      <c r="X16" s="1821"/>
      <c r="Y16" s="1821"/>
      <c r="Z16" s="65"/>
      <c r="AA16" s="387"/>
    </row>
    <row r="17" spans="2:27">
      <c r="B17" s="1811"/>
      <c r="C17" s="1812"/>
      <c r="D17" s="1813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845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858</v>
      </c>
    </row>
    <row r="18" spans="2:27">
      <c r="B18" s="1329" t="str">
        <f>RBBD!B3</f>
        <v>P.PETROQUIMIC - 69 kV (A)</v>
      </c>
      <c r="C18" s="1329" t="str">
        <f>RBBD!C3</f>
        <v>69</v>
      </c>
      <c r="D18" s="1329" t="str">
        <f>RBBD!D3</f>
        <v>Ponta</v>
      </c>
      <c r="E18" s="1671">
        <v>4698</v>
      </c>
      <c r="F18" s="1329">
        <f>RBBD!F3</f>
        <v>6797</v>
      </c>
      <c r="G18" s="1671">
        <v>1534</v>
      </c>
      <c r="H18" s="1329">
        <f>RBBD!H3</f>
        <v>1408</v>
      </c>
      <c r="I18" s="1329">
        <f>E18*$M18</f>
        <v>1057050</v>
      </c>
      <c r="J18" s="1329">
        <f>F18*$M18</f>
        <v>1529325</v>
      </c>
      <c r="K18" s="1329">
        <f>G18*$M18</f>
        <v>345150</v>
      </c>
      <c r="L18" s="1329">
        <f>H18*$M18</f>
        <v>316800</v>
      </c>
      <c r="M18" s="1329">
        <f>SUM(N18:Y18)</f>
        <v>225</v>
      </c>
      <c r="N18" s="1329">
        <f>RBBD!I3</f>
        <v>18.5</v>
      </c>
      <c r="O18" s="1329">
        <f>RBBD!J3</f>
        <v>18.5</v>
      </c>
      <c r="P18" s="1329">
        <f>RBBD!K3</f>
        <v>18.5</v>
      </c>
      <c r="Q18" s="1329">
        <f>RBBD!L3</f>
        <v>18.5</v>
      </c>
      <c r="R18" s="1329">
        <f>RBBD!M3</f>
        <v>18.5</v>
      </c>
      <c r="S18" s="1329">
        <f>RBBD!N3</f>
        <v>18.5</v>
      </c>
      <c r="T18" s="1329">
        <f>RBBD!O3</f>
        <v>19</v>
      </c>
      <c r="U18" s="1329">
        <f>RBBD!P3</f>
        <v>19</v>
      </c>
      <c r="V18" s="1329">
        <f>RBBD!Q3</f>
        <v>19</v>
      </c>
      <c r="W18" s="1329">
        <f>RBBD!R3</f>
        <v>19</v>
      </c>
      <c r="X18" s="1329">
        <f>RBBD!S3</f>
        <v>19</v>
      </c>
      <c r="Y18" s="1329">
        <f>RBBD!T3</f>
        <v>19</v>
      </c>
      <c r="Z18" s="65"/>
      <c r="AA18" s="329">
        <f t="shared" ref="AA18:AA23" si="1">IF(B18=0,0,1)</f>
        <v>1</v>
      </c>
    </row>
    <row r="19" spans="2:27">
      <c r="B19" s="1329" t="str">
        <f>RBBD!B4</f>
        <v>V.AIRES - 69 kV (A)</v>
      </c>
      <c r="C19" s="1329" t="str">
        <f>RBBD!C4</f>
        <v>69</v>
      </c>
      <c r="D19" s="1329" t="str">
        <f>RBBD!D4</f>
        <v>Ponta</v>
      </c>
      <c r="E19" s="1329">
        <v>0</v>
      </c>
      <c r="F19" s="1329">
        <f>RBBD!F4</f>
        <v>7473</v>
      </c>
      <c r="G19" s="1329">
        <v>0</v>
      </c>
      <c r="H19" s="1329">
        <f>RBBD!H4</f>
        <v>671</v>
      </c>
      <c r="I19" s="1329">
        <f t="shared" ref="I19:L60" si="2">E19*$M19</f>
        <v>0</v>
      </c>
      <c r="J19" s="1329">
        <f t="shared" si="2"/>
        <v>161416.80000000002</v>
      </c>
      <c r="K19" s="1329">
        <f t="shared" si="2"/>
        <v>0</v>
      </c>
      <c r="L19" s="1329">
        <f t="shared" si="2"/>
        <v>14493.6</v>
      </c>
      <c r="M19" s="1329">
        <f t="shared" ref="M19:M60" si="3">SUM(N19:Y19)</f>
        <v>21.6</v>
      </c>
      <c r="N19" s="1329">
        <f>RBBD!I4</f>
        <v>0</v>
      </c>
      <c r="O19" s="1329">
        <f>RBBD!J4</f>
        <v>0</v>
      </c>
      <c r="P19" s="1329">
        <f>RBBD!K4</f>
        <v>0</v>
      </c>
      <c r="Q19" s="1329">
        <f>RBBD!L4</f>
        <v>0</v>
      </c>
      <c r="R19" s="1329">
        <f>RBBD!M4</f>
        <v>0</v>
      </c>
      <c r="S19" s="1329">
        <f>RBBD!N4</f>
        <v>0</v>
      </c>
      <c r="T19" s="1329">
        <f>RBBD!O4</f>
        <v>0</v>
      </c>
      <c r="U19" s="1329">
        <f>RBBD!P4</f>
        <v>0</v>
      </c>
      <c r="V19" s="1329">
        <f>RBBD!Q4</f>
        <v>5.4</v>
      </c>
      <c r="W19" s="1329">
        <f>RBBD!R4</f>
        <v>5.4</v>
      </c>
      <c r="X19" s="1329">
        <f>RBBD!S4</f>
        <v>5.4</v>
      </c>
      <c r="Y19" s="1329">
        <f>RBBD!T4</f>
        <v>5.4</v>
      </c>
      <c r="Z19" s="65"/>
      <c r="AA19" s="329">
        <f t="shared" si="1"/>
        <v>1</v>
      </c>
    </row>
    <row r="20" spans="2:27">
      <c r="B20" s="1329" t="str">
        <f>RBBD!B5</f>
        <v>P.PETROQUIMIC - 69 kV (A)</v>
      </c>
      <c r="C20" s="1329" t="str">
        <f>RBBD!C5</f>
        <v>69</v>
      </c>
      <c r="D20" s="1329" t="str">
        <f>RBBD!D5</f>
        <v>Fora Ponta</v>
      </c>
      <c r="E20" s="1671">
        <v>5362</v>
      </c>
      <c r="F20" s="1329">
        <f>RBBD!F5</f>
        <v>7227</v>
      </c>
      <c r="G20" s="1671">
        <v>1534</v>
      </c>
      <c r="H20" s="1329">
        <f>RBBD!H5</f>
        <v>1408</v>
      </c>
      <c r="I20" s="1329">
        <f t="shared" si="2"/>
        <v>1415568</v>
      </c>
      <c r="J20" s="1329">
        <f t="shared" si="2"/>
        <v>1907928</v>
      </c>
      <c r="K20" s="1329">
        <f t="shared" si="2"/>
        <v>404976</v>
      </c>
      <c r="L20" s="1329">
        <f t="shared" si="2"/>
        <v>371712</v>
      </c>
      <c r="M20" s="1329">
        <f t="shared" si="3"/>
        <v>264</v>
      </c>
      <c r="N20" s="1329">
        <f>RBBD!I5</f>
        <v>21.5</v>
      </c>
      <c r="O20" s="1329">
        <f>RBBD!J5</f>
        <v>21.5</v>
      </c>
      <c r="P20" s="1329">
        <f>RBBD!K5</f>
        <v>21.5</v>
      </c>
      <c r="Q20" s="1329">
        <f>RBBD!L5</f>
        <v>21.5</v>
      </c>
      <c r="R20" s="1329">
        <f>RBBD!M5</f>
        <v>21.5</v>
      </c>
      <c r="S20" s="1329">
        <f>RBBD!N5</f>
        <v>21.5</v>
      </c>
      <c r="T20" s="1329">
        <f>RBBD!O5</f>
        <v>22.5</v>
      </c>
      <c r="U20" s="1329">
        <f>RBBD!P5</f>
        <v>22.5</v>
      </c>
      <c r="V20" s="1329">
        <f>RBBD!Q5</f>
        <v>22.5</v>
      </c>
      <c r="W20" s="1329">
        <f>RBBD!R5</f>
        <v>22.5</v>
      </c>
      <c r="X20" s="1329">
        <f>RBBD!S5</f>
        <v>22.5</v>
      </c>
      <c r="Y20" s="1329">
        <f>RBBD!T5</f>
        <v>22.5</v>
      </c>
      <c r="Z20" s="65"/>
      <c r="AA20" s="329">
        <f t="shared" si="1"/>
        <v>1</v>
      </c>
    </row>
    <row r="21" spans="2:27">
      <c r="B21" s="1329" t="str">
        <f>RBBD!B6</f>
        <v>V.AIRES - 69 kV (A)</v>
      </c>
      <c r="C21" s="1329" t="str">
        <f>RBBD!C6</f>
        <v>69</v>
      </c>
      <c r="D21" s="1329" t="str">
        <f>RBBD!D6</f>
        <v>Fora Ponta</v>
      </c>
      <c r="E21" s="1329">
        <v>0</v>
      </c>
      <c r="F21" s="1329">
        <f>RBBD!F6</f>
        <v>8041</v>
      </c>
      <c r="G21" s="1329">
        <v>0</v>
      </c>
      <c r="H21" s="1329">
        <f>RBBD!H6</f>
        <v>671</v>
      </c>
      <c r="I21" s="1329">
        <f t="shared" si="2"/>
        <v>0</v>
      </c>
      <c r="J21" s="1329">
        <f t="shared" si="2"/>
        <v>138305.19999999998</v>
      </c>
      <c r="K21" s="1329">
        <f t="shared" si="2"/>
        <v>0</v>
      </c>
      <c r="L21" s="1329">
        <f t="shared" si="2"/>
        <v>11541.199999999999</v>
      </c>
      <c r="M21" s="1329">
        <f t="shared" si="3"/>
        <v>17.2</v>
      </c>
      <c r="N21" s="1329">
        <f>RBBD!I6</f>
        <v>0</v>
      </c>
      <c r="O21" s="1329">
        <f>RBBD!J6</f>
        <v>0</v>
      </c>
      <c r="P21" s="1329">
        <f>RBBD!K6</f>
        <v>0</v>
      </c>
      <c r="Q21" s="1329">
        <f>RBBD!L6</f>
        <v>0</v>
      </c>
      <c r="R21" s="1329">
        <f>RBBD!M6</f>
        <v>0</v>
      </c>
      <c r="S21" s="1329">
        <f>RBBD!N6</f>
        <v>0</v>
      </c>
      <c r="T21" s="1329">
        <f>RBBD!O6</f>
        <v>0</v>
      </c>
      <c r="U21" s="1329">
        <f>RBBD!P6</f>
        <v>0</v>
      </c>
      <c r="V21" s="1329">
        <f>RBBD!Q6</f>
        <v>4.3</v>
      </c>
      <c r="W21" s="1329">
        <f>RBBD!R6</f>
        <v>4.3</v>
      </c>
      <c r="X21" s="1329">
        <f>RBBD!S6</f>
        <v>4.3</v>
      </c>
      <c r="Y21" s="1329">
        <f>RBBD!T6</f>
        <v>4.3</v>
      </c>
      <c r="Z21" s="65"/>
      <c r="AA21" s="329">
        <f t="shared" si="1"/>
        <v>1</v>
      </c>
    </row>
    <row r="22" spans="2:27" hidden="1">
      <c r="B22" s="1329">
        <f>RBBD!B7</f>
        <v>0</v>
      </c>
      <c r="C22" s="1329">
        <f>RBBD!C7</f>
        <v>0</v>
      </c>
      <c r="D22" s="1329">
        <f>RBBD!D7</f>
        <v>0</v>
      </c>
      <c r="E22" s="1329">
        <f>RBBD!E7</f>
        <v>0</v>
      </c>
      <c r="F22" s="1329">
        <f>RBBD!F7</f>
        <v>0</v>
      </c>
      <c r="G22" s="1329">
        <f>RBBD!G7</f>
        <v>0</v>
      </c>
      <c r="H22" s="1329">
        <f>RBBD!H7</f>
        <v>0</v>
      </c>
      <c r="I22" s="1329">
        <f t="shared" si="2"/>
        <v>0</v>
      </c>
      <c r="J22" s="1329">
        <f t="shared" si="2"/>
        <v>0</v>
      </c>
      <c r="K22" s="1329">
        <f t="shared" si="2"/>
        <v>0</v>
      </c>
      <c r="L22" s="1329">
        <f t="shared" si="2"/>
        <v>0</v>
      </c>
      <c r="M22" s="1329">
        <f t="shared" si="3"/>
        <v>0</v>
      </c>
      <c r="N22" s="1329">
        <f>RBBD!I7</f>
        <v>0</v>
      </c>
      <c r="O22" s="1329">
        <f>RBBD!J7</f>
        <v>0</v>
      </c>
      <c r="P22" s="1329">
        <f>RBBD!K7</f>
        <v>0</v>
      </c>
      <c r="Q22" s="1329">
        <f>RBBD!L7</f>
        <v>0</v>
      </c>
      <c r="R22" s="1329">
        <f>RBBD!M7</f>
        <v>0</v>
      </c>
      <c r="S22" s="1329">
        <f>RBBD!N7</f>
        <v>0</v>
      </c>
      <c r="T22" s="1329">
        <f>RBBD!O7</f>
        <v>0</v>
      </c>
      <c r="U22" s="1329">
        <f>RBBD!P7</f>
        <v>0</v>
      </c>
      <c r="V22" s="1329">
        <f>RBBD!Q7</f>
        <v>0</v>
      </c>
      <c r="W22" s="1329">
        <f>RBBD!R7</f>
        <v>0</v>
      </c>
      <c r="X22" s="1329">
        <f>RBBD!S7</f>
        <v>0</v>
      </c>
      <c r="Y22" s="1329">
        <f>RBBD!T7</f>
        <v>0</v>
      </c>
      <c r="Z22" s="65"/>
      <c r="AA22" s="329">
        <f t="shared" si="1"/>
        <v>0</v>
      </c>
    </row>
    <row r="23" spans="2:27" hidden="1">
      <c r="B23" s="1329">
        <f>RBBD!B8</f>
        <v>0</v>
      </c>
      <c r="C23" s="1329">
        <f>RBBD!C8</f>
        <v>0</v>
      </c>
      <c r="D23" s="1329">
        <f>RBBD!D8</f>
        <v>0</v>
      </c>
      <c r="E23" s="1329">
        <f>RBBD!E8</f>
        <v>0</v>
      </c>
      <c r="F23" s="1329">
        <f>RBBD!F8</f>
        <v>0</v>
      </c>
      <c r="G23" s="1329">
        <f>RBBD!G8</f>
        <v>0</v>
      </c>
      <c r="H23" s="1329">
        <f>RBBD!H8</f>
        <v>0</v>
      </c>
      <c r="I23" s="1329">
        <f t="shared" si="2"/>
        <v>0</v>
      </c>
      <c r="J23" s="1329">
        <f t="shared" si="2"/>
        <v>0</v>
      </c>
      <c r="K23" s="1329">
        <f t="shared" si="2"/>
        <v>0</v>
      </c>
      <c r="L23" s="1329">
        <f t="shared" si="2"/>
        <v>0</v>
      </c>
      <c r="M23" s="1329">
        <f t="shared" si="3"/>
        <v>0</v>
      </c>
      <c r="N23" s="1329">
        <f>RBBD!I8</f>
        <v>0</v>
      </c>
      <c r="O23" s="1329">
        <f>RBBD!J8</f>
        <v>0</v>
      </c>
      <c r="P23" s="1329">
        <f>RBBD!K8</f>
        <v>0</v>
      </c>
      <c r="Q23" s="1329">
        <f>RBBD!L8</f>
        <v>0</v>
      </c>
      <c r="R23" s="1329">
        <f>RBBD!M8</f>
        <v>0</v>
      </c>
      <c r="S23" s="1329">
        <f>RBBD!N8</f>
        <v>0</v>
      </c>
      <c r="T23" s="1329">
        <f>RBBD!O8</f>
        <v>0</v>
      </c>
      <c r="U23" s="1329">
        <f>RBBD!P8</f>
        <v>0</v>
      </c>
      <c r="V23" s="1329">
        <f>RBBD!Q8</f>
        <v>0</v>
      </c>
      <c r="W23" s="1329">
        <f>RBBD!R8</f>
        <v>0</v>
      </c>
      <c r="X23" s="1329">
        <f>RBBD!S8</f>
        <v>0</v>
      </c>
      <c r="Y23" s="1329">
        <f>RBBD!T8</f>
        <v>0</v>
      </c>
      <c r="Z23" s="65"/>
      <c r="AA23" s="329">
        <f t="shared" si="1"/>
        <v>0</v>
      </c>
    </row>
    <row r="24" spans="2:27" hidden="1">
      <c r="B24" s="1329">
        <f>RBBD!B9</f>
        <v>0</v>
      </c>
      <c r="C24" s="1329">
        <f>RBBD!C9</f>
        <v>0</v>
      </c>
      <c r="D24" s="1329">
        <f>RBBD!D9</f>
        <v>0</v>
      </c>
      <c r="E24" s="1329">
        <f>RBBD!E9</f>
        <v>0</v>
      </c>
      <c r="F24" s="1329">
        <f>RBBD!F9</f>
        <v>0</v>
      </c>
      <c r="G24" s="1329">
        <f>RBBD!G9</f>
        <v>0</v>
      </c>
      <c r="H24" s="1329">
        <f>RBBD!H9</f>
        <v>0</v>
      </c>
      <c r="I24" s="1329">
        <f t="shared" si="2"/>
        <v>0</v>
      </c>
      <c r="J24" s="1329">
        <f t="shared" si="2"/>
        <v>0</v>
      </c>
      <c r="K24" s="1329">
        <f t="shared" si="2"/>
        <v>0</v>
      </c>
      <c r="L24" s="1329">
        <f t="shared" si="2"/>
        <v>0</v>
      </c>
      <c r="M24" s="1329">
        <f t="shared" si="3"/>
        <v>0</v>
      </c>
      <c r="N24" s="1329">
        <f>RBBD!I9</f>
        <v>0</v>
      </c>
      <c r="O24" s="1329">
        <f>RBBD!J9</f>
        <v>0</v>
      </c>
      <c r="P24" s="1329">
        <f>RBBD!K9</f>
        <v>0</v>
      </c>
      <c r="Q24" s="1329">
        <f>RBBD!L9</f>
        <v>0</v>
      </c>
      <c r="R24" s="1329">
        <f>RBBD!M9</f>
        <v>0</v>
      </c>
      <c r="S24" s="1329">
        <f>RBBD!N9</f>
        <v>0</v>
      </c>
      <c r="T24" s="1329">
        <f>RBBD!O9</f>
        <v>0</v>
      </c>
      <c r="U24" s="1329">
        <f>RBBD!P9</f>
        <v>0</v>
      </c>
      <c r="V24" s="1329">
        <f>RBBD!Q9</f>
        <v>0</v>
      </c>
      <c r="W24" s="1329">
        <f>RBBD!R9</f>
        <v>0</v>
      </c>
      <c r="X24" s="1329">
        <f>RBBD!S9</f>
        <v>0</v>
      </c>
      <c r="Y24" s="1329">
        <f>RBBD!T9</f>
        <v>0</v>
      </c>
      <c r="Z24" s="65"/>
      <c r="AA24" s="329">
        <f t="shared" ref="AA24:AA38" si="4">IF(B24=0,0,1)</f>
        <v>0</v>
      </c>
    </row>
    <row r="25" spans="2:27" hidden="1">
      <c r="B25" s="1329">
        <f>RBBD!B10</f>
        <v>0</v>
      </c>
      <c r="C25" s="1329">
        <f>RBBD!C10</f>
        <v>0</v>
      </c>
      <c r="D25" s="1329">
        <f>RBBD!D10</f>
        <v>0</v>
      </c>
      <c r="E25" s="1329">
        <f>RBBD!E10</f>
        <v>0</v>
      </c>
      <c r="F25" s="1329">
        <f>RBBD!F10</f>
        <v>0</v>
      </c>
      <c r="G25" s="1329">
        <f>RBBD!G10</f>
        <v>0</v>
      </c>
      <c r="H25" s="1329">
        <f>RBBD!H10</f>
        <v>0</v>
      </c>
      <c r="I25" s="1329">
        <f t="shared" si="2"/>
        <v>0</v>
      </c>
      <c r="J25" s="1329">
        <f t="shared" si="2"/>
        <v>0</v>
      </c>
      <c r="K25" s="1329">
        <f t="shared" si="2"/>
        <v>0</v>
      </c>
      <c r="L25" s="1329">
        <f t="shared" si="2"/>
        <v>0</v>
      </c>
      <c r="M25" s="1329">
        <f t="shared" si="3"/>
        <v>0</v>
      </c>
      <c r="N25" s="1329">
        <f>RBBD!I10</f>
        <v>0</v>
      </c>
      <c r="O25" s="1329">
        <f>RBBD!J10</f>
        <v>0</v>
      </c>
      <c r="P25" s="1329">
        <f>RBBD!K10</f>
        <v>0</v>
      </c>
      <c r="Q25" s="1329">
        <f>RBBD!L10</f>
        <v>0</v>
      </c>
      <c r="R25" s="1329">
        <f>RBBD!M10</f>
        <v>0</v>
      </c>
      <c r="S25" s="1329">
        <f>RBBD!N10</f>
        <v>0</v>
      </c>
      <c r="T25" s="1329">
        <f>RBBD!O10</f>
        <v>0</v>
      </c>
      <c r="U25" s="1329">
        <f>RBBD!P10</f>
        <v>0</v>
      </c>
      <c r="V25" s="1329">
        <f>RBBD!Q10</f>
        <v>0</v>
      </c>
      <c r="W25" s="1329">
        <f>RBBD!R10</f>
        <v>0</v>
      </c>
      <c r="X25" s="1329">
        <f>RBBD!S10</f>
        <v>0</v>
      </c>
      <c r="Y25" s="1329">
        <f>RBBD!T10</f>
        <v>0</v>
      </c>
      <c r="Z25" s="65"/>
      <c r="AA25" s="329">
        <f t="shared" si="4"/>
        <v>0</v>
      </c>
    </row>
    <row r="26" spans="2:27" hidden="1">
      <c r="B26" s="1329">
        <f>RBBD!B11</f>
        <v>0</v>
      </c>
      <c r="C26" s="1329">
        <f>RBBD!C11</f>
        <v>0</v>
      </c>
      <c r="D26" s="1329">
        <f>RBBD!D11</f>
        <v>0</v>
      </c>
      <c r="E26" s="1329">
        <f>RBBD!E11</f>
        <v>0</v>
      </c>
      <c r="F26" s="1329">
        <f>RBBD!F11</f>
        <v>0</v>
      </c>
      <c r="G26" s="1329">
        <f>RBBD!G11</f>
        <v>0</v>
      </c>
      <c r="H26" s="1329">
        <f>RBBD!H11</f>
        <v>0</v>
      </c>
      <c r="I26" s="1329">
        <f t="shared" si="2"/>
        <v>0</v>
      </c>
      <c r="J26" s="1329">
        <f t="shared" si="2"/>
        <v>0</v>
      </c>
      <c r="K26" s="1329">
        <f t="shared" si="2"/>
        <v>0</v>
      </c>
      <c r="L26" s="1329">
        <f t="shared" si="2"/>
        <v>0</v>
      </c>
      <c r="M26" s="1329">
        <f t="shared" si="3"/>
        <v>0</v>
      </c>
      <c r="N26" s="1329">
        <f>RBBD!I11</f>
        <v>0</v>
      </c>
      <c r="O26" s="1329">
        <f>RBBD!J11</f>
        <v>0</v>
      </c>
      <c r="P26" s="1329">
        <f>RBBD!K11</f>
        <v>0</v>
      </c>
      <c r="Q26" s="1329">
        <f>RBBD!L11</f>
        <v>0</v>
      </c>
      <c r="R26" s="1329">
        <f>RBBD!M11</f>
        <v>0</v>
      </c>
      <c r="S26" s="1329">
        <f>RBBD!N11</f>
        <v>0</v>
      </c>
      <c r="T26" s="1329">
        <f>RBBD!O11</f>
        <v>0</v>
      </c>
      <c r="U26" s="1329">
        <f>RBBD!P11</f>
        <v>0</v>
      </c>
      <c r="V26" s="1329">
        <f>RBBD!Q11</f>
        <v>0</v>
      </c>
      <c r="W26" s="1329">
        <f>RBBD!R11</f>
        <v>0</v>
      </c>
      <c r="X26" s="1329">
        <f>RBBD!S11</f>
        <v>0</v>
      </c>
      <c r="Y26" s="1329">
        <f>RBBD!T11</f>
        <v>0</v>
      </c>
      <c r="Z26" s="65"/>
      <c r="AA26" s="329">
        <f t="shared" si="4"/>
        <v>0</v>
      </c>
    </row>
    <row r="27" spans="2:27" hidden="1">
      <c r="B27" s="1329">
        <f>RBBD!B12</f>
        <v>0</v>
      </c>
      <c r="C27" s="1329">
        <f>RBBD!C12</f>
        <v>0</v>
      </c>
      <c r="D27" s="1329">
        <f>RBBD!D12</f>
        <v>0</v>
      </c>
      <c r="E27" s="1329">
        <f>RBBD!E12</f>
        <v>0</v>
      </c>
      <c r="F27" s="1329">
        <f>RBBD!F12</f>
        <v>0</v>
      </c>
      <c r="G27" s="1329">
        <f>RBBD!G12</f>
        <v>0</v>
      </c>
      <c r="H27" s="1329">
        <f>RBBD!H12</f>
        <v>0</v>
      </c>
      <c r="I27" s="1329">
        <f t="shared" si="2"/>
        <v>0</v>
      </c>
      <c r="J27" s="1329">
        <f t="shared" si="2"/>
        <v>0</v>
      </c>
      <c r="K27" s="1329">
        <f t="shared" si="2"/>
        <v>0</v>
      </c>
      <c r="L27" s="1329">
        <f t="shared" si="2"/>
        <v>0</v>
      </c>
      <c r="M27" s="1329">
        <f t="shared" si="3"/>
        <v>0</v>
      </c>
      <c r="N27" s="1329">
        <f>RBBD!I12</f>
        <v>0</v>
      </c>
      <c r="O27" s="1329">
        <f>RBBD!J12</f>
        <v>0</v>
      </c>
      <c r="P27" s="1329">
        <f>RBBD!K12</f>
        <v>0</v>
      </c>
      <c r="Q27" s="1329">
        <f>RBBD!L12</f>
        <v>0</v>
      </c>
      <c r="R27" s="1329">
        <f>RBBD!M12</f>
        <v>0</v>
      </c>
      <c r="S27" s="1329">
        <f>RBBD!N12</f>
        <v>0</v>
      </c>
      <c r="T27" s="1329">
        <f>RBBD!O12</f>
        <v>0</v>
      </c>
      <c r="U27" s="1329">
        <f>RBBD!P12</f>
        <v>0</v>
      </c>
      <c r="V27" s="1329">
        <f>RBBD!Q12</f>
        <v>0</v>
      </c>
      <c r="W27" s="1329">
        <f>RBBD!R12</f>
        <v>0</v>
      </c>
      <c r="X27" s="1329">
        <f>RBBD!S12</f>
        <v>0</v>
      </c>
      <c r="Y27" s="1329">
        <f>RBBD!T12</f>
        <v>0</v>
      </c>
      <c r="Z27" s="65"/>
      <c r="AA27" s="329">
        <f t="shared" si="4"/>
        <v>0</v>
      </c>
    </row>
    <row r="28" spans="2:27" hidden="1">
      <c r="B28" s="1329">
        <f>RBBD!B13</f>
        <v>0</v>
      </c>
      <c r="C28" s="1329">
        <f>RBBD!C13</f>
        <v>0</v>
      </c>
      <c r="D28" s="1329">
        <f>RBBD!D13</f>
        <v>0</v>
      </c>
      <c r="E28" s="1329">
        <f>RBBD!G13</f>
        <v>0</v>
      </c>
      <c r="F28" s="1329">
        <f>RBBD!H13</f>
        <v>0</v>
      </c>
      <c r="G28" s="1329">
        <f>RBBD!E13</f>
        <v>0</v>
      </c>
      <c r="H28" s="1329">
        <f>RBBD!F13</f>
        <v>0</v>
      </c>
      <c r="I28" s="1329">
        <f t="shared" si="2"/>
        <v>0</v>
      </c>
      <c r="J28" s="1329">
        <f t="shared" si="2"/>
        <v>0</v>
      </c>
      <c r="K28" s="1329">
        <f t="shared" si="2"/>
        <v>0</v>
      </c>
      <c r="L28" s="1329">
        <f t="shared" si="2"/>
        <v>0</v>
      </c>
      <c r="M28" s="1329">
        <f t="shared" si="3"/>
        <v>0</v>
      </c>
      <c r="N28" s="1329">
        <f>RBBD!I13</f>
        <v>0</v>
      </c>
      <c r="O28" s="1329">
        <f>RBBD!J13</f>
        <v>0</v>
      </c>
      <c r="P28" s="1329">
        <f>RBBD!K13</f>
        <v>0</v>
      </c>
      <c r="Q28" s="1329">
        <f>RBBD!L13</f>
        <v>0</v>
      </c>
      <c r="R28" s="1329">
        <f>RBBD!M13</f>
        <v>0</v>
      </c>
      <c r="S28" s="1329">
        <f>RBBD!N13</f>
        <v>0</v>
      </c>
      <c r="T28" s="1329">
        <f>RBBD!O13</f>
        <v>0</v>
      </c>
      <c r="U28" s="1329">
        <f>RBBD!P13</f>
        <v>0</v>
      </c>
      <c r="V28" s="1329">
        <f>RBBD!Q13</f>
        <v>0</v>
      </c>
      <c r="W28" s="1329">
        <f>RBBD!R13</f>
        <v>0</v>
      </c>
      <c r="X28" s="1329">
        <f>RBBD!S13</f>
        <v>0</v>
      </c>
      <c r="Y28" s="1329">
        <f>RBBD!T13</f>
        <v>0</v>
      </c>
      <c r="Z28" s="65"/>
      <c r="AA28" s="329">
        <f t="shared" si="4"/>
        <v>0</v>
      </c>
    </row>
    <row r="29" spans="2:27" hidden="1">
      <c r="B29" s="1329">
        <f>RBBD!B14</f>
        <v>0</v>
      </c>
      <c r="C29" s="1329">
        <f>RBBD!C14</f>
        <v>0</v>
      </c>
      <c r="D29" s="1329">
        <f>RBBD!D14</f>
        <v>0</v>
      </c>
      <c r="E29" s="1329">
        <f>RBBD!G14</f>
        <v>0</v>
      </c>
      <c r="F29" s="1329">
        <f>RBBD!H14</f>
        <v>0</v>
      </c>
      <c r="G29" s="1329">
        <f>RBBD!E14</f>
        <v>0</v>
      </c>
      <c r="H29" s="1329">
        <f>RBBD!F14</f>
        <v>0</v>
      </c>
      <c r="I29" s="1329">
        <f t="shared" si="2"/>
        <v>0</v>
      </c>
      <c r="J29" s="1329">
        <f t="shared" si="2"/>
        <v>0</v>
      </c>
      <c r="K29" s="1329">
        <f t="shared" si="2"/>
        <v>0</v>
      </c>
      <c r="L29" s="1329">
        <f t="shared" si="2"/>
        <v>0</v>
      </c>
      <c r="M29" s="1329">
        <f t="shared" si="3"/>
        <v>0</v>
      </c>
      <c r="N29" s="1329">
        <f>RBBD!I14</f>
        <v>0</v>
      </c>
      <c r="O29" s="1329">
        <f>RBBD!J14</f>
        <v>0</v>
      </c>
      <c r="P29" s="1329">
        <f>RBBD!K14</f>
        <v>0</v>
      </c>
      <c r="Q29" s="1329">
        <f>RBBD!L14</f>
        <v>0</v>
      </c>
      <c r="R29" s="1329">
        <f>RBBD!M14</f>
        <v>0</v>
      </c>
      <c r="S29" s="1329">
        <f>RBBD!N14</f>
        <v>0</v>
      </c>
      <c r="T29" s="1329">
        <f>RBBD!O14</f>
        <v>0</v>
      </c>
      <c r="U29" s="1329">
        <f>RBBD!P14</f>
        <v>0</v>
      </c>
      <c r="V29" s="1329">
        <f>RBBD!Q14</f>
        <v>0</v>
      </c>
      <c r="W29" s="1329">
        <f>RBBD!R14</f>
        <v>0</v>
      </c>
      <c r="X29" s="1329">
        <f>RBBD!S14</f>
        <v>0</v>
      </c>
      <c r="Y29" s="1329">
        <f>RBBD!T14</f>
        <v>0</v>
      </c>
      <c r="Z29" s="65"/>
      <c r="AA29" s="329">
        <f t="shared" si="4"/>
        <v>0</v>
      </c>
    </row>
    <row r="30" spans="2:27" hidden="1">
      <c r="B30" s="1329">
        <f>RBBD!B15</f>
        <v>0</v>
      </c>
      <c r="C30" s="1329">
        <f>RBBD!C15</f>
        <v>0</v>
      </c>
      <c r="D30" s="1329">
        <f>RBBD!D15</f>
        <v>0</v>
      </c>
      <c r="E30" s="1329">
        <f>RBBD!G15</f>
        <v>0</v>
      </c>
      <c r="F30" s="1329">
        <f>RBBD!H15</f>
        <v>0</v>
      </c>
      <c r="G30" s="1329">
        <f>RBBD!E15</f>
        <v>0</v>
      </c>
      <c r="H30" s="1329">
        <f>RBBD!F15</f>
        <v>0</v>
      </c>
      <c r="I30" s="1329">
        <f t="shared" si="2"/>
        <v>0</v>
      </c>
      <c r="J30" s="1329">
        <f t="shared" si="2"/>
        <v>0</v>
      </c>
      <c r="K30" s="1329">
        <f t="shared" si="2"/>
        <v>0</v>
      </c>
      <c r="L30" s="1329">
        <f t="shared" si="2"/>
        <v>0</v>
      </c>
      <c r="M30" s="1329">
        <f t="shared" si="3"/>
        <v>0</v>
      </c>
      <c r="N30" s="1329">
        <f>RBBD!I15</f>
        <v>0</v>
      </c>
      <c r="O30" s="1329">
        <f>RBBD!J15</f>
        <v>0</v>
      </c>
      <c r="P30" s="1329">
        <f>RBBD!K15</f>
        <v>0</v>
      </c>
      <c r="Q30" s="1329">
        <f>RBBD!L15</f>
        <v>0</v>
      </c>
      <c r="R30" s="1329">
        <f>RBBD!M15</f>
        <v>0</v>
      </c>
      <c r="S30" s="1329">
        <f>RBBD!N15</f>
        <v>0</v>
      </c>
      <c r="T30" s="1329">
        <f>RBBD!O15</f>
        <v>0</v>
      </c>
      <c r="U30" s="1329">
        <f>RBBD!P15</f>
        <v>0</v>
      </c>
      <c r="V30" s="1329">
        <f>RBBD!Q15</f>
        <v>0</v>
      </c>
      <c r="W30" s="1329">
        <f>RBBD!R15</f>
        <v>0</v>
      </c>
      <c r="X30" s="1329">
        <f>RBBD!S15</f>
        <v>0</v>
      </c>
      <c r="Y30" s="1329">
        <f>RBBD!T15</f>
        <v>0</v>
      </c>
      <c r="Z30" s="65"/>
      <c r="AA30" s="329">
        <f t="shared" si="4"/>
        <v>0</v>
      </c>
    </row>
    <row r="31" spans="2:27" hidden="1">
      <c r="B31" s="1329">
        <f>RBBD!B16</f>
        <v>0</v>
      </c>
      <c r="C31" s="1329">
        <f>RBBD!C16</f>
        <v>0</v>
      </c>
      <c r="D31" s="1329">
        <f>RBBD!D16</f>
        <v>0</v>
      </c>
      <c r="E31" s="1329">
        <f>RBBD!G16</f>
        <v>0</v>
      </c>
      <c r="F31" s="1329">
        <f>RBBD!H16</f>
        <v>0</v>
      </c>
      <c r="G31" s="1329">
        <f>RBBD!E16</f>
        <v>0</v>
      </c>
      <c r="H31" s="1329">
        <f>RBBD!F16</f>
        <v>0</v>
      </c>
      <c r="I31" s="1329">
        <f t="shared" si="2"/>
        <v>0</v>
      </c>
      <c r="J31" s="1329">
        <f t="shared" si="2"/>
        <v>0</v>
      </c>
      <c r="K31" s="1329">
        <f t="shared" si="2"/>
        <v>0</v>
      </c>
      <c r="L31" s="1329">
        <f t="shared" si="2"/>
        <v>0</v>
      </c>
      <c r="M31" s="1329">
        <f t="shared" si="3"/>
        <v>0</v>
      </c>
      <c r="N31" s="1329">
        <f>RBBD!I16</f>
        <v>0</v>
      </c>
      <c r="O31" s="1329">
        <f>RBBD!J16</f>
        <v>0</v>
      </c>
      <c r="P31" s="1329">
        <f>RBBD!K16</f>
        <v>0</v>
      </c>
      <c r="Q31" s="1329">
        <f>RBBD!L16</f>
        <v>0</v>
      </c>
      <c r="R31" s="1329">
        <f>RBBD!M16</f>
        <v>0</v>
      </c>
      <c r="S31" s="1329">
        <f>RBBD!N16</f>
        <v>0</v>
      </c>
      <c r="T31" s="1329">
        <f>RBBD!O16</f>
        <v>0</v>
      </c>
      <c r="U31" s="1329">
        <f>RBBD!P16</f>
        <v>0</v>
      </c>
      <c r="V31" s="1329">
        <f>RBBD!Q16</f>
        <v>0</v>
      </c>
      <c r="W31" s="1329">
        <f>RBBD!R16</f>
        <v>0</v>
      </c>
      <c r="X31" s="1329">
        <f>RBBD!S16</f>
        <v>0</v>
      </c>
      <c r="Y31" s="1329">
        <f>RBBD!T16</f>
        <v>0</v>
      </c>
      <c r="Z31" s="65"/>
      <c r="AA31" s="329">
        <f t="shared" si="4"/>
        <v>0</v>
      </c>
    </row>
    <row r="32" spans="2:27" hidden="1">
      <c r="B32" s="1329">
        <f>RBBD!B17</f>
        <v>0</v>
      </c>
      <c r="C32" s="1329">
        <f>RBBD!C17</f>
        <v>0</v>
      </c>
      <c r="D32" s="1329">
        <f>RBBD!D17</f>
        <v>0</v>
      </c>
      <c r="E32" s="1329">
        <f>RBBD!G17</f>
        <v>0</v>
      </c>
      <c r="F32" s="1329">
        <f>RBBD!H17</f>
        <v>0</v>
      </c>
      <c r="G32" s="1329">
        <f>RBBD!E17</f>
        <v>0</v>
      </c>
      <c r="H32" s="1329">
        <f>RBBD!F17</f>
        <v>0</v>
      </c>
      <c r="I32" s="1329">
        <f t="shared" si="2"/>
        <v>0</v>
      </c>
      <c r="J32" s="1329">
        <f t="shared" si="2"/>
        <v>0</v>
      </c>
      <c r="K32" s="1329">
        <f t="shared" si="2"/>
        <v>0</v>
      </c>
      <c r="L32" s="1329">
        <f t="shared" si="2"/>
        <v>0</v>
      </c>
      <c r="M32" s="1329">
        <f t="shared" si="3"/>
        <v>0</v>
      </c>
      <c r="N32" s="1329">
        <f>RBBD!I17</f>
        <v>0</v>
      </c>
      <c r="O32" s="1329">
        <f>RBBD!J17</f>
        <v>0</v>
      </c>
      <c r="P32" s="1329">
        <f>RBBD!K17</f>
        <v>0</v>
      </c>
      <c r="Q32" s="1329">
        <f>RBBD!L17</f>
        <v>0</v>
      </c>
      <c r="R32" s="1329">
        <f>RBBD!M17</f>
        <v>0</v>
      </c>
      <c r="S32" s="1329">
        <f>RBBD!N17</f>
        <v>0</v>
      </c>
      <c r="T32" s="1329">
        <f>RBBD!O17</f>
        <v>0</v>
      </c>
      <c r="U32" s="1329">
        <f>RBBD!P17</f>
        <v>0</v>
      </c>
      <c r="V32" s="1329">
        <f>RBBD!Q17</f>
        <v>0</v>
      </c>
      <c r="W32" s="1329">
        <f>RBBD!R17</f>
        <v>0</v>
      </c>
      <c r="X32" s="1329">
        <f>RBBD!S17</f>
        <v>0</v>
      </c>
      <c r="Y32" s="1329">
        <f>RBBD!T17</f>
        <v>0</v>
      </c>
      <c r="Z32" s="65"/>
      <c r="AA32" s="329">
        <f t="shared" si="4"/>
        <v>0</v>
      </c>
    </row>
    <row r="33" spans="2:27" hidden="1">
      <c r="B33" s="1329">
        <f>RBBD!B18</f>
        <v>0</v>
      </c>
      <c r="C33" s="1329">
        <f>RBBD!C18</f>
        <v>0</v>
      </c>
      <c r="D33" s="1329">
        <f>RBBD!D18</f>
        <v>0</v>
      </c>
      <c r="E33" s="1329">
        <f>RBBD!G18</f>
        <v>0</v>
      </c>
      <c r="F33" s="1329">
        <f>RBBD!H18</f>
        <v>0</v>
      </c>
      <c r="G33" s="1329">
        <f>RBBD!E18</f>
        <v>0</v>
      </c>
      <c r="H33" s="1329">
        <f>RBBD!F18</f>
        <v>0</v>
      </c>
      <c r="I33" s="1329">
        <f t="shared" si="2"/>
        <v>0</v>
      </c>
      <c r="J33" s="1329">
        <f t="shared" si="2"/>
        <v>0</v>
      </c>
      <c r="K33" s="1329">
        <f t="shared" si="2"/>
        <v>0</v>
      </c>
      <c r="L33" s="1329">
        <f t="shared" si="2"/>
        <v>0</v>
      </c>
      <c r="M33" s="1329">
        <f t="shared" si="3"/>
        <v>0</v>
      </c>
      <c r="N33" s="1329">
        <f>RBBD!I18</f>
        <v>0</v>
      </c>
      <c r="O33" s="1329">
        <f>RBBD!J18</f>
        <v>0</v>
      </c>
      <c r="P33" s="1329">
        <f>RBBD!K18</f>
        <v>0</v>
      </c>
      <c r="Q33" s="1329">
        <f>RBBD!L18</f>
        <v>0</v>
      </c>
      <c r="R33" s="1329">
        <f>RBBD!M18</f>
        <v>0</v>
      </c>
      <c r="S33" s="1329">
        <f>RBBD!N18</f>
        <v>0</v>
      </c>
      <c r="T33" s="1329">
        <f>RBBD!O18</f>
        <v>0</v>
      </c>
      <c r="U33" s="1329">
        <f>RBBD!P18</f>
        <v>0</v>
      </c>
      <c r="V33" s="1329">
        <f>RBBD!Q18</f>
        <v>0</v>
      </c>
      <c r="W33" s="1329">
        <f>RBBD!R18</f>
        <v>0</v>
      </c>
      <c r="X33" s="1329">
        <f>RBBD!S18</f>
        <v>0</v>
      </c>
      <c r="Y33" s="1329">
        <f>RBBD!T18</f>
        <v>0</v>
      </c>
      <c r="Z33" s="65"/>
      <c r="AA33" s="329">
        <f t="shared" si="4"/>
        <v>0</v>
      </c>
    </row>
    <row r="34" spans="2:27" hidden="1">
      <c r="B34" s="1329">
        <f>RBBD!B19</f>
        <v>0</v>
      </c>
      <c r="C34" s="1329">
        <f>RBBD!C19</f>
        <v>0</v>
      </c>
      <c r="D34" s="1329">
        <f>RBBD!D19</f>
        <v>0</v>
      </c>
      <c r="E34" s="1329">
        <f>RBBD!G19</f>
        <v>0</v>
      </c>
      <c r="F34" s="1329">
        <f>RBBD!H19</f>
        <v>0</v>
      </c>
      <c r="G34" s="1329">
        <f>RBBD!E19</f>
        <v>0</v>
      </c>
      <c r="H34" s="1329">
        <f>RBBD!F19</f>
        <v>0</v>
      </c>
      <c r="I34" s="1329">
        <f t="shared" si="2"/>
        <v>0</v>
      </c>
      <c r="J34" s="1329">
        <f t="shared" si="2"/>
        <v>0</v>
      </c>
      <c r="K34" s="1329">
        <f t="shared" si="2"/>
        <v>0</v>
      </c>
      <c r="L34" s="1329">
        <f t="shared" si="2"/>
        <v>0</v>
      </c>
      <c r="M34" s="1329">
        <f t="shared" si="3"/>
        <v>0</v>
      </c>
      <c r="N34" s="1329">
        <f>RBBD!I19</f>
        <v>0</v>
      </c>
      <c r="O34" s="1329">
        <f>RBBD!J19</f>
        <v>0</v>
      </c>
      <c r="P34" s="1329">
        <f>RBBD!K19</f>
        <v>0</v>
      </c>
      <c r="Q34" s="1329">
        <f>RBBD!L19</f>
        <v>0</v>
      </c>
      <c r="R34" s="1329">
        <f>RBBD!M19</f>
        <v>0</v>
      </c>
      <c r="S34" s="1329">
        <f>RBBD!N19</f>
        <v>0</v>
      </c>
      <c r="T34" s="1329">
        <f>RBBD!O19</f>
        <v>0</v>
      </c>
      <c r="U34" s="1329">
        <f>RBBD!P19</f>
        <v>0</v>
      </c>
      <c r="V34" s="1329">
        <f>RBBD!Q19</f>
        <v>0</v>
      </c>
      <c r="W34" s="1329">
        <f>RBBD!R19</f>
        <v>0</v>
      </c>
      <c r="X34" s="1329">
        <f>RBBD!S19</f>
        <v>0</v>
      </c>
      <c r="Y34" s="1329">
        <f>RBBD!T19</f>
        <v>0</v>
      </c>
      <c r="Z34" s="65"/>
      <c r="AA34" s="329">
        <f t="shared" si="4"/>
        <v>0</v>
      </c>
    </row>
    <row r="35" spans="2:27" hidden="1">
      <c r="B35" s="1329">
        <f>RBBD!B20</f>
        <v>0</v>
      </c>
      <c r="C35" s="1329">
        <f>RBBD!C20</f>
        <v>0</v>
      </c>
      <c r="D35" s="1329">
        <f>RBBD!D20</f>
        <v>0</v>
      </c>
      <c r="E35" s="1329">
        <f>RBBD!G20</f>
        <v>0</v>
      </c>
      <c r="F35" s="1329">
        <f>RBBD!H20</f>
        <v>0</v>
      </c>
      <c r="G35" s="1329">
        <f>RBBD!E20</f>
        <v>0</v>
      </c>
      <c r="H35" s="1329">
        <f>RBBD!F20</f>
        <v>0</v>
      </c>
      <c r="I35" s="1329">
        <f t="shared" si="2"/>
        <v>0</v>
      </c>
      <c r="J35" s="1329">
        <f t="shared" si="2"/>
        <v>0</v>
      </c>
      <c r="K35" s="1329">
        <f t="shared" si="2"/>
        <v>0</v>
      </c>
      <c r="L35" s="1329">
        <f t="shared" si="2"/>
        <v>0</v>
      </c>
      <c r="M35" s="1329">
        <f t="shared" si="3"/>
        <v>0</v>
      </c>
      <c r="N35" s="1329">
        <f>RBBD!I20</f>
        <v>0</v>
      </c>
      <c r="O35" s="1329">
        <f>RBBD!J20</f>
        <v>0</v>
      </c>
      <c r="P35" s="1329">
        <f>RBBD!K20</f>
        <v>0</v>
      </c>
      <c r="Q35" s="1329">
        <f>RBBD!L20</f>
        <v>0</v>
      </c>
      <c r="R35" s="1329">
        <f>RBBD!M20</f>
        <v>0</v>
      </c>
      <c r="S35" s="1329">
        <f>RBBD!N20</f>
        <v>0</v>
      </c>
      <c r="T35" s="1329">
        <f>RBBD!O20</f>
        <v>0</v>
      </c>
      <c r="U35" s="1329">
        <f>RBBD!P20</f>
        <v>0</v>
      </c>
      <c r="V35" s="1329">
        <f>RBBD!Q20</f>
        <v>0</v>
      </c>
      <c r="W35" s="1329">
        <f>RBBD!R20</f>
        <v>0</v>
      </c>
      <c r="X35" s="1329">
        <f>RBBD!S20</f>
        <v>0</v>
      </c>
      <c r="Y35" s="1329">
        <f>RBBD!T20</f>
        <v>0</v>
      </c>
      <c r="Z35" s="65"/>
      <c r="AA35" s="329">
        <f t="shared" si="4"/>
        <v>0</v>
      </c>
    </row>
    <row r="36" spans="2:27" hidden="1">
      <c r="B36" s="1329">
        <f>RBBD!B21</f>
        <v>0</v>
      </c>
      <c r="C36" s="1329">
        <f>RBBD!C21</f>
        <v>0</v>
      </c>
      <c r="D36" s="1329">
        <f>RBBD!D21</f>
        <v>0</v>
      </c>
      <c r="E36" s="1329">
        <f>RBBD!G21</f>
        <v>0</v>
      </c>
      <c r="F36" s="1329">
        <f>RBBD!H21</f>
        <v>0</v>
      </c>
      <c r="G36" s="1329">
        <f>RBBD!E21</f>
        <v>0</v>
      </c>
      <c r="H36" s="1329">
        <f>RBBD!F21</f>
        <v>0</v>
      </c>
      <c r="I36" s="1329">
        <f t="shared" si="2"/>
        <v>0</v>
      </c>
      <c r="J36" s="1329">
        <f t="shared" si="2"/>
        <v>0</v>
      </c>
      <c r="K36" s="1329">
        <f t="shared" si="2"/>
        <v>0</v>
      </c>
      <c r="L36" s="1329">
        <f t="shared" si="2"/>
        <v>0</v>
      </c>
      <c r="M36" s="1329">
        <f t="shared" si="3"/>
        <v>0</v>
      </c>
      <c r="N36" s="1329">
        <f>RBBD!I21</f>
        <v>0</v>
      </c>
      <c r="O36" s="1329">
        <f>RBBD!J21</f>
        <v>0</v>
      </c>
      <c r="P36" s="1329">
        <f>RBBD!K21</f>
        <v>0</v>
      </c>
      <c r="Q36" s="1329">
        <f>RBBD!L21</f>
        <v>0</v>
      </c>
      <c r="R36" s="1329">
        <f>RBBD!M21</f>
        <v>0</v>
      </c>
      <c r="S36" s="1329">
        <f>RBBD!N21</f>
        <v>0</v>
      </c>
      <c r="T36" s="1329">
        <f>RBBD!O21</f>
        <v>0</v>
      </c>
      <c r="U36" s="1329">
        <f>RBBD!P21</f>
        <v>0</v>
      </c>
      <c r="V36" s="1329">
        <f>RBBD!Q21</f>
        <v>0</v>
      </c>
      <c r="W36" s="1329">
        <f>RBBD!R21</f>
        <v>0</v>
      </c>
      <c r="X36" s="1329">
        <f>RBBD!S21</f>
        <v>0</v>
      </c>
      <c r="Y36" s="1329">
        <f>RBBD!T21</f>
        <v>0</v>
      </c>
      <c r="Z36" s="65"/>
      <c r="AA36" s="329">
        <f t="shared" si="4"/>
        <v>0</v>
      </c>
    </row>
    <row r="37" spans="2:27" hidden="1">
      <c r="B37" s="1329">
        <f>RBBD!B22</f>
        <v>0</v>
      </c>
      <c r="C37" s="1329">
        <f>RBBD!C22</f>
        <v>0</v>
      </c>
      <c r="D37" s="1329">
        <f>RBBD!D22</f>
        <v>0</v>
      </c>
      <c r="E37" s="1329">
        <f>RBBD!G22</f>
        <v>0</v>
      </c>
      <c r="F37" s="1329">
        <f>RBBD!H22</f>
        <v>0</v>
      </c>
      <c r="G37" s="1329">
        <f>RBBD!E22</f>
        <v>0</v>
      </c>
      <c r="H37" s="1329">
        <f>RBBD!F22</f>
        <v>0</v>
      </c>
      <c r="I37" s="1329">
        <f t="shared" si="2"/>
        <v>0</v>
      </c>
      <c r="J37" s="1329">
        <f t="shared" si="2"/>
        <v>0</v>
      </c>
      <c r="K37" s="1329">
        <f t="shared" si="2"/>
        <v>0</v>
      </c>
      <c r="L37" s="1329">
        <f t="shared" si="2"/>
        <v>0</v>
      </c>
      <c r="M37" s="1329">
        <f t="shared" si="3"/>
        <v>0</v>
      </c>
      <c r="N37" s="1329">
        <f>RBBD!I22</f>
        <v>0</v>
      </c>
      <c r="O37" s="1329">
        <f>RBBD!J22</f>
        <v>0</v>
      </c>
      <c r="P37" s="1329">
        <f>RBBD!K22</f>
        <v>0</v>
      </c>
      <c r="Q37" s="1329">
        <f>RBBD!L22</f>
        <v>0</v>
      </c>
      <c r="R37" s="1329">
        <f>RBBD!M22</f>
        <v>0</v>
      </c>
      <c r="S37" s="1329">
        <f>RBBD!N22</f>
        <v>0</v>
      </c>
      <c r="T37" s="1329">
        <f>RBBD!O22</f>
        <v>0</v>
      </c>
      <c r="U37" s="1329">
        <f>RBBD!P22</f>
        <v>0</v>
      </c>
      <c r="V37" s="1329">
        <f>RBBD!Q22</f>
        <v>0</v>
      </c>
      <c r="W37" s="1329">
        <f>RBBD!R22</f>
        <v>0</v>
      </c>
      <c r="X37" s="1329">
        <f>RBBD!S22</f>
        <v>0</v>
      </c>
      <c r="Y37" s="1329">
        <f>RBBD!T22</f>
        <v>0</v>
      </c>
      <c r="Z37" s="65"/>
      <c r="AA37" s="329">
        <f t="shared" si="4"/>
        <v>0</v>
      </c>
    </row>
    <row r="38" spans="2:27" hidden="1">
      <c r="B38" s="1329">
        <f>RBBD!B23</f>
        <v>0</v>
      </c>
      <c r="C38" s="1329">
        <f>RBBD!C23</f>
        <v>0</v>
      </c>
      <c r="D38" s="1329">
        <f>RBBD!D23</f>
        <v>0</v>
      </c>
      <c r="E38" s="1329">
        <f>RBBD!G23</f>
        <v>0</v>
      </c>
      <c r="F38" s="1329">
        <f>RBBD!H23</f>
        <v>0</v>
      </c>
      <c r="G38" s="1329">
        <f>RBBD!E23</f>
        <v>0</v>
      </c>
      <c r="H38" s="1329">
        <f>RBBD!F23</f>
        <v>0</v>
      </c>
      <c r="I38" s="1329">
        <f t="shared" si="2"/>
        <v>0</v>
      </c>
      <c r="J38" s="1329">
        <f t="shared" si="2"/>
        <v>0</v>
      </c>
      <c r="K38" s="1329">
        <f t="shared" si="2"/>
        <v>0</v>
      </c>
      <c r="L38" s="1329">
        <f t="shared" si="2"/>
        <v>0</v>
      </c>
      <c r="M38" s="1329">
        <f t="shared" si="3"/>
        <v>0</v>
      </c>
      <c r="N38" s="1329">
        <f>RBBD!I23</f>
        <v>0</v>
      </c>
      <c r="O38" s="1329">
        <f>RBBD!J23</f>
        <v>0</v>
      </c>
      <c r="P38" s="1329">
        <f>RBBD!K23</f>
        <v>0</v>
      </c>
      <c r="Q38" s="1329">
        <f>RBBD!L23</f>
        <v>0</v>
      </c>
      <c r="R38" s="1329">
        <f>RBBD!M23</f>
        <v>0</v>
      </c>
      <c r="S38" s="1329">
        <f>RBBD!N23</f>
        <v>0</v>
      </c>
      <c r="T38" s="1329">
        <f>RBBD!O23</f>
        <v>0</v>
      </c>
      <c r="U38" s="1329">
        <f>RBBD!P23</f>
        <v>0</v>
      </c>
      <c r="V38" s="1329">
        <f>RBBD!Q23</f>
        <v>0</v>
      </c>
      <c r="W38" s="1329">
        <f>RBBD!R23</f>
        <v>0</v>
      </c>
      <c r="X38" s="1329">
        <f>RBBD!S23</f>
        <v>0</v>
      </c>
      <c r="Y38" s="1329">
        <f>RBBD!T23</f>
        <v>0</v>
      </c>
      <c r="Z38" s="65"/>
      <c r="AA38" s="329">
        <f t="shared" si="4"/>
        <v>0</v>
      </c>
    </row>
    <row r="39" spans="2:27" hidden="1">
      <c r="B39" s="1329">
        <f>RBBD!B24</f>
        <v>0</v>
      </c>
      <c r="C39" s="1329">
        <f>RBBD!C24</f>
        <v>0</v>
      </c>
      <c r="D39" s="1329">
        <f>RBBD!D24</f>
        <v>0</v>
      </c>
      <c r="E39" s="1329">
        <f>RBBD!G24</f>
        <v>0</v>
      </c>
      <c r="F39" s="1329">
        <f>RBBD!H24</f>
        <v>0</v>
      </c>
      <c r="G39" s="1329">
        <f>RBBD!E24</f>
        <v>0</v>
      </c>
      <c r="H39" s="1329">
        <f>RBBD!F24</f>
        <v>0</v>
      </c>
      <c r="I39" s="1329">
        <f t="shared" si="2"/>
        <v>0</v>
      </c>
      <c r="J39" s="1329">
        <f t="shared" si="2"/>
        <v>0</v>
      </c>
      <c r="K39" s="1329">
        <f t="shared" si="2"/>
        <v>0</v>
      </c>
      <c r="L39" s="1329">
        <f t="shared" si="2"/>
        <v>0</v>
      </c>
      <c r="M39" s="1329">
        <f t="shared" si="3"/>
        <v>0</v>
      </c>
      <c r="N39" s="1329">
        <f>RBBD!I24</f>
        <v>0</v>
      </c>
      <c r="O39" s="1329">
        <f>RBBD!J24</f>
        <v>0</v>
      </c>
      <c r="P39" s="1329">
        <f>RBBD!K24</f>
        <v>0</v>
      </c>
      <c r="Q39" s="1329">
        <f>RBBD!L24</f>
        <v>0</v>
      </c>
      <c r="R39" s="1329">
        <f>RBBD!M24</f>
        <v>0</v>
      </c>
      <c r="S39" s="1329">
        <f>RBBD!N24</f>
        <v>0</v>
      </c>
      <c r="T39" s="1329">
        <f>RBBD!O24</f>
        <v>0</v>
      </c>
      <c r="U39" s="1329">
        <f>RBBD!P24</f>
        <v>0</v>
      </c>
      <c r="V39" s="1329">
        <f>RBBD!Q24</f>
        <v>0</v>
      </c>
      <c r="W39" s="1329">
        <f>RBBD!R24</f>
        <v>0</v>
      </c>
      <c r="X39" s="1329">
        <f>RBBD!S24</f>
        <v>0</v>
      </c>
      <c r="Y39" s="1329">
        <f>RBBD!T24</f>
        <v>0</v>
      </c>
      <c r="Z39" s="65"/>
      <c r="AA39" s="329">
        <f t="shared" ref="AA39:AA60" si="5">IF(B39=0,0,1)</f>
        <v>0</v>
      </c>
    </row>
    <row r="40" spans="2:27" hidden="1">
      <c r="B40" s="1329">
        <f>RBBD!B25</f>
        <v>0</v>
      </c>
      <c r="C40" s="1329">
        <f>RBBD!C25</f>
        <v>0</v>
      </c>
      <c r="D40" s="1329">
        <f>RBBD!D25</f>
        <v>0</v>
      </c>
      <c r="E40" s="1329">
        <f>RBBD!G25</f>
        <v>0</v>
      </c>
      <c r="F40" s="1329">
        <f>RBBD!H25</f>
        <v>0</v>
      </c>
      <c r="G40" s="1329">
        <f>RBBD!E25</f>
        <v>0</v>
      </c>
      <c r="H40" s="1329">
        <f>RBBD!F25</f>
        <v>0</v>
      </c>
      <c r="I40" s="1329">
        <f t="shared" si="2"/>
        <v>0</v>
      </c>
      <c r="J40" s="1329">
        <f t="shared" si="2"/>
        <v>0</v>
      </c>
      <c r="K40" s="1329">
        <f t="shared" si="2"/>
        <v>0</v>
      </c>
      <c r="L40" s="1329">
        <f t="shared" si="2"/>
        <v>0</v>
      </c>
      <c r="M40" s="1329">
        <f t="shared" si="3"/>
        <v>0</v>
      </c>
      <c r="N40" s="1329">
        <f>RBBD!I25</f>
        <v>0</v>
      </c>
      <c r="O40" s="1329">
        <f>RBBD!J25</f>
        <v>0</v>
      </c>
      <c r="P40" s="1329">
        <f>RBBD!K25</f>
        <v>0</v>
      </c>
      <c r="Q40" s="1329">
        <f>RBBD!L25</f>
        <v>0</v>
      </c>
      <c r="R40" s="1329">
        <f>RBBD!M25</f>
        <v>0</v>
      </c>
      <c r="S40" s="1329">
        <f>RBBD!N25</f>
        <v>0</v>
      </c>
      <c r="T40" s="1329">
        <f>RBBD!O25</f>
        <v>0</v>
      </c>
      <c r="U40" s="1329">
        <f>RBBD!P25</f>
        <v>0</v>
      </c>
      <c r="V40" s="1329">
        <f>RBBD!Q25</f>
        <v>0</v>
      </c>
      <c r="W40" s="1329">
        <f>RBBD!R25</f>
        <v>0</v>
      </c>
      <c r="X40" s="1329">
        <f>RBBD!S25</f>
        <v>0</v>
      </c>
      <c r="Y40" s="1329">
        <f>RBBD!T25</f>
        <v>0</v>
      </c>
      <c r="Z40" s="65"/>
      <c r="AA40" s="329">
        <f t="shared" si="5"/>
        <v>0</v>
      </c>
    </row>
    <row r="41" spans="2:27" hidden="1">
      <c r="B41" s="1329">
        <f>RBBD!B26</f>
        <v>0</v>
      </c>
      <c r="C41" s="1329">
        <f>RBBD!C26</f>
        <v>0</v>
      </c>
      <c r="D41" s="1329">
        <f>RBBD!D26</f>
        <v>0</v>
      </c>
      <c r="E41" s="1329">
        <f>RBBD!G26</f>
        <v>0</v>
      </c>
      <c r="F41" s="1329">
        <f>RBBD!H26</f>
        <v>0</v>
      </c>
      <c r="G41" s="1329">
        <f>RBBD!E26</f>
        <v>0</v>
      </c>
      <c r="H41" s="1329">
        <f>RBBD!F26</f>
        <v>0</v>
      </c>
      <c r="I41" s="1329">
        <f t="shared" si="2"/>
        <v>0</v>
      </c>
      <c r="J41" s="1329">
        <f t="shared" si="2"/>
        <v>0</v>
      </c>
      <c r="K41" s="1329">
        <f t="shared" si="2"/>
        <v>0</v>
      </c>
      <c r="L41" s="1329">
        <f t="shared" si="2"/>
        <v>0</v>
      </c>
      <c r="M41" s="1329">
        <f t="shared" si="3"/>
        <v>0</v>
      </c>
      <c r="N41" s="1329">
        <f>RBBD!I26</f>
        <v>0</v>
      </c>
      <c r="O41" s="1329">
        <f>RBBD!J26</f>
        <v>0</v>
      </c>
      <c r="P41" s="1329">
        <f>RBBD!K26</f>
        <v>0</v>
      </c>
      <c r="Q41" s="1329">
        <f>RBBD!L26</f>
        <v>0</v>
      </c>
      <c r="R41" s="1329">
        <f>RBBD!M26</f>
        <v>0</v>
      </c>
      <c r="S41" s="1329">
        <f>RBBD!N26</f>
        <v>0</v>
      </c>
      <c r="T41" s="1329">
        <f>RBBD!O26</f>
        <v>0</v>
      </c>
      <c r="U41" s="1329">
        <f>RBBD!P26</f>
        <v>0</v>
      </c>
      <c r="V41" s="1329">
        <f>RBBD!Q26</f>
        <v>0</v>
      </c>
      <c r="W41" s="1329">
        <f>RBBD!R26</f>
        <v>0</v>
      </c>
      <c r="X41" s="1329">
        <f>RBBD!S26</f>
        <v>0</v>
      </c>
      <c r="Y41" s="1329">
        <f>RBBD!T26</f>
        <v>0</v>
      </c>
      <c r="Z41" s="65"/>
      <c r="AA41" s="329">
        <f t="shared" si="5"/>
        <v>0</v>
      </c>
    </row>
    <row r="42" spans="2:27" hidden="1">
      <c r="B42" s="1329">
        <f>RBBD!B27</f>
        <v>0</v>
      </c>
      <c r="C42" s="1329">
        <f>RBBD!C27</f>
        <v>0</v>
      </c>
      <c r="D42" s="1329">
        <f>RBBD!D27</f>
        <v>0</v>
      </c>
      <c r="E42" s="1329">
        <f>RBBD!G27</f>
        <v>0</v>
      </c>
      <c r="F42" s="1329">
        <f>RBBD!H27</f>
        <v>0</v>
      </c>
      <c r="G42" s="1329">
        <f>RBBD!E27</f>
        <v>0</v>
      </c>
      <c r="H42" s="1329">
        <f>RBBD!F27</f>
        <v>0</v>
      </c>
      <c r="I42" s="1329">
        <f t="shared" si="2"/>
        <v>0</v>
      </c>
      <c r="J42" s="1329">
        <f t="shared" si="2"/>
        <v>0</v>
      </c>
      <c r="K42" s="1329">
        <f t="shared" si="2"/>
        <v>0</v>
      </c>
      <c r="L42" s="1329">
        <f t="shared" si="2"/>
        <v>0</v>
      </c>
      <c r="M42" s="1329">
        <f t="shared" si="3"/>
        <v>0</v>
      </c>
      <c r="N42" s="1329">
        <f>RBBD!I27</f>
        <v>0</v>
      </c>
      <c r="O42" s="1329">
        <f>RBBD!J27</f>
        <v>0</v>
      </c>
      <c r="P42" s="1329">
        <f>RBBD!K27</f>
        <v>0</v>
      </c>
      <c r="Q42" s="1329">
        <f>RBBD!L27</f>
        <v>0</v>
      </c>
      <c r="R42" s="1329">
        <f>RBBD!M27</f>
        <v>0</v>
      </c>
      <c r="S42" s="1329">
        <f>RBBD!N27</f>
        <v>0</v>
      </c>
      <c r="T42" s="1329">
        <f>RBBD!O27</f>
        <v>0</v>
      </c>
      <c r="U42" s="1329">
        <f>RBBD!P27</f>
        <v>0</v>
      </c>
      <c r="V42" s="1329">
        <f>RBBD!Q27</f>
        <v>0</v>
      </c>
      <c r="W42" s="1329">
        <f>RBBD!R27</f>
        <v>0</v>
      </c>
      <c r="X42" s="1329">
        <f>RBBD!S27</f>
        <v>0</v>
      </c>
      <c r="Y42" s="1329">
        <f>RBBD!T27</f>
        <v>0</v>
      </c>
      <c r="Z42" s="65"/>
      <c r="AA42" s="329">
        <f t="shared" si="5"/>
        <v>0</v>
      </c>
    </row>
    <row r="43" spans="2:27" hidden="1">
      <c r="B43" s="1329">
        <f>RBBD!B28</f>
        <v>0</v>
      </c>
      <c r="C43" s="1329">
        <f>RBBD!C28</f>
        <v>0</v>
      </c>
      <c r="D43" s="1329">
        <f>RBBD!D28</f>
        <v>0</v>
      </c>
      <c r="E43" s="1329">
        <f>RBBD!G28</f>
        <v>0</v>
      </c>
      <c r="F43" s="1329">
        <f>RBBD!H28</f>
        <v>0</v>
      </c>
      <c r="G43" s="1329">
        <f>RBBD!E28</f>
        <v>0</v>
      </c>
      <c r="H43" s="1329">
        <f>RBBD!F28</f>
        <v>0</v>
      </c>
      <c r="I43" s="1329">
        <f t="shared" si="2"/>
        <v>0</v>
      </c>
      <c r="J43" s="1329">
        <f t="shared" si="2"/>
        <v>0</v>
      </c>
      <c r="K43" s="1329">
        <f t="shared" si="2"/>
        <v>0</v>
      </c>
      <c r="L43" s="1329">
        <f t="shared" si="2"/>
        <v>0</v>
      </c>
      <c r="M43" s="1329">
        <f t="shared" si="3"/>
        <v>0</v>
      </c>
      <c r="N43" s="1329">
        <f>RBBD!I28</f>
        <v>0</v>
      </c>
      <c r="O43" s="1329">
        <f>RBBD!J28</f>
        <v>0</v>
      </c>
      <c r="P43" s="1329">
        <f>RBBD!K28</f>
        <v>0</v>
      </c>
      <c r="Q43" s="1329">
        <f>RBBD!L28</f>
        <v>0</v>
      </c>
      <c r="R43" s="1329">
        <f>RBBD!M28</f>
        <v>0</v>
      </c>
      <c r="S43" s="1329">
        <f>RBBD!N28</f>
        <v>0</v>
      </c>
      <c r="T43" s="1329">
        <f>RBBD!O28</f>
        <v>0</v>
      </c>
      <c r="U43" s="1329">
        <f>RBBD!P28</f>
        <v>0</v>
      </c>
      <c r="V43" s="1329">
        <f>RBBD!Q28</f>
        <v>0</v>
      </c>
      <c r="W43" s="1329">
        <f>RBBD!R28</f>
        <v>0</v>
      </c>
      <c r="X43" s="1329">
        <f>RBBD!S28</f>
        <v>0</v>
      </c>
      <c r="Y43" s="1329">
        <f>RBBD!T28</f>
        <v>0</v>
      </c>
      <c r="Z43" s="65"/>
      <c r="AA43" s="329">
        <f t="shared" si="5"/>
        <v>0</v>
      </c>
    </row>
    <row r="44" spans="2:27" hidden="1">
      <c r="B44" s="1329">
        <f>RBBD!B29</f>
        <v>0</v>
      </c>
      <c r="C44" s="1329">
        <f>RBBD!C29</f>
        <v>0</v>
      </c>
      <c r="D44" s="1329">
        <f>RBBD!D29</f>
        <v>0</v>
      </c>
      <c r="E44" s="1329">
        <f>RBBD!G29</f>
        <v>0</v>
      </c>
      <c r="F44" s="1329">
        <f>RBBD!H29</f>
        <v>0</v>
      </c>
      <c r="G44" s="1329">
        <f>RBBD!E29</f>
        <v>0</v>
      </c>
      <c r="H44" s="1329">
        <f>RBBD!F29</f>
        <v>0</v>
      </c>
      <c r="I44" s="1329">
        <f t="shared" si="2"/>
        <v>0</v>
      </c>
      <c r="J44" s="1329">
        <f t="shared" si="2"/>
        <v>0</v>
      </c>
      <c r="K44" s="1329">
        <f t="shared" si="2"/>
        <v>0</v>
      </c>
      <c r="L44" s="1329">
        <f t="shared" si="2"/>
        <v>0</v>
      </c>
      <c r="M44" s="1329">
        <f t="shared" si="3"/>
        <v>0</v>
      </c>
      <c r="N44" s="1329">
        <f>RBBD!I29</f>
        <v>0</v>
      </c>
      <c r="O44" s="1329">
        <f>RBBD!J29</f>
        <v>0</v>
      </c>
      <c r="P44" s="1329">
        <f>RBBD!K29</f>
        <v>0</v>
      </c>
      <c r="Q44" s="1329">
        <f>RBBD!L29</f>
        <v>0</v>
      </c>
      <c r="R44" s="1329">
        <f>RBBD!M29</f>
        <v>0</v>
      </c>
      <c r="S44" s="1329">
        <f>RBBD!N29</f>
        <v>0</v>
      </c>
      <c r="T44" s="1329">
        <f>RBBD!O29</f>
        <v>0</v>
      </c>
      <c r="U44" s="1329">
        <f>RBBD!P29</f>
        <v>0</v>
      </c>
      <c r="V44" s="1329">
        <f>RBBD!Q29</f>
        <v>0</v>
      </c>
      <c r="W44" s="1329">
        <f>RBBD!R29</f>
        <v>0</v>
      </c>
      <c r="X44" s="1329">
        <f>RBBD!S29</f>
        <v>0</v>
      </c>
      <c r="Y44" s="1329">
        <f>RBBD!T29</f>
        <v>0</v>
      </c>
      <c r="Z44" s="65"/>
      <c r="AA44" s="329">
        <f t="shared" si="5"/>
        <v>0</v>
      </c>
    </row>
    <row r="45" spans="2:27" hidden="1">
      <c r="B45" s="1329">
        <f>RBBD!B30</f>
        <v>0</v>
      </c>
      <c r="C45" s="1329">
        <f>RBBD!C30</f>
        <v>0</v>
      </c>
      <c r="D45" s="1329">
        <f>RBBD!D30</f>
        <v>0</v>
      </c>
      <c r="E45" s="1329">
        <f>RBBD!G30</f>
        <v>0</v>
      </c>
      <c r="F45" s="1329">
        <f>RBBD!H30</f>
        <v>0</v>
      </c>
      <c r="G45" s="1329">
        <f>RBBD!E30</f>
        <v>0</v>
      </c>
      <c r="H45" s="1329">
        <f>RBBD!F30</f>
        <v>0</v>
      </c>
      <c r="I45" s="1329">
        <f t="shared" si="2"/>
        <v>0</v>
      </c>
      <c r="J45" s="1329">
        <f t="shared" si="2"/>
        <v>0</v>
      </c>
      <c r="K45" s="1329">
        <f t="shared" si="2"/>
        <v>0</v>
      </c>
      <c r="L45" s="1329">
        <f t="shared" si="2"/>
        <v>0</v>
      </c>
      <c r="M45" s="1329">
        <f t="shared" si="3"/>
        <v>0</v>
      </c>
      <c r="N45" s="1329">
        <f>RBBD!I30</f>
        <v>0</v>
      </c>
      <c r="O45" s="1329">
        <f>RBBD!J30</f>
        <v>0</v>
      </c>
      <c r="P45" s="1329">
        <f>RBBD!K30</f>
        <v>0</v>
      </c>
      <c r="Q45" s="1329">
        <f>RBBD!L30</f>
        <v>0</v>
      </c>
      <c r="R45" s="1329">
        <f>RBBD!M30</f>
        <v>0</v>
      </c>
      <c r="S45" s="1329">
        <f>RBBD!N30</f>
        <v>0</v>
      </c>
      <c r="T45" s="1329">
        <f>RBBD!O30</f>
        <v>0</v>
      </c>
      <c r="U45" s="1329">
        <f>RBBD!P30</f>
        <v>0</v>
      </c>
      <c r="V45" s="1329">
        <f>RBBD!Q30</f>
        <v>0</v>
      </c>
      <c r="W45" s="1329">
        <f>RBBD!R30</f>
        <v>0</v>
      </c>
      <c r="X45" s="1329">
        <f>RBBD!S30</f>
        <v>0</v>
      </c>
      <c r="Y45" s="1329">
        <f>RBBD!T30</f>
        <v>0</v>
      </c>
      <c r="Z45" s="65"/>
      <c r="AA45" s="329">
        <f t="shared" si="5"/>
        <v>0</v>
      </c>
    </row>
    <row r="46" spans="2:27" hidden="1">
      <c r="B46" s="1329">
        <f>RBBD!B31</f>
        <v>0</v>
      </c>
      <c r="C46" s="1329">
        <f>RBBD!C31</f>
        <v>0</v>
      </c>
      <c r="D46" s="1329">
        <f>RBBD!D31</f>
        <v>0</v>
      </c>
      <c r="E46" s="1329">
        <f>RBBD!G31</f>
        <v>0</v>
      </c>
      <c r="F46" s="1329">
        <f>RBBD!H31</f>
        <v>0</v>
      </c>
      <c r="G46" s="1329">
        <f>RBBD!E31</f>
        <v>0</v>
      </c>
      <c r="H46" s="1329">
        <f>RBBD!F31</f>
        <v>0</v>
      </c>
      <c r="I46" s="1329">
        <f t="shared" si="2"/>
        <v>0</v>
      </c>
      <c r="J46" s="1329">
        <f t="shared" si="2"/>
        <v>0</v>
      </c>
      <c r="K46" s="1329">
        <f t="shared" si="2"/>
        <v>0</v>
      </c>
      <c r="L46" s="1329">
        <f t="shared" si="2"/>
        <v>0</v>
      </c>
      <c r="M46" s="1329">
        <f t="shared" si="3"/>
        <v>0</v>
      </c>
      <c r="N46" s="1329">
        <f>RBBD!I31</f>
        <v>0</v>
      </c>
      <c r="O46" s="1329">
        <f>RBBD!J31</f>
        <v>0</v>
      </c>
      <c r="P46" s="1329">
        <f>RBBD!K31</f>
        <v>0</v>
      </c>
      <c r="Q46" s="1329">
        <f>RBBD!L31</f>
        <v>0</v>
      </c>
      <c r="R46" s="1329">
        <f>RBBD!M31</f>
        <v>0</v>
      </c>
      <c r="S46" s="1329">
        <f>RBBD!N31</f>
        <v>0</v>
      </c>
      <c r="T46" s="1329">
        <f>RBBD!O31</f>
        <v>0</v>
      </c>
      <c r="U46" s="1329">
        <f>RBBD!P31</f>
        <v>0</v>
      </c>
      <c r="V46" s="1329">
        <f>RBBD!Q31</f>
        <v>0</v>
      </c>
      <c r="W46" s="1329">
        <f>RBBD!R31</f>
        <v>0</v>
      </c>
      <c r="X46" s="1329">
        <f>RBBD!S31</f>
        <v>0</v>
      </c>
      <c r="Y46" s="1329">
        <f>RBBD!T31</f>
        <v>0</v>
      </c>
      <c r="Z46" s="65"/>
      <c r="AA46" s="329">
        <f t="shared" si="5"/>
        <v>0</v>
      </c>
    </row>
    <row r="47" spans="2:27" hidden="1">
      <c r="B47" s="1329">
        <f>RBBD!B32</f>
        <v>0</v>
      </c>
      <c r="C47" s="1329">
        <f>RBBD!C32</f>
        <v>0</v>
      </c>
      <c r="D47" s="1329">
        <f>RBBD!D32</f>
        <v>0</v>
      </c>
      <c r="E47" s="1329">
        <f>RBBD!G32</f>
        <v>0</v>
      </c>
      <c r="F47" s="1329">
        <f>RBBD!H32</f>
        <v>0</v>
      </c>
      <c r="G47" s="1329">
        <f>RBBD!E32</f>
        <v>0</v>
      </c>
      <c r="H47" s="1329">
        <f>RBBD!F32</f>
        <v>0</v>
      </c>
      <c r="I47" s="1329">
        <f t="shared" si="2"/>
        <v>0</v>
      </c>
      <c r="J47" s="1329">
        <f t="shared" si="2"/>
        <v>0</v>
      </c>
      <c r="K47" s="1329">
        <f t="shared" si="2"/>
        <v>0</v>
      </c>
      <c r="L47" s="1329">
        <f t="shared" si="2"/>
        <v>0</v>
      </c>
      <c r="M47" s="1329">
        <f t="shared" si="3"/>
        <v>0</v>
      </c>
      <c r="N47" s="1329">
        <f>RBBD!I32</f>
        <v>0</v>
      </c>
      <c r="O47" s="1329">
        <f>RBBD!J32</f>
        <v>0</v>
      </c>
      <c r="P47" s="1329">
        <f>RBBD!K32</f>
        <v>0</v>
      </c>
      <c r="Q47" s="1329">
        <f>RBBD!L32</f>
        <v>0</v>
      </c>
      <c r="R47" s="1329">
        <f>RBBD!M32</f>
        <v>0</v>
      </c>
      <c r="S47" s="1329">
        <f>RBBD!N32</f>
        <v>0</v>
      </c>
      <c r="T47" s="1329">
        <f>RBBD!O32</f>
        <v>0</v>
      </c>
      <c r="U47" s="1329">
        <f>RBBD!P32</f>
        <v>0</v>
      </c>
      <c r="V47" s="1329">
        <f>RBBD!Q32</f>
        <v>0</v>
      </c>
      <c r="W47" s="1329">
        <f>RBBD!R32</f>
        <v>0</v>
      </c>
      <c r="X47" s="1329">
        <f>RBBD!S32</f>
        <v>0</v>
      </c>
      <c r="Y47" s="1329">
        <f>RBBD!T32</f>
        <v>0</v>
      </c>
      <c r="Z47" s="65"/>
      <c r="AA47" s="329">
        <f t="shared" si="5"/>
        <v>0</v>
      </c>
    </row>
    <row r="48" spans="2:27" hidden="1">
      <c r="B48" s="1329">
        <f>RBBD!B33</f>
        <v>0</v>
      </c>
      <c r="C48" s="1329">
        <f>RBBD!C33</f>
        <v>0</v>
      </c>
      <c r="D48" s="1329">
        <f>RBBD!D33</f>
        <v>0</v>
      </c>
      <c r="E48" s="1329">
        <f>RBBD!G33</f>
        <v>0</v>
      </c>
      <c r="F48" s="1329">
        <f>RBBD!H33</f>
        <v>0</v>
      </c>
      <c r="G48" s="1329">
        <f>RBBD!E33</f>
        <v>0</v>
      </c>
      <c r="H48" s="1329">
        <f>RBBD!F33</f>
        <v>0</v>
      </c>
      <c r="I48" s="1329">
        <f t="shared" si="2"/>
        <v>0</v>
      </c>
      <c r="J48" s="1329">
        <f t="shared" si="2"/>
        <v>0</v>
      </c>
      <c r="K48" s="1329">
        <f t="shared" si="2"/>
        <v>0</v>
      </c>
      <c r="L48" s="1329">
        <f t="shared" si="2"/>
        <v>0</v>
      </c>
      <c r="M48" s="1329">
        <f t="shared" si="3"/>
        <v>0</v>
      </c>
      <c r="N48" s="1329">
        <f>RBBD!I33</f>
        <v>0</v>
      </c>
      <c r="O48" s="1329">
        <f>RBBD!J33</f>
        <v>0</v>
      </c>
      <c r="P48" s="1329">
        <f>RBBD!K33</f>
        <v>0</v>
      </c>
      <c r="Q48" s="1329">
        <f>RBBD!L33</f>
        <v>0</v>
      </c>
      <c r="R48" s="1329">
        <f>RBBD!M33</f>
        <v>0</v>
      </c>
      <c r="S48" s="1329">
        <f>RBBD!N33</f>
        <v>0</v>
      </c>
      <c r="T48" s="1329">
        <f>RBBD!O33</f>
        <v>0</v>
      </c>
      <c r="U48" s="1329">
        <f>RBBD!P33</f>
        <v>0</v>
      </c>
      <c r="V48" s="1329">
        <f>RBBD!Q33</f>
        <v>0</v>
      </c>
      <c r="W48" s="1329">
        <f>RBBD!R33</f>
        <v>0</v>
      </c>
      <c r="X48" s="1329">
        <f>RBBD!S33</f>
        <v>0</v>
      </c>
      <c r="Y48" s="1329">
        <f>RBBD!T33</f>
        <v>0</v>
      </c>
      <c r="Z48" s="65"/>
      <c r="AA48" s="329">
        <f t="shared" si="5"/>
        <v>0</v>
      </c>
    </row>
    <row r="49" spans="2:27" hidden="1">
      <c r="B49" s="1329">
        <f>RBBD!B34</f>
        <v>0</v>
      </c>
      <c r="C49" s="1329">
        <f>RBBD!C34</f>
        <v>0</v>
      </c>
      <c r="D49" s="1329">
        <f>RBBD!D34</f>
        <v>0</v>
      </c>
      <c r="E49" s="1329">
        <f>RBBD!G34</f>
        <v>0</v>
      </c>
      <c r="F49" s="1329">
        <f>RBBD!H34</f>
        <v>0</v>
      </c>
      <c r="G49" s="1329">
        <f>RBBD!E34</f>
        <v>0</v>
      </c>
      <c r="H49" s="1329">
        <f>RBBD!F34</f>
        <v>0</v>
      </c>
      <c r="I49" s="1329">
        <f t="shared" si="2"/>
        <v>0</v>
      </c>
      <c r="J49" s="1329">
        <f t="shared" si="2"/>
        <v>0</v>
      </c>
      <c r="K49" s="1329">
        <f t="shared" si="2"/>
        <v>0</v>
      </c>
      <c r="L49" s="1329">
        <f t="shared" si="2"/>
        <v>0</v>
      </c>
      <c r="M49" s="1329">
        <f t="shared" si="3"/>
        <v>0</v>
      </c>
      <c r="N49" s="1329">
        <f>RBBD!I34</f>
        <v>0</v>
      </c>
      <c r="O49" s="1329">
        <f>RBBD!J34</f>
        <v>0</v>
      </c>
      <c r="P49" s="1329">
        <f>RBBD!K34</f>
        <v>0</v>
      </c>
      <c r="Q49" s="1329">
        <f>RBBD!L34</f>
        <v>0</v>
      </c>
      <c r="R49" s="1329">
        <f>RBBD!M34</f>
        <v>0</v>
      </c>
      <c r="S49" s="1329">
        <f>RBBD!N34</f>
        <v>0</v>
      </c>
      <c r="T49" s="1329">
        <f>RBBD!O34</f>
        <v>0</v>
      </c>
      <c r="U49" s="1329">
        <f>RBBD!P34</f>
        <v>0</v>
      </c>
      <c r="V49" s="1329">
        <f>RBBD!Q34</f>
        <v>0</v>
      </c>
      <c r="W49" s="1329">
        <f>RBBD!R34</f>
        <v>0</v>
      </c>
      <c r="X49" s="1329">
        <f>RBBD!S34</f>
        <v>0</v>
      </c>
      <c r="Y49" s="1329">
        <f>RBBD!T34</f>
        <v>0</v>
      </c>
      <c r="Z49" s="65"/>
      <c r="AA49" s="329">
        <f t="shared" si="5"/>
        <v>0</v>
      </c>
    </row>
    <row r="50" spans="2:27" hidden="1">
      <c r="B50" s="1329">
        <f>RBBD!B35</f>
        <v>0</v>
      </c>
      <c r="C50" s="1329">
        <f>RBBD!C35</f>
        <v>0</v>
      </c>
      <c r="D50" s="1329">
        <f>RBBD!D35</f>
        <v>0</v>
      </c>
      <c r="E50" s="1329">
        <f>RBBD!G35</f>
        <v>0</v>
      </c>
      <c r="F50" s="1329">
        <f>RBBD!H35</f>
        <v>0</v>
      </c>
      <c r="G50" s="1329">
        <f>RBBD!E35</f>
        <v>0</v>
      </c>
      <c r="H50" s="1329">
        <f>RBBD!F35</f>
        <v>0</v>
      </c>
      <c r="I50" s="1329">
        <f t="shared" si="2"/>
        <v>0</v>
      </c>
      <c r="J50" s="1329">
        <f t="shared" si="2"/>
        <v>0</v>
      </c>
      <c r="K50" s="1329">
        <f t="shared" si="2"/>
        <v>0</v>
      </c>
      <c r="L50" s="1329">
        <f t="shared" si="2"/>
        <v>0</v>
      </c>
      <c r="M50" s="1329">
        <f t="shared" si="3"/>
        <v>0</v>
      </c>
      <c r="N50" s="1329">
        <f>RBBD!I35</f>
        <v>0</v>
      </c>
      <c r="O50" s="1329">
        <f>RBBD!J35</f>
        <v>0</v>
      </c>
      <c r="P50" s="1329">
        <f>RBBD!K35</f>
        <v>0</v>
      </c>
      <c r="Q50" s="1329">
        <f>RBBD!L35</f>
        <v>0</v>
      </c>
      <c r="R50" s="1329">
        <f>RBBD!M35</f>
        <v>0</v>
      </c>
      <c r="S50" s="1329">
        <f>RBBD!N35</f>
        <v>0</v>
      </c>
      <c r="T50" s="1329">
        <f>RBBD!O35</f>
        <v>0</v>
      </c>
      <c r="U50" s="1329">
        <f>RBBD!P35</f>
        <v>0</v>
      </c>
      <c r="V50" s="1329">
        <f>RBBD!Q35</f>
        <v>0</v>
      </c>
      <c r="W50" s="1329">
        <f>RBBD!R35</f>
        <v>0</v>
      </c>
      <c r="X50" s="1329">
        <f>RBBD!S35</f>
        <v>0</v>
      </c>
      <c r="Y50" s="1329">
        <f>RBBD!T35</f>
        <v>0</v>
      </c>
      <c r="Z50" s="65"/>
      <c r="AA50" s="329">
        <f t="shared" si="5"/>
        <v>0</v>
      </c>
    </row>
    <row r="51" spans="2:27" hidden="1">
      <c r="B51" s="1329">
        <f>RBBD!B36</f>
        <v>0</v>
      </c>
      <c r="C51" s="1329">
        <f>RBBD!C36</f>
        <v>0</v>
      </c>
      <c r="D51" s="1329">
        <f>RBBD!D36</f>
        <v>0</v>
      </c>
      <c r="E51" s="1329">
        <f>RBBD!G36</f>
        <v>0</v>
      </c>
      <c r="F51" s="1329">
        <f>RBBD!H36</f>
        <v>0</v>
      </c>
      <c r="G51" s="1329">
        <f>RBBD!E36</f>
        <v>0</v>
      </c>
      <c r="H51" s="1329">
        <f>RBBD!F36</f>
        <v>0</v>
      </c>
      <c r="I51" s="1329">
        <f t="shared" si="2"/>
        <v>0</v>
      </c>
      <c r="J51" s="1329">
        <f t="shared" si="2"/>
        <v>0</v>
      </c>
      <c r="K51" s="1329">
        <f t="shared" si="2"/>
        <v>0</v>
      </c>
      <c r="L51" s="1329">
        <f t="shared" si="2"/>
        <v>0</v>
      </c>
      <c r="M51" s="1329">
        <f t="shared" si="3"/>
        <v>0</v>
      </c>
      <c r="N51" s="1329">
        <f>RBBD!I36</f>
        <v>0</v>
      </c>
      <c r="O51" s="1329">
        <f>RBBD!J36</f>
        <v>0</v>
      </c>
      <c r="P51" s="1329">
        <f>RBBD!K36</f>
        <v>0</v>
      </c>
      <c r="Q51" s="1329">
        <f>RBBD!L36</f>
        <v>0</v>
      </c>
      <c r="R51" s="1329">
        <f>RBBD!M36</f>
        <v>0</v>
      </c>
      <c r="S51" s="1329">
        <f>RBBD!N36</f>
        <v>0</v>
      </c>
      <c r="T51" s="1329">
        <f>RBBD!O36</f>
        <v>0</v>
      </c>
      <c r="U51" s="1329">
        <f>RBBD!P36</f>
        <v>0</v>
      </c>
      <c r="V51" s="1329">
        <f>RBBD!Q36</f>
        <v>0</v>
      </c>
      <c r="W51" s="1329">
        <f>RBBD!R36</f>
        <v>0</v>
      </c>
      <c r="X51" s="1329">
        <f>RBBD!S36</f>
        <v>0</v>
      </c>
      <c r="Y51" s="1329">
        <f>RBBD!T36</f>
        <v>0</v>
      </c>
      <c r="Z51" s="65"/>
      <c r="AA51" s="329">
        <f t="shared" si="5"/>
        <v>0</v>
      </c>
    </row>
    <row r="52" spans="2:27" hidden="1">
      <c r="B52" s="1329">
        <f>RBBD!B37</f>
        <v>0</v>
      </c>
      <c r="C52" s="1329">
        <f>RBBD!C37</f>
        <v>0</v>
      </c>
      <c r="D52" s="1329">
        <f>RBBD!D37</f>
        <v>0</v>
      </c>
      <c r="E52" s="1329">
        <f>RBBD!G37</f>
        <v>0</v>
      </c>
      <c r="F52" s="1329">
        <f>RBBD!H37</f>
        <v>0</v>
      </c>
      <c r="G52" s="1329">
        <f>RBBD!E37</f>
        <v>0</v>
      </c>
      <c r="H52" s="1329">
        <f>RBBD!F37</f>
        <v>0</v>
      </c>
      <c r="I52" s="1329">
        <f t="shared" si="2"/>
        <v>0</v>
      </c>
      <c r="J52" s="1329">
        <f t="shared" si="2"/>
        <v>0</v>
      </c>
      <c r="K52" s="1329">
        <f t="shared" si="2"/>
        <v>0</v>
      </c>
      <c r="L52" s="1329">
        <f t="shared" si="2"/>
        <v>0</v>
      </c>
      <c r="M52" s="1329">
        <f t="shared" si="3"/>
        <v>0</v>
      </c>
      <c r="N52" s="1329">
        <f>RBBD!I37</f>
        <v>0</v>
      </c>
      <c r="O52" s="1329">
        <f>RBBD!J37</f>
        <v>0</v>
      </c>
      <c r="P52" s="1329">
        <f>RBBD!K37</f>
        <v>0</v>
      </c>
      <c r="Q52" s="1329">
        <f>RBBD!L37</f>
        <v>0</v>
      </c>
      <c r="R52" s="1329">
        <f>RBBD!M37</f>
        <v>0</v>
      </c>
      <c r="S52" s="1329">
        <f>RBBD!N37</f>
        <v>0</v>
      </c>
      <c r="T52" s="1329">
        <f>RBBD!O37</f>
        <v>0</v>
      </c>
      <c r="U52" s="1329">
        <f>RBBD!P37</f>
        <v>0</v>
      </c>
      <c r="V52" s="1329">
        <f>RBBD!Q37</f>
        <v>0</v>
      </c>
      <c r="W52" s="1329">
        <f>RBBD!R37</f>
        <v>0</v>
      </c>
      <c r="X52" s="1329">
        <f>RBBD!S37</f>
        <v>0</v>
      </c>
      <c r="Y52" s="1329">
        <f>RBBD!T37</f>
        <v>0</v>
      </c>
      <c r="Z52" s="65"/>
      <c r="AA52" s="329">
        <f t="shared" si="5"/>
        <v>0</v>
      </c>
    </row>
    <row r="53" spans="2:27" hidden="1">
      <c r="B53" s="1329">
        <f>RBBD!B38</f>
        <v>0</v>
      </c>
      <c r="C53" s="1329">
        <f>RBBD!C38</f>
        <v>0</v>
      </c>
      <c r="D53" s="1329">
        <f>RBBD!D38</f>
        <v>0</v>
      </c>
      <c r="E53" s="1329">
        <f>RBBD!G38</f>
        <v>0</v>
      </c>
      <c r="F53" s="1329">
        <f>RBBD!H38</f>
        <v>0</v>
      </c>
      <c r="G53" s="1329">
        <f>RBBD!E38</f>
        <v>0</v>
      </c>
      <c r="H53" s="1329">
        <f>RBBD!F38</f>
        <v>0</v>
      </c>
      <c r="I53" s="1329">
        <f t="shared" si="2"/>
        <v>0</v>
      </c>
      <c r="J53" s="1329">
        <f t="shared" si="2"/>
        <v>0</v>
      </c>
      <c r="K53" s="1329">
        <f t="shared" si="2"/>
        <v>0</v>
      </c>
      <c r="L53" s="1329">
        <f t="shared" si="2"/>
        <v>0</v>
      </c>
      <c r="M53" s="1329">
        <f t="shared" si="3"/>
        <v>0</v>
      </c>
      <c r="N53" s="1329">
        <f>RBBD!I38</f>
        <v>0</v>
      </c>
      <c r="O53" s="1329">
        <f>RBBD!J38</f>
        <v>0</v>
      </c>
      <c r="P53" s="1329">
        <f>RBBD!K38</f>
        <v>0</v>
      </c>
      <c r="Q53" s="1329">
        <f>RBBD!L38</f>
        <v>0</v>
      </c>
      <c r="R53" s="1329">
        <f>RBBD!M38</f>
        <v>0</v>
      </c>
      <c r="S53" s="1329">
        <f>RBBD!N38</f>
        <v>0</v>
      </c>
      <c r="T53" s="1329">
        <f>RBBD!O38</f>
        <v>0</v>
      </c>
      <c r="U53" s="1329">
        <f>RBBD!P38</f>
        <v>0</v>
      </c>
      <c r="V53" s="1329">
        <f>RBBD!Q38</f>
        <v>0</v>
      </c>
      <c r="W53" s="1329">
        <f>RBBD!R38</f>
        <v>0</v>
      </c>
      <c r="X53" s="1329">
        <f>RBBD!S38</f>
        <v>0</v>
      </c>
      <c r="Y53" s="1329">
        <f>RBBD!T38</f>
        <v>0</v>
      </c>
      <c r="Z53" s="65"/>
      <c r="AA53" s="329">
        <f t="shared" si="5"/>
        <v>0</v>
      </c>
    </row>
    <row r="54" spans="2:27" hidden="1">
      <c r="B54" s="1329">
        <f>RBBD!B39</f>
        <v>0</v>
      </c>
      <c r="C54" s="1329">
        <f>RBBD!C39</f>
        <v>0</v>
      </c>
      <c r="D54" s="1329">
        <f>RBBD!D39</f>
        <v>0</v>
      </c>
      <c r="E54" s="1329">
        <f>RBBD!G39</f>
        <v>0</v>
      </c>
      <c r="F54" s="1329">
        <f>RBBD!H39</f>
        <v>0</v>
      </c>
      <c r="G54" s="1329">
        <f>RBBD!E39</f>
        <v>0</v>
      </c>
      <c r="H54" s="1329">
        <f>RBBD!F39</f>
        <v>0</v>
      </c>
      <c r="I54" s="1329">
        <f t="shared" si="2"/>
        <v>0</v>
      </c>
      <c r="J54" s="1329">
        <f t="shared" si="2"/>
        <v>0</v>
      </c>
      <c r="K54" s="1329">
        <f t="shared" si="2"/>
        <v>0</v>
      </c>
      <c r="L54" s="1329">
        <f t="shared" si="2"/>
        <v>0</v>
      </c>
      <c r="M54" s="1329">
        <f t="shared" si="3"/>
        <v>0</v>
      </c>
      <c r="N54" s="1329">
        <f>RBBD!I39</f>
        <v>0</v>
      </c>
      <c r="O54" s="1329">
        <f>RBBD!J39</f>
        <v>0</v>
      </c>
      <c r="P54" s="1329">
        <f>RBBD!K39</f>
        <v>0</v>
      </c>
      <c r="Q54" s="1329">
        <f>RBBD!L39</f>
        <v>0</v>
      </c>
      <c r="R54" s="1329">
        <f>RBBD!M39</f>
        <v>0</v>
      </c>
      <c r="S54" s="1329">
        <f>RBBD!N39</f>
        <v>0</v>
      </c>
      <c r="T54" s="1329">
        <f>RBBD!O39</f>
        <v>0</v>
      </c>
      <c r="U54" s="1329">
        <f>RBBD!P39</f>
        <v>0</v>
      </c>
      <c r="V54" s="1329">
        <f>RBBD!Q39</f>
        <v>0</v>
      </c>
      <c r="W54" s="1329">
        <f>RBBD!R39</f>
        <v>0</v>
      </c>
      <c r="X54" s="1329">
        <f>RBBD!S39</f>
        <v>0</v>
      </c>
      <c r="Y54" s="1329">
        <f>RBBD!T39</f>
        <v>0</v>
      </c>
      <c r="Z54" s="65"/>
      <c r="AA54" s="329">
        <f t="shared" si="5"/>
        <v>0</v>
      </c>
    </row>
    <row r="55" spans="2:27" hidden="1">
      <c r="B55" s="1329">
        <f>RBBD!B40</f>
        <v>0</v>
      </c>
      <c r="C55" s="1329">
        <f>RBBD!C40</f>
        <v>0</v>
      </c>
      <c r="D55" s="1329">
        <f>RBBD!D40</f>
        <v>0</v>
      </c>
      <c r="E55" s="1329">
        <f>RBBD!G40</f>
        <v>0</v>
      </c>
      <c r="F55" s="1329">
        <f>RBBD!H40</f>
        <v>0</v>
      </c>
      <c r="G55" s="1329">
        <f>RBBD!E40</f>
        <v>0</v>
      </c>
      <c r="H55" s="1329">
        <f>RBBD!F40</f>
        <v>0</v>
      </c>
      <c r="I55" s="1329">
        <f t="shared" si="2"/>
        <v>0</v>
      </c>
      <c r="J55" s="1329">
        <f t="shared" si="2"/>
        <v>0</v>
      </c>
      <c r="K55" s="1329">
        <f t="shared" si="2"/>
        <v>0</v>
      </c>
      <c r="L55" s="1329">
        <f t="shared" si="2"/>
        <v>0</v>
      </c>
      <c r="M55" s="1329">
        <f t="shared" si="3"/>
        <v>0</v>
      </c>
      <c r="N55" s="1329">
        <f>RBBD!I40</f>
        <v>0</v>
      </c>
      <c r="O55" s="1329">
        <f>RBBD!J40</f>
        <v>0</v>
      </c>
      <c r="P55" s="1329">
        <f>RBBD!K40</f>
        <v>0</v>
      </c>
      <c r="Q55" s="1329">
        <f>RBBD!L40</f>
        <v>0</v>
      </c>
      <c r="R55" s="1329">
        <f>RBBD!M40</f>
        <v>0</v>
      </c>
      <c r="S55" s="1329">
        <f>RBBD!N40</f>
        <v>0</v>
      </c>
      <c r="T55" s="1329">
        <f>RBBD!O40</f>
        <v>0</v>
      </c>
      <c r="U55" s="1329">
        <f>RBBD!P40</f>
        <v>0</v>
      </c>
      <c r="V55" s="1329">
        <f>RBBD!Q40</f>
        <v>0</v>
      </c>
      <c r="W55" s="1329">
        <f>RBBD!R40</f>
        <v>0</v>
      </c>
      <c r="X55" s="1329">
        <f>RBBD!S40</f>
        <v>0</v>
      </c>
      <c r="Y55" s="1329">
        <f>RBBD!T40</f>
        <v>0</v>
      </c>
      <c r="Z55" s="65"/>
      <c r="AA55" s="329">
        <f t="shared" si="5"/>
        <v>0</v>
      </c>
    </row>
    <row r="56" spans="2:27" hidden="1">
      <c r="B56" s="1329">
        <f>RBBD!B41</f>
        <v>0</v>
      </c>
      <c r="C56" s="1329">
        <f>RBBD!C41</f>
        <v>0</v>
      </c>
      <c r="D56" s="1329">
        <f>RBBD!D41</f>
        <v>0</v>
      </c>
      <c r="E56" s="1329">
        <f>RBBD!G41</f>
        <v>0</v>
      </c>
      <c r="F56" s="1329">
        <f>RBBD!H41</f>
        <v>0</v>
      </c>
      <c r="G56" s="1329">
        <f>RBBD!E41</f>
        <v>0</v>
      </c>
      <c r="H56" s="1329">
        <f>RBBD!F41</f>
        <v>0</v>
      </c>
      <c r="I56" s="1329">
        <f t="shared" si="2"/>
        <v>0</v>
      </c>
      <c r="J56" s="1329">
        <f t="shared" si="2"/>
        <v>0</v>
      </c>
      <c r="K56" s="1329">
        <f t="shared" si="2"/>
        <v>0</v>
      </c>
      <c r="L56" s="1329">
        <f t="shared" si="2"/>
        <v>0</v>
      </c>
      <c r="M56" s="1329">
        <f t="shared" si="3"/>
        <v>0</v>
      </c>
      <c r="N56" s="1329">
        <f>RBBD!I41</f>
        <v>0</v>
      </c>
      <c r="O56" s="1329">
        <f>RBBD!J41</f>
        <v>0</v>
      </c>
      <c r="P56" s="1329">
        <f>RBBD!K41</f>
        <v>0</v>
      </c>
      <c r="Q56" s="1329">
        <f>RBBD!L41</f>
        <v>0</v>
      </c>
      <c r="R56" s="1329">
        <f>RBBD!M41</f>
        <v>0</v>
      </c>
      <c r="S56" s="1329">
        <f>RBBD!N41</f>
        <v>0</v>
      </c>
      <c r="T56" s="1329">
        <f>RBBD!O41</f>
        <v>0</v>
      </c>
      <c r="U56" s="1329">
        <f>RBBD!P41</f>
        <v>0</v>
      </c>
      <c r="V56" s="1329">
        <f>RBBD!Q41</f>
        <v>0</v>
      </c>
      <c r="W56" s="1329">
        <f>RBBD!R41</f>
        <v>0</v>
      </c>
      <c r="X56" s="1329">
        <f>RBBD!S41</f>
        <v>0</v>
      </c>
      <c r="Y56" s="1329">
        <f>RBBD!T41</f>
        <v>0</v>
      </c>
      <c r="Z56" s="65"/>
      <c r="AA56" s="329">
        <f t="shared" si="5"/>
        <v>0</v>
      </c>
    </row>
    <row r="57" spans="2:27" hidden="1">
      <c r="B57" s="1329">
        <f>RBBD!B42</f>
        <v>0</v>
      </c>
      <c r="C57" s="1329">
        <f>RBBD!C42</f>
        <v>0</v>
      </c>
      <c r="D57" s="1329">
        <f>RBBD!D42</f>
        <v>0</v>
      </c>
      <c r="E57" s="1329">
        <f>RBBD!G42</f>
        <v>0</v>
      </c>
      <c r="F57" s="1329">
        <f>RBBD!H42</f>
        <v>0</v>
      </c>
      <c r="G57" s="1329">
        <f>RBBD!E42</f>
        <v>0</v>
      </c>
      <c r="H57" s="1329">
        <f>RBBD!F42</f>
        <v>0</v>
      </c>
      <c r="I57" s="1329">
        <f t="shared" si="2"/>
        <v>0</v>
      </c>
      <c r="J57" s="1329">
        <f t="shared" si="2"/>
        <v>0</v>
      </c>
      <c r="K57" s="1329">
        <f t="shared" si="2"/>
        <v>0</v>
      </c>
      <c r="L57" s="1329">
        <f t="shared" si="2"/>
        <v>0</v>
      </c>
      <c r="M57" s="1329">
        <f t="shared" si="3"/>
        <v>0</v>
      </c>
      <c r="N57" s="1329">
        <f>RBBD!I42</f>
        <v>0</v>
      </c>
      <c r="O57" s="1329">
        <f>RBBD!J42</f>
        <v>0</v>
      </c>
      <c r="P57" s="1329">
        <f>RBBD!K42</f>
        <v>0</v>
      </c>
      <c r="Q57" s="1329">
        <f>RBBD!L42</f>
        <v>0</v>
      </c>
      <c r="R57" s="1329">
        <f>RBBD!M42</f>
        <v>0</v>
      </c>
      <c r="S57" s="1329">
        <f>RBBD!N42</f>
        <v>0</v>
      </c>
      <c r="T57" s="1329">
        <f>RBBD!O42</f>
        <v>0</v>
      </c>
      <c r="U57" s="1329">
        <f>RBBD!P42</f>
        <v>0</v>
      </c>
      <c r="V57" s="1329">
        <f>RBBD!Q42</f>
        <v>0</v>
      </c>
      <c r="W57" s="1329">
        <f>RBBD!R42</f>
        <v>0</v>
      </c>
      <c r="X57" s="1329">
        <f>RBBD!S42</f>
        <v>0</v>
      </c>
      <c r="Y57" s="1329">
        <f>RBBD!T42</f>
        <v>0</v>
      </c>
      <c r="Z57" s="65"/>
      <c r="AA57" s="329">
        <f t="shared" si="5"/>
        <v>0</v>
      </c>
    </row>
    <row r="58" spans="2:27" hidden="1">
      <c r="B58" s="1329">
        <f>RBBD!B43</f>
        <v>0</v>
      </c>
      <c r="C58" s="1329">
        <f>RBBD!C43</f>
        <v>0</v>
      </c>
      <c r="D58" s="1329">
        <f>RBBD!D43</f>
        <v>0</v>
      </c>
      <c r="E58" s="1329">
        <f>RBBD!G43</f>
        <v>0</v>
      </c>
      <c r="F58" s="1329">
        <f>RBBD!H43</f>
        <v>0</v>
      </c>
      <c r="G58" s="1329">
        <f>RBBD!E43</f>
        <v>0</v>
      </c>
      <c r="H58" s="1329">
        <f>RBBD!F43</f>
        <v>0</v>
      </c>
      <c r="I58" s="1329">
        <f t="shared" si="2"/>
        <v>0</v>
      </c>
      <c r="J58" s="1329">
        <f t="shared" si="2"/>
        <v>0</v>
      </c>
      <c r="K58" s="1329">
        <f t="shared" si="2"/>
        <v>0</v>
      </c>
      <c r="L58" s="1329">
        <f t="shared" si="2"/>
        <v>0</v>
      </c>
      <c r="M58" s="1329">
        <f t="shared" si="3"/>
        <v>0</v>
      </c>
      <c r="N58" s="1329">
        <f>RBBD!I43</f>
        <v>0</v>
      </c>
      <c r="O58" s="1329">
        <f>RBBD!J43</f>
        <v>0</v>
      </c>
      <c r="P58" s="1329">
        <f>RBBD!K43</f>
        <v>0</v>
      </c>
      <c r="Q58" s="1329">
        <f>RBBD!L43</f>
        <v>0</v>
      </c>
      <c r="R58" s="1329">
        <f>RBBD!M43</f>
        <v>0</v>
      </c>
      <c r="S58" s="1329">
        <f>RBBD!N43</f>
        <v>0</v>
      </c>
      <c r="T58" s="1329">
        <f>RBBD!O43</f>
        <v>0</v>
      </c>
      <c r="U58" s="1329">
        <f>RBBD!P43</f>
        <v>0</v>
      </c>
      <c r="V58" s="1329">
        <f>RBBD!Q43</f>
        <v>0</v>
      </c>
      <c r="W58" s="1329">
        <f>RBBD!R43</f>
        <v>0</v>
      </c>
      <c r="X58" s="1329">
        <f>RBBD!S43</f>
        <v>0</v>
      </c>
      <c r="Y58" s="1329">
        <f>RBBD!T43</f>
        <v>0</v>
      </c>
      <c r="Z58" s="65"/>
      <c r="AA58" s="329">
        <f t="shared" si="5"/>
        <v>0</v>
      </c>
    </row>
    <row r="59" spans="2:27" hidden="1">
      <c r="B59" s="1329">
        <f>RBBD!B44</f>
        <v>0</v>
      </c>
      <c r="C59" s="1329">
        <f>RBBD!C44</f>
        <v>0</v>
      </c>
      <c r="D59" s="1329">
        <f>RBBD!D44</f>
        <v>0</v>
      </c>
      <c r="E59" s="1329">
        <f>RBBD!G44</f>
        <v>0</v>
      </c>
      <c r="F59" s="1329">
        <f>RBBD!H44</f>
        <v>0</v>
      </c>
      <c r="G59" s="1329">
        <f>RBBD!E44</f>
        <v>0</v>
      </c>
      <c r="H59" s="1329">
        <f>RBBD!F44</f>
        <v>0</v>
      </c>
      <c r="I59" s="1329">
        <f t="shared" si="2"/>
        <v>0</v>
      </c>
      <c r="J59" s="1329">
        <f t="shared" si="2"/>
        <v>0</v>
      </c>
      <c r="K59" s="1329">
        <f t="shared" si="2"/>
        <v>0</v>
      </c>
      <c r="L59" s="1329">
        <f t="shared" si="2"/>
        <v>0</v>
      </c>
      <c r="M59" s="1329">
        <f t="shared" si="3"/>
        <v>0</v>
      </c>
      <c r="N59" s="1329">
        <f>RBBD!I44</f>
        <v>0</v>
      </c>
      <c r="O59" s="1329">
        <f>RBBD!J44</f>
        <v>0</v>
      </c>
      <c r="P59" s="1329">
        <f>RBBD!K44</f>
        <v>0</v>
      </c>
      <c r="Q59" s="1329">
        <f>RBBD!L44</f>
        <v>0</v>
      </c>
      <c r="R59" s="1329">
        <f>RBBD!M44</f>
        <v>0</v>
      </c>
      <c r="S59" s="1329">
        <f>RBBD!N44</f>
        <v>0</v>
      </c>
      <c r="T59" s="1329">
        <f>RBBD!O44</f>
        <v>0</v>
      </c>
      <c r="U59" s="1329">
        <f>RBBD!P44</f>
        <v>0</v>
      </c>
      <c r="V59" s="1329">
        <f>RBBD!Q44</f>
        <v>0</v>
      </c>
      <c r="W59" s="1329">
        <f>RBBD!R44</f>
        <v>0</v>
      </c>
      <c r="X59" s="1329">
        <f>RBBD!S44</f>
        <v>0</v>
      </c>
      <c r="Y59" s="1329">
        <f>RBBD!T44</f>
        <v>0</v>
      </c>
      <c r="Z59" s="65"/>
      <c r="AA59" s="329">
        <f t="shared" si="5"/>
        <v>0</v>
      </c>
    </row>
    <row r="60" spans="2:27" hidden="1">
      <c r="B60" s="1329">
        <f>RBBD!B45</f>
        <v>0</v>
      </c>
      <c r="C60" s="1329">
        <f>RBBD!C45</f>
        <v>0</v>
      </c>
      <c r="D60" s="1329">
        <f>RBBD!D45</f>
        <v>0</v>
      </c>
      <c r="E60" s="1329">
        <f>RBBD!G45</f>
        <v>0</v>
      </c>
      <c r="F60" s="1329">
        <f>RBBD!H45</f>
        <v>0</v>
      </c>
      <c r="G60" s="1329">
        <f>RBBD!E45</f>
        <v>0</v>
      </c>
      <c r="H60" s="1329">
        <f>RBBD!F45</f>
        <v>0</v>
      </c>
      <c r="I60" s="1329">
        <f t="shared" si="2"/>
        <v>0</v>
      </c>
      <c r="J60" s="1329">
        <f t="shared" si="2"/>
        <v>0</v>
      </c>
      <c r="K60" s="1329">
        <f t="shared" si="2"/>
        <v>0</v>
      </c>
      <c r="L60" s="1329">
        <f t="shared" si="2"/>
        <v>0</v>
      </c>
      <c r="M60" s="1329">
        <f t="shared" si="3"/>
        <v>0</v>
      </c>
      <c r="N60" s="1329">
        <f>RBBD!I45</f>
        <v>0</v>
      </c>
      <c r="O60" s="1329">
        <f>RBBD!J45</f>
        <v>0</v>
      </c>
      <c r="P60" s="1329">
        <f>RBBD!K45</f>
        <v>0</v>
      </c>
      <c r="Q60" s="1329">
        <f>RBBD!L45</f>
        <v>0</v>
      </c>
      <c r="R60" s="1329">
        <f>RBBD!M45</f>
        <v>0</v>
      </c>
      <c r="S60" s="1329">
        <f>RBBD!N45</f>
        <v>0</v>
      </c>
      <c r="T60" s="1329">
        <f>RBBD!O45</f>
        <v>0</v>
      </c>
      <c r="U60" s="1329">
        <f>RBBD!P45</f>
        <v>0</v>
      </c>
      <c r="V60" s="1329">
        <f>RBBD!Q45</f>
        <v>0</v>
      </c>
      <c r="W60" s="1329">
        <f>RBBD!R45</f>
        <v>0</v>
      </c>
      <c r="X60" s="1329">
        <f>RBBD!S45</f>
        <v>0</v>
      </c>
      <c r="Y60" s="1329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30" t="s">
        <v>1246</v>
      </c>
      <c r="D62" s="1331"/>
      <c r="E62" s="1331">
        <f>SUM(I18:I61)/SUM(M18:M61)</f>
        <v>4684.7631678666157</v>
      </c>
      <c r="F62" s="1331">
        <f>SUM(J18:J61)/SUM(M18:M61)</f>
        <v>7080.286093217127</v>
      </c>
      <c r="G62" s="1331">
        <f>SUM(K18:K61)/SUM(M18:M61)</f>
        <v>1421.2315270935958</v>
      </c>
      <c r="H62" s="1331">
        <f>SUM(L18:L61)/SUM(M18:M61)</f>
        <v>1353.8211443728683</v>
      </c>
      <c r="I62" s="1332">
        <f>SUM(I16:I61)</f>
        <v>2472618</v>
      </c>
      <c r="J62" s="1332">
        <f>SUM(J16:J61)</f>
        <v>3736975</v>
      </c>
      <c r="K62" s="1332">
        <f>SUM(K16:K61)</f>
        <v>750126</v>
      </c>
      <c r="L62" s="1332">
        <f>SUM(L16:L61)</f>
        <v>714546.79999999993</v>
      </c>
      <c r="M62" s="1332">
        <f>SUM(M17:M61)</f>
        <v>527.80000000000007</v>
      </c>
      <c r="N62" s="1332">
        <f>SUM(N18:N61)</f>
        <v>40</v>
      </c>
      <c r="O62" s="1332">
        <f t="shared" ref="O62:Y62" si="6">SUM(O18:O61)</f>
        <v>40</v>
      </c>
      <c r="P62" s="1332">
        <f t="shared" si="6"/>
        <v>40</v>
      </c>
      <c r="Q62" s="1332">
        <f t="shared" si="6"/>
        <v>40</v>
      </c>
      <c r="R62" s="1332">
        <f t="shared" si="6"/>
        <v>40</v>
      </c>
      <c r="S62" s="1332">
        <f t="shared" si="6"/>
        <v>40</v>
      </c>
      <c r="T62" s="1332">
        <f t="shared" si="6"/>
        <v>41.5</v>
      </c>
      <c r="U62" s="1332">
        <f t="shared" si="6"/>
        <v>41.5</v>
      </c>
      <c r="V62" s="1332">
        <f t="shared" si="6"/>
        <v>51.199999999999996</v>
      </c>
      <c r="W62" s="1332">
        <f t="shared" si="6"/>
        <v>51.199999999999996</v>
      </c>
      <c r="X62" s="1332">
        <f t="shared" si="6"/>
        <v>51.199999999999996</v>
      </c>
      <c r="Y62" s="1332">
        <f t="shared" si="6"/>
        <v>51.199999999999996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22" t="s">
        <v>1247</v>
      </c>
      <c r="C67" s="1322"/>
      <c r="D67" s="1322"/>
      <c r="E67" s="1322"/>
      <c r="F67" s="1322"/>
      <c r="G67" s="1322"/>
      <c r="H67" s="1322"/>
      <c r="I67" s="1322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8"/>
      <c r="E69" s="1333">
        <f>IF(MONTH(E70)=7,E70,0)</f>
        <v>44378</v>
      </c>
      <c r="F69" s="1333">
        <f t="shared" ref="F69:P69" si="7">IF(MONTH(F70)=7,F70,0)</f>
        <v>0</v>
      </c>
      <c r="G69" s="1333">
        <f t="shared" si="7"/>
        <v>0</v>
      </c>
      <c r="H69" s="1333">
        <f t="shared" si="7"/>
        <v>0</v>
      </c>
      <c r="I69" s="1333">
        <f t="shared" si="7"/>
        <v>0</v>
      </c>
      <c r="J69" s="1333">
        <f t="shared" si="7"/>
        <v>0</v>
      </c>
      <c r="K69" s="1333">
        <f t="shared" si="7"/>
        <v>0</v>
      </c>
      <c r="L69" s="1333">
        <f t="shared" si="7"/>
        <v>0</v>
      </c>
      <c r="M69" s="1333">
        <f t="shared" si="7"/>
        <v>0</v>
      </c>
      <c r="N69" s="1333">
        <f t="shared" si="7"/>
        <v>0</v>
      </c>
      <c r="O69" s="1333">
        <f t="shared" si="7"/>
        <v>0</v>
      </c>
      <c r="P69" s="1333">
        <f t="shared" si="7"/>
        <v>0</v>
      </c>
      <c r="Q69" s="806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1248</v>
      </c>
      <c r="E70" s="1334">
        <f>G76</f>
        <v>44378</v>
      </c>
      <c r="F70" s="1334">
        <f>G77</f>
        <v>44409</v>
      </c>
      <c r="G70" s="1334">
        <f>G78</f>
        <v>44440</v>
      </c>
      <c r="H70" s="1334">
        <f>G79</f>
        <v>44470</v>
      </c>
      <c r="I70" s="1334">
        <f>G80</f>
        <v>44501</v>
      </c>
      <c r="J70" s="1334">
        <f>G81</f>
        <v>44531</v>
      </c>
      <c r="K70" s="1334">
        <f>G82</f>
        <v>44562</v>
      </c>
      <c r="L70" s="1334">
        <f>G83</f>
        <v>44593</v>
      </c>
      <c r="M70" s="1334">
        <f>G84</f>
        <v>44621</v>
      </c>
      <c r="N70" s="1334">
        <f>G85</f>
        <v>44652</v>
      </c>
      <c r="O70" s="1334">
        <f>G86</f>
        <v>44682</v>
      </c>
      <c r="P70" s="1334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35" t="s">
        <v>1249</v>
      </c>
      <c r="D71" s="1336">
        <f>SUM(E71:P71)</f>
        <v>0</v>
      </c>
      <c r="E71" s="1337">
        <f>SUMIF($G$76:$G$420,E70,$N$76:$N$420)</f>
        <v>0</v>
      </c>
      <c r="F71" s="1337">
        <f t="shared" ref="F71:P71" si="8">SUMIF($G$76:$G$420,F70,$N$76:$N$420)</f>
        <v>0</v>
      </c>
      <c r="G71" s="1337">
        <f t="shared" si="8"/>
        <v>0</v>
      </c>
      <c r="H71" s="1337">
        <f t="shared" si="8"/>
        <v>0</v>
      </c>
      <c r="I71" s="1337">
        <f t="shared" si="8"/>
        <v>0</v>
      </c>
      <c r="J71" s="1337">
        <f t="shared" si="8"/>
        <v>0</v>
      </c>
      <c r="K71" s="1337">
        <f t="shared" si="8"/>
        <v>0</v>
      </c>
      <c r="L71" s="1337">
        <f t="shared" si="8"/>
        <v>0</v>
      </c>
      <c r="M71" s="1337">
        <f t="shared" si="8"/>
        <v>0</v>
      </c>
      <c r="N71" s="1337">
        <f t="shared" si="8"/>
        <v>0</v>
      </c>
      <c r="O71" s="1337">
        <f t="shared" si="8"/>
        <v>0</v>
      </c>
      <c r="P71" s="1337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35" t="s">
        <v>1250</v>
      </c>
      <c r="D72" s="1336">
        <f>SUM(E72:P72)</f>
        <v>0</v>
      </c>
      <c r="E72" s="1337">
        <f>SUMIF(Indexador!$B$25:$B$48,'Rede Básica + Ajuste'!E70,Indexador!$J$25:$J$48)</f>
        <v>0</v>
      </c>
      <c r="F72" s="1337">
        <f>SUMIF(Indexador!$B$25:$B$48,'Rede Básica + Ajuste'!F70,Indexador!$J$25:$J$48)</f>
        <v>0</v>
      </c>
      <c r="G72" s="1337">
        <f>SUMIF(Indexador!$B$25:$B$48,'Rede Básica + Ajuste'!G70,Indexador!$J$25:$J$48)</f>
        <v>0</v>
      </c>
      <c r="H72" s="1337">
        <f>SUMIF(Indexador!$B$25:$B$48,'Rede Básica + Ajuste'!H70,Indexador!$J$25:$J$48)</f>
        <v>0</v>
      </c>
      <c r="I72" s="1337">
        <f>SUMIF(Indexador!$B$25:$B$48,'Rede Básica + Ajuste'!I70,Indexador!$J$25:$J$48)</f>
        <v>0</v>
      </c>
      <c r="J72" s="1337">
        <f>SUMIF(Indexador!$B$25:$B$48,'Rede Básica + Ajuste'!J70,Indexador!$J$25:$J$48)</f>
        <v>0</v>
      </c>
      <c r="K72" s="1337">
        <f>SUMIF(Indexador!$B$25:$B$48,'Rede Básica + Ajuste'!K70,Indexador!$J$25:$J$48)</f>
        <v>0</v>
      </c>
      <c r="L72" s="1337">
        <f>SUMIF(Indexador!$B$25:$B$48,'Rede Básica + Ajuste'!L70,Indexador!$J$25:$J$48)</f>
        <v>0</v>
      </c>
      <c r="M72" s="1337">
        <f>SUMIF(Indexador!$B$25:$B$48,'Rede Básica + Ajuste'!M70,Indexador!$J$25:$J$48)</f>
        <v>0</v>
      </c>
      <c r="N72" s="1337">
        <f>SUMIF(Indexador!$B$25:$B$48,'Rede Básica + Ajuste'!N70,Indexador!$J$25:$J$48)</f>
        <v>0</v>
      </c>
      <c r="O72" s="1337">
        <f>SUMIF(Indexador!$B$25:$B$48,'Rede Básica + Ajuste'!O70,Indexador!$J$25:$J$48)</f>
        <v>0</v>
      </c>
      <c r="P72" s="133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807" t="s">
        <v>1251</v>
      </c>
      <c r="K74" s="1808"/>
      <c r="L74" s="1806" t="s">
        <v>1252</v>
      </c>
      <c r="M74" s="1806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809" t="s">
        <v>1234</v>
      </c>
      <c r="D75" s="1810"/>
      <c r="F75" s="275"/>
      <c r="G75" s="1338" t="s">
        <v>715</v>
      </c>
      <c r="H75" s="1339" t="s">
        <v>1253</v>
      </c>
      <c r="I75" s="1339" t="s">
        <v>1254</v>
      </c>
      <c r="J75" s="1340" t="s">
        <v>1255</v>
      </c>
      <c r="K75" s="1340" t="s">
        <v>1256</v>
      </c>
      <c r="L75" s="1340" t="s">
        <v>1255</v>
      </c>
      <c r="M75" s="1340" t="s">
        <v>1256</v>
      </c>
      <c r="N75" s="282" t="s">
        <v>1257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35" t="s">
        <v>1258</v>
      </c>
      <c r="D76" s="1341" t="str">
        <f>IF(D18="Ponta",B18,0)</f>
        <v>P.PETROQUIMIC - 69 kV (A)</v>
      </c>
      <c r="E76" s="18"/>
      <c r="F76" s="275"/>
      <c r="G76" s="1342">
        <f>DATE(YEAR(CAPA!C14),MONTH(CAPA!C14),1)</f>
        <v>44378</v>
      </c>
      <c r="H76" s="277">
        <f>SUMIFS($N$18:$N$60,$B$18:$B$60,$D$76,$D$18:$D$60,"Ponta")</f>
        <v>18.5</v>
      </c>
      <c r="I76" s="277">
        <f>SUMIFS($N$18:$N$60,$B$18:$B$60,$D$76,$D$18:$D$60,"Fora Ponta")</f>
        <v>21.5</v>
      </c>
      <c r="J76" s="277">
        <f>SUMIFS($E$18:$E$60,$B$18:$B$60,$D$76,$D$18:$D$60,"Ponta")</f>
        <v>4698</v>
      </c>
      <c r="K76" s="277">
        <f>SUMIFS($E$18:$E$60,$B$18:$B$60,$D$76,$D$18:$D$60,"Fora Ponta")</f>
        <v>5362</v>
      </c>
      <c r="L76" s="1343">
        <f>IF(MONTH(DataRevRea)=7,'Rede Básica + Ajuste'!J76,IF(G76&lt;$Q$69,(SUMIFS($E$18:$E$60,$B$18:$B$60,$D$76,$D$18:$D$60,"Ponta")),(SUMIFS($F$18:$F$60,$B$18:$B$60,$D$76,$D$18:$D$60,"Ponta"))))</f>
        <v>4698</v>
      </c>
      <c r="M76" s="1343">
        <f>IF(MONTH(DataRevRea)=7,'Rede Básica + Ajuste'!K76,IF(G76&lt;$Q$69,(SUMIFS($E$18:$E$60,$B$18:$B$60,$D$76,$D$18:$D$60,"Fora Ponta")),(SUMIFS($F$18:$F$60,$B$18:$B$60,$D$76,$D$18:$D$60,"Fora Ponta"))))</f>
        <v>5362</v>
      </c>
      <c r="N76" s="1344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18.5</v>
      </c>
      <c r="I77" s="277">
        <f>SUMIFS($O$18:$O$60,$B$18:$B$60,$D$76,$D$18:$D$60,"Fora Ponta")</f>
        <v>21.5</v>
      </c>
      <c r="J77" s="277">
        <f t="shared" ref="J77:J87" si="9">SUMIFS($E$18:$E$60,$B$18:$B$60,$D$76,$D$18:$D$60,"Ponta")</f>
        <v>4698</v>
      </c>
      <c r="K77" s="277">
        <f t="shared" ref="K77:K87" si="10">SUMIFS($E$18:$E$60,$B$18:$B$60,$D$76,$D$18:$D$60,"Fora Ponta")</f>
        <v>5362</v>
      </c>
      <c r="L77" s="277">
        <f>IF(MONTH(DataRevRea)=7,'Rede Básica + Ajuste'!J77,IF(G77&lt;$Q$69,(SUMIFS($E$18:$E$60,$B$18:$B$60,$D$76,$D$18:$D$60,"Ponta")),(SUMIFS($F$18:$F$60,$B$18:$B$60,$D$76,$D$18:$D$60,"Ponta"))))</f>
        <v>4698</v>
      </c>
      <c r="M77" s="277">
        <f>IF(MONTH(DataRevRea)=7,'Rede Básica + Ajuste'!K77,IF(G77&lt;$Q$69,(SUMIFS($E$18:$E$60,$B$18:$B$60,$D$76,$D$18:$D$60,"Fora Ponta")),(SUMIFS($F$18:$F$60,$B$18:$B$60,$D$76,$D$18:$D$60,"Fora Ponta"))))</f>
        <v>5362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45" t="s">
        <v>1259</v>
      </c>
      <c r="E78" s="1346" t="s">
        <v>1260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18.5</v>
      </c>
      <c r="I78" s="277">
        <f>SUMIFS($P$18:$P$60,$B$18:$B$60,$D$76,$D$18:$D$60,"Fora Ponta")</f>
        <v>21.5</v>
      </c>
      <c r="J78" s="277">
        <f t="shared" si="9"/>
        <v>4698</v>
      </c>
      <c r="K78" s="277">
        <f t="shared" si="10"/>
        <v>5362</v>
      </c>
      <c r="L78" s="277">
        <f>IF(MONTH(DataRevRea)=7,'Rede Básica + Ajuste'!J78,IF(G78&lt;$Q$69,(SUMIFS($E$18:$E$60,$B$18:$B$60,$D$76,$D$18:$D$60,"Ponta")),(SUMIFS($F$18:$F$60,$B$18:$B$60,$D$76,$D$18:$D$60,"Ponta"))))</f>
        <v>4698</v>
      </c>
      <c r="M78" s="277">
        <f>IF(MONTH(DataRevRea)=7,'Rede Básica + Ajuste'!K78,IF(G78&lt;$Q$69,(SUMIFS($E$18:$E$60,$B$18:$B$60,$D$76,$D$18:$D$60,"Fora Ponta")),(SUMIFS($F$18:$F$60,$B$18:$B$60,$D$76,$D$18:$D$60,"Fora Ponta"))))</f>
        <v>5362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47" t="str">
        <f>"Cobertura "&amp;YEAR(CAPA!C14)</f>
        <v>Cobertura 2021</v>
      </c>
      <c r="D79" s="1348">
        <f>SUMPRODUCT(H76:H87,J76:J87)</f>
        <v>1057050</v>
      </c>
      <c r="E79" s="1348">
        <f>SUMPRODUCT(I76:I87,K76:K87)</f>
        <v>1415568</v>
      </c>
      <c r="F79" s="275"/>
      <c r="G79" s="276">
        <f t="shared" si="12"/>
        <v>44470</v>
      </c>
      <c r="H79" s="277">
        <f>SUMIFS($Q$18:$Q$60,$B$18:$B$60,$D$76,$D$18:$D$60,"Ponta")</f>
        <v>18.5</v>
      </c>
      <c r="I79" s="277">
        <f>SUMIFS($Q$18:$Q$60,$B$18:$B$60,$D$76,$D$18:$D$60,"Fora Ponta")</f>
        <v>21.5</v>
      </c>
      <c r="J79" s="277">
        <f t="shared" si="9"/>
        <v>4698</v>
      </c>
      <c r="K79" s="277">
        <f t="shared" si="10"/>
        <v>5362</v>
      </c>
      <c r="L79" s="277">
        <f>IF(MONTH(DataRevRea)=7,'Rede Básica + Ajuste'!J79,IF(G79&lt;$Q$69,(SUMIFS($E$18:$E$60,$B$18:$B$60,$D$76,$D$18:$D$60,"Ponta")),(SUMIFS($F$18:$F$60,$B$18:$B$60,$D$76,$D$18:$D$60,"Ponta"))))</f>
        <v>4698</v>
      </c>
      <c r="M79" s="277">
        <f>IF(MONTH(DataRevRea)=7,'Rede Básica + Ajuste'!K79,IF(G79&lt;$Q$69,(SUMIFS($E$18:$E$60,$B$18:$B$60,$D$76,$D$18:$D$60,"Fora Ponta")),(SUMIFS($F$18:$F$60,$B$18:$B$60,$D$76,$D$18:$D$60,"Fora Ponta"))))</f>
        <v>5362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47" t="s">
        <v>1261</v>
      </c>
      <c r="D80" s="1348">
        <f>SUMPRODUCT(H76:H87,L76:L87)</f>
        <v>1057050</v>
      </c>
      <c r="E80" s="1348">
        <f>SUMPRODUCT(I76:I87,M76:M87)</f>
        <v>1415568</v>
      </c>
      <c r="F80" s="275"/>
      <c r="G80" s="276">
        <f t="shared" si="12"/>
        <v>44501</v>
      </c>
      <c r="H80" s="277">
        <f>SUMIFS($R$18:$R$60,$B$18:$B$60,$D$76,$D$18:$D$60,"Ponta")</f>
        <v>18.5</v>
      </c>
      <c r="I80" s="277">
        <f>SUMIFS($R$18:$R$60,$B$18:$B$60,$D$76,$D$18:$D$60,"Fora Ponta")</f>
        <v>21.5</v>
      </c>
      <c r="J80" s="277">
        <f t="shared" si="9"/>
        <v>4698</v>
      </c>
      <c r="K80" s="277">
        <f t="shared" si="10"/>
        <v>5362</v>
      </c>
      <c r="L80" s="277">
        <f>IF(MONTH(DataRevRea)=7,'Rede Básica + Ajuste'!J80,IF(G80&lt;$Q$69,(SUMIFS($E$18:$E$60,$B$18:$B$60,$D$76,$D$18:$D$60,"Ponta")),(SUMIFS($F$18:$F$60,$B$18:$B$60,$D$76,$D$18:$D$60,"Ponta"))))</f>
        <v>4698</v>
      </c>
      <c r="M80" s="277">
        <f>IF(MONTH(DataRevRea)=7,'Rede Básica + Ajuste'!K80,IF(G80&lt;$Q$69,(SUMIFS($E$18:$E$60,$B$18:$B$60,$D$76,$D$18:$D$60,"Fora Ponta")),(SUMIFS($F$18:$F$60,$B$18:$B$60,$D$76,$D$18:$D$60,"Fora Ponta"))))</f>
        <v>5362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18.5</v>
      </c>
      <c r="I81" s="277">
        <f>SUMIFS($S$18:$S$60,$B$18:$B$60,$D$76,$D$18:$D$60,"Fora Ponta")</f>
        <v>21.5</v>
      </c>
      <c r="J81" s="277">
        <f t="shared" si="9"/>
        <v>4698</v>
      </c>
      <c r="K81" s="277">
        <f t="shared" si="10"/>
        <v>5362</v>
      </c>
      <c r="L81" s="277">
        <f>IF(MONTH(DataRevRea)=7,'Rede Básica + Ajuste'!J81,IF(G81&lt;$Q$69,(SUMIFS($E$18:$E$60,$B$18:$B$60,$D$76,$D$18:$D$60,"Ponta")),(SUMIFS($F$18:$F$60,$B$18:$B$60,$D$76,$D$18:$D$60,"Ponta"))))</f>
        <v>4698</v>
      </c>
      <c r="M81" s="277">
        <f>IF(MONTH(DataRevRea)=7,'Rede Básica + Ajuste'!K81,IF(G81&lt;$Q$69,(SUMIFS($E$18:$E$60,$B$18:$B$60,$D$76,$D$18:$D$60,"Fora Ponta")),(SUMIFS($F$18:$F$60,$B$18:$B$60,$D$76,$D$18:$D$60,"Fora Ponta"))))</f>
        <v>5362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19</v>
      </c>
      <c r="I82" s="277">
        <f>SUMIFS($T$18:$T$60,$B$18:$B$60,$D$76,$D$18:$D$60,"Fora Ponta")</f>
        <v>22.5</v>
      </c>
      <c r="J82" s="277">
        <f t="shared" si="9"/>
        <v>4698</v>
      </c>
      <c r="K82" s="277">
        <f t="shared" si="10"/>
        <v>5362</v>
      </c>
      <c r="L82" s="277">
        <f>IF(MONTH(DataRevRea)=7,'Rede Básica + Ajuste'!J82,IF(G82&lt;$Q$69,(SUMIFS($E$18:$E$60,$B$18:$B$60,$D$76,$D$18:$D$60,"Ponta")),(SUMIFS($F$18:$F$60,$B$18:$B$60,$D$76,$D$18:$D$60,"Ponta"))))</f>
        <v>4698</v>
      </c>
      <c r="M82" s="277">
        <f>IF(MONTH(DataRevRea)=7,'Rede Básica + Ajuste'!K82,IF(G82&lt;$Q$69,(SUMIFS($E$18:$E$60,$B$18:$B$60,$D$76,$D$18:$D$60,"Fora Ponta")),(SUMIFS($F$18:$F$60,$B$18:$B$60,$D$76,$D$18:$D$60,"Fora Ponta"))))</f>
        <v>5362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19</v>
      </c>
      <c r="I83" s="277">
        <f>SUMIFS($U$18:$U$60,$B$18:$B$60,$D$76,$D$18:$D$60,"Fora Ponta")</f>
        <v>22.5</v>
      </c>
      <c r="J83" s="277">
        <f t="shared" si="9"/>
        <v>4698</v>
      </c>
      <c r="K83" s="277">
        <f t="shared" si="10"/>
        <v>5362</v>
      </c>
      <c r="L83" s="277">
        <f>IF(MONTH(DataRevRea)=7,'Rede Básica + Ajuste'!J83,IF(G83&lt;$Q$69,(SUMIFS($E$18:$E$60,$B$18:$B$60,$D$76,$D$18:$D$60,"Ponta")),(SUMIFS($F$18:$F$60,$B$18:$B$60,$D$76,$D$18:$D$60,"Ponta"))))</f>
        <v>4698</v>
      </c>
      <c r="M83" s="277">
        <f>IF(MONTH(DataRevRea)=7,'Rede Básica + Ajuste'!K83,IF(G83&lt;$Q$69,(SUMIFS($E$18:$E$60,$B$18:$B$60,$D$76,$D$18:$D$60,"Fora Ponta")),(SUMIFS($F$18:$F$60,$B$18:$B$60,$D$76,$D$18:$D$60,"Fora Ponta"))))</f>
        <v>5362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19</v>
      </c>
      <c r="I84" s="277">
        <f>SUMIFS($V$18:$V$60,$B$18:$B$60,$D$76,$D$18:$D$60,"Fora Ponta")</f>
        <v>22.5</v>
      </c>
      <c r="J84" s="277">
        <f t="shared" si="9"/>
        <v>4698</v>
      </c>
      <c r="K84" s="277">
        <f t="shared" si="10"/>
        <v>5362</v>
      </c>
      <c r="L84" s="277">
        <f>IF(MONTH(DataRevRea)=7,'Rede Básica + Ajuste'!J84,IF(G84&lt;$Q$69,(SUMIFS($E$18:$E$60,$B$18:$B$60,$D$76,$D$18:$D$60,"Ponta")),(SUMIFS($F$18:$F$60,$B$18:$B$60,$D$76,$D$18:$D$60,"Ponta"))))</f>
        <v>4698</v>
      </c>
      <c r="M84" s="277">
        <f>IF(MONTH(DataRevRea)=7,'Rede Básica + Ajuste'!K84,IF(G84&lt;$Q$69,(SUMIFS($E$18:$E$60,$B$18:$B$60,$D$76,$D$18:$D$60,"Fora Ponta")),(SUMIFS($F$18:$F$60,$B$18:$B$60,$D$76,$D$18:$D$60,"Fora Ponta"))))</f>
        <v>5362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19</v>
      </c>
      <c r="I85" s="277">
        <f>SUMIFS($W$18:$W$60,$B$18:$B$60,$D$76,$D$18:$D$60,"Fora Ponta")</f>
        <v>22.5</v>
      </c>
      <c r="J85" s="277">
        <f t="shared" si="9"/>
        <v>4698</v>
      </c>
      <c r="K85" s="277">
        <f t="shared" si="10"/>
        <v>5362</v>
      </c>
      <c r="L85" s="277">
        <f>IF(MONTH(DataRevRea)=7,'Rede Básica + Ajuste'!J85,IF(G85&lt;$Q$69,(SUMIFS($E$18:$E$60,$B$18:$B$60,$D$76,$D$18:$D$60,"Ponta")),(SUMIFS($F$18:$F$60,$B$18:$B$60,$D$76,$D$18:$D$60,"Ponta"))))</f>
        <v>4698</v>
      </c>
      <c r="M85" s="277">
        <f>IF(MONTH(DataRevRea)=7,'Rede Básica + Ajuste'!K85,IF(G85&lt;$Q$69,(SUMIFS($E$18:$E$60,$B$18:$B$60,$D$76,$D$18:$D$60,"Fora Ponta")),(SUMIFS($F$18:$F$60,$B$18:$B$60,$D$76,$D$18:$D$60,"Fora Ponta"))))</f>
        <v>5362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19</v>
      </c>
      <c r="I86" s="277">
        <f>SUMIFS($X$18:$X$60,$B$18:$B$60,$D$76,$D$18:$D$60,"Fora Ponta")</f>
        <v>22.5</v>
      </c>
      <c r="J86" s="277">
        <f t="shared" si="9"/>
        <v>4698</v>
      </c>
      <c r="K86" s="277">
        <f t="shared" si="10"/>
        <v>5362</v>
      </c>
      <c r="L86" s="277">
        <f>IF(MONTH(DataRevRea)=7,'Rede Básica + Ajuste'!J86,IF(G86&lt;$Q$69,(SUMIFS($E$18:$E$60,$B$18:$B$60,$D$76,$D$18:$D$60,"Ponta")),(SUMIFS($F$18:$F$60,$B$18:$B$60,$D$76,$D$18:$D$60,"Ponta"))))</f>
        <v>4698</v>
      </c>
      <c r="M86" s="277">
        <f>IF(MONTH(DataRevRea)=7,'Rede Básica + Ajuste'!K86,IF(G86&lt;$Q$69,(SUMIFS($E$18:$E$60,$B$18:$B$60,$D$76,$D$18:$D$60,"Fora Ponta")),(SUMIFS($F$18:$F$60,$B$18:$B$60,$D$76,$D$18:$D$60,"Fora Ponta"))))</f>
        <v>5362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49">
        <f t="shared" si="12"/>
        <v>44713</v>
      </c>
      <c r="H87" s="1350">
        <f>SUMIFS($Y$18:$Y$60,$B$18:$B$60,$D$76,$D$18:$D$60,"Ponta")</f>
        <v>19</v>
      </c>
      <c r="I87" s="1350">
        <f>SUMIFS($Y$18:$Y$60,$B$18:$B$60,$D$76,$D$18:$D$60,"Fora Ponta")</f>
        <v>22.5</v>
      </c>
      <c r="J87" s="1350">
        <f t="shared" si="9"/>
        <v>4698</v>
      </c>
      <c r="K87" s="1350">
        <f t="shared" si="10"/>
        <v>5362</v>
      </c>
      <c r="L87" s="1350">
        <f>IF(MONTH(DataRevRea)=7,'Rede Básica + Ajuste'!J87,IF(G87&lt;$Q$69,(SUMIFS($E$18:$E$60,$B$18:$B$60,$D$76,$D$18:$D$60,"Ponta")),(SUMIFS($F$18:$F$60,$B$18:$B$60,$D$76,$D$18:$D$60,"Ponta"))))</f>
        <v>4698</v>
      </c>
      <c r="M87" s="1350">
        <f>IF(MONTH(DataRevRea)=7,'Rede Básica + Ajuste'!K87,IF(G87&lt;$Q$69,(SUMIFS($E$18:$E$60,$B$18:$B$60,$D$76,$D$18:$D$60,"Fora Ponta")),(SUMIFS($F$18:$F$60,$B$18:$B$60,$D$76,$D$18:$D$60,"Fora Ponta"))))</f>
        <v>5362</v>
      </c>
      <c r="N87" s="1351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807" t="s">
        <v>1251</v>
      </c>
      <c r="K89" s="1808"/>
      <c r="L89" s="1806" t="s">
        <v>1252</v>
      </c>
      <c r="M89" s="1806"/>
      <c r="N89" s="283"/>
    </row>
    <row r="90" spans="2:50" ht="15.75">
      <c r="C90" s="1809" t="s">
        <v>1262</v>
      </c>
      <c r="D90" s="1810"/>
      <c r="F90" s="275"/>
      <c r="G90" s="1338" t="s">
        <v>715</v>
      </c>
      <c r="H90" s="1339" t="s">
        <v>1253</v>
      </c>
      <c r="I90" s="1339" t="s">
        <v>1254</v>
      </c>
      <c r="J90" s="1340" t="s">
        <v>1255</v>
      </c>
      <c r="K90" s="1340" t="s">
        <v>1256</v>
      </c>
      <c r="L90" s="1340" t="s">
        <v>1255</v>
      </c>
      <c r="M90" s="1340" t="s">
        <v>1256</v>
      </c>
      <c r="N90" s="282" t="s">
        <v>1257</v>
      </c>
    </row>
    <row r="91" spans="2:50" ht="15.75">
      <c r="C91" s="1335" t="s">
        <v>1258</v>
      </c>
      <c r="D91" s="1341" t="str">
        <f>IF(D18="Ponta",B18,0)</f>
        <v>P.PETROQUIMIC - 69 kV (A)</v>
      </c>
      <c r="E91" s="18"/>
      <c r="F91" s="275"/>
      <c r="G91" s="1342">
        <f>G76</f>
        <v>44378</v>
      </c>
      <c r="H91" s="277">
        <f>H76</f>
        <v>18.5</v>
      </c>
      <c r="I91" s="277">
        <f>I76</f>
        <v>21.5</v>
      </c>
      <c r="J91" s="277">
        <f>SUMIFS($G$18:$G$60,$B$18:$B$60,$D$76,$D$18:$D$60,"Ponta")</f>
        <v>1534</v>
      </c>
      <c r="K91" s="277">
        <f>SUMIFS($G$18:$G$60,$B$18:$B$60,$D$76,$D$18:$D$60,"Fora Ponta")</f>
        <v>1534</v>
      </c>
      <c r="L91" s="1343">
        <f>IF(MONTH(DataRevRea)=7,'Rede Básica + Ajuste'!J91,IF(G91&lt;$Q$69,(SUMIFS($G$18:$G$60,$B$18:$B$60,$D$91,$D$18:$D$60,"Ponta")),(SUMIFS($H$18:$H$60,$B$18:$B$60,$D$91,$D$18:$D$60,"Ponta"))))</f>
        <v>1534</v>
      </c>
      <c r="M91" s="1343">
        <f>IF(MONTH(DataRevRea)=7,'Rede Básica + Ajuste'!K91,IF(G91&lt;$Q$69,(SUMIFS($G$18:$G$60,$B$18:$B$60,$D$91,$D$18:$D$60,"Fora Ponta")),(SUMIFS($H$18:$H$60,$B$18:$B$60,$D$91,$D$18:$D$60,"Fora Ponta"))))</f>
        <v>1534</v>
      </c>
      <c r="N91" s="1344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18.5</v>
      </c>
      <c r="I92" s="277">
        <f t="shared" si="13"/>
        <v>21.5</v>
      </c>
      <c r="J92" s="277">
        <f t="shared" ref="J92:J102" si="14">SUMIFS($G$18:$G$60,$B$18:$B$60,$D$76,$D$18:$D$60,"Ponta")</f>
        <v>1534</v>
      </c>
      <c r="K92" s="277">
        <f t="shared" ref="K92:K102" si="15">SUMIFS($G$18:$G$60,$B$18:$B$60,$D$76,$D$18:$D$60,"Fora Ponta")</f>
        <v>1534</v>
      </c>
      <c r="L92" s="277">
        <f>IF(MONTH(DataRevRea)=7,'Rede Básica + Ajuste'!J92,IF(G92&lt;$Q$69,(SUMIFS($G$18:$G$60,$B$18:$B$60,$D$91,$D$18:$D$60,"Ponta")),(SUMIFS($H$18:$H$60,$B$18:$B$60,$D$91,$D$18:$D$60,"Ponta"))))</f>
        <v>1534</v>
      </c>
      <c r="M92" s="277">
        <f>IF(MONTH(DataRevRea)=7,'Rede Básica + Ajuste'!K92,IF(G92&lt;$Q$69,(SUMIFS($G$18:$G$60,$B$18:$B$60,$D$91,$D$18:$D$60,"Fora Ponta")),(SUMIFS($H$18:$H$60,$B$18:$B$60,$D$91,$D$18:$D$60,"Fora Ponta"))))</f>
        <v>1534</v>
      </c>
      <c r="N92" s="284">
        <f t="shared" ref="N92:N102" si="16">+(H92*(L92-J92))+(I92*(M92-K92))</f>
        <v>0</v>
      </c>
    </row>
    <row r="93" spans="2:50" ht="15.75">
      <c r="C93" s="278"/>
      <c r="D93" s="1345" t="s">
        <v>1259</v>
      </c>
      <c r="E93" s="1346" t="s">
        <v>1260</v>
      </c>
      <c r="F93" s="275"/>
      <c r="G93" s="276">
        <f t="shared" si="13"/>
        <v>44440</v>
      </c>
      <c r="H93" s="277">
        <f t="shared" si="13"/>
        <v>18.5</v>
      </c>
      <c r="I93" s="277">
        <f t="shared" si="13"/>
        <v>21.5</v>
      </c>
      <c r="J93" s="277">
        <f t="shared" si="14"/>
        <v>1534</v>
      </c>
      <c r="K93" s="277">
        <f t="shared" si="15"/>
        <v>1534</v>
      </c>
      <c r="L93" s="277">
        <f>IF(MONTH(DataRevRea)=7,'Rede Básica + Ajuste'!J93,IF(G93&lt;$Q$69,(SUMIFS($G$18:$G$60,$B$18:$B$60,$D$91,$D$18:$D$60,"Ponta")),(SUMIFS($H$18:$H$60,$B$18:$B$60,$D$91,$D$18:$D$60,"Ponta"))))</f>
        <v>1534</v>
      </c>
      <c r="M93" s="277">
        <f>IF(MONTH(DataRevRea)=7,'Rede Básica + Ajuste'!K93,IF(G93&lt;$Q$69,(SUMIFS($G$18:$G$60,$B$18:$B$60,$D$91,$D$18:$D$60,"Fora Ponta")),(SUMIFS($H$18:$H$60,$B$18:$B$60,$D$91,$D$18:$D$60,"Fora Ponta"))))</f>
        <v>1534</v>
      </c>
      <c r="N93" s="284">
        <f t="shared" si="16"/>
        <v>0</v>
      </c>
    </row>
    <row r="94" spans="2:50" ht="15.75">
      <c r="C94" s="1347" t="str">
        <f>C79</f>
        <v>Cobertura 2021</v>
      </c>
      <c r="D94" s="1348">
        <f>SUMPRODUCT(H91:H102,J91:J102)</f>
        <v>345150</v>
      </c>
      <c r="E94" s="1348">
        <f>SUMPRODUCT(I91:I102,K91:K102)</f>
        <v>404976</v>
      </c>
      <c r="F94" s="275"/>
      <c r="G94" s="276">
        <f t="shared" si="13"/>
        <v>44470</v>
      </c>
      <c r="H94" s="277">
        <f t="shared" si="13"/>
        <v>18.5</v>
      </c>
      <c r="I94" s="277">
        <f t="shared" si="13"/>
        <v>21.5</v>
      </c>
      <c r="J94" s="277">
        <f t="shared" si="14"/>
        <v>1534</v>
      </c>
      <c r="K94" s="277">
        <f t="shared" si="15"/>
        <v>1534</v>
      </c>
      <c r="L94" s="277">
        <f>IF(MONTH(DataRevRea)=7,'Rede Básica + Ajuste'!J94,IF(G94&lt;$Q$69,(SUMIFS($G$18:$G$60,$B$18:$B$60,$D$91,$D$18:$D$60,"Ponta")),(SUMIFS($H$18:$H$60,$B$18:$B$60,$D$91,$D$18:$D$60,"Ponta"))))</f>
        <v>1534</v>
      </c>
      <c r="M94" s="277">
        <f>IF(MONTH(DataRevRea)=7,'Rede Básica + Ajuste'!K94,IF(G94&lt;$Q$69,(SUMIFS($G$18:$G$60,$B$18:$B$60,$D$91,$D$18:$D$60,"Fora Ponta")),(SUMIFS($H$18:$H$60,$B$18:$B$60,$D$91,$D$18:$D$60,"Fora Ponta"))))</f>
        <v>1534</v>
      </c>
      <c r="N94" s="284">
        <f t="shared" si="16"/>
        <v>0</v>
      </c>
    </row>
    <row r="95" spans="2:50" ht="15.75">
      <c r="C95" s="1347" t="s">
        <v>1261</v>
      </c>
      <c r="D95" s="1348">
        <f>SUMPRODUCT(H91:H102,L91:L102)</f>
        <v>345150</v>
      </c>
      <c r="E95" s="1348">
        <f>SUMPRODUCT(I91:I102,M91:M102)</f>
        <v>404976</v>
      </c>
      <c r="F95" s="275"/>
      <c r="G95" s="276">
        <f t="shared" si="13"/>
        <v>44501</v>
      </c>
      <c r="H95" s="277">
        <f t="shared" si="13"/>
        <v>18.5</v>
      </c>
      <c r="I95" s="277">
        <f t="shared" si="13"/>
        <v>21.5</v>
      </c>
      <c r="J95" s="277">
        <f t="shared" si="14"/>
        <v>1534</v>
      </c>
      <c r="K95" s="277">
        <f t="shared" si="15"/>
        <v>1534</v>
      </c>
      <c r="L95" s="277">
        <f>IF(MONTH(DataRevRea)=7,'Rede Básica + Ajuste'!J95,IF(G95&lt;$Q$69,(SUMIFS($G$18:$G$60,$B$18:$B$60,$D$91,$D$18:$D$60,"Ponta")),(SUMIFS($H$18:$H$60,$B$18:$B$60,$D$91,$D$18:$D$60,"Ponta"))))</f>
        <v>1534</v>
      </c>
      <c r="M95" s="277">
        <f>IF(MONTH(DataRevRea)=7,'Rede Básica + Ajuste'!K95,IF(G95&lt;$Q$69,(SUMIFS($G$18:$G$60,$B$18:$B$60,$D$91,$D$18:$D$60,"Fora Ponta")),(SUMIFS($H$18:$H$60,$B$18:$B$60,$D$91,$D$18:$D$60,"Fora Ponta"))))</f>
        <v>1534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18.5</v>
      </c>
      <c r="I96" s="277">
        <f t="shared" si="13"/>
        <v>21.5</v>
      </c>
      <c r="J96" s="277">
        <f t="shared" si="14"/>
        <v>1534</v>
      </c>
      <c r="K96" s="277">
        <f t="shared" si="15"/>
        <v>1534</v>
      </c>
      <c r="L96" s="277">
        <f>IF(MONTH(DataRevRea)=7,'Rede Básica + Ajuste'!J96,IF(G96&lt;$Q$69,(SUMIFS($G$18:$G$60,$B$18:$B$60,$D$91,$D$18:$D$60,"Ponta")),(SUMIFS($H$18:$H$60,$B$18:$B$60,$D$91,$D$18:$D$60,"Ponta"))))</f>
        <v>1534</v>
      </c>
      <c r="M96" s="277">
        <f>IF(MONTH(DataRevRea)=7,'Rede Básica + Ajuste'!K96,IF(G96&lt;$Q$69,(SUMIFS($G$18:$G$60,$B$18:$B$60,$D$91,$D$18:$D$60,"Fora Ponta")),(SUMIFS($H$18:$H$60,$B$18:$B$60,$D$91,$D$18:$D$60,"Fora Ponta"))))</f>
        <v>1534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19</v>
      </c>
      <c r="I97" s="277">
        <f t="shared" si="13"/>
        <v>22.5</v>
      </c>
      <c r="J97" s="277">
        <f t="shared" si="14"/>
        <v>1534</v>
      </c>
      <c r="K97" s="277">
        <f t="shared" si="15"/>
        <v>1534</v>
      </c>
      <c r="L97" s="277">
        <f>IF(MONTH(DataRevRea)=7,'Rede Básica + Ajuste'!J97,IF(G97&lt;$Q$69,(SUMIFS($G$18:$G$60,$B$18:$B$60,$D$91,$D$18:$D$60,"Ponta")),(SUMIFS($H$18:$H$60,$B$18:$B$60,$D$91,$D$18:$D$60,"Ponta"))))</f>
        <v>1534</v>
      </c>
      <c r="M97" s="277">
        <f>IF(MONTH(DataRevRea)=7,'Rede Básica + Ajuste'!K97,IF(G97&lt;$Q$69,(SUMIFS($G$18:$G$60,$B$18:$B$60,$D$91,$D$18:$D$60,"Fora Ponta")),(SUMIFS($H$18:$H$60,$B$18:$B$60,$D$91,$D$18:$D$60,"Fora Ponta"))))</f>
        <v>1534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19</v>
      </c>
      <c r="I98" s="277">
        <f t="shared" si="13"/>
        <v>22.5</v>
      </c>
      <c r="J98" s="277">
        <f t="shared" si="14"/>
        <v>1534</v>
      </c>
      <c r="K98" s="277">
        <f t="shared" si="15"/>
        <v>1534</v>
      </c>
      <c r="L98" s="277">
        <f>IF(MONTH(DataRevRea)=7,'Rede Básica + Ajuste'!J98,IF(G98&lt;$Q$69,(SUMIFS($G$18:$G$60,$B$18:$B$60,$D$91,$D$18:$D$60,"Ponta")),(SUMIFS($H$18:$H$60,$B$18:$B$60,$D$91,$D$18:$D$60,"Ponta"))))</f>
        <v>1534</v>
      </c>
      <c r="M98" s="277">
        <f>IF(MONTH(DataRevRea)=7,'Rede Básica + Ajuste'!K98,IF(G98&lt;$Q$69,(SUMIFS($G$18:$G$60,$B$18:$B$60,$D$91,$D$18:$D$60,"Fora Ponta")),(SUMIFS($H$18:$H$60,$B$18:$B$60,$D$91,$D$18:$D$60,"Fora Ponta"))))</f>
        <v>1534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19</v>
      </c>
      <c r="I99" s="277">
        <f t="shared" si="13"/>
        <v>22.5</v>
      </c>
      <c r="J99" s="277">
        <f t="shared" si="14"/>
        <v>1534</v>
      </c>
      <c r="K99" s="277">
        <f t="shared" si="15"/>
        <v>1534</v>
      </c>
      <c r="L99" s="277">
        <f>IF(MONTH(DataRevRea)=7,'Rede Básica + Ajuste'!J99,IF(G99&lt;$Q$69,(SUMIFS($G$18:$G$60,$B$18:$B$60,$D$91,$D$18:$D$60,"Ponta")),(SUMIFS($H$18:$H$60,$B$18:$B$60,$D$91,$D$18:$D$60,"Ponta"))))</f>
        <v>1534</v>
      </c>
      <c r="M99" s="277">
        <f>IF(MONTH(DataRevRea)=7,'Rede Básica + Ajuste'!K99,IF(G99&lt;$Q$69,(SUMIFS($G$18:$G$60,$B$18:$B$60,$D$91,$D$18:$D$60,"Fora Ponta")),(SUMIFS($H$18:$H$60,$B$18:$B$60,$D$91,$D$18:$D$60,"Fora Ponta"))))</f>
        <v>1534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19</v>
      </c>
      <c r="I100" s="277">
        <f t="shared" si="13"/>
        <v>22.5</v>
      </c>
      <c r="J100" s="277">
        <f t="shared" si="14"/>
        <v>1534</v>
      </c>
      <c r="K100" s="277">
        <f t="shared" si="15"/>
        <v>1534</v>
      </c>
      <c r="L100" s="277">
        <f>IF(MONTH(DataRevRea)=7,'Rede Básica + Ajuste'!J100,IF(G100&lt;$Q$69,(SUMIFS($G$18:$G$60,$B$18:$B$60,$D$91,$D$18:$D$60,"Ponta")),(SUMIFS($H$18:$H$60,$B$18:$B$60,$D$91,$D$18:$D$60,"Ponta"))))</f>
        <v>1534</v>
      </c>
      <c r="M100" s="277">
        <f>IF(MONTH(DataRevRea)=7,'Rede Básica + Ajuste'!K100,IF(G100&lt;$Q$69,(SUMIFS($G$18:$G$60,$B$18:$B$60,$D$91,$D$18:$D$60,"Fora Ponta")),(SUMIFS($H$18:$H$60,$B$18:$B$60,$D$91,$D$18:$D$60,"Fora Ponta"))))</f>
        <v>1534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19</v>
      </c>
      <c r="I101" s="277">
        <f t="shared" si="13"/>
        <v>22.5</v>
      </c>
      <c r="J101" s="277">
        <f t="shared" si="14"/>
        <v>1534</v>
      </c>
      <c r="K101" s="277">
        <f t="shared" si="15"/>
        <v>1534</v>
      </c>
      <c r="L101" s="277">
        <f>IF(MONTH(DataRevRea)=7,'Rede Básica + Ajuste'!J101,IF(G101&lt;$Q$69,(SUMIFS($G$18:$G$60,$B$18:$B$60,$D$91,$D$18:$D$60,"Ponta")),(SUMIFS($H$18:$H$60,$B$18:$B$60,$D$91,$D$18:$D$60,"Ponta"))))</f>
        <v>1534</v>
      </c>
      <c r="M101" s="277">
        <f>IF(MONTH(DataRevRea)=7,'Rede Básica + Ajuste'!K101,IF(G101&lt;$Q$69,(SUMIFS($G$18:$G$60,$B$18:$B$60,$D$91,$D$18:$D$60,"Fora Ponta")),(SUMIFS($H$18:$H$60,$B$18:$B$60,$D$91,$D$18:$D$60,"Fora Ponta"))))</f>
        <v>1534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49">
        <f t="shared" si="13"/>
        <v>44713</v>
      </c>
      <c r="H102" s="1350">
        <f t="shared" si="13"/>
        <v>19</v>
      </c>
      <c r="I102" s="1350">
        <f t="shared" si="13"/>
        <v>22.5</v>
      </c>
      <c r="J102" s="1350">
        <f t="shared" si="14"/>
        <v>1534</v>
      </c>
      <c r="K102" s="1350">
        <f t="shared" si="15"/>
        <v>1534</v>
      </c>
      <c r="L102" s="1350">
        <f>IF(MONTH(DataRevRea)=7,'Rede Básica + Ajuste'!J102,IF(G102&lt;$Q$69,(SUMIFS($G$18:$G$60,$B$18:$B$60,$D$91,$D$18:$D$60,"Ponta")),(SUMIFS($H$18:$H$60,$B$18:$B$60,$D$91,$D$18:$D$60,"Ponta"))))</f>
        <v>1534</v>
      </c>
      <c r="M102" s="1350">
        <f>IF(MONTH(DataRevRea)=7,'Rede Básica + Ajuste'!K102,IF(G102&lt;$Q$69,(SUMIFS($G$18:$G$60,$B$18:$B$60,$D$91,$D$18:$D$60,"Fora Ponta")),(SUMIFS($H$18:$H$60,$B$18:$B$60,$D$91,$D$18:$D$60,"Fora Ponta"))))</f>
        <v>1534</v>
      </c>
      <c r="N102" s="1351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807" t="s">
        <v>1251</v>
      </c>
      <c r="K104" s="1808"/>
      <c r="L104" s="1806" t="s">
        <v>1252</v>
      </c>
      <c r="M104" s="1806"/>
      <c r="N104" s="283"/>
    </row>
    <row r="105" spans="3:14" ht="15.75">
      <c r="C105" s="1809" t="s">
        <v>1234</v>
      </c>
      <c r="D105" s="1810"/>
      <c r="F105" s="275"/>
      <c r="G105" s="1338" t="s">
        <v>715</v>
      </c>
      <c r="H105" s="1339" t="s">
        <v>1253</v>
      </c>
      <c r="I105" s="1339" t="s">
        <v>1254</v>
      </c>
      <c r="J105" s="1340" t="s">
        <v>1255</v>
      </c>
      <c r="K105" s="1340" t="s">
        <v>1256</v>
      </c>
      <c r="L105" s="1340" t="s">
        <v>1255</v>
      </c>
      <c r="M105" s="1340" t="s">
        <v>1256</v>
      </c>
      <c r="N105" s="282" t="s">
        <v>1257</v>
      </c>
    </row>
    <row r="106" spans="3:14" ht="15.75">
      <c r="C106" s="1335" t="s">
        <v>1258</v>
      </c>
      <c r="D106" s="1352" t="str">
        <f>IF(D19="Ponta",B19,0)</f>
        <v>V.AIRES - 69 kV (A)</v>
      </c>
      <c r="E106" s="18"/>
      <c r="F106" s="275"/>
      <c r="G106" s="1342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43">
        <f>IF(MONTH(DataRevRea)=7,'Rede Básica + Ajuste'!J106,IF(G106&lt;$Q$69,(SUMIFS($E$18:$E$60,$B$18:$B$60,$D$106,$D$18:$D$60,"Ponta")),(SUMIFS($F$18:$F$60,$B$18:$B$60,$D$106,$D$18:$D$60,"Ponta"))))</f>
        <v>0</v>
      </c>
      <c r="M106" s="1343">
        <f>IF(MONTH(DataRevRea)=7,'Rede Básica + Ajuste'!K106,IF(G106&lt;$Q$69,(SUMIFS($E$18:$E$60,$B$18:$B$60,$D$106,$D$18:$D$60,"Fora Ponta")),(SUMIFS($F$18:$F$60,$B$18:$B$60,$D$106,$D$18:$D$60,"Fora Ponta"))))</f>
        <v>0</v>
      </c>
      <c r="N106" s="1344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45" t="s">
        <v>1259</v>
      </c>
      <c r="E108" s="1346" t="s">
        <v>1260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47" t="str">
        <f>C94</f>
        <v>Cobertura 2021</v>
      </c>
      <c r="D109" s="1348">
        <f>SUMPRODUCT(H106:H117,J106:J117)</f>
        <v>0</v>
      </c>
      <c r="E109" s="1348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47" t="s">
        <v>1261</v>
      </c>
      <c r="D110" s="1348">
        <f>SUMPRODUCT(H106:H117,L106:L117)</f>
        <v>0</v>
      </c>
      <c r="E110" s="1348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5.4</v>
      </c>
      <c r="I114" s="277">
        <f>SUMIFS($V$18:$V$60,$B$18:$B$60,$D$106,$D$18:$D$60,"Fora Ponta")</f>
        <v>4.3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5.4</v>
      </c>
      <c r="I115" s="277">
        <f>SUMIFS($W$18:$W$60,$B$18:$B$60,$D$106,$D$18:$D$60,"Fora Ponta")</f>
        <v>4.3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5.4</v>
      </c>
      <c r="I116" s="277">
        <f>SUMIFS($X$18:$X$60,$B$18:$B$60,$D$106,$D$18:$D$60,"Fora Ponta")</f>
        <v>4.3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49">
        <f t="shared" si="17"/>
        <v>44713</v>
      </c>
      <c r="H117" s="1350">
        <f>SUMIFS($Y$18:$Y$60,$B$18:$B$60,$D$106,$D$18:$D$60,"Ponta")</f>
        <v>5.4</v>
      </c>
      <c r="I117" s="1350">
        <f>SUMIFS($Y$18:$Y$60,$B$18:$B$60,$D$106,$D$18:$D$60,"Fora Ponta")</f>
        <v>4.3</v>
      </c>
      <c r="J117" s="1350">
        <f t="shared" si="18"/>
        <v>0</v>
      </c>
      <c r="K117" s="1350">
        <f t="shared" si="19"/>
        <v>0</v>
      </c>
      <c r="L117" s="1350">
        <f>IF(MONTH(DataRevRea)=7,'Rede Básica + Ajuste'!J117,IF(G117&lt;$Q$69,(SUMIFS($E$18:$E$60,$B$18:$B$60,$D$106,$D$18:$D$60,"Ponta")),(SUMIFS($F$18:$F$60,$B$18:$B$60,$D$106,$D$18:$D$60,"Ponta"))))</f>
        <v>0</v>
      </c>
      <c r="M117" s="1350">
        <f>IF(MONTH(DataRevRea)=7,'Rede Básica + Ajuste'!K117,IF(G117&lt;$Q$69,(SUMIFS($E$18:$E$60,$B$18:$B$60,$D$106,$D$18:$D$60,"Fora Ponta")),(SUMIFS($F$18:$F$60,$B$18:$B$60,$D$106,$D$18:$D$60,"Fora Ponta"))))</f>
        <v>0</v>
      </c>
      <c r="N117" s="1351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807" t="s">
        <v>1251</v>
      </c>
      <c r="K119" s="1808"/>
      <c r="L119" s="1806" t="s">
        <v>1252</v>
      </c>
      <c r="M119" s="1806"/>
      <c r="N119" s="283"/>
    </row>
    <row r="120" spans="3:14" ht="15.75">
      <c r="C120" s="1809" t="s">
        <v>1262</v>
      </c>
      <c r="D120" s="1810"/>
      <c r="F120" s="275"/>
      <c r="G120" s="1338" t="s">
        <v>715</v>
      </c>
      <c r="H120" s="1339" t="s">
        <v>1253</v>
      </c>
      <c r="I120" s="1339" t="s">
        <v>1254</v>
      </c>
      <c r="J120" s="1340" t="s">
        <v>1255</v>
      </c>
      <c r="K120" s="1340" t="s">
        <v>1256</v>
      </c>
      <c r="L120" s="1340" t="s">
        <v>1255</v>
      </c>
      <c r="M120" s="1340" t="s">
        <v>1256</v>
      </c>
      <c r="N120" s="282" t="s">
        <v>1257</v>
      </c>
    </row>
    <row r="121" spans="3:14" ht="15.75">
      <c r="C121" s="1335" t="s">
        <v>1258</v>
      </c>
      <c r="D121" s="1352" t="str">
        <f>IF(D19="Ponta",B19,0)</f>
        <v>V.AIRES - 69 kV (A)</v>
      </c>
      <c r="E121" s="18"/>
      <c r="F121" s="275"/>
      <c r="G121" s="1342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43">
        <f>IF(MONTH(DataRevRea)=7,'Rede Básica + Ajuste'!J121,IF(G121&lt;$Q$69,(SUMIFS($G$18:$G$60,$B$18:$B$60,$D$121,$D$18:$D$60,"Ponta")),(SUMIFS($H$18:$H$60,$B$18:$B$60,$D$121,$D$18:$D$60,"Ponta"))))</f>
        <v>0</v>
      </c>
      <c r="M121" s="1343">
        <f>IF(MONTH(DataRevRea)=7,'Rede Básica + Ajuste'!K121,IF(G121&lt;$Q$69,(SUMIFS($G$18:$G$60,$B$18:$B$60,$D$121,$D$18:$D$60,"Fora Ponta")),(SUMIFS($H$18:$H$60,$B$18:$B$60,$D$121,$D$18:$D$60,"Fora Ponta"))))</f>
        <v>0</v>
      </c>
      <c r="N121" s="1344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45" t="s">
        <v>1259</v>
      </c>
      <c r="E123" s="1346" t="s">
        <v>1260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47" t="str">
        <f>C109</f>
        <v>Cobertura 2021</v>
      </c>
      <c r="D124" s="1348">
        <f>SUMPRODUCT(H121:H132,J121:J132)</f>
        <v>0</v>
      </c>
      <c r="E124" s="1348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47" t="s">
        <v>1261</v>
      </c>
      <c r="D125" s="1348">
        <f>SUMPRODUCT(H121:H132,L121:L132)</f>
        <v>0</v>
      </c>
      <c r="E125" s="1348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5.4</v>
      </c>
      <c r="I129" s="277">
        <f t="shared" si="21"/>
        <v>4.3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5.4</v>
      </c>
      <c r="I130" s="277">
        <f t="shared" si="21"/>
        <v>4.3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5.4</v>
      </c>
      <c r="I131" s="277">
        <f t="shared" si="21"/>
        <v>4.3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49">
        <f t="shared" si="21"/>
        <v>44713</v>
      </c>
      <c r="H132" s="1350">
        <f t="shared" si="21"/>
        <v>5.4</v>
      </c>
      <c r="I132" s="1350">
        <f t="shared" si="21"/>
        <v>4.3</v>
      </c>
      <c r="J132" s="1350">
        <f t="shared" si="22"/>
        <v>0</v>
      </c>
      <c r="K132" s="1350">
        <f t="shared" si="23"/>
        <v>0</v>
      </c>
      <c r="L132" s="1350">
        <f>IF(MONTH(DataRevRea)=7,'Rede Básica + Ajuste'!J132,IF(G132&lt;$Q$69,(SUMIFS($G$18:$G$60,$B$18:$B$60,$D$121,$D$18:$D$60,"Ponta")),(SUMIFS($H$18:$H$60,$B$18:$B$60,$D$121,$D$18:$D$60,"Ponta"))))</f>
        <v>0</v>
      </c>
      <c r="M132" s="1350">
        <f>IF(MONTH(DataRevRea)=7,'Rede Básica + Ajuste'!K132,IF(G132&lt;$Q$69,(SUMIFS($G$18:$G$60,$B$18:$B$60,$D$121,$D$18:$D$60,"Fora Ponta")),(SUMIFS($H$18:$H$60,$B$18:$B$60,$D$121,$D$18:$D$60,"Fora Ponta"))))</f>
        <v>0</v>
      </c>
      <c r="N132" s="1351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807" t="s">
        <v>1251</v>
      </c>
      <c r="K134" s="1808"/>
      <c r="L134" s="1806" t="s">
        <v>1252</v>
      </c>
      <c r="M134" s="1806"/>
      <c r="N134" s="283"/>
    </row>
    <row r="135" spans="3:14" ht="15.75">
      <c r="C135" s="1809" t="s">
        <v>1234</v>
      </c>
      <c r="D135" s="1810"/>
      <c r="F135" s="275"/>
      <c r="G135" s="1338" t="s">
        <v>715</v>
      </c>
      <c r="H135" s="1339" t="s">
        <v>1253</v>
      </c>
      <c r="I135" s="1339" t="s">
        <v>1254</v>
      </c>
      <c r="J135" s="1340" t="s">
        <v>1255</v>
      </c>
      <c r="K135" s="1340" t="s">
        <v>1256</v>
      </c>
      <c r="L135" s="1340" t="s">
        <v>1255</v>
      </c>
      <c r="M135" s="1340" t="s">
        <v>1256</v>
      </c>
      <c r="N135" s="282" t="s">
        <v>1257</v>
      </c>
    </row>
    <row r="136" spans="3:14" ht="15.75">
      <c r="C136" s="1335" t="s">
        <v>1258</v>
      </c>
      <c r="D136" s="1352">
        <f>IF(D20="Ponta",B20,0)</f>
        <v>0</v>
      </c>
      <c r="E136" s="18"/>
      <c r="F136" s="275"/>
      <c r="G136" s="1342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43">
        <f>IF(MONTH(DataRevRea)=7,'Rede Básica + Ajuste'!J136,IF(G136&lt;$Q$69,(SUMIFS($E$18:$E$60,$B$18:$B$60,$D$136,$D$18:$D$60,"Ponta")),(SUMIFS($F$18:$F$60,$B$18:$B$60,$D$136,$D$18:$D$60,"Ponta"))))</f>
        <v>0</v>
      </c>
      <c r="M136" s="1343">
        <f>IF(MONTH(DataRevRea)=7,'Rede Básica + Ajuste'!K136,IF(G136&lt;$Q$69,(SUMIFS($E$18:$E$60,$B$18:$B$60,$D$136,$D$18:$D$60,"Fora Ponta")),(SUMIFS($F$18:$F$60,$B$18:$B$60,$D$136,$D$18:$D$60,"Fora Ponta"))))</f>
        <v>0</v>
      </c>
      <c r="N136" s="1344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45" t="s">
        <v>1259</v>
      </c>
      <c r="E138" s="1346" t="s">
        <v>1260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47" t="str">
        <f>C124</f>
        <v>Cobertura 2021</v>
      </c>
      <c r="D139" s="1348">
        <f>SUMPRODUCT(H136:H147,J136:J147)</f>
        <v>0</v>
      </c>
      <c r="E139" s="1348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47" t="s">
        <v>1261</v>
      </c>
      <c r="D140" s="1348">
        <f>SUMPRODUCT(H136:H147,L136:L147)</f>
        <v>0</v>
      </c>
      <c r="E140" s="1348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49">
        <f t="shared" si="25"/>
        <v>44713</v>
      </c>
      <c r="H147" s="1350">
        <f>SUMIFS($Y$18:$Y$60,$B$18:$B$60,$D$136,$D$18:$D$60,"Ponta")</f>
        <v>0</v>
      </c>
      <c r="I147" s="1350">
        <f>SUMIFS($Y$18:$Y$60,$B$18:$B$60,$D$136,$D$18:$D$60,"Fora Ponta")</f>
        <v>0</v>
      </c>
      <c r="J147" s="1350">
        <f t="shared" si="26"/>
        <v>0</v>
      </c>
      <c r="K147" s="1350">
        <f t="shared" si="27"/>
        <v>0</v>
      </c>
      <c r="L147" s="1350">
        <f>IF(MONTH(DataRevRea)=7,'Rede Básica + Ajuste'!J147,IF(G147&lt;$Q$69,(SUMIFS($E$18:$E$60,$B$18:$B$60,$D$136,$D$18:$D$60,"Ponta")),(SUMIFS($F$18:$F$60,$B$18:$B$60,$D$136,$D$18:$D$60,"Ponta"))))</f>
        <v>0</v>
      </c>
      <c r="M147" s="1350">
        <f>IF(MONTH(DataRevRea)=7,'Rede Básica + Ajuste'!K147,IF(G147&lt;$Q$69,(SUMIFS($E$18:$E$60,$B$18:$B$60,$D$136,$D$18:$D$60,"Fora Ponta")),(SUMIFS($F$18:$F$60,$B$18:$B$60,$D$136,$D$18:$D$60,"Fora Ponta"))))</f>
        <v>0</v>
      </c>
      <c r="N147" s="1351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807" t="s">
        <v>1251</v>
      </c>
      <c r="K149" s="1808"/>
      <c r="L149" s="1806" t="s">
        <v>1252</v>
      </c>
      <c r="M149" s="1806"/>
      <c r="N149" s="283"/>
    </row>
    <row r="150" spans="3:14" ht="15.75">
      <c r="C150" s="1809" t="s">
        <v>1262</v>
      </c>
      <c r="D150" s="1810"/>
      <c r="F150" s="275"/>
      <c r="G150" s="1338" t="s">
        <v>715</v>
      </c>
      <c r="H150" s="1339" t="s">
        <v>1253</v>
      </c>
      <c r="I150" s="1339" t="s">
        <v>1254</v>
      </c>
      <c r="J150" s="1340" t="s">
        <v>1255</v>
      </c>
      <c r="K150" s="1340" t="s">
        <v>1256</v>
      </c>
      <c r="L150" s="1340" t="s">
        <v>1255</v>
      </c>
      <c r="M150" s="1340" t="s">
        <v>1256</v>
      </c>
      <c r="N150" s="282" t="s">
        <v>1257</v>
      </c>
    </row>
    <row r="151" spans="3:14" ht="15.75">
      <c r="C151" s="1335" t="s">
        <v>1258</v>
      </c>
      <c r="D151" s="1352">
        <f>IF(D20="Ponta",B20,0)</f>
        <v>0</v>
      </c>
      <c r="E151" s="18"/>
      <c r="F151" s="275"/>
      <c r="G151" s="1342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43">
        <f>IF(MONTH(DataRevRea)=7,'Rede Básica + Ajuste'!J151,IF(G151&lt;$Q$69,(SUMIFS($G$18:$G$60,$B$18:$B$60,$D$151,$D$18:$D$60,"Ponta")),(SUMIFS($H$18:$H$60,$B$18:$B$60,$D$151,$D$18:$D$60,"Ponta"))))</f>
        <v>0</v>
      </c>
      <c r="M151" s="1343">
        <f>IF(MONTH(DataRevRea)=7,'Rede Básica + Ajuste'!K151,IF(G151&lt;$Q$69,(SUMIFS($G$18:$G$60,$B$18:$B$60,$D$151,$D$18:$D$60,"Fora Ponta")),(SUMIFS($H$18:$H$60,$B$18:$B$60,$D$151,$D$18:$D$60,"Fora Ponta"))))</f>
        <v>0</v>
      </c>
      <c r="N151" s="1344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45" t="s">
        <v>1259</v>
      </c>
      <c r="E153" s="1346" t="s">
        <v>1260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47" t="str">
        <f>C139</f>
        <v>Cobertura 2021</v>
      </c>
      <c r="D154" s="1348">
        <f>SUMPRODUCT(H151:H162,J151:J162)</f>
        <v>0</v>
      </c>
      <c r="E154" s="1348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47" t="s">
        <v>1261</v>
      </c>
      <c r="D155" s="1348">
        <f>SUMPRODUCT(H151:H162,L151:L162)</f>
        <v>0</v>
      </c>
      <c r="E155" s="1348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49">
        <f t="shared" si="29"/>
        <v>44713</v>
      </c>
      <c r="H162" s="1350">
        <f t="shared" si="29"/>
        <v>0</v>
      </c>
      <c r="I162" s="1350">
        <f t="shared" si="29"/>
        <v>0</v>
      </c>
      <c r="J162" s="1350">
        <f t="shared" si="30"/>
        <v>0</v>
      </c>
      <c r="K162" s="1350">
        <f t="shared" si="31"/>
        <v>0</v>
      </c>
      <c r="L162" s="1350">
        <f>IF(MONTH(DataRevRea)=7,'Rede Básica + Ajuste'!J162,IF(G162&lt;$Q$69,(SUMIFS($G$18:$G$60,$B$18:$B$60,$D$151,$D$18:$D$60,"Ponta")),(SUMIFS($H$18:$H$60,$B$18:$B$60,$D$151,$D$18:$D$60,"Ponta"))))</f>
        <v>0</v>
      </c>
      <c r="M162" s="1350">
        <f>IF(MONTH(DataRevRea)=7,'Rede Básica + Ajuste'!K162,IF(G162&lt;$Q$69,(SUMIFS($G$18:$G$60,$B$18:$B$60,$D$151,$D$18:$D$60,"Fora Ponta")),(SUMIFS($H$18:$H$60,$B$18:$B$60,$D$151,$D$18:$D$60,"Fora Ponta"))))</f>
        <v>0</v>
      </c>
      <c r="N162" s="1351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807" t="s">
        <v>1251</v>
      </c>
      <c r="K164" s="1808"/>
      <c r="L164" s="1806" t="s">
        <v>1252</v>
      </c>
      <c r="M164" s="1806"/>
      <c r="N164" s="283"/>
    </row>
    <row r="165" spans="3:14" ht="15.75">
      <c r="C165" s="1809" t="s">
        <v>1234</v>
      </c>
      <c r="D165" s="1810"/>
      <c r="F165" s="275"/>
      <c r="G165" s="1338" t="s">
        <v>715</v>
      </c>
      <c r="H165" s="1339" t="s">
        <v>1253</v>
      </c>
      <c r="I165" s="1339" t="s">
        <v>1254</v>
      </c>
      <c r="J165" s="1340" t="s">
        <v>1255</v>
      </c>
      <c r="K165" s="1340" t="s">
        <v>1256</v>
      </c>
      <c r="L165" s="1340" t="s">
        <v>1255</v>
      </c>
      <c r="M165" s="1340" t="s">
        <v>1256</v>
      </c>
      <c r="N165" s="282" t="s">
        <v>1257</v>
      </c>
    </row>
    <row r="166" spans="3:14" ht="15.75">
      <c r="C166" s="1335" t="s">
        <v>1258</v>
      </c>
      <c r="D166" s="1352">
        <f>IF(D21="Ponta",B21,0)</f>
        <v>0</v>
      </c>
      <c r="E166" s="18"/>
      <c r="F166" s="275"/>
      <c r="G166" s="1342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43">
        <f>IF(MONTH(DataRevRea)=7,'Rede Básica + Ajuste'!J166,IF(G166&lt;$Q$69,(SUMIFS($E$18:$E$60,$B$18:$B$60,$D$166,$D$18:$D$60,"Ponta")),(SUMIFS($F$18:$F$60,$B$18:$B$60,$D$166,$D$18:$D$60,"Ponta"))))</f>
        <v>0</v>
      </c>
      <c r="M166" s="1343">
        <f>IF(MONTH(DataRevRea)=7,'Rede Básica + Ajuste'!K166,IF(G166&lt;$Q$69,(SUMIFS($E$18:$E$60,$B$18:$B$60,$D$166,$D$18:$D$60,"Fora Ponta")),(SUMIFS($F$18:$F$60,$B$18:$B$60,$D$166,$D$18:$D$60,"Fora Ponta"))))</f>
        <v>0</v>
      </c>
      <c r="N166" s="1344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45" t="s">
        <v>1259</v>
      </c>
      <c r="E168" s="1346" t="s">
        <v>1260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47" t="str">
        <f>C154</f>
        <v>Cobertura 2021</v>
      </c>
      <c r="D169" s="1348">
        <f>SUMPRODUCT(H166:H177,J166:J177)</f>
        <v>0</v>
      </c>
      <c r="E169" s="1348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47" t="s">
        <v>1261</v>
      </c>
      <c r="D170" s="1348">
        <f>SUMPRODUCT(H166:H177,L166:L177)</f>
        <v>0</v>
      </c>
      <c r="E170" s="1348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49">
        <f t="shared" si="33"/>
        <v>44713</v>
      </c>
      <c r="H177" s="1350">
        <f>SUMIFS($Y$18:$Y$60,$B$18:$B$60,$D$166,$D$18:$D$60,"Ponta")</f>
        <v>0</v>
      </c>
      <c r="I177" s="1350">
        <f>SUMIFS($Y$18:$Y$60,$B$18:$B$60,$D$166,$D$18:$D$60,"Fora Ponta")</f>
        <v>0</v>
      </c>
      <c r="J177" s="1350">
        <f t="shared" si="34"/>
        <v>0</v>
      </c>
      <c r="K177" s="1350">
        <f t="shared" si="35"/>
        <v>0</v>
      </c>
      <c r="L177" s="1350">
        <f>IF(MONTH(DataRevRea)=7,'Rede Básica + Ajuste'!J177,IF(G177&lt;$Q$69,(SUMIFS($E$18:$E$60,$B$18:$B$60,$D$166,$D$18:$D$60,"Ponta")),(SUMIFS($F$18:$F$60,$B$18:$B$60,$D$166,$D$18:$D$60,"Ponta"))))</f>
        <v>0</v>
      </c>
      <c r="M177" s="1350">
        <f>IF(MONTH(DataRevRea)=7,'Rede Básica + Ajuste'!K177,IF(G177&lt;$Q$69,(SUMIFS($E$18:$E$60,$B$18:$B$60,$D$166,$D$18:$D$60,"Fora Ponta")),(SUMIFS($F$18:$F$60,$B$18:$B$60,$D$166,$D$18:$D$60,"Fora Ponta"))))</f>
        <v>0</v>
      </c>
      <c r="N177" s="1351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807" t="s">
        <v>1251</v>
      </c>
      <c r="K179" s="1808"/>
      <c r="L179" s="1806" t="s">
        <v>1252</v>
      </c>
      <c r="M179" s="1806"/>
      <c r="N179" s="283"/>
    </row>
    <row r="180" spans="3:14" ht="15.75">
      <c r="C180" s="1809" t="s">
        <v>1262</v>
      </c>
      <c r="D180" s="1810"/>
      <c r="F180" s="275"/>
      <c r="G180" s="1338" t="s">
        <v>715</v>
      </c>
      <c r="H180" s="1339" t="s">
        <v>1253</v>
      </c>
      <c r="I180" s="1339" t="s">
        <v>1254</v>
      </c>
      <c r="J180" s="1340" t="s">
        <v>1255</v>
      </c>
      <c r="K180" s="1340" t="s">
        <v>1256</v>
      </c>
      <c r="L180" s="1340" t="s">
        <v>1255</v>
      </c>
      <c r="M180" s="1340" t="s">
        <v>1256</v>
      </c>
      <c r="N180" s="282" t="s">
        <v>1257</v>
      </c>
    </row>
    <row r="181" spans="3:14" ht="15.75">
      <c r="C181" s="1335" t="s">
        <v>1258</v>
      </c>
      <c r="D181" s="1352">
        <f>IF(D21="Ponta",B21,0)</f>
        <v>0</v>
      </c>
      <c r="E181" s="18"/>
      <c r="F181" s="275"/>
      <c r="G181" s="1342">
        <f>G166</f>
        <v>44378</v>
      </c>
      <c r="H181" s="277">
        <f>H166</f>
        <v>0</v>
      </c>
      <c r="I181" s="277">
        <f>I166</f>
        <v>0</v>
      </c>
      <c r="J181" s="1343">
        <f>SUMIFS($G$18:$G$60,$B$18:$B$60,$D$181,$D$18:$D$60,"Ponta")</f>
        <v>0</v>
      </c>
      <c r="K181" s="1343">
        <f>SUMIFS($G$18:$G$60,$B$18:$B$60,$D$181,$D$18:$D$60,"Fora Ponta")</f>
        <v>0</v>
      </c>
      <c r="L181" s="1343">
        <f>IF(MONTH(DataRevRea)=7,'Rede Básica + Ajuste'!J181,IF(G181&lt;$Q$69,(SUMIFS($G$18:$G$60,$B$18:$B$60,$D$181,$D$18:$D$60,"Ponta")),(SUMIFS($H$18:$H$60,$B$18:$B$60,$D$181,$D$18:$D$60,"Ponta"))))</f>
        <v>0</v>
      </c>
      <c r="M181" s="1343">
        <f>IF(MONTH(DataRevRea)=7,'Rede Básica + Ajuste'!K181,IF(G181&lt;$Q$69,(SUMIFS($G$18:$G$60,$B$18:$B$60,$D$181,$D$18:$D$60,"Fora Ponta")),(SUMIFS($H$18:$H$60,$B$18:$B$60,$D$181,$D$18:$D$60,"Fora Ponta"))))</f>
        <v>0</v>
      </c>
      <c r="N181" s="1344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45" t="s">
        <v>1259</v>
      </c>
      <c r="E183" s="1346" t="s">
        <v>1260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47" t="str">
        <f>C169</f>
        <v>Cobertura 2021</v>
      </c>
      <c r="D184" s="1348">
        <f>SUMPRODUCT(H181:H192,J181:J192)</f>
        <v>0</v>
      </c>
      <c r="E184" s="1348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47" t="s">
        <v>1261</v>
      </c>
      <c r="D185" s="1348">
        <f>SUMPRODUCT(H181:H192,L181:L192)</f>
        <v>0</v>
      </c>
      <c r="E185" s="1348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49">
        <f t="shared" si="37"/>
        <v>44713</v>
      </c>
      <c r="H192" s="1350">
        <f t="shared" si="37"/>
        <v>0</v>
      </c>
      <c r="I192" s="1350">
        <f t="shared" si="37"/>
        <v>0</v>
      </c>
      <c r="J192" s="1350">
        <f t="shared" si="38"/>
        <v>0</v>
      </c>
      <c r="K192" s="1350">
        <f t="shared" si="39"/>
        <v>0</v>
      </c>
      <c r="L192" s="1350">
        <f>IF(MONTH(DataRevRea)=7,'Rede Básica + Ajuste'!J192,IF(G192&lt;$Q$69,(SUMIFS($G$18:$G$60,$B$18:$B$60,$D$181,$D$18:$D$60,"Ponta")),(SUMIFS($H$18:$H$60,$B$18:$B$60,$D$181,$D$18:$D$60,"Ponta"))))</f>
        <v>0</v>
      </c>
      <c r="M192" s="1350">
        <f>IF(MONTH(DataRevRea)=7,'Rede Básica + Ajuste'!K192,IF(G192&lt;$Q$69,(SUMIFS($G$18:$G$60,$B$18:$B$60,$D$181,$D$18:$D$60,"Fora Ponta")),(SUMIFS($H$18:$H$60,$B$18:$B$60,$D$181,$D$18:$D$60,"Fora Ponta"))))</f>
        <v>0</v>
      </c>
      <c r="N192" s="1351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807" t="s">
        <v>1251</v>
      </c>
      <c r="K194" s="1808"/>
      <c r="L194" s="1806" t="s">
        <v>1252</v>
      </c>
      <c r="M194" s="1806"/>
      <c r="N194" s="283"/>
    </row>
    <row r="195" spans="3:14" ht="15.75">
      <c r="C195" s="1809" t="s">
        <v>1234</v>
      </c>
      <c r="D195" s="1810"/>
      <c r="F195" s="275"/>
      <c r="G195" s="1338" t="s">
        <v>715</v>
      </c>
      <c r="H195" s="1339" t="s">
        <v>1253</v>
      </c>
      <c r="I195" s="1339" t="s">
        <v>1254</v>
      </c>
      <c r="J195" s="1340" t="s">
        <v>1255</v>
      </c>
      <c r="K195" s="1340" t="s">
        <v>1256</v>
      </c>
      <c r="L195" s="1340" t="s">
        <v>1255</v>
      </c>
      <c r="M195" s="1340" t="s">
        <v>1256</v>
      </c>
      <c r="N195" s="282" t="s">
        <v>1257</v>
      </c>
    </row>
    <row r="196" spans="3:14" ht="15.75">
      <c r="C196" s="1335" t="s">
        <v>1258</v>
      </c>
      <c r="D196" s="1352">
        <f>IF(D22="Ponta",B22,0)</f>
        <v>0</v>
      </c>
      <c r="E196" s="18"/>
      <c r="F196" s="275"/>
      <c r="G196" s="1342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43">
        <f>SUMIFS($E$18:$E$60,$B$18:$B$60,$D$196,$D$18:$D$60,"Ponta")</f>
        <v>0</v>
      </c>
      <c r="K196" s="1343">
        <f>SUMIFS($E$18:$E$60,$B$18:$B$60,$D$196,$D$18:$D$60,"Fora Ponta")</f>
        <v>0</v>
      </c>
      <c r="L196" s="1343">
        <f>IF(MONTH(DataRevRea)=7,'Rede Básica + Ajuste'!J196,IF(G196&lt;$Q$69,(SUMIFS($E$18:$E$60,$B$18:$B$60,$D$196,$D$18:$D$60,"Ponta")),(SUMIFS($F$18:$F$60,$B$18:$B$60,$D$196,$D$18:$D$60,"Ponta"))))</f>
        <v>0</v>
      </c>
      <c r="M196" s="1343">
        <f>IF(MONTH(DataRevRea)=7,'Rede Básica + Ajuste'!K196,IF(G196&lt;$Q$69,(SUMIFS($E$18:$E$60,$B$18:$B$60,$D$196,$D$18:$D$60,"Fora Ponta")),(SUMIFS($F$18:$F$60,$B$18:$B$60,$D$196,$D$18:$D$60,"Fora Ponta"))))</f>
        <v>0</v>
      </c>
      <c r="N196" s="1344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45" t="s">
        <v>1259</v>
      </c>
      <c r="E198" s="1346" t="s">
        <v>1260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47" t="str">
        <f>C184</f>
        <v>Cobertura 2021</v>
      </c>
      <c r="D199" s="1348">
        <f>SUMPRODUCT(H196:H207,J196:J207)</f>
        <v>0</v>
      </c>
      <c r="E199" s="1348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47" t="s">
        <v>1261</v>
      </c>
      <c r="D200" s="1348">
        <f>SUMPRODUCT(H196:H207,L196:L207)</f>
        <v>0</v>
      </c>
      <c r="E200" s="1348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49">
        <f t="shared" si="41"/>
        <v>44713</v>
      </c>
      <c r="H207" s="1350">
        <f>SUMIFS($Y$18:$Y$60,$B$18:$B$60,$D$196,$D$18:$D$60,"Ponta")</f>
        <v>0</v>
      </c>
      <c r="I207" s="1350">
        <f>SUMIFS($Y$18:$Y$60,$B$18:$B$60,$D$196,$D$18:$D$60,"Fora Ponta")</f>
        <v>0</v>
      </c>
      <c r="J207" s="1350">
        <f t="shared" si="42"/>
        <v>0</v>
      </c>
      <c r="K207" s="1350">
        <f t="shared" si="43"/>
        <v>0</v>
      </c>
      <c r="L207" s="1350">
        <f>IF(MONTH(DataRevRea)=7,'Rede Básica + Ajuste'!J207,IF(G207&lt;$Q$69,(SUMIFS($E$18:$E$60,$B$18:$B$60,$D$196,$D$18:$D$60,"Ponta")),(SUMIFS($F$18:$F$60,$B$18:$B$60,$D$196,$D$18:$D$60,"Ponta"))))</f>
        <v>0</v>
      </c>
      <c r="M207" s="1350">
        <f>IF(MONTH(DataRevRea)=7,'Rede Básica + Ajuste'!K207,IF(G207&lt;$Q$69,(SUMIFS($E$18:$E$60,$B$18:$B$60,$D$196,$D$18:$D$60,"Fora Ponta")),(SUMIFS($F$18:$F$60,$B$18:$B$60,$D$196,$D$18:$D$60,"Fora Ponta"))))</f>
        <v>0</v>
      </c>
      <c r="N207" s="1351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807" t="s">
        <v>1251</v>
      </c>
      <c r="K209" s="1808"/>
      <c r="L209" s="1806" t="s">
        <v>1252</v>
      </c>
      <c r="M209" s="1806"/>
      <c r="N209" s="283"/>
    </row>
    <row r="210" spans="3:14" ht="15.75">
      <c r="C210" s="1809" t="s">
        <v>1262</v>
      </c>
      <c r="D210" s="1810"/>
      <c r="F210" s="275"/>
      <c r="G210" s="1338" t="s">
        <v>715</v>
      </c>
      <c r="H210" s="1339" t="s">
        <v>1253</v>
      </c>
      <c r="I210" s="1339" t="s">
        <v>1254</v>
      </c>
      <c r="J210" s="1340" t="s">
        <v>1255</v>
      </c>
      <c r="K210" s="1340" t="s">
        <v>1256</v>
      </c>
      <c r="L210" s="1340" t="s">
        <v>1255</v>
      </c>
      <c r="M210" s="1340" t="s">
        <v>1256</v>
      </c>
      <c r="N210" s="282" t="s">
        <v>1257</v>
      </c>
    </row>
    <row r="211" spans="3:14" ht="15.75">
      <c r="C211" s="1335" t="s">
        <v>1258</v>
      </c>
      <c r="D211" s="1352">
        <f>IF(D22="Ponta",B22,0)</f>
        <v>0</v>
      </c>
      <c r="E211" s="18"/>
      <c r="F211" s="275"/>
      <c r="G211" s="1342">
        <f>G196</f>
        <v>44378</v>
      </c>
      <c r="H211" s="277">
        <f>H196</f>
        <v>0</v>
      </c>
      <c r="I211" s="277">
        <f>I196</f>
        <v>0</v>
      </c>
      <c r="J211" s="1343">
        <f>SUMIFS($G$18:$G$60,$B$18:$B$60,$D$211,$D$18:$D$60,"Ponta")</f>
        <v>0</v>
      </c>
      <c r="K211" s="1343">
        <f>SUMIFS($G$18:$G$60,$B$18:$B$60,$D$211,$D$18:$D$60,"Fora Ponta")</f>
        <v>0</v>
      </c>
      <c r="L211" s="1343">
        <f>IF(MONTH(DataRevRea)=7,'Rede Básica + Ajuste'!J211,IF(G211&lt;$Q$69,(SUMIFS($G$18:$G$60,$B$18:$B$60,$D$211,$D$18:$D$60,"Ponta")),(SUMIFS($H$18:$H$60,$B$18:$B$60,$D$211,$D$18:$D$60,"Ponta"))))</f>
        <v>0</v>
      </c>
      <c r="M211" s="1343">
        <f>IF(MONTH(DataRevRea)=7,'Rede Básica + Ajuste'!K211,IF(G211&lt;$Q$69,(SUMIFS($G$18:$G$60,$B$18:$B$60,$D$211,$D$18:$D$60,"Fora Ponta")),(SUMIFS($H$18:$H$60,$B$18:$B$60,$D$211,$D$18:$D$60,"Fora Ponta"))))</f>
        <v>0</v>
      </c>
      <c r="N211" s="1344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45" t="s">
        <v>1259</v>
      </c>
      <c r="E213" s="1346" t="s">
        <v>1260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47" t="str">
        <f>C199</f>
        <v>Cobertura 2021</v>
      </c>
      <c r="D214" s="1348">
        <f>SUMPRODUCT(H211:H222,J211:J222)</f>
        <v>0</v>
      </c>
      <c r="E214" s="1348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47" t="s">
        <v>1261</v>
      </c>
      <c r="D215" s="1348">
        <f>SUMPRODUCT(H211:H222,L211:L222)</f>
        <v>0</v>
      </c>
      <c r="E215" s="1348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49">
        <f t="shared" si="45"/>
        <v>44713</v>
      </c>
      <c r="H222" s="1350">
        <f t="shared" si="45"/>
        <v>0</v>
      </c>
      <c r="I222" s="1350">
        <f t="shared" si="45"/>
        <v>0</v>
      </c>
      <c r="J222" s="1350">
        <f t="shared" si="46"/>
        <v>0</v>
      </c>
      <c r="K222" s="1350">
        <f t="shared" si="47"/>
        <v>0</v>
      </c>
      <c r="L222" s="1350">
        <f>IF(MONTH(DataRevRea)=7,'Rede Básica + Ajuste'!J222,IF(G222&lt;$Q$69,(SUMIFS($G$18:$G$60,$B$18:$B$60,$D$211,$D$18:$D$60,"Ponta")),(SUMIFS($H$18:$H$60,$B$18:$B$60,$D$211,$D$18:$D$60,"Ponta"))))</f>
        <v>0</v>
      </c>
      <c r="M222" s="1350">
        <f>IF(MONTH(DataRevRea)=7,'Rede Básica + Ajuste'!K222,IF(G222&lt;$Q$69,(SUMIFS($G$18:$G$60,$B$18:$B$60,$D$211,$D$18:$D$60,"Fora Ponta")),(SUMIFS($H$18:$H$60,$B$18:$B$60,$D$211,$D$18:$D$60,"Fora Ponta"))))</f>
        <v>0</v>
      </c>
      <c r="N222" s="1351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M14" sqref="M14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07" t="s">
        <v>707</v>
      </c>
      <c r="C1" s="1104"/>
      <c r="D1" s="1008"/>
      <c r="E1" s="1319"/>
      <c r="F1" s="1319"/>
      <c r="G1" s="1217" t="s">
        <v>951</v>
      </c>
      <c r="H1" s="1218">
        <f ca="1">LnkTXTIRTEco</f>
        <v>0.1182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1263</v>
      </c>
      <c r="AL1" s="185">
        <v>7947</v>
      </c>
      <c r="AM1" s="184" t="s">
        <v>1264</v>
      </c>
    </row>
    <row r="2" spans="2:39" ht="15" thickBot="1">
      <c r="B2" s="138" t="str">
        <f>CAPA!C9</f>
        <v>Certaja</v>
      </c>
      <c r="C2" s="70"/>
      <c r="D2" s="70"/>
      <c r="G2" s="121" t="s">
        <v>955</v>
      </c>
      <c r="H2" s="122">
        <f ca="1">LnkTXTIRTTotal</f>
        <v>-0.2044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1265</v>
      </c>
      <c r="AL2" s="187">
        <v>7959</v>
      </c>
      <c r="AM2" s="188" t="s">
        <v>1266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1267</v>
      </c>
      <c r="AL4" s="171">
        <v>7972</v>
      </c>
      <c r="AM4" s="172" t="s">
        <v>1268</v>
      </c>
    </row>
    <row r="5" spans="2:39" ht="29.25" thickBot="1">
      <c r="B5" s="1323" t="s">
        <v>1269</v>
      </c>
      <c r="C5" s="1323" t="s">
        <v>1270</v>
      </c>
      <c r="D5" s="1323" t="s">
        <v>1271</v>
      </c>
      <c r="E5" s="1323" t="s">
        <v>1272</v>
      </c>
      <c r="F5" s="1323" t="s">
        <v>1273</v>
      </c>
      <c r="G5" s="1323" t="s">
        <v>1274</v>
      </c>
      <c r="J5" s="158" t="s">
        <v>1275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1276</v>
      </c>
      <c r="AL5" s="171">
        <v>7973</v>
      </c>
      <c r="AM5" s="172" t="s">
        <v>1277</v>
      </c>
    </row>
    <row r="6" spans="2:39" ht="15" thickBot="1">
      <c r="B6" s="394" t="str">
        <f>RBBD!B304</f>
        <v>CEEE-T</v>
      </c>
      <c r="C6" s="395">
        <f>SUM(RBBD!D304:E304)</f>
        <v>312467.21000000002</v>
      </c>
      <c r="D6" s="396">
        <f>SUM(RBBD!F304:G304)</f>
        <v>-194331.9</v>
      </c>
      <c r="E6" s="396">
        <f>SUM(RBBD!H304:I304)</f>
        <v>0</v>
      </c>
      <c r="F6" s="395" t="str">
        <f>RBBD!C304</f>
        <v>IPCA</v>
      </c>
      <c r="G6" s="395">
        <f>SUM(C6:E6)</f>
        <v>118135.31000000003</v>
      </c>
      <c r="J6" s="158" t="s">
        <v>848</v>
      </c>
      <c r="K6" s="169">
        <v>3</v>
      </c>
      <c r="AK6" s="170" t="s">
        <v>1278</v>
      </c>
      <c r="AL6" s="171">
        <v>7974</v>
      </c>
      <c r="AM6" s="172" t="s">
        <v>1279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1280</v>
      </c>
      <c r="AL7" s="171">
        <v>7977</v>
      </c>
      <c r="AM7" s="172" t="s">
        <v>1281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1282</v>
      </c>
      <c r="AL8" s="171">
        <v>7978</v>
      </c>
      <c r="AM8" s="172" t="s">
        <v>1283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1284</v>
      </c>
      <c r="AL9" s="171">
        <v>7979</v>
      </c>
      <c r="AM9" s="172" t="s">
        <v>1285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1286</v>
      </c>
      <c r="AL10" s="171">
        <v>8047</v>
      </c>
      <c r="AM10" s="172" t="s">
        <v>1287</v>
      </c>
    </row>
    <row r="11" spans="2:39" ht="15" thickBot="1">
      <c r="B11" s="1353" t="s">
        <v>836</v>
      </c>
      <c r="C11" s="1354">
        <f>SUM(C6:C10)</f>
        <v>312467.21000000002</v>
      </c>
      <c r="D11" s="1354">
        <f>SUM(D6:D10)</f>
        <v>-194331.9</v>
      </c>
      <c r="E11" s="1355">
        <f>SUM(E6:E10)</f>
        <v>0</v>
      </c>
      <c r="F11" s="1356"/>
      <c r="G11" s="1357">
        <f>SUM(G6:G10)</f>
        <v>118135.31000000003</v>
      </c>
      <c r="AK11" s="170" t="s">
        <v>1288</v>
      </c>
      <c r="AL11" s="171">
        <v>8049</v>
      </c>
      <c r="AM11" s="172" t="s">
        <v>1289</v>
      </c>
    </row>
    <row r="12" spans="2:39" ht="15" thickBot="1">
      <c r="B12" s="166"/>
      <c r="C12" s="165"/>
      <c r="D12" s="1358" t="s">
        <v>1290</v>
      </c>
      <c r="E12" s="1358"/>
      <c r="F12" s="1359">
        <f>IF(MONTH(CAPA!C15)&gt;6,DATE(YEAR(CAPA!C15),6,1),DATE(YEAR(CAPA!C15)-1,6,1))</f>
        <v>44713</v>
      </c>
      <c r="G12" s="189"/>
      <c r="AK12" s="170" t="s">
        <v>1291</v>
      </c>
      <c r="AL12" s="171">
        <v>8050</v>
      </c>
      <c r="AM12" s="172" t="s">
        <v>1292</v>
      </c>
    </row>
    <row r="13" spans="2:39" ht="15" thickBot="1">
      <c r="B13" s="182"/>
      <c r="C13" s="182"/>
      <c r="D13" s="182"/>
      <c r="F13" s="183" t="s">
        <v>1293</v>
      </c>
      <c r="AK13" s="170"/>
      <c r="AL13" s="171"/>
      <c r="AM13" s="172"/>
    </row>
    <row r="14" spans="2:39" ht="15" thickBot="1">
      <c r="B14" s="182"/>
      <c r="C14" s="182"/>
      <c r="AK14" s="170" t="s">
        <v>1294</v>
      </c>
      <c r="AL14" s="171">
        <v>8051</v>
      </c>
      <c r="AM14" s="172" t="s">
        <v>1295</v>
      </c>
    </row>
    <row r="15" spans="2:39" ht="29.25" thickBot="1">
      <c r="B15" s="1323" t="s">
        <v>1269</v>
      </c>
      <c r="C15" s="1323" t="s">
        <v>1270</v>
      </c>
      <c r="D15" s="1323" t="s">
        <v>1296</v>
      </c>
      <c r="E15" s="1323" t="s">
        <v>1297</v>
      </c>
      <c r="F15" s="151"/>
      <c r="AK15" s="170" t="s">
        <v>1298</v>
      </c>
      <c r="AL15" s="171">
        <v>8057</v>
      </c>
      <c r="AM15" s="172" t="s">
        <v>1299</v>
      </c>
    </row>
    <row r="16" spans="2:39" ht="15" thickBot="1">
      <c r="B16" s="190" t="str">
        <f>B6</f>
        <v>CEEE-T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118926.88481049077</v>
      </c>
      <c r="D16" s="192"/>
      <c r="E16" s="191">
        <f>SUM(C16:D16)</f>
        <v>118926.88481049077</v>
      </c>
      <c r="F16" s="151"/>
      <c r="AK16" s="170" t="s">
        <v>1300</v>
      </c>
      <c r="AL16" s="171">
        <v>8058</v>
      </c>
      <c r="AM16" s="172" t="s">
        <v>1301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1302</v>
      </c>
      <c r="AL17" s="171">
        <v>8220</v>
      </c>
      <c r="AM17" s="172" t="s">
        <v>1303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1304</v>
      </c>
      <c r="AL18" s="171">
        <v>8221</v>
      </c>
      <c r="AM18" s="172" t="s">
        <v>1305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1306</v>
      </c>
      <c r="AL19" s="171">
        <v>8231</v>
      </c>
      <c r="AM19" s="172" t="s">
        <v>1307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1308</v>
      </c>
      <c r="AL20" s="171">
        <v>8261</v>
      </c>
      <c r="AM20" s="172" t="s">
        <v>1309</v>
      </c>
    </row>
    <row r="21" spans="2:39">
      <c r="B21" s="1353" t="s">
        <v>836</v>
      </c>
      <c r="C21" s="1360">
        <f>SUM(C16:C20)</f>
        <v>118926.88481049077</v>
      </c>
      <c r="D21" s="1360">
        <f>SUM(D16:D20)</f>
        <v>0</v>
      </c>
      <c r="E21" s="1360">
        <f>SUM(E16:E20)</f>
        <v>118926.88481049077</v>
      </c>
      <c r="F21" s="151"/>
      <c r="AK21" s="173" t="s">
        <v>1310</v>
      </c>
      <c r="AL21" s="174">
        <v>8263</v>
      </c>
      <c r="AM21" s="175" t="s">
        <v>1311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56.2851562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07" t="s">
        <v>1030</v>
      </c>
      <c r="C1" s="1104"/>
      <c r="D1" s="1361"/>
      <c r="E1" s="1362"/>
      <c r="F1" s="1362"/>
      <c r="G1" s="1217" t="s">
        <v>951</v>
      </c>
      <c r="H1" s="1321">
        <f ca="1">LnkTXTIRTEco</f>
        <v>0.1182</v>
      </c>
    </row>
    <row r="2" spans="1:16" ht="46.5" customHeight="1">
      <c r="B2" s="138" t="str">
        <f>CAPA!C9</f>
        <v>Certaja</v>
      </c>
      <c r="C2" s="70"/>
      <c r="D2" s="70"/>
      <c r="G2" s="121" t="s">
        <v>955</v>
      </c>
      <c r="H2" s="148">
        <f ca="1">LnkTXTIRTTotal</f>
        <v>-0.2044</v>
      </c>
      <c r="I2" s="91" t="s">
        <v>1312</v>
      </c>
    </row>
    <row r="3" spans="1:16">
      <c r="B3" s="1363" t="s">
        <v>1313</v>
      </c>
      <c r="C3" s="1364">
        <f>SUMPRODUCT(J6:J44,H6:H44)</f>
        <v>4495042.4685952002</v>
      </c>
      <c r="D3" s="73"/>
      <c r="E3" s="1363" t="s">
        <v>1204</v>
      </c>
      <c r="F3" s="68" t="s">
        <v>1314</v>
      </c>
      <c r="G3" s="1365">
        <f>LnkTXTDescTusdAnte</f>
        <v>0</v>
      </c>
      <c r="H3" s="91"/>
      <c r="I3" s="1366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1315</v>
      </c>
      <c r="B5" s="1367" t="s">
        <v>27</v>
      </c>
      <c r="C5" s="1367" t="s">
        <v>21</v>
      </c>
      <c r="D5" s="1367" t="s">
        <v>22</v>
      </c>
      <c r="E5" s="1367" t="s">
        <v>78</v>
      </c>
      <c r="F5" s="1367" t="s">
        <v>893</v>
      </c>
      <c r="G5" s="1367" t="s">
        <v>1316</v>
      </c>
      <c r="H5" s="1367" t="s">
        <v>60</v>
      </c>
      <c r="I5" s="1367" t="s">
        <v>1205</v>
      </c>
      <c r="J5" s="1367" t="s">
        <v>1206</v>
      </c>
      <c r="L5" s="68"/>
      <c r="M5" s="69"/>
    </row>
    <row r="6" spans="1:16">
      <c r="A6" s="68" t="s">
        <v>2319</v>
      </c>
      <c r="B6" s="149" t="s">
        <v>2320</v>
      </c>
      <c r="C6" s="149" t="s">
        <v>2177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66324.820000000007</v>
      </c>
      <c r="H6" s="149">
        <f>IF(B6="","",IF(LEFT(D6,7)="Demanda",G6,G6/1000))</f>
        <v>66324.820000000007</v>
      </c>
      <c r="I6" s="149">
        <f>IF(ISERROR(VLOOKUP(CONCATENATE(A6,A41,E6,F6),BD!$H$6:$V$30,14,FALSE)),"",VLOOKUP(CONCATENATE(A6,A41,E6,F6),BD!$H$6:$V$30,14,FALSE))</f>
        <v>19.98</v>
      </c>
      <c r="J6" s="149">
        <f t="shared" ref="J6:J13" si="0">IF(ISERROR(I6*(1-$G$3)),"",I6*(1-$G$3))</f>
        <v>19.98</v>
      </c>
      <c r="L6" s="68"/>
      <c r="M6" s="69"/>
      <c r="N6" s="69"/>
    </row>
    <row r="7" spans="1:16">
      <c r="A7" s="68" t="s">
        <v>2319</v>
      </c>
      <c r="B7" s="149" t="s">
        <v>2320</v>
      </c>
      <c r="C7" s="149" t="s">
        <v>2177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63223.64</v>
      </c>
      <c r="H7" s="149">
        <f t="shared" ref="H7:H30" si="3">IF(B7="","",IF(LEFT(D7,7)="Demanda",G7,G7/1000))</f>
        <v>63223.64</v>
      </c>
      <c r="I7" s="149">
        <f>IF(ISERROR(VLOOKUP(CONCATENATE(A7,A42,E7,F7),BD!$H$6:$V$30,14,FALSE)),"",VLOOKUP(CONCATENATE(A7,A42,E7,F7),BD!$H$6:$V$30,14,FALSE))</f>
        <v>26.9</v>
      </c>
      <c r="J7" s="149">
        <f t="shared" si="0"/>
        <v>26.9</v>
      </c>
    </row>
    <row r="8" spans="1:16">
      <c r="A8" s="68" t="s">
        <v>2321</v>
      </c>
      <c r="B8" s="149" t="s">
        <v>2322</v>
      </c>
      <c r="C8" s="149" t="s">
        <v>2177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26220.560000000001</v>
      </c>
      <c r="H8" s="149">
        <f t="shared" si="3"/>
        <v>26220.560000000001</v>
      </c>
      <c r="I8" s="149">
        <f>IF(ISERROR(VLOOKUP(CONCATENATE(A8,A43,E8,F8),BD!$H$6:$V$30,14,FALSE)),"",VLOOKUP(CONCATENATE(A8,A43,E8,F8),BD!$H$6:$V$30,14,FALSE))</f>
        <v>16.29</v>
      </c>
      <c r="J8" s="149">
        <f t="shared" si="0"/>
        <v>16.29</v>
      </c>
      <c r="L8" s="68"/>
      <c r="M8" s="69"/>
    </row>
    <row r="9" spans="1:16">
      <c r="A9" s="68" t="s">
        <v>2321</v>
      </c>
      <c r="B9" s="149" t="s">
        <v>2322</v>
      </c>
      <c r="C9" s="149" t="s">
        <v>2177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26817.77</v>
      </c>
      <c r="H9" s="149">
        <f t="shared" si="3"/>
        <v>26817.77</v>
      </c>
      <c r="I9" s="149">
        <f>IF(ISERROR(VLOOKUP(CONCATENATE(A9,A44,E9,F9),BD!$H$6:$V$30,14,FALSE)),"",VLOOKUP(CONCATENATE(A9,A44,E9,F9),BD!$H$6:$V$30,14,FALSE))</f>
        <v>27.88</v>
      </c>
      <c r="J9" s="149">
        <f t="shared" si="0"/>
        <v>27.88</v>
      </c>
      <c r="L9" s="68"/>
      <c r="M9" s="69"/>
    </row>
    <row r="10" spans="1:16">
      <c r="A10" s="68" t="s">
        <v>2319</v>
      </c>
      <c r="B10" s="149" t="s">
        <v>2320</v>
      </c>
      <c r="C10" s="149" t="s">
        <v>2177</v>
      </c>
      <c r="D10" s="149" t="s">
        <v>221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20263619.369999997</v>
      </c>
      <c r="H10" s="149">
        <f t="shared" si="3"/>
        <v>20263.619369999997</v>
      </c>
      <c r="I10" s="149">
        <f>IF(ISERROR(VLOOKUP(CONCATENATE(A10,A45,E10,F10),BD!$H$6:$V$30,14,FALSE)),"",VLOOKUP(CONCATENATE(A10,A45,E10,F10),BD!$H$6:$V$30,14,FALSE))</f>
        <v>11.36</v>
      </c>
      <c r="J10" s="149">
        <f t="shared" si="0"/>
        <v>11.36</v>
      </c>
      <c r="L10" s="68"/>
      <c r="M10" s="69"/>
    </row>
    <row r="11" spans="1:16">
      <c r="A11" s="68" t="s">
        <v>2319</v>
      </c>
      <c r="B11" s="149" t="s">
        <v>2320</v>
      </c>
      <c r="C11" s="149" t="s">
        <v>2177</v>
      </c>
      <c r="D11" s="149" t="s">
        <v>223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2616687.9500000002</v>
      </c>
      <c r="H11" s="149">
        <f t="shared" si="3"/>
        <v>2616.68795</v>
      </c>
      <c r="I11" s="149">
        <f>IF(ISERROR(VLOOKUP(CONCATENATE(A11,A46,E11,F11),BD!$H$6:$V$30,14,FALSE)),"",VLOOKUP(CONCATENATE(A11,A46,E11,F11),BD!$H$6:$V$30,14,FALSE))</f>
        <v>11.36</v>
      </c>
      <c r="J11" s="149">
        <f t="shared" ref="J11" si="4">IF(ISERROR(I11*(1-$G$3)),"",I11*(1-$G$3))</f>
        <v>11.36</v>
      </c>
      <c r="L11" s="751"/>
      <c r="M11" s="243"/>
      <c r="N11" s="244"/>
      <c r="O11" s="244"/>
      <c r="P11" s="244"/>
    </row>
    <row r="12" spans="1:16">
      <c r="A12" s="68" t="s">
        <v>2321</v>
      </c>
      <c r="B12" s="149" t="s">
        <v>2322</v>
      </c>
      <c r="C12" s="149" t="s">
        <v>2177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2751619</v>
      </c>
      <c r="H12" s="149">
        <f t="shared" si="3"/>
        <v>2751.6190000000001</v>
      </c>
      <c r="I12" s="149">
        <f>IF(ISERROR(VLOOKUP(CONCATENATE(A12,A47,E12,F12),BD!$H$6:$V$30,14,FALSE)),"",VLOOKUP(CONCATENATE(A12,A47,E12,F12),BD!$H$6:$V$30,14,FALSE))</f>
        <v>10.62</v>
      </c>
      <c r="J12" s="149">
        <f t="shared" si="0"/>
        <v>10.62</v>
      </c>
      <c r="N12" s="244"/>
      <c r="O12" s="244"/>
      <c r="P12" s="244"/>
    </row>
    <row r="13" spans="1:16">
      <c r="A13" s="68" t="s">
        <v>2321</v>
      </c>
      <c r="B13" s="149" t="s">
        <v>2322</v>
      </c>
      <c r="C13" s="149" t="s">
        <v>2177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489813</v>
      </c>
      <c r="H13" s="149">
        <f t="shared" si="3"/>
        <v>489.81299999999999</v>
      </c>
      <c r="I13" s="149">
        <f>IF(ISERROR(VLOOKUP(CONCATENATE(A13,A48,E13,F13),BD!$H$6:$V$30,14,FALSE)),"",VLOOKUP(CONCATENATE(A13,A48,E13,F13),BD!$H$6:$V$30,14,FALSE))</f>
        <v>10.62</v>
      </c>
      <c r="J13" s="149">
        <f t="shared" si="0"/>
        <v>10.62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1317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1318</v>
      </c>
      <c r="C36" s="292" t="s">
        <v>1319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971</v>
      </c>
      <c r="C37" s="292" t="s">
        <v>1319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1320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1320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D7" zoomScale="115" zoomScaleNormal="115" workbookViewId="0">
      <selection activeCell="I22" sqref="I22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07" t="s">
        <v>819</v>
      </c>
      <c r="C1" s="1318"/>
      <c r="D1" s="1318"/>
      <c r="E1" s="1318"/>
      <c r="F1" s="1008"/>
      <c r="G1" s="1008"/>
      <c r="H1" s="1217" t="s">
        <v>951</v>
      </c>
      <c r="I1" s="1218">
        <f ca="1">LnkTXTIRTEco</f>
        <v>0.1182</v>
      </c>
      <c r="J1" s="195"/>
      <c r="K1" s="196"/>
    </row>
    <row r="2" spans="1:15" s="197" customFormat="1" ht="27" customHeight="1">
      <c r="B2" s="138" t="str">
        <f>CAPA!C9</f>
        <v>Certaja</v>
      </c>
      <c r="C2" s="70"/>
      <c r="D2" s="70"/>
      <c r="E2" s="70"/>
      <c r="F2" s="70"/>
      <c r="G2" s="70"/>
      <c r="H2" s="121" t="s">
        <v>955</v>
      </c>
      <c r="I2" s="122">
        <f ca="1">LnkTXTIRTTotal</f>
        <v>-0.2044</v>
      </c>
    </row>
    <row r="3" spans="1:15">
      <c r="B3" s="1011" t="s">
        <v>1321</v>
      </c>
      <c r="C3" s="823"/>
      <c r="E3" s="823" t="str">
        <f>"Encargos "&amp;YEAR(CAPA!C14)</f>
        <v>Encargos 2021</v>
      </c>
      <c r="F3" s="823"/>
      <c r="H3" s="823"/>
      <c r="I3" s="823"/>
      <c r="J3" s="823"/>
      <c r="K3" s="823"/>
      <c r="L3" s="823"/>
      <c r="M3" s="823"/>
      <c r="N3" s="823"/>
      <c r="O3" s="823"/>
    </row>
    <row r="4" spans="1:15">
      <c r="E4" s="1323" t="s">
        <v>72</v>
      </c>
      <c r="F4" s="1323" t="s">
        <v>1322</v>
      </c>
      <c r="H4" s="72"/>
      <c r="I4" s="72"/>
    </row>
    <row r="5" spans="1:15">
      <c r="B5" s="1323" t="s">
        <v>72</v>
      </c>
      <c r="C5" s="1323" t="s">
        <v>37</v>
      </c>
      <c r="E5" s="68" t="s">
        <v>40</v>
      </c>
      <c r="F5" s="116">
        <f>CAPA!D42</f>
        <v>166389.63517198499</v>
      </c>
      <c r="H5" s="1829" t="s">
        <v>1323</v>
      </c>
      <c r="I5" s="1829"/>
      <c r="K5" s="1829" t="s">
        <v>1324</v>
      </c>
      <c r="L5" s="1829"/>
      <c r="N5" s="1829" t="s">
        <v>1325</v>
      </c>
      <c r="O5" s="1829"/>
    </row>
    <row r="6" spans="1:15">
      <c r="B6" s="68" t="s">
        <v>40</v>
      </c>
      <c r="C6" s="80">
        <f ca="1">L14</f>
        <v>199478.20248349171</v>
      </c>
      <c r="E6" s="68" t="s">
        <v>41</v>
      </c>
      <c r="F6" s="116">
        <f>CAPA!D43</f>
        <v>6440461.1320200004</v>
      </c>
      <c r="H6" s="201" t="s">
        <v>1326</v>
      </c>
      <c r="I6" s="202">
        <f ca="1">FornecimentoE+LivreE-Calc_Mercado!C16</f>
        <v>114098.20000000001</v>
      </c>
      <c r="K6" s="517" t="s">
        <v>821</v>
      </c>
      <c r="L6" s="422">
        <f ca="1">LnkTXTER</f>
        <v>122987.91510000001</v>
      </c>
      <c r="N6" s="203" t="s">
        <v>1327</v>
      </c>
      <c r="O6" s="403">
        <v>1E-14</v>
      </c>
    </row>
    <row r="7" spans="1:15" ht="13.5" customHeight="1">
      <c r="B7" s="68" t="s">
        <v>41</v>
      </c>
      <c r="C7" s="80">
        <f ca="1">I22</f>
        <v>7879270.7302100025</v>
      </c>
      <c r="D7" s="198"/>
      <c r="E7" s="68" t="s">
        <v>126</v>
      </c>
      <c r="F7" s="116">
        <f>CAPA!D44</f>
        <v>0</v>
      </c>
      <c r="H7" s="1368" t="s">
        <v>1328</v>
      </c>
      <c r="I7" s="1369">
        <v>14.13</v>
      </c>
      <c r="K7" s="517" t="s">
        <v>1166</v>
      </c>
      <c r="L7" s="422">
        <f ca="1">Energia!M7</f>
        <v>8298.1389999999992</v>
      </c>
      <c r="N7" s="203" t="s">
        <v>1329</v>
      </c>
      <c r="O7" s="204">
        <f ca="1">SUM(C12+C6+C9+C10+C8)</f>
        <v>4376568.7050361885</v>
      </c>
    </row>
    <row r="8" spans="1:15">
      <c r="B8" s="68" t="s">
        <v>126</v>
      </c>
      <c r="C8" s="80">
        <v>0</v>
      </c>
      <c r="D8" s="198"/>
      <c r="E8" s="68" t="s">
        <v>844</v>
      </c>
      <c r="F8" s="116">
        <f>CAPA!D45</f>
        <v>851967.65457204496</v>
      </c>
      <c r="K8" s="517" t="s">
        <v>1169</v>
      </c>
      <c r="L8" s="422">
        <f ca="1">LnkTXTPerdas</f>
        <v>15159.452099999997</v>
      </c>
      <c r="N8" s="203" t="s">
        <v>793</v>
      </c>
      <c r="O8" s="269">
        <f>Resultado!D24</f>
        <v>9065491.1534056906</v>
      </c>
    </row>
    <row r="9" spans="1:15">
      <c r="B9" s="68" t="s">
        <v>1330</v>
      </c>
      <c r="C9" s="850">
        <f>IFERROR(VLOOKUP("ESS/EER",TabEncargosBancoConsolidados[],2,FALSE),0)</f>
        <v>2564882.9365526969</v>
      </c>
      <c r="D9" s="69"/>
      <c r="E9" s="68" t="s">
        <v>47</v>
      </c>
      <c r="F9" s="116">
        <f>CAPA!D46</f>
        <v>1044139.62868</v>
      </c>
      <c r="H9" s="1829" t="s">
        <v>1331</v>
      </c>
      <c r="I9" s="1829"/>
      <c r="K9" s="517" t="s">
        <v>1332</v>
      </c>
      <c r="L9" s="422">
        <f ca="1">SUM(L6:L7,-L8)</f>
        <v>116126.60200000001</v>
      </c>
      <c r="N9" s="203" t="s">
        <v>120</v>
      </c>
      <c r="O9" s="268">
        <f ca="1">Resultado!D33</f>
        <v>21175365.944756776</v>
      </c>
    </row>
    <row r="10" spans="1:15">
      <c r="B10" s="68" t="s">
        <v>47</v>
      </c>
      <c r="C10" s="80">
        <f ca="1">IFERROR(Encargos!I7*I6,0)</f>
        <v>1612207.5660000003</v>
      </c>
      <c r="D10" s="198"/>
      <c r="E10" s="68" t="s">
        <v>49</v>
      </c>
      <c r="F10" s="116">
        <f>CAPA!D48</f>
        <v>0</v>
      </c>
      <c r="H10" s="1370" t="s">
        <v>1333</v>
      </c>
      <c r="I10" s="1371">
        <f ca="1">FornecimentoE_A1+Calc_Mercado!C10+Calc_Mercado!C11+Calc_Mercado!C114+Calc_Mercado!C115</f>
        <v>0</v>
      </c>
      <c r="K10" s="517" t="s">
        <v>1334</v>
      </c>
      <c r="L10" s="422">
        <f ca="1">SUM(L6:L7)</f>
        <v>131286.05410000001</v>
      </c>
      <c r="N10" s="203" t="s">
        <v>1335</v>
      </c>
      <c r="O10" s="204">
        <f>Resultado!D39</f>
        <v>42000000</v>
      </c>
    </row>
    <row r="11" spans="1:15">
      <c r="B11" s="68" t="s">
        <v>1336</v>
      </c>
      <c r="C11" s="80">
        <v>1E-4</v>
      </c>
      <c r="D11" s="198"/>
      <c r="E11" s="823" t="s">
        <v>2175</v>
      </c>
      <c r="F11" s="1239">
        <f>CAPA!D47</f>
        <v>0</v>
      </c>
      <c r="H11" s="201" t="s">
        <v>1337</v>
      </c>
      <c r="I11" s="141">
        <f ca="1">Calc_Mercado!C12+Calc_Mercado!C13+Calc_Mercado!C14+Calc_Mercado!C116+Calc_Mercado!C117</f>
        <v>40965.950999999986</v>
      </c>
      <c r="K11" s="517" t="s">
        <v>1338</v>
      </c>
      <c r="L11" s="422">
        <f>BD!C32</f>
        <v>0.74494971512358932</v>
      </c>
      <c r="N11" s="203" t="s">
        <v>1339</v>
      </c>
      <c r="O11" s="205">
        <f ca="1">IF(O6=0,0,O6*(SUM(O7:O10)-Q7))</f>
        <v>7.6617425803198648E-7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3" t="str">
        <f>"Encargos "&amp;YEAR(CAPA!C14)-1</f>
        <v>Encargos 2020</v>
      </c>
      <c r="F12" s="823"/>
      <c r="H12" s="201" t="s">
        <v>1340</v>
      </c>
      <c r="I12" s="141">
        <f ca="1">FornecimentoE_BT-Calc_Mercado!C16+Calc_Mercado!C119+Calc_Mercado!C118</f>
        <v>73132.24900000004</v>
      </c>
      <c r="K12" s="517" t="s">
        <v>1341</v>
      </c>
      <c r="L12" s="45">
        <v>4.0000000000000001E-3</v>
      </c>
      <c r="N12" s="203" t="s">
        <v>1342</v>
      </c>
      <c r="O12" s="205">
        <f ca="1">Financeiros!D7</f>
        <v>-24377206.118406419</v>
      </c>
    </row>
    <row r="13" spans="1:15">
      <c r="B13" s="1372" t="s">
        <v>845</v>
      </c>
      <c r="C13" s="1373">
        <f ca="1">SUM(C6:C12)</f>
        <v>12255839.435346192</v>
      </c>
      <c r="D13" s="198"/>
      <c r="E13" s="1323" t="s">
        <v>72</v>
      </c>
      <c r="F13" s="1323" t="s">
        <v>1322</v>
      </c>
      <c r="H13" s="1374" t="s">
        <v>1343</v>
      </c>
      <c r="I13" s="1375">
        <v>23.38</v>
      </c>
      <c r="K13" s="1376" t="s">
        <v>1344</v>
      </c>
      <c r="L13" s="1377">
        <f ca="1">LnkTXTIParcelaBcomSub+Energia!F18</f>
        <v>42000000</v>
      </c>
      <c r="N13" s="1378" t="s">
        <v>1345</v>
      </c>
      <c r="O13" s="1379">
        <f ca="1">O12*O6+O11</f>
        <v>5.2240219684792232E-7</v>
      </c>
    </row>
    <row r="14" spans="1:15">
      <c r="E14" s="68" t="s">
        <v>40</v>
      </c>
      <c r="F14" s="1380">
        <f>BD!C37</f>
        <v>183009.473347455</v>
      </c>
      <c r="H14" s="262" t="s">
        <v>1346</v>
      </c>
      <c r="I14" s="857">
        <v>31.67</v>
      </c>
      <c r="K14" s="1381" t="s">
        <v>40</v>
      </c>
      <c r="L14" s="1382">
        <f ca="1">L12*1/L11*L9/L10*L13</f>
        <v>199478.20248349171</v>
      </c>
    </row>
    <row r="15" spans="1:15">
      <c r="E15" s="68" t="s">
        <v>41</v>
      </c>
      <c r="F15" s="80">
        <f>BD!C35</f>
        <v>5994428.5295999981</v>
      </c>
      <c r="H15" s="1383" t="s">
        <v>1347</v>
      </c>
      <c r="I15" s="1384">
        <v>37.700000000000003</v>
      </c>
    </row>
    <row r="16" spans="1:15">
      <c r="E16" s="68" t="s">
        <v>126</v>
      </c>
      <c r="F16" s="80">
        <v>0</v>
      </c>
      <c r="H16" s="1273" t="s">
        <v>1348</v>
      </c>
      <c r="I16" s="1375">
        <v>55.4</v>
      </c>
      <c r="K16" s="1829" t="s">
        <v>844</v>
      </c>
      <c r="L16" s="1829"/>
    </row>
    <row r="17" spans="2:14">
      <c r="E17" s="68" t="s">
        <v>844</v>
      </c>
      <c r="F17" s="80">
        <v>0</v>
      </c>
      <c r="H17" s="68" t="s">
        <v>1349</v>
      </c>
      <c r="I17" s="857">
        <v>75.06</v>
      </c>
      <c r="K17" s="1370" t="s">
        <v>2197</v>
      </c>
      <c r="L17" s="1371">
        <f>IFERROR(VLOOKUP("EER",TabEncargosBancoConsolidados[],2,FALSE),0)</f>
        <v>2520100.6629324439</v>
      </c>
    </row>
    <row r="18" spans="2:14">
      <c r="C18" s="108"/>
      <c r="D18" s="108"/>
      <c r="E18" s="68" t="s">
        <v>47</v>
      </c>
      <c r="F18" s="80">
        <f>BD!C36</f>
        <v>807158.32490999985</v>
      </c>
      <c r="G18" s="108"/>
      <c r="H18" s="823" t="s">
        <v>1350</v>
      </c>
      <c r="I18" s="1384">
        <v>89.35</v>
      </c>
      <c r="K18" s="201" t="s">
        <v>2201</v>
      </c>
      <c r="L18" s="141">
        <f>C9-L17</f>
        <v>44782.273620252963</v>
      </c>
    </row>
    <row r="19" spans="2:14">
      <c r="C19" s="108"/>
      <c r="D19" s="108"/>
      <c r="E19" s="823" t="s">
        <v>49</v>
      </c>
      <c r="F19" s="1385">
        <v>0</v>
      </c>
      <c r="G19" s="108"/>
      <c r="H19" s="68" t="s">
        <v>1351</v>
      </c>
      <c r="I19" s="69">
        <f ca="1">IF(CAPA!C10="S/SE/CO",Encargos!I10*Encargos!I16+Encargos!I11*Encargos!I17+Encargos!I12*Encargos!I18,Encargos!I10*Encargos!I13+Encargos!I11*Encargos!I14+Encargos!I12*Encargos!I15)</f>
        <v>9609270.7302100025</v>
      </c>
      <c r="K19" s="1323" t="s">
        <v>845</v>
      </c>
      <c r="L19" s="1608">
        <f>SUM(L17:L18)</f>
        <v>2564882.9365526969</v>
      </c>
    </row>
    <row r="20" spans="2:14">
      <c r="C20" s="108"/>
      <c r="D20" s="108"/>
      <c r="F20" s="80"/>
      <c r="G20" s="108"/>
      <c r="H20" s="1386" t="s">
        <v>1352</v>
      </c>
      <c r="I20" s="1387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2198</v>
      </c>
      <c r="I21" s="69">
        <f>IFERROR(VLOOKUP("CDE Eletrobras",TabEncargosBancoConsolidados[],2,FALSE),0)</f>
        <v>-1730000</v>
      </c>
    </row>
    <row r="22" spans="2:14">
      <c r="C22" s="108"/>
      <c r="D22" s="108"/>
      <c r="F22" s="80"/>
      <c r="G22" s="108"/>
      <c r="H22" s="1323" t="s">
        <v>2202</v>
      </c>
      <c r="I22" s="1608">
        <f ca="1">I19+I20+I21</f>
        <v>7879270.7302100025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11" t="s">
        <v>1353</v>
      </c>
      <c r="C27" s="823"/>
      <c r="D27" s="823"/>
      <c r="E27" s="823"/>
      <c r="F27" s="823"/>
      <c r="G27" s="823"/>
      <c r="J27" s="823"/>
      <c r="K27" s="823"/>
      <c r="L27" s="823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1354</v>
      </c>
      <c r="E29" s="198"/>
      <c r="F29" s="198"/>
      <c r="G29" s="198"/>
      <c r="L29" s="193"/>
      <c r="M29" s="194"/>
    </row>
    <row r="30" spans="2:14" ht="16.5" customHeight="1">
      <c r="C30" s="1323" t="s">
        <v>2231</v>
      </c>
      <c r="D30" s="1323" t="s">
        <v>46</v>
      </c>
      <c r="E30" s="1323" t="s">
        <v>40</v>
      </c>
      <c r="F30" s="1323" t="s">
        <v>41</v>
      </c>
      <c r="G30" s="1323" t="s">
        <v>47</v>
      </c>
      <c r="H30" s="1615" t="s">
        <v>2232</v>
      </c>
      <c r="I30" s="1615" t="s">
        <v>2263</v>
      </c>
      <c r="J30" s="1323" t="s">
        <v>1355</v>
      </c>
      <c r="L30" s="1828" t="s">
        <v>1356</v>
      </c>
      <c r="M30" s="1828"/>
      <c r="N30" s="273"/>
    </row>
    <row r="31" spans="2:14">
      <c r="B31" s="272">
        <f>Indexador!B68</f>
        <v>44378</v>
      </c>
      <c r="C31" s="1230">
        <f ca="1">IFERROR(IF(CAPA!$C$113="Não",C47-C62,IF(Indexador!$B68&lt;CAPA!$C$114,0,C47-C62)),0)</f>
        <v>0</v>
      </c>
      <c r="D31" s="1230">
        <f ca="1">IF(CAPA!$C$113="Não",D47-D62,IF(Indexador!$B68&lt;CAPA!$C$114,0,D47-D62))</f>
        <v>8128.5809190471118</v>
      </c>
      <c r="E31" s="1230">
        <f ca="1">IF(CAPA!$C$113="Não",E47-E62,IF(Indexador!$B68&lt;CAPA!$C$114,0,E47-E62))</f>
        <v>1466.5134282969466</v>
      </c>
      <c r="F31" s="1230">
        <f ca="1">IF(CAPA!$C$113="Não",F47-F62,IF(Indexador!$B68&lt;CAPA!$C$114,0,F47-F62))</f>
        <v>57699.410088680394</v>
      </c>
      <c r="G31" s="1230">
        <f ca="1">IF(CAPA!$C$113="Não",G47-G62,IF(Indexador!$B68&lt;CAPA!$C$114,0,G47-G62))</f>
        <v>9070.8921333642647</v>
      </c>
      <c r="H31" s="1230">
        <f ca="1">IF(CAPA!$C$113="Não",H47-H62,IF(Indexador!$B68&lt;CAPA!$C$114,0,H47-H62))</f>
        <v>0</v>
      </c>
      <c r="I31" s="1230">
        <f ca="1">IF(CAPA!$C$113="Não",I47-I62,IF(Indexador!$B68&lt;CAPA!$C$114,0,I47-I62))</f>
        <v>0</v>
      </c>
      <c r="J31" s="1230">
        <f ca="1">IF(CAPA!$C$113="Não",J47-J62,IF(Indexador!$B68&lt;CAPA!$C$114,0,J47-J62))</f>
        <v>76365.396569388686</v>
      </c>
      <c r="L31" s="68" t="s">
        <v>40</v>
      </c>
      <c r="M31" s="116">
        <f ca="1">Indexador!H80</f>
        <v>-3262.5345531504045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6844.4799222738875</v>
      </c>
      <c r="E32" s="116">
        <f ca="1">IF(CAPA!$C$113="Não",E48-E63,IF(Indexador!$B69&lt;CAPA!$C$114,0,E48-E63))</f>
        <v>1268.9183580697045</v>
      </c>
      <c r="F32" s="116">
        <f ca="1">IF(CAPA!$C$113="Não",F48-F63,IF(Indexador!$B69&lt;CAPA!$C$114,0,F48-F63))</f>
        <v>50103.817273924593</v>
      </c>
      <c r="G32" s="116">
        <f ca="1">IF(CAPA!$C$113="Não",G48-G63,IF(Indexador!$B69&lt;CAPA!$C$114,0,G48-G63))</f>
        <v>7935.2858310294832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66152.501385297743</v>
      </c>
      <c r="L32" s="68" t="s">
        <v>1357</v>
      </c>
      <c r="M32" s="116">
        <f ca="1">Indexador!J80+Indexador!L80</f>
        <v>-113742.2523034878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8287.3651269817055</v>
      </c>
      <c r="E33" s="116">
        <f ca="1">IF(CAPA!$C$113="Não",E49-E64,IF(Indexador!$B70&lt;CAPA!$C$114,0,E49-E64))</f>
        <v>1333.6690680413121</v>
      </c>
      <c r="F33" s="116">
        <f ca="1">IF(CAPA!$C$113="Não",F49-F64,IF(Indexador!$B70&lt;CAPA!$C$114,0,F49-F64))</f>
        <v>52906.741387858056</v>
      </c>
      <c r="G33" s="116">
        <f ca="1">IF(CAPA!$C$113="Não",G49-G64,IF(Indexador!$B70&lt;CAPA!$C$114,0,G49-G64))</f>
        <v>8496.345103044252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71024.120685925358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3379.6681228349044</v>
      </c>
      <c r="E34" s="116">
        <f ca="1">IF(CAPA!$C$113="Não",E50-E65,IF(Indexador!$B71&lt;CAPA!$C$114,0,E50-E65))</f>
        <v>543.79628411535487</v>
      </c>
      <c r="F34" s="116">
        <f ca="1">IF(CAPA!$C$113="Não",F50-F65,IF(Indexador!$B71&lt;CAPA!$C$114,0,F50-F65))</f>
        <v>18916.165163056692</v>
      </c>
      <c r="G34" s="116">
        <f ca="1">IF(CAPA!$C$113="Não",G50-G65,IF(Indexador!$B71&lt;CAPA!$C$114,0,G50-G65))</f>
        <v>2431.5564578413032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25271.186027848278</v>
      </c>
      <c r="L34" s="68" t="s">
        <v>46</v>
      </c>
      <c r="M34" s="116">
        <f ca="1">Indexador!F80</f>
        <v>-7751.3989088710314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-5707.3016111872712</v>
      </c>
      <c r="E35" s="116">
        <f ca="1">IF(CAPA!$C$113="Não",E51-E66,IF(Indexador!$B72&lt;CAPA!$C$114,0,E51-E66))</f>
        <v>-1077.6047795793511</v>
      </c>
      <c r="F35" s="116">
        <f ca="1">IF(CAPA!$C$113="Não",F51-F66,IF(Indexador!$B72&lt;CAPA!$C$114,0,F51-F66))</f>
        <v>-44287.785117568681</v>
      </c>
      <c r="G35" s="116">
        <f ca="1">IF(CAPA!$C$113="Não",G51-G66,IF(Indexador!$B72&lt;CAPA!$C$114,0,G51-G66))</f>
        <v>-7381.7250614131481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-58454.416569748428</v>
      </c>
      <c r="L35" s="68" t="s">
        <v>47</v>
      </c>
      <c r="M35" s="116">
        <f ca="1">Indexador!N80</f>
        <v>-19311.473276868819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-8575.0186455718358</v>
      </c>
      <c r="E36" s="116">
        <f ca="1">IF(CAPA!$C$113="Não",E52-E67,IF(Indexador!$B73&lt;CAPA!$C$114,0,E52-E67))</f>
        <v>-1651.0795733816885</v>
      </c>
      <c r="F36" s="116">
        <f ca="1">IF(CAPA!$C$113="Não",F52-F67,IF(Indexador!$B73&lt;CAPA!$C$114,0,F52-F67))</f>
        <v>-66009.647624293342</v>
      </c>
      <c r="G36" s="116">
        <f ca="1">IF(CAPA!$C$113="Não",G52-G67,IF(Indexador!$B73&lt;CAPA!$C$114,0,G52-G67))</f>
        <v>-10637.632866434898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-86873.378709681798</v>
      </c>
      <c r="L36" s="68" t="s">
        <v>2231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-19859.740169323617</v>
      </c>
      <c r="E37" s="116">
        <f ca="1">IF(CAPA!$C$113="Não",E53-E68,IF(Indexador!$B74&lt;CAPA!$C$114,0,E53-E68))</f>
        <v>-3698.3978762178358</v>
      </c>
      <c r="F37" s="116">
        <f ca="1">IF(CAPA!$C$113="Não",F53-F68,IF(Indexador!$B74&lt;CAPA!$C$114,0,F53-F68))</f>
        <v>-145273.94599971629</v>
      </c>
      <c r="G37" s="116">
        <f ca="1">IF(CAPA!$C$113="Não",G53-G68,IF(Indexador!$B74&lt;CAPA!$C$114,0,G53-G68))</f>
        <v>-22975.635506284394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-191807.71955154219</v>
      </c>
      <c r="L37" s="823" t="s">
        <v>48</v>
      </c>
      <c r="M37" s="1270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-15028.353577982591</v>
      </c>
      <c r="E38" s="116">
        <f ca="1">IF(CAPA!$C$113="Não",E54-E69,IF(Indexador!$B75&lt;CAPA!$C$114,0,E54-E69))</f>
        <v>-3042.3762506685762</v>
      </c>
      <c r="F38" s="116">
        <f ca="1">IF(CAPA!$C$113="Não",F54-F69,IF(Indexador!$B75&lt;CAPA!$C$114,0,F54-F69))</f>
        <v>-117681.95220929442</v>
      </c>
      <c r="G38" s="116">
        <f ca="1">IF(CAPA!$C$113="Não",G54-G69,IF(Indexador!$B75&lt;CAPA!$C$114,0,G54-G69))</f>
        <v>-18246.341921078551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-153999.02395902411</v>
      </c>
      <c r="L38" s="71" t="s">
        <v>836</v>
      </c>
      <c r="M38" s="274">
        <f ca="1">SUM(M31:M36)</f>
        <v>-144067.65904237804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-6781.9277580465423</v>
      </c>
      <c r="E39" s="116">
        <f ca="1">IF(CAPA!$C$113="Não",E55-E70,IF(Indexador!$B76&lt;CAPA!$C$114,0,E55-E70))</f>
        <v>-1676.4341139070493</v>
      </c>
      <c r="F39" s="116">
        <f ca="1">IF(CAPA!$C$113="Não",F55-F70,IF(Indexador!$B76&lt;CAPA!$C$114,0,F55-F70))</f>
        <v>-60685.633569047786</v>
      </c>
      <c r="G39" s="116">
        <f ca="1">IF(CAPA!$C$113="Não",G55-G70,IF(Indexador!$B76&lt;CAPA!$C$114,0,G55-G70))</f>
        <v>-9426.1088349223137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-78570.104275923688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7285.5086661990572</v>
      </c>
      <c r="E40" s="116">
        <f ca="1">IF(CAPA!$C$113="Não",E56-E71,IF(Indexador!$B77&lt;CAPA!$C$114,0,E56-E71))</f>
        <v>1138.8693174727214</v>
      </c>
      <c r="F40" s="116">
        <f ca="1">IF(CAPA!$C$113="Não",F56-F71,IF(Indexador!$B77&lt;CAPA!$C$114,0,F56-F71))</f>
        <v>49490.294388896786</v>
      </c>
      <c r="G40" s="116">
        <f ca="1">IF(CAPA!$C$113="Não",G56-G71,IF(Indexador!$B77&lt;CAPA!$C$114,0,G56-G71))</f>
        <v>7686.0952313520829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65600.767603920656</v>
      </c>
      <c r="L40" s="1828" t="s">
        <v>2262</v>
      </c>
      <c r="M40" s="1828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7768.2137107827293</v>
      </c>
      <c r="E41" s="116">
        <f ca="1">IF(CAPA!$C$113="Não",E57-E72,IF(Indexador!$B78&lt;CAPA!$C$114,0,E57-E72))</f>
        <v>1183.4756555548865</v>
      </c>
      <c r="F41" s="116">
        <f ca="1">IF(CAPA!$C$113="Não",F57-F72,IF(Indexador!$B78&lt;CAPA!$C$114,0,F57-F72))</f>
        <v>51221.524148117343</v>
      </c>
      <c r="G41" s="116">
        <f ca="1">IF(CAPA!$C$113="Não",G57-G72,IF(Indexador!$B78&lt;CAPA!$C$114,0,G57-G72))</f>
        <v>7719.4179005429905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67892.631414997857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39">
        <f ca="1">IFERROR(IF(CAPA!$C$113="Não",C58-C73,IF(Indexador!$B79&lt;CAPA!$C$114,0,C58-C73)),0)</f>
        <v>0</v>
      </c>
      <c r="D42" s="1239">
        <f ca="1">IF(CAPA!$C$113="Não",D58-D73,IF(Indexador!$B79&lt;CAPA!$C$114,0,D58-D73))</f>
        <v>6441.1159777055509</v>
      </c>
      <c r="E42" s="1239">
        <f ca="1">IF(CAPA!$C$113="Não",E58-E73,IF(Indexador!$B79&lt;CAPA!$C$114,0,E58-E73))</f>
        <v>1011.6637178292585</v>
      </c>
      <c r="F42" s="1239">
        <f ca="1">IF(CAPA!$C$113="Não",F58-F73,IF(Indexador!$B79&lt;CAPA!$C$114,0,F58-F73))</f>
        <v>42223.450832209026</v>
      </c>
      <c r="G42" s="1239">
        <f ca="1">IF(CAPA!$C$113="Não",G58-G73,IF(Indexador!$B79&lt;CAPA!$C$114,0,G58-G73))</f>
        <v>6455.2811677360587</v>
      </c>
      <c r="H42" s="1239">
        <f ca="1">IF(CAPA!$C$113="Não",H58-H73,IF(Indexador!$B79&lt;CAPA!$C$114,0,H58-H73))</f>
        <v>0</v>
      </c>
      <c r="I42" s="1239">
        <f ca="1">IF(CAPA!$C$113="Não",I58-I73,IF(Indexador!$B79&lt;CAPA!$C$114,0,I58-I73))</f>
        <v>0</v>
      </c>
      <c r="J42" s="1239">
        <f ca="1">IF(CAPA!$C$113="Não",J58-J73,IF(Indexador!$B79&lt;CAPA!$C$114,0,J58-J73))</f>
        <v>56131.511695479858</v>
      </c>
      <c r="L42" s="823" t="str">
        <f>I30</f>
        <v>Crédito Pis Cofins</v>
      </c>
      <c r="M42" s="1270">
        <f ca="1">Indexador!R80</f>
        <v>0</v>
      </c>
      <c r="N42" s="80"/>
    </row>
    <row r="43" spans="2:14">
      <c r="L43" s="71" t="s">
        <v>845</v>
      </c>
      <c r="M43" s="274">
        <f ca="1">SUM(M41:M42)</f>
        <v>0</v>
      </c>
    </row>
    <row r="44" spans="2:14">
      <c r="K44" s="142"/>
    </row>
    <row r="45" spans="2:14">
      <c r="C45" s="198" t="s">
        <v>1322</v>
      </c>
      <c r="D45" s="198"/>
      <c r="E45" s="198"/>
      <c r="F45" s="198"/>
      <c r="K45" s="142"/>
    </row>
    <row r="46" spans="2:14" ht="28.5">
      <c r="C46" s="1323" t="s">
        <v>2231</v>
      </c>
      <c r="D46" s="1323" t="s">
        <v>46</v>
      </c>
      <c r="E46" s="1323" t="s">
        <v>40</v>
      </c>
      <c r="F46" s="1323" t="s">
        <v>41</v>
      </c>
      <c r="G46" s="1323" t="s">
        <v>47</v>
      </c>
      <c r="H46" s="1615" t="s">
        <v>2232</v>
      </c>
      <c r="I46" s="1615" t="s">
        <v>2259</v>
      </c>
      <c r="J46" s="1323" t="s">
        <v>1358</v>
      </c>
      <c r="K46" s="142"/>
    </row>
    <row r="47" spans="2:14">
      <c r="B47" s="272">
        <f>Indexador!B37</f>
        <v>44378</v>
      </c>
      <c r="C47" s="1573">
        <f>$F$11/12</f>
        <v>0</v>
      </c>
      <c r="D47" s="1388">
        <f>$F$8/12</f>
        <v>70997.304547670414</v>
      </c>
      <c r="E47" s="1230">
        <f t="shared" ref="E47:E58" si="0">$F$5/12</f>
        <v>13865.802930998749</v>
      </c>
      <c r="F47" s="116">
        <f t="shared" ref="F47:F58" si="1">$F$6/12</f>
        <v>536705.09433500003</v>
      </c>
      <c r="G47" s="116">
        <f t="shared" ref="G47:G58" si="2">$F$9/12</f>
        <v>87011.635723333326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389">
        <f>SUM(C47:G47)</f>
        <v>708579.83753700252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70997.304547670414</v>
      </c>
      <c r="E48" s="116">
        <f t="shared" si="0"/>
        <v>13865.802930998749</v>
      </c>
      <c r="F48" s="116">
        <f t="shared" si="1"/>
        <v>536705.09433500003</v>
      </c>
      <c r="G48" s="116">
        <f t="shared" si="2"/>
        <v>87011.635723333326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708579.83753700252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70997.304547670414</v>
      </c>
      <c r="E49" s="116">
        <f t="shared" si="0"/>
        <v>13865.802930998749</v>
      </c>
      <c r="F49" s="116">
        <f t="shared" si="1"/>
        <v>536705.09433500003</v>
      </c>
      <c r="G49" s="116">
        <f t="shared" si="2"/>
        <v>87011.635723333326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708579.83753700252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70997.304547670414</v>
      </c>
      <c r="E50" s="116">
        <f t="shared" si="0"/>
        <v>13865.802930998749</v>
      </c>
      <c r="F50" s="116">
        <f t="shared" si="1"/>
        <v>536705.09433500003</v>
      </c>
      <c r="G50" s="116">
        <f t="shared" si="2"/>
        <v>87011.635723333326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708579.83753700252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70997.304547670414</v>
      </c>
      <c r="E51" s="116">
        <f t="shared" si="0"/>
        <v>13865.802930998749</v>
      </c>
      <c r="F51" s="116">
        <f t="shared" si="1"/>
        <v>536705.09433500003</v>
      </c>
      <c r="G51" s="116">
        <f t="shared" si="2"/>
        <v>87011.635723333326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708579.83753700252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70997.304547670414</v>
      </c>
      <c r="E52" s="116">
        <f t="shared" si="0"/>
        <v>13865.802930998749</v>
      </c>
      <c r="F52" s="116">
        <f t="shared" si="1"/>
        <v>536705.09433500003</v>
      </c>
      <c r="G52" s="116">
        <f t="shared" si="2"/>
        <v>87011.635723333326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708579.83753700252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70997.304547670414</v>
      </c>
      <c r="E53" s="116">
        <f t="shared" si="0"/>
        <v>13865.802930998749</v>
      </c>
      <c r="F53" s="116">
        <f t="shared" si="1"/>
        <v>536705.09433500003</v>
      </c>
      <c r="G53" s="116">
        <f t="shared" si="2"/>
        <v>87011.635723333326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708579.83753700252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70997.304547670414</v>
      </c>
      <c r="E54" s="116">
        <f t="shared" si="0"/>
        <v>13865.802930998749</v>
      </c>
      <c r="F54" s="116">
        <f t="shared" si="1"/>
        <v>536705.09433500003</v>
      </c>
      <c r="G54" s="116">
        <f t="shared" si="2"/>
        <v>87011.635723333326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708579.83753700252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70997.304547670414</v>
      </c>
      <c r="E55" s="116">
        <f t="shared" si="0"/>
        <v>13865.802930998749</v>
      </c>
      <c r="F55" s="116">
        <f t="shared" si="1"/>
        <v>536705.09433500003</v>
      </c>
      <c r="G55" s="116">
        <f t="shared" si="2"/>
        <v>87011.635723333326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708579.83753700252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70997.304547670414</v>
      </c>
      <c r="E56" s="116">
        <f t="shared" si="0"/>
        <v>13865.802930998749</v>
      </c>
      <c r="F56" s="116">
        <f t="shared" si="1"/>
        <v>536705.09433500003</v>
      </c>
      <c r="G56" s="116">
        <f t="shared" si="2"/>
        <v>87011.635723333326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708579.83753700252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70997.304547670414</v>
      </c>
      <c r="E57" s="116">
        <f t="shared" si="0"/>
        <v>13865.802930998749</v>
      </c>
      <c r="F57" s="116">
        <f t="shared" si="1"/>
        <v>536705.09433500003</v>
      </c>
      <c r="G57" s="116">
        <f t="shared" si="2"/>
        <v>87011.635723333326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708579.83753700252</v>
      </c>
    </row>
    <row r="58" spans="2:12">
      <c r="B58" s="272">
        <f>Indexador!B48</f>
        <v>44713</v>
      </c>
      <c r="C58" s="1239">
        <f t="shared" si="3"/>
        <v>0</v>
      </c>
      <c r="D58" s="1390">
        <f t="shared" si="4"/>
        <v>70997.304547670414</v>
      </c>
      <c r="E58" s="1239">
        <f t="shared" si="0"/>
        <v>13865.802930998749</v>
      </c>
      <c r="F58" s="1239">
        <f t="shared" si="1"/>
        <v>536705.09433500003</v>
      </c>
      <c r="G58" s="1239">
        <f t="shared" si="2"/>
        <v>87011.635723333326</v>
      </c>
      <c r="H58" s="1239">
        <f>IFERROR((VLOOKUP("Parcela B",TabFinanCovid[],4,FALSE)/12),0)</f>
        <v>0</v>
      </c>
      <c r="I58" s="1239">
        <f>IFERROR(VLOOKUP("Créditos de Pis/Cofins",TabFinanNeutralidade[[#All],[Detalhe_Grupo_TARIFA]:[valor]],2,FALSE)/12,0)</f>
        <v>0</v>
      </c>
      <c r="J58" s="1391">
        <f t="shared" si="5"/>
        <v>708579.83753700252</v>
      </c>
    </row>
    <row r="60" spans="2:12">
      <c r="C60" s="68" t="s">
        <v>1359</v>
      </c>
      <c r="L60" s="198">
        <v>42491</v>
      </c>
    </row>
    <row r="61" spans="2:12" ht="28.5">
      <c r="C61" s="1574" t="s">
        <v>2231</v>
      </c>
      <c r="D61" s="1323" t="s">
        <v>46</v>
      </c>
      <c r="E61" s="1323" t="s">
        <v>40</v>
      </c>
      <c r="F61" s="1323" t="s">
        <v>41</v>
      </c>
      <c r="G61" s="1323" t="s">
        <v>47</v>
      </c>
      <c r="H61" s="1615" t="s">
        <v>2232</v>
      </c>
      <c r="I61" s="1615" t="s">
        <v>2257</v>
      </c>
      <c r="J61" s="1323" t="s">
        <v>1358</v>
      </c>
      <c r="L61" s="1323" t="s">
        <v>48</v>
      </c>
    </row>
    <row r="62" spans="2:12">
      <c r="B62" s="272">
        <f t="shared" ref="B62:B73" si="6">B47</f>
        <v>44378</v>
      </c>
      <c r="C62" s="1392">
        <f ca="1">Calc_Mercado!S63</f>
        <v>0</v>
      </c>
      <c r="D62" s="1392">
        <f ca="1">Calc_Mercado!F63</f>
        <v>62868.723628623302</v>
      </c>
      <c r="E62" s="1230">
        <f ca="1">Calc_Mercado!I63</f>
        <v>12399.289502701802</v>
      </c>
      <c r="F62" s="1380">
        <f ca="1">Calc_Mercado!H63</f>
        <v>479005.68424631964</v>
      </c>
      <c r="G62" s="1380">
        <f ca="1">Calc_Mercado!G63</f>
        <v>77940.743589969061</v>
      </c>
      <c r="H62" s="1616">
        <f ca="1">IFERROR((VLOOKUP("Parcela B",TabFinanCovid[],4,FALSE)/VLOOKUP("Parcela B",TabFinanNeutralidade[],3,FALSE))*Calc_Mercado!T63,0)</f>
        <v>0</v>
      </c>
      <c r="I62" s="1616">
        <f ca="1">Calc_Mercado!U63</f>
        <v>0</v>
      </c>
      <c r="J62" s="1389">
        <f t="shared" ref="J62:J73" ca="1" si="7">SUM(C62:G62)</f>
        <v>632214.44096761383</v>
      </c>
      <c r="L62" s="1392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64152.824625396526</v>
      </c>
      <c r="E63" s="116">
        <f ca="1">Calc_Mercado!I64</f>
        <v>12596.884572929044</v>
      </c>
      <c r="F63" s="80">
        <f ca="1">Calc_Mercado!H64</f>
        <v>486601.27706107544</v>
      </c>
      <c r="G63" s="80">
        <f ca="1">Calc_Mercado!G64</f>
        <v>79076.349892303842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642427.33615170477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62709.939420688708</v>
      </c>
      <c r="E64" s="116">
        <f ca="1">Calc_Mercado!I65</f>
        <v>12532.133862957437</v>
      </c>
      <c r="F64" s="80">
        <f ca="1">Calc_Mercado!H65</f>
        <v>483798.35294714198</v>
      </c>
      <c r="G64" s="80">
        <f ca="1">Calc_Mercado!G65</f>
        <v>78515.290620289074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637555.71685107716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67617.636424835509</v>
      </c>
      <c r="E65" s="116">
        <f ca="1">Calc_Mercado!I66</f>
        <v>13322.006646883394</v>
      </c>
      <c r="F65" s="80">
        <f ca="1">Calc_Mercado!H66</f>
        <v>517788.92917194334</v>
      </c>
      <c r="G65" s="80">
        <f ca="1">Calc_Mercado!G66</f>
        <v>84580.079265492022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683308.65150915424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76704.606158857685</v>
      </c>
      <c r="E66" s="116">
        <f ca="1">Calc_Mercado!I67</f>
        <v>14943.4077105781</v>
      </c>
      <c r="F66" s="80">
        <f ca="1">Calc_Mercado!H67</f>
        <v>580992.87945256871</v>
      </c>
      <c r="G66" s="80">
        <f ca="1">Calc_Mercado!G67</f>
        <v>94393.360784746474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767034.25410675094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79572.32319324225</v>
      </c>
      <c r="E67" s="116">
        <f ca="1">Calc_Mercado!I68</f>
        <v>15516.882504380437</v>
      </c>
      <c r="F67" s="80">
        <f ca="1">Calc_Mercado!H68</f>
        <v>602714.74195929337</v>
      </c>
      <c r="G67" s="80">
        <f ca="1">Calc_Mercado!G68</f>
        <v>97649.268589768224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795453.21624668431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90857.044716994031</v>
      </c>
      <c r="E68" s="116">
        <f ca="1">Calc_Mercado!I69</f>
        <v>17564.200807216585</v>
      </c>
      <c r="F68" s="80">
        <f ca="1">Calc_Mercado!H69</f>
        <v>681979.04033471632</v>
      </c>
      <c r="G68" s="80">
        <f ca="1">Calc_Mercado!G69</f>
        <v>109987.27122961772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900387.55708854471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86025.658125653004</v>
      </c>
      <c r="E69" s="116">
        <f ca="1">Calc_Mercado!I70</f>
        <v>16908.179181667325</v>
      </c>
      <c r="F69" s="80">
        <f ca="1">Calc_Mercado!H70</f>
        <v>654387.04654429446</v>
      </c>
      <c r="G69" s="80">
        <f ca="1">Calc_Mercado!G70</f>
        <v>105257.97764441188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862578.86149602663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77779.232305716956</v>
      </c>
      <c r="E70" s="116">
        <f ca="1">Calc_Mercado!I71</f>
        <v>15542.237044905798</v>
      </c>
      <c r="F70" s="80">
        <f ca="1">Calc_Mercado!H71</f>
        <v>597390.72790404782</v>
      </c>
      <c r="G70" s="80">
        <f ca="1">Calc_Mercado!G71</f>
        <v>96437.744558255639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787149.9418129262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63711.795881471357</v>
      </c>
      <c r="E71" s="116">
        <f ca="1">Calc_Mercado!I72</f>
        <v>12726.933613526027</v>
      </c>
      <c r="F71" s="80">
        <f ca="1">Calc_Mercado!H72</f>
        <v>487214.79994610325</v>
      </c>
      <c r="G71" s="80">
        <f ca="1">Calc_Mercado!G72</f>
        <v>79325.540491981243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642979.06993308186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63229.090836887684</v>
      </c>
      <c r="E72" s="116">
        <f ca="1">Calc_Mercado!I73</f>
        <v>12682.327275443862</v>
      </c>
      <c r="F72" s="80">
        <f ca="1">Calc_Mercado!H73</f>
        <v>485483.57018688269</v>
      </c>
      <c r="G72" s="80">
        <f ca="1">Calc_Mercado!G73</f>
        <v>79292.217822790335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640687.20612200466</v>
      </c>
      <c r="L72" s="143">
        <f ca="1">IF(B72&lt;$L$60,0,Calc_Mercado!D73)</f>
        <v>0</v>
      </c>
    </row>
    <row r="73" spans="2:12">
      <c r="B73" s="272">
        <f t="shared" si="6"/>
        <v>44713</v>
      </c>
      <c r="C73" s="1393">
        <f ca="1">Calc_Mercado!S74</f>
        <v>0</v>
      </c>
      <c r="D73" s="1393">
        <f ca="1">Calc_Mercado!F74</f>
        <v>64556.188569964863</v>
      </c>
      <c r="E73" s="1239">
        <f ca="1">Calc_Mercado!I74</f>
        <v>12854.13921316949</v>
      </c>
      <c r="F73" s="1385">
        <f ca="1">Calc_Mercado!H74</f>
        <v>494481.643502791</v>
      </c>
      <c r="G73" s="1385">
        <f ca="1">Calc_Mercado!G74</f>
        <v>80556.354555597267</v>
      </c>
      <c r="H73" s="1385">
        <f ca="1">IFERROR((VLOOKUP("Parcela B",TabFinanCovid[],4,FALSE)/VLOOKUP("Parcela B",TabFinanNeutralidade[],3,FALSE))*Calc_Mercado!T74,0)</f>
        <v>0</v>
      </c>
      <c r="I73" s="1385">
        <f ca="1">Calc_Mercado!U74</f>
        <v>0</v>
      </c>
      <c r="J73" s="1391">
        <f t="shared" ca="1" si="7"/>
        <v>652448.32584152266</v>
      </c>
      <c r="L73" s="139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zoomScale="85" zoomScaleNormal="85" workbookViewId="0">
      <selection activeCell="C77" sqref="C77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74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07" t="s">
        <v>800</v>
      </c>
      <c r="D1" s="1394"/>
      <c r="E1" s="1395"/>
      <c r="F1" s="823"/>
      <c r="G1" s="1217" t="s">
        <v>951</v>
      </c>
      <c r="H1" s="1218">
        <f ca="1">LnkTXTIRTEco</f>
        <v>0.1182</v>
      </c>
    </row>
    <row r="2" spans="3:19" ht="16.5">
      <c r="C2" s="636" t="str">
        <f>CAPA!B2</f>
        <v>Certaja</v>
      </c>
      <c r="D2" s="638"/>
      <c r="E2" s="968"/>
      <c r="F2" s="639"/>
      <c r="G2" s="640" t="s">
        <v>955</v>
      </c>
      <c r="H2" s="641">
        <f ca="1">LnkTXTIRTTotal</f>
        <v>-0.2044</v>
      </c>
      <c r="I2" s="639"/>
      <c r="J2" s="639"/>
      <c r="K2" s="639"/>
      <c r="L2" s="639"/>
      <c r="M2" s="639"/>
      <c r="N2" s="639"/>
      <c r="O2" s="639"/>
      <c r="P2" s="639"/>
      <c r="Q2" s="639"/>
      <c r="R2" s="639"/>
    </row>
    <row r="3" spans="3:19" ht="16.5">
      <c r="C3" s="642"/>
      <c r="D3" s="638"/>
      <c r="E3" s="968"/>
      <c r="F3" s="640"/>
      <c r="G3" s="641"/>
      <c r="H3" s="639"/>
      <c r="I3" s="639"/>
      <c r="J3" s="639"/>
      <c r="K3" s="639"/>
      <c r="L3" s="639"/>
      <c r="M3" s="639"/>
      <c r="N3" s="639"/>
      <c r="O3" s="639"/>
      <c r="P3" s="639"/>
      <c r="Q3" s="639"/>
      <c r="R3" s="639"/>
    </row>
    <row r="4" spans="3:19" ht="16.5">
      <c r="C4" s="1396" t="s">
        <v>1360</v>
      </c>
      <c r="D4" s="1397">
        <f ca="1">LnkTXTRA0</f>
        <v>75563773.538370013</v>
      </c>
      <c r="E4" s="969"/>
      <c r="F4" s="639"/>
      <c r="G4" s="639"/>
      <c r="H4" s="639"/>
      <c r="I4" s="639"/>
      <c r="J4" s="643" t="s">
        <v>1049</v>
      </c>
      <c r="K4" s="639" t="s">
        <v>829</v>
      </c>
      <c r="L4" s="639"/>
      <c r="M4" s="639"/>
      <c r="N4" s="639"/>
      <c r="O4" s="639"/>
      <c r="P4" s="639"/>
      <c r="Q4" s="639"/>
      <c r="R4" s="639"/>
    </row>
    <row r="5" spans="3:19" ht="16.5">
      <c r="C5" s="1398" t="s">
        <v>1361</v>
      </c>
      <c r="D5" s="1399">
        <f ca="1">IF(CAPA!P1="VERDADEIRO",D7,IFERROR(D7/(1+IF(Calc_Mercado!J15&gt;0,Calc_Mercado!J15,0)),0))</f>
        <v>-24377206.118406419</v>
      </c>
      <c r="E5" s="970"/>
      <c r="F5" s="734"/>
      <c r="G5" s="639"/>
      <c r="H5" s="639"/>
      <c r="I5" s="639"/>
      <c r="J5" s="643">
        <v>0.27910885497910282</v>
      </c>
      <c r="K5" s="639">
        <v>0.72089114502089724</v>
      </c>
      <c r="L5" s="639"/>
      <c r="M5" s="639"/>
      <c r="N5" s="639"/>
      <c r="O5" s="639"/>
      <c r="P5" s="639"/>
      <c r="Q5" s="639"/>
      <c r="R5" s="639"/>
    </row>
    <row r="6" spans="3:19" ht="16.5">
      <c r="C6" s="639"/>
      <c r="D6" s="1400"/>
      <c r="E6" s="971"/>
      <c r="F6" s="639"/>
      <c r="G6" s="639"/>
      <c r="H6" s="643"/>
      <c r="I6" s="644"/>
      <c r="J6" s="639"/>
      <c r="K6" s="639"/>
      <c r="L6" s="639"/>
      <c r="M6" s="639"/>
      <c r="N6" s="639"/>
      <c r="O6" s="639"/>
      <c r="P6" s="639"/>
      <c r="Q6" s="639"/>
      <c r="R6" s="639"/>
    </row>
    <row r="7" spans="3:19" ht="16.5">
      <c r="C7" s="1401" t="s">
        <v>1362</v>
      </c>
      <c r="D7" s="1402">
        <f ca="1">SUM(D10:D82)-LnkTxTAjusteCUST-D31</f>
        <v>-24377206.118406419</v>
      </c>
      <c r="E7" s="1403">
        <f ca="1">SUM(E10:E82)-E26-E31</f>
        <v>-0.3226044038950503</v>
      </c>
      <c r="F7" s="645" t="s">
        <v>1363</v>
      </c>
      <c r="G7" s="639"/>
      <c r="H7" s="639"/>
      <c r="I7" s="639"/>
      <c r="J7" s="639"/>
      <c r="K7" s="639"/>
      <c r="L7" s="639"/>
      <c r="M7" s="639"/>
      <c r="N7" s="639"/>
      <c r="O7" s="639"/>
      <c r="P7" s="639"/>
      <c r="Q7" s="639"/>
      <c r="R7" s="639"/>
    </row>
    <row r="8" spans="3:19" ht="16.5">
      <c r="C8" s="1404" t="s">
        <v>1364</v>
      </c>
      <c r="D8" s="1405" t="s">
        <v>37</v>
      </c>
      <c r="E8" s="1406" t="s">
        <v>1365</v>
      </c>
      <c r="F8" s="1404" t="s">
        <v>1366</v>
      </c>
      <c r="G8" s="1404" t="s">
        <v>1367</v>
      </c>
      <c r="H8" s="1404" t="s">
        <v>1368</v>
      </c>
      <c r="I8" s="1404" t="s">
        <v>1369</v>
      </c>
      <c r="J8" s="1404" t="s">
        <v>1370</v>
      </c>
      <c r="K8" s="1404" t="s">
        <v>1371</v>
      </c>
      <c r="L8" s="1404" t="s">
        <v>802</v>
      </c>
      <c r="M8" s="639"/>
      <c r="N8" s="639"/>
      <c r="O8" s="639"/>
      <c r="P8" s="639"/>
      <c r="Q8" s="639"/>
      <c r="R8" s="639"/>
    </row>
    <row r="9" spans="3:19" ht="16.5">
      <c r="C9" s="646" t="s">
        <v>1372</v>
      </c>
      <c r="D9" s="647">
        <f>ABS(Indexador!D49)</f>
        <v>280743.18576086761</v>
      </c>
      <c r="E9" s="972">
        <f t="shared" ref="E9:E76" ca="1" si="0">IF(ISERROR(D9/$D$4),0,D9/$D$4)</f>
        <v>3.7153145298958758E-3</v>
      </c>
      <c r="F9" s="646"/>
      <c r="G9" s="646"/>
      <c r="H9" s="646"/>
      <c r="I9" s="646"/>
      <c r="J9" s="646"/>
      <c r="K9" s="646"/>
      <c r="L9" s="639"/>
      <c r="M9" s="639"/>
      <c r="N9" s="639"/>
      <c r="O9" s="639"/>
      <c r="P9" s="639"/>
      <c r="Q9" s="639"/>
      <c r="R9" s="639"/>
      <c r="S9" s="398"/>
    </row>
    <row r="10" spans="3:19" ht="16.5">
      <c r="C10" s="639" t="s">
        <v>1373</v>
      </c>
      <c r="D10" s="869">
        <f>LnkTXTPISCOFINS*K5</f>
        <v>202385.27663996629</v>
      </c>
      <c r="E10" s="973">
        <f ca="1">IF(ISERROR(D10/$D$4),0,D10/$D$4)</f>
        <v>2.6783373455694145E-3</v>
      </c>
      <c r="F10" s="639">
        <v>22</v>
      </c>
      <c r="G10" s="639">
        <v>60</v>
      </c>
      <c r="H10" s="639">
        <v>999</v>
      </c>
      <c r="I10" s="639">
        <v>1</v>
      </c>
      <c r="J10" s="639">
        <v>7</v>
      </c>
      <c r="K10" s="639">
        <v>9</v>
      </c>
      <c r="L10" s="639"/>
      <c r="M10" s="639"/>
      <c r="N10" s="639"/>
      <c r="O10" s="639"/>
      <c r="P10" s="639"/>
      <c r="Q10" s="795"/>
      <c r="R10" s="639"/>
    </row>
    <row r="11" spans="3:19" ht="16.5">
      <c r="C11" s="639" t="s">
        <v>1374</v>
      </c>
      <c r="D11" s="869">
        <f>LnkTXTPISCOFINS*J5</f>
        <v>78357.909120901313</v>
      </c>
      <c r="E11" s="973">
        <f ca="1">IF(ISERROR(D11/$D$4),0,D11/$D$4)</f>
        <v>1.0369771843264616E-3</v>
      </c>
      <c r="F11" s="639">
        <v>22</v>
      </c>
      <c r="G11" s="639">
        <v>60</v>
      </c>
      <c r="H11" s="639">
        <v>999</v>
      </c>
      <c r="I11" s="639">
        <v>2</v>
      </c>
      <c r="J11" s="639">
        <v>30</v>
      </c>
      <c r="K11" s="639">
        <v>9</v>
      </c>
      <c r="L11" s="639"/>
      <c r="M11" s="648" t="s">
        <v>22</v>
      </c>
      <c r="N11" s="648" t="s">
        <v>1375</v>
      </c>
      <c r="O11" s="648" t="s">
        <v>37</v>
      </c>
      <c r="P11" s="649" t="s">
        <v>1365</v>
      </c>
      <c r="Q11" s="795"/>
      <c r="R11" s="639"/>
    </row>
    <row r="12" spans="3:19" ht="16.5">
      <c r="C12" s="639" t="str">
        <f>"(Neutralidade) "&amp;Encargos!E5</f>
        <v>(Neutralidade) TFSEE</v>
      </c>
      <c r="D12" s="869">
        <f ca="1">Encargos!M31</f>
        <v>-3262.5345531504045</v>
      </c>
      <c r="E12" s="973">
        <f t="shared" ca="1" si="0"/>
        <v>-4.317590824780269E-5</v>
      </c>
      <c r="F12" s="639">
        <v>20</v>
      </c>
      <c r="G12" s="639">
        <v>60</v>
      </c>
      <c r="H12" s="639">
        <v>20</v>
      </c>
      <c r="I12" s="639">
        <v>3</v>
      </c>
      <c r="J12" s="639">
        <v>14</v>
      </c>
      <c r="K12" s="639">
        <v>9</v>
      </c>
      <c r="L12" s="639"/>
      <c r="M12" s="639" t="str">
        <f t="shared" ref="M12:M27" ca="1" si="1">IF(O12=0,,"CVA")</f>
        <v>CVA</v>
      </c>
      <c r="N12" s="639" t="str">
        <f ca="1">IF(Tabela1[[#This Row],[Percentual]]=0,,Tabela1[[#This Row],[Nome do Financeiro]])</f>
        <v>(Neutralidade) TFSEE</v>
      </c>
      <c r="O12" s="639">
        <f ca="1">IF(ISNUMBER(Tabela1[[#This Row],[Valor]]),Tabela1[[#This Row],[Valor]],)</f>
        <v>-3262.5345531504045</v>
      </c>
      <c r="P12" s="639">
        <f ca="1">IF(Tabela1[[#This Row],[Percentual]]=0,,Tabela1[[#This Row],[Percentual]])</f>
        <v>-4.317590824780269E-5</v>
      </c>
      <c r="Q12" s="643"/>
      <c r="R12" s="639"/>
    </row>
    <row r="13" spans="3:19" ht="16.5">
      <c r="C13" s="639" t="str">
        <f>"(Neutralidade) "&amp;Encargos!E6&amp;""</f>
        <v>(Neutralidade) CDE</v>
      </c>
      <c r="D13" s="869">
        <f ca="1">IFERROR(Encargos!M32,0)</f>
        <v>-113742.2523034878</v>
      </c>
      <c r="E13" s="973">
        <f ca="1">IF(ISERROR(D13/$D$4),0,D13/$D$4)</f>
        <v>-1.5052484408515066E-3</v>
      </c>
      <c r="F13" s="639">
        <v>20</v>
      </c>
      <c r="G13" s="639">
        <v>60</v>
      </c>
      <c r="H13" s="639">
        <v>20</v>
      </c>
      <c r="I13" s="639">
        <v>3</v>
      </c>
      <c r="J13" s="639">
        <v>15</v>
      </c>
      <c r="K13" s="639">
        <v>9</v>
      </c>
      <c r="L13" s="639"/>
      <c r="M13" s="639" t="str">
        <f t="shared" ca="1" si="1"/>
        <v>CVA</v>
      </c>
      <c r="N13" s="639" t="str">
        <f ca="1">IF(Tabela1[[#This Row],[Percentual]]=0,,Tabela1[[#This Row],[Nome do Financeiro]])</f>
        <v>(Neutralidade) CDE</v>
      </c>
      <c r="O13" s="639">
        <f ca="1">IF(ISNUMBER(Tabela1[[#This Row],[Valor]]),Tabela1[[#This Row],[Valor]],)</f>
        <v>-113742.2523034878</v>
      </c>
      <c r="P13" s="639">
        <f ca="1">IF(Tabela1[[#This Row],[Percentual]]=0,,Tabela1[[#This Row],[Percentual]])</f>
        <v>-1.5052484408515066E-3</v>
      </c>
      <c r="Q13" s="643"/>
      <c r="R13" s="639"/>
    </row>
    <row r="14" spans="3:19" ht="16.5">
      <c r="C14" s="639" t="str">
        <f>"(Neutralidade) "&amp;Encargos!E7</f>
        <v>(Neutralidade) CFURH</v>
      </c>
      <c r="D14" s="869">
        <f>Encargos!M33</f>
        <v>0</v>
      </c>
      <c r="E14" s="973">
        <f t="shared" ca="1" si="0"/>
        <v>0</v>
      </c>
      <c r="F14" s="639">
        <v>20</v>
      </c>
      <c r="G14" s="639">
        <v>60</v>
      </c>
      <c r="H14" s="639">
        <v>20</v>
      </c>
      <c r="I14" s="639">
        <v>3</v>
      </c>
      <c r="J14" s="639">
        <v>16</v>
      </c>
      <c r="K14" s="639">
        <v>9</v>
      </c>
      <c r="L14" s="639"/>
      <c r="M14" s="639">
        <f t="shared" si="1"/>
        <v>0</v>
      </c>
      <c r="N14" s="639">
        <f ca="1">IF(Tabela1[[#This Row],[Percentual]]=0,,Tabela1[[#This Row],[Nome do Financeiro]])</f>
        <v>0</v>
      </c>
      <c r="O14" s="639">
        <f>IF(ISNUMBER(Tabela1[[#This Row],[Valor]]),Tabela1[[#This Row],[Valor]],)</f>
        <v>0</v>
      </c>
      <c r="P14" s="639">
        <f ca="1">IF(Tabela1[[#This Row],[Percentual]]=0,,Tabela1[[#This Row],[Percentual]])</f>
        <v>0</v>
      </c>
      <c r="Q14" s="643"/>
      <c r="R14" s="639"/>
    </row>
    <row r="15" spans="3:19" ht="16.5">
      <c r="C15" s="639" t="str">
        <f>"(Neutralidade) "&amp;Encargos!E8</f>
        <v>(Neutralidade) ESS/EER</v>
      </c>
      <c r="D15" s="869">
        <f ca="1">Encargos!M34</f>
        <v>-7751.3989088710314</v>
      </c>
      <c r="E15" s="973">
        <f t="shared" ca="1" si="0"/>
        <v>-1.025808869237453E-4</v>
      </c>
      <c r="F15" s="639">
        <v>20</v>
      </c>
      <c r="G15" s="639">
        <v>60</v>
      </c>
      <c r="H15" s="639">
        <v>20</v>
      </c>
      <c r="I15" s="639">
        <v>3</v>
      </c>
      <c r="J15" s="639">
        <v>17</v>
      </c>
      <c r="K15" s="639">
        <v>9</v>
      </c>
      <c r="L15" s="639"/>
      <c r="M15" s="639" t="str">
        <f t="shared" ca="1" si="1"/>
        <v>CVA</v>
      </c>
      <c r="N15" s="639" t="str">
        <f ca="1">IF(Tabela1[[#This Row],[Percentual]]=0,,Tabela1[[#This Row],[Nome do Financeiro]])</f>
        <v>(Neutralidade) ESS/EER</v>
      </c>
      <c r="O15" s="639">
        <f ca="1">IF(ISNUMBER(Tabela1[[#This Row],[Valor]]),Tabela1[[#This Row],[Valor]],)</f>
        <v>-7751.3989088710314</v>
      </c>
      <c r="P15" s="639">
        <f ca="1">IF(Tabela1[[#This Row],[Percentual]]=0,,Tabela1[[#This Row],[Percentual]])</f>
        <v>-1.025808869237453E-4</v>
      </c>
      <c r="Q15" s="643"/>
      <c r="R15" s="639"/>
    </row>
    <row r="16" spans="3:19" ht="16.5">
      <c r="C16" s="639" t="str">
        <f>"(Neutralidade) "&amp;Encargos!E9</f>
        <v>(Neutralidade) PROINFA</v>
      </c>
      <c r="D16" s="869">
        <f ca="1">Encargos!M35</f>
        <v>-19311.473276868819</v>
      </c>
      <c r="E16" s="973">
        <f t="shared" ca="1" si="0"/>
        <v>-2.5556523149367039E-4</v>
      </c>
      <c r="F16" s="639">
        <v>20</v>
      </c>
      <c r="G16" s="639">
        <v>60</v>
      </c>
      <c r="H16" s="639">
        <v>20</v>
      </c>
      <c r="I16" s="639">
        <v>3</v>
      </c>
      <c r="J16" s="639">
        <v>18</v>
      </c>
      <c r="K16" s="639">
        <v>9</v>
      </c>
      <c r="L16" s="639"/>
      <c r="M16" s="639" t="str">
        <f t="shared" ca="1" si="1"/>
        <v>CVA</v>
      </c>
      <c r="N16" s="639" t="str">
        <f ca="1">IF(Tabela1[[#This Row],[Percentual]]=0,,Tabela1[[#This Row],[Nome do Financeiro]])</f>
        <v>(Neutralidade) PROINFA</v>
      </c>
      <c r="O16" s="639">
        <f ca="1">IF(ISNUMBER(Tabela1[[#This Row],[Valor]]),Tabela1[[#This Row],[Valor]],)</f>
        <v>-19311.473276868819</v>
      </c>
      <c r="P16" s="639">
        <f ca="1">IF(Tabela1[[#This Row],[Percentual]]=0,,Tabela1[[#This Row],[Percentual]])</f>
        <v>-2.5556523149367039E-4</v>
      </c>
      <c r="Q16" s="643"/>
      <c r="R16" s="639"/>
    </row>
    <row r="17" spans="3:23" ht="16.5">
      <c r="C17" s="639" t="str">
        <f>"(Neutralidade) "&amp;Encargos!B11</f>
        <v>(Neutralidade) P&amp;D e PEE</v>
      </c>
      <c r="D17" s="869"/>
      <c r="E17" s="973">
        <f t="shared" ca="1" si="0"/>
        <v>0</v>
      </c>
      <c r="F17" s="639">
        <v>20</v>
      </c>
      <c r="G17" s="639">
        <v>60</v>
      </c>
      <c r="H17" s="639">
        <v>20</v>
      </c>
      <c r="I17" s="639">
        <v>3</v>
      </c>
      <c r="J17" s="639">
        <v>19</v>
      </c>
      <c r="K17" s="639">
        <v>9</v>
      </c>
      <c r="L17" s="639"/>
      <c r="M17" s="639">
        <f t="shared" si="1"/>
        <v>0</v>
      </c>
      <c r="N17" s="639">
        <f ca="1">IF(Tabela1[[#This Row],[Percentual]]=0,,Tabela1[[#This Row],[Nome do Financeiro]])</f>
        <v>0</v>
      </c>
      <c r="O17" s="639">
        <f>IF(ISNUMBER(Tabela1[[#This Row],[Valor]]),Tabela1[[#This Row],[Valor]],)</f>
        <v>0</v>
      </c>
      <c r="P17" s="639">
        <f ca="1">IF(Tabela1[[#This Row],[Percentual]]=0,,Tabela1[[#This Row],[Percentual]])</f>
        <v>0</v>
      </c>
      <c r="Q17" s="643"/>
      <c r="R17" s="639"/>
    </row>
    <row r="18" spans="3:23" ht="16.5">
      <c r="C18" s="639" t="str">
        <f>"(Neutralidade) "&amp; "CDE conta covid-19"</f>
        <v>(Neutralidade) CDE conta covid-19</v>
      </c>
      <c r="D18" s="869">
        <f ca="1">Encargos!M36</f>
        <v>0</v>
      </c>
      <c r="E18" s="973">
        <f t="shared" ca="1" si="0"/>
        <v>0</v>
      </c>
      <c r="F18" s="639">
        <v>20</v>
      </c>
      <c r="G18" s="639">
        <v>60</v>
      </c>
      <c r="H18" s="639">
        <v>73</v>
      </c>
      <c r="I18" s="639">
        <v>3</v>
      </c>
      <c r="J18" s="639">
        <v>12</v>
      </c>
      <c r="K18" s="639">
        <v>9</v>
      </c>
      <c r="L18" s="639"/>
      <c r="M18" s="639">
        <f t="shared" ca="1" si="1"/>
        <v>0</v>
      </c>
      <c r="N18" s="639">
        <f ca="1">IF(Tabela1[[#This Row],[Percentual]]=0,,Tabela1[[#This Row],[Nome do Financeiro]])</f>
        <v>0</v>
      </c>
      <c r="O18" s="639">
        <f ca="1">IF(ISNUMBER(Tabela1[[#This Row],[Valor]]),Tabela1[[#This Row],[Valor]],)</f>
        <v>0</v>
      </c>
      <c r="P18" s="639">
        <f ca="1">IF(Tabela1[[#This Row],[Percentual]]=0,,Tabela1[[#This Row],[Percentual]])</f>
        <v>0</v>
      </c>
      <c r="Q18" s="643"/>
      <c r="R18" s="639"/>
      <c r="S18" s="398"/>
    </row>
    <row r="19" spans="3:23" ht="16.5">
      <c r="C19" s="639" t="str">
        <f>"(Neutralidade)" &amp; Encargos!L41</f>
        <v>(Neutralidade)Financeiro Covid</v>
      </c>
      <c r="D19" s="869">
        <f ca="1">Encargos!M41</f>
        <v>0</v>
      </c>
      <c r="E19" s="973">
        <f t="shared" ca="1" si="0"/>
        <v>0</v>
      </c>
      <c r="F19" s="639">
        <v>20</v>
      </c>
      <c r="G19" s="639">
        <v>60</v>
      </c>
      <c r="H19" s="639">
        <v>235</v>
      </c>
      <c r="I19" s="639">
        <v>4</v>
      </c>
      <c r="J19" s="639">
        <v>999</v>
      </c>
      <c r="K19" s="639">
        <v>9</v>
      </c>
      <c r="L19" s="639"/>
      <c r="M19" s="639"/>
      <c r="N19" s="639"/>
      <c r="O19" s="639"/>
      <c r="P19" s="639"/>
      <c r="Q19" s="643"/>
      <c r="R19" s="639"/>
      <c r="S19" s="398"/>
    </row>
    <row r="20" spans="3:23" ht="16.5">
      <c r="C20" s="639" t="str">
        <f>"(Neutralidade)" &amp; Encargos!L42</f>
        <v>(Neutralidade)Crédito Pis Cofins</v>
      </c>
      <c r="D20" s="869">
        <f ca="1">Encargos!M42</f>
        <v>0</v>
      </c>
      <c r="E20" s="973">
        <f t="shared" ca="1" si="0"/>
        <v>0</v>
      </c>
      <c r="F20" s="639">
        <v>20</v>
      </c>
      <c r="G20" s="639">
        <v>60</v>
      </c>
      <c r="H20" s="639">
        <v>179</v>
      </c>
      <c r="I20" s="639">
        <v>99</v>
      </c>
      <c r="J20" s="639">
        <v>999</v>
      </c>
      <c r="K20" s="639">
        <v>3</v>
      </c>
      <c r="L20" s="639"/>
      <c r="M20" s="639"/>
      <c r="N20" s="639"/>
      <c r="O20" s="639"/>
      <c r="P20" s="639"/>
      <c r="Q20" s="643"/>
      <c r="R20" s="639"/>
      <c r="S20" s="398"/>
    </row>
    <row r="21" spans="3:23" ht="16.5">
      <c r="C21" s="639" t="s">
        <v>1376</v>
      </c>
      <c r="D21" s="869">
        <f>IFERROR(LnkTxTAjusteCUST*Resultado!D25/(Resultado!D25+Resultado!D26),0)</f>
        <v>259261.06228841114</v>
      </c>
      <c r="E21" s="973">
        <f ca="1">IF(ISERROR(D21/$D$4),0,D21/$D$4)</f>
        <v>3.4310232290975084E-3</v>
      </c>
      <c r="F21" s="639">
        <v>22</v>
      </c>
      <c r="G21" s="639">
        <v>60</v>
      </c>
      <c r="H21" s="639">
        <v>999</v>
      </c>
      <c r="I21" s="639">
        <v>1</v>
      </c>
      <c r="J21" s="639">
        <v>1</v>
      </c>
      <c r="K21" s="639">
        <v>9</v>
      </c>
      <c r="L21" s="639"/>
      <c r="M21" s="639" t="str">
        <f t="shared" si="1"/>
        <v>CVA</v>
      </c>
      <c r="N21" s="639" t="str">
        <f ca="1">IF(Tabela1[[#This Row],[Percentual]]=0,,Tabela1[[#This Row],[Nome do Financeiro]])</f>
        <v>Ajuste CUST RB + PIS Cofins RB</v>
      </c>
      <c r="O21" s="639">
        <f>IF(ISNUMBER(Tabela1[[#This Row],[Valor]]),Tabela1[[#This Row],[Valor]],)</f>
        <v>259261.06228841114</v>
      </c>
      <c r="P21" s="639">
        <f ca="1">IF(Tabela1[[#This Row],[Percentual]]=0,,Tabela1[[#This Row],[Percentual]])</f>
        <v>3.4310232290975084E-3</v>
      </c>
      <c r="Q21" s="643"/>
      <c r="R21" s="639"/>
    </row>
    <row r="22" spans="3:23" ht="16.5">
      <c r="C22" s="639" t="s">
        <v>1377</v>
      </c>
      <c r="D22" s="869">
        <f>IFERROR(LnkTxTAjusteCUST*Resultado!D26/(Resultado!D25+Resultado!D26),0)</f>
        <v>49573.294555833229</v>
      </c>
      <c r="E22" s="973">
        <f ca="1">IF(ISERROR(D22/$D$4),0,D22/$D$4)</f>
        <v>6.5604577742085291E-4</v>
      </c>
      <c r="F22" s="639">
        <v>22</v>
      </c>
      <c r="G22" s="639">
        <v>60</v>
      </c>
      <c r="H22" s="639">
        <v>999</v>
      </c>
      <c r="I22" s="639">
        <v>1</v>
      </c>
      <c r="J22" s="639">
        <v>2</v>
      </c>
      <c r="K22" s="639">
        <v>9</v>
      </c>
      <c r="L22" s="639"/>
      <c r="M22" s="639" t="str">
        <f t="shared" si="1"/>
        <v>CVA</v>
      </c>
      <c r="N22" s="639" t="str">
        <f ca="1">IF(Tabela1[[#This Row],[Percentual]]=0,,Tabela1[[#This Row],[Nome do Financeiro]])</f>
        <v>Ajuste CUST RB Fronteira + PIS Cofins RB Fronteira</v>
      </c>
      <c r="O22" s="639">
        <f>IF(ISNUMBER(Tabela1[[#This Row],[Valor]]),Tabela1[[#This Row],[Valor]],)</f>
        <v>49573.294555833229</v>
      </c>
      <c r="P22" s="639">
        <f ca="1">IF(Tabela1[[#This Row],[Percentual]]=0,,Tabela1[[#This Row],[Percentual]])</f>
        <v>6.5604577742085291E-4</v>
      </c>
      <c r="Q22" s="643"/>
      <c r="R22" s="639"/>
      <c r="S22" s="143"/>
    </row>
    <row r="23" spans="3:23" ht="16.5">
      <c r="C23" s="639" t="s">
        <v>1378</v>
      </c>
      <c r="D23" s="869">
        <v>0</v>
      </c>
      <c r="E23" s="973">
        <f t="shared" ca="1" si="0"/>
        <v>0</v>
      </c>
      <c r="F23" s="639">
        <v>22</v>
      </c>
      <c r="G23" s="639">
        <v>60</v>
      </c>
      <c r="H23" s="639">
        <v>167</v>
      </c>
      <c r="I23" s="639">
        <v>4</v>
      </c>
      <c r="J23" s="639">
        <v>999</v>
      </c>
      <c r="K23" s="639">
        <v>9</v>
      </c>
      <c r="L23" s="639"/>
      <c r="M23" s="639">
        <f t="shared" si="1"/>
        <v>0</v>
      </c>
      <c r="N23" s="639">
        <f ca="1">IF(Tabela1[[#This Row],[Percentual]]=0,,Tabela1[[#This Row],[Nome do Financeiro]])</f>
        <v>0</v>
      </c>
      <c r="O23" s="639">
        <f>IF(ISNUMBER(Tabela1[[#This Row],[Valor]]),Tabela1[[#This Row],[Valor]],)</f>
        <v>0</v>
      </c>
      <c r="P23" s="639">
        <f ca="1">IF(Tabela1[[#This Row],[Percentual]]=0,,Tabela1[[#This Row],[Percentual]])</f>
        <v>0</v>
      </c>
      <c r="Q23" s="643"/>
      <c r="R23" s="639"/>
    </row>
    <row r="24" spans="3:23" ht="16.5">
      <c r="C24" s="639" t="s">
        <v>2213</v>
      </c>
      <c r="D24" s="869"/>
      <c r="E24" s="973">
        <f t="shared" ca="1" si="0"/>
        <v>0</v>
      </c>
      <c r="F24" s="639">
        <v>22</v>
      </c>
      <c r="G24" s="639">
        <v>60</v>
      </c>
      <c r="H24" s="639">
        <v>999</v>
      </c>
      <c r="I24" s="639">
        <v>3</v>
      </c>
      <c r="J24" s="639">
        <v>28</v>
      </c>
      <c r="K24" s="639">
        <v>9</v>
      </c>
      <c r="L24" s="639"/>
      <c r="M24" s="639">
        <f t="shared" si="1"/>
        <v>0</v>
      </c>
      <c r="N24" s="639">
        <f ca="1">IF(Tabela1[[#This Row],[Percentual]]=0,,Tabela1[[#This Row],[Nome do Financeiro]])</f>
        <v>0</v>
      </c>
      <c r="O24" s="639">
        <f>IF(ISNUMBER(Tabela1[[#This Row],[Valor]]),Tabela1[[#This Row],[Valor]],)</f>
        <v>0</v>
      </c>
      <c r="P24" s="639">
        <f ca="1">IF(Tabela1[[#This Row],[Percentual]]=0,,Tabela1[[#This Row],[Percentual]])</f>
        <v>0</v>
      </c>
      <c r="Q24" s="643"/>
      <c r="R24" s="639"/>
      <c r="S24" s="292"/>
    </row>
    <row r="25" spans="3:23" ht="16.5">
      <c r="C25" s="1572" t="s">
        <v>2188</v>
      </c>
      <c r="D25" s="1571"/>
      <c r="E25" s="973">
        <f ca="1">IF(ISERROR(D25/$D$4),0,D25/$D$4)</f>
        <v>0</v>
      </c>
      <c r="F25" s="639">
        <v>22</v>
      </c>
      <c r="G25" s="639">
        <v>60</v>
      </c>
      <c r="H25" s="639">
        <v>999</v>
      </c>
      <c r="I25" s="639">
        <v>2</v>
      </c>
      <c r="J25" s="639">
        <v>30</v>
      </c>
      <c r="K25" s="639">
        <v>9</v>
      </c>
      <c r="L25" s="650"/>
      <c r="M25" s="639">
        <f t="shared" si="1"/>
        <v>0</v>
      </c>
      <c r="N25" s="639" t="e">
        <v>#REF!</v>
      </c>
      <c r="O25" s="639">
        <v>0</v>
      </c>
      <c r="P25" s="639" t="e">
        <v>#REF!</v>
      </c>
      <c r="Q25" s="643"/>
      <c r="R25" s="639"/>
    </row>
    <row r="26" spans="3:23" ht="16.5">
      <c r="C26" s="651" t="s">
        <v>1379</v>
      </c>
      <c r="D26" s="870">
        <f>Indexador!J49+Indexador!P49</f>
        <v>308834.35684424435</v>
      </c>
      <c r="E26" s="972">
        <f t="shared" ca="1" si="0"/>
        <v>4.087069006518361E-3</v>
      </c>
      <c r="F26" s="646"/>
      <c r="G26" s="646"/>
      <c r="H26" s="646"/>
      <c r="I26" s="646"/>
      <c r="J26" s="646"/>
      <c r="K26" s="646"/>
      <c r="L26" s="639"/>
      <c r="M26" s="639" t="str">
        <f t="shared" si="1"/>
        <v>CVA</v>
      </c>
      <c r="N26" s="639" t="str">
        <f ca="1">IF(Tabela1[[#This Row],[Percentual]]=0,,Tabela1[[#This Row],[Nome do Financeiro]])</f>
        <v>Ajuste CUST + PISCONFINS Transmissão</v>
      </c>
      <c r="O26" s="639">
        <f>IF(ISNUMBER(Tabela1[[#This Row],[Valor]]),Tabela1[[#This Row],[Valor]],)</f>
        <v>308834.35684424435</v>
      </c>
      <c r="P26" s="639">
        <f ca="1">IF(Tabela1[[#This Row],[Percentual]]=0,,Tabela1[[#This Row],[Percentual]])</f>
        <v>4.087069006518361E-3</v>
      </c>
      <c r="Q26" s="643"/>
      <c r="R26" s="639"/>
      <c r="S26" s="142"/>
      <c r="V26" s="117"/>
    </row>
    <row r="27" spans="3:23" ht="16.5">
      <c r="C27" s="639" t="s">
        <v>1380</v>
      </c>
      <c r="D27" s="869">
        <f>(Indexador!H49)</f>
        <v>-232206.45884047006</v>
      </c>
      <c r="E27" s="973">
        <f t="shared" ca="1" si="0"/>
        <v>-3.0729865379547187E-3</v>
      </c>
      <c r="F27" s="639">
        <v>22</v>
      </c>
      <c r="G27" s="639">
        <v>60</v>
      </c>
      <c r="H27" s="639">
        <v>178</v>
      </c>
      <c r="I27" s="639">
        <v>1</v>
      </c>
      <c r="J27" s="639">
        <v>7</v>
      </c>
      <c r="K27" s="639">
        <v>9</v>
      </c>
      <c r="L27" s="639"/>
      <c r="M27" s="639" t="str">
        <f t="shared" si="1"/>
        <v>CVA</v>
      </c>
      <c r="N27" s="639" t="str">
        <f ca="1">IF(Tabela1[[#This Row],[Percentual]]=0,,Tabela1[[#This Row],[Nome do Financeiro]])</f>
        <v>Compensação DIC FIC</v>
      </c>
      <c r="O27" s="639">
        <f>IF(ISNUMBER(Tabela1[[#This Row],[Valor]]),Tabela1[[#This Row],[Valor]],)</f>
        <v>-232206.45884047006</v>
      </c>
      <c r="P27" s="639">
        <f ca="1">IF(Tabela1[[#This Row],[Percentual]]=0,,Tabela1[[#This Row],[Percentual]])</f>
        <v>-3.0729865379547187E-3</v>
      </c>
      <c r="Q27" s="639"/>
      <c r="R27" s="639"/>
    </row>
    <row r="28" spans="3:23" ht="16.5">
      <c r="C28" s="639" t="s">
        <v>1381</v>
      </c>
      <c r="D28" s="869">
        <f ca="1">-LnkTXTISubvencaoPB</f>
        <v>-22774965.18163811</v>
      </c>
      <c r="E28" s="973">
        <f ca="1">IF(ISERROR(D28/$D$4),0,D28/$D$4)</f>
        <v>-0.30140058013478332</v>
      </c>
      <c r="F28" s="639">
        <v>22</v>
      </c>
      <c r="G28" s="639">
        <v>60</v>
      </c>
      <c r="H28" s="639">
        <v>999</v>
      </c>
      <c r="I28" s="639">
        <v>4</v>
      </c>
      <c r="J28" s="639">
        <v>999</v>
      </c>
      <c r="K28" s="639">
        <v>9</v>
      </c>
      <c r="L28" s="639"/>
      <c r="M28" s="639"/>
      <c r="N28" s="639"/>
      <c r="O28" s="639"/>
      <c r="P28" s="639"/>
      <c r="Q28" s="639"/>
      <c r="R28" s="639"/>
    </row>
    <row r="29" spans="3:23" ht="16.5">
      <c r="C29" s="478" t="s">
        <v>1382</v>
      </c>
      <c r="D29" s="869">
        <f>IFERROR(-ABS(Indexador!L49),0)</f>
        <v>0</v>
      </c>
      <c r="E29" s="973">
        <f t="shared" ca="1" si="0"/>
        <v>0</v>
      </c>
      <c r="F29" s="639">
        <v>22</v>
      </c>
      <c r="G29" s="639">
        <v>60</v>
      </c>
      <c r="H29" s="639">
        <v>999</v>
      </c>
      <c r="I29" s="639">
        <v>2</v>
      </c>
      <c r="J29" s="639">
        <v>30</v>
      </c>
      <c r="K29" s="639">
        <v>9</v>
      </c>
      <c r="L29" s="639"/>
      <c r="M29" s="639"/>
      <c r="N29" s="639"/>
      <c r="O29" s="639"/>
      <c r="P29" s="639"/>
      <c r="Q29" s="639"/>
      <c r="R29" s="639"/>
    </row>
    <row r="30" spans="3:23" ht="16.5">
      <c r="C30" s="478" t="s">
        <v>1383</v>
      </c>
      <c r="D30" s="871"/>
      <c r="E30" s="973">
        <f t="shared" ca="1" si="0"/>
        <v>0</v>
      </c>
      <c r="F30" s="639">
        <v>22</v>
      </c>
      <c r="G30" s="639">
        <v>60</v>
      </c>
      <c r="H30" s="639">
        <v>120</v>
      </c>
      <c r="I30" s="639">
        <v>4</v>
      </c>
      <c r="J30" s="639">
        <v>999</v>
      </c>
      <c r="K30" s="639">
        <v>9</v>
      </c>
      <c r="L30" s="639"/>
      <c r="M30" s="639"/>
      <c r="N30" s="639"/>
      <c r="O30" s="639"/>
      <c r="P30" s="639"/>
      <c r="Q30" s="639"/>
      <c r="R30" s="639"/>
    </row>
    <row r="31" spans="3:23" ht="16.5">
      <c r="C31" s="646" t="s">
        <v>1384</v>
      </c>
      <c r="D31" s="870">
        <f>ICMS!E12</f>
        <v>0</v>
      </c>
      <c r="E31" s="972">
        <f ca="1">IFERROR(Tabela1[[#This Row],[Valor]]/D4,0)</f>
        <v>0</v>
      </c>
      <c r="F31" s="646"/>
      <c r="G31" s="646"/>
      <c r="H31" s="646"/>
      <c r="I31" s="646"/>
      <c r="J31" s="646"/>
      <c r="K31" s="646"/>
      <c r="L31" s="639"/>
      <c r="M31" s="639"/>
      <c r="N31" s="639"/>
      <c r="O31" s="639"/>
      <c r="P31" s="639"/>
      <c r="Q31" s="639"/>
      <c r="R31" s="639"/>
      <c r="T31" s="93"/>
      <c r="U31" s="93"/>
      <c r="V31" s="93"/>
      <c r="W31" s="93"/>
    </row>
    <row r="32" spans="3:23" ht="16.5">
      <c r="C32" s="639" t="s">
        <v>1385</v>
      </c>
      <c r="D32" s="869">
        <f ca="1">ICMS!E13</f>
        <v>0</v>
      </c>
      <c r="E32" s="973">
        <f ca="1">IF(ISERROR(D32/$D$4),0,D32/$D$4)</f>
        <v>0</v>
      </c>
      <c r="F32" s="639">
        <v>22</v>
      </c>
      <c r="G32" s="639">
        <v>60</v>
      </c>
      <c r="H32" s="639">
        <v>999</v>
      </c>
      <c r="I32" s="639">
        <v>1</v>
      </c>
      <c r="J32" s="639">
        <v>7</v>
      </c>
      <c r="K32" s="639">
        <v>9</v>
      </c>
      <c r="L32" s="639"/>
      <c r="M32" s="639"/>
      <c r="N32" s="639"/>
      <c r="O32" s="639"/>
      <c r="P32" s="639"/>
      <c r="Q32" s="639"/>
      <c r="R32" s="734"/>
      <c r="T32" s="93"/>
      <c r="V32" s="93"/>
      <c r="W32" s="93"/>
    </row>
    <row r="33" spans="3:23" ht="16.5">
      <c r="C33" s="639" t="s">
        <v>1386</v>
      </c>
      <c r="D33" s="869">
        <f ca="1">ICMS!E14</f>
        <v>0</v>
      </c>
      <c r="E33" s="973">
        <f ca="1">IF(ISERROR(D33/$D$4),0,D33/$D$4)</f>
        <v>0</v>
      </c>
      <c r="F33" s="639">
        <v>22</v>
      </c>
      <c r="G33" s="639">
        <v>60</v>
      </c>
      <c r="H33" s="639">
        <v>999</v>
      </c>
      <c r="I33" s="639">
        <v>2</v>
      </c>
      <c r="J33" s="639">
        <v>30</v>
      </c>
      <c r="K33" s="639">
        <v>9</v>
      </c>
      <c r="L33" s="639"/>
      <c r="M33" s="639"/>
      <c r="N33" s="639"/>
      <c r="O33" s="639"/>
      <c r="P33" s="639"/>
      <c r="Q33" s="639"/>
      <c r="R33" s="639"/>
      <c r="T33" s="93"/>
      <c r="V33" s="93"/>
      <c r="W33" s="93"/>
    </row>
    <row r="34" spans="3:23" ht="16.5">
      <c r="C34" s="639" t="s">
        <v>1387</v>
      </c>
      <c r="D34" s="886"/>
      <c r="E34" s="973">
        <f t="shared" ref="E34:E49" ca="1" si="2">IF(ISERROR(D34/$D$4),0,D34/$D$4)</f>
        <v>0</v>
      </c>
      <c r="F34" s="639">
        <v>22</v>
      </c>
      <c r="G34" s="639">
        <v>60</v>
      </c>
      <c r="H34" s="639">
        <v>231</v>
      </c>
      <c r="I34" s="639">
        <v>3</v>
      </c>
      <c r="J34" s="639">
        <v>19</v>
      </c>
      <c r="K34" s="639">
        <v>9</v>
      </c>
      <c r="L34" s="639"/>
      <c r="M34" s="639"/>
      <c r="N34" s="639"/>
      <c r="O34" s="639"/>
      <c r="P34" s="639"/>
      <c r="Q34" s="796"/>
      <c r="R34" s="639"/>
    </row>
    <row r="35" spans="3:23" ht="16.5">
      <c r="C35" s="639" t="s">
        <v>1388</v>
      </c>
      <c r="D35" s="891">
        <f>-'Conta covid'!J17</f>
        <v>0</v>
      </c>
      <c r="E35" s="973">
        <f t="shared" ca="1" si="2"/>
        <v>0</v>
      </c>
      <c r="F35" s="639">
        <v>22</v>
      </c>
      <c r="G35" s="639">
        <v>60</v>
      </c>
      <c r="H35" s="639">
        <v>235</v>
      </c>
      <c r="I35" s="639">
        <v>4</v>
      </c>
      <c r="J35" s="639">
        <v>999</v>
      </c>
      <c r="K35" s="639">
        <v>9</v>
      </c>
      <c r="L35" s="639"/>
      <c r="M35" s="639"/>
      <c r="N35" s="639"/>
      <c r="O35" s="639"/>
      <c r="P35" s="639"/>
      <c r="Q35" s="643"/>
      <c r="R35" s="639"/>
    </row>
    <row r="36" spans="3:23" ht="16.5">
      <c r="C36" s="639" t="s">
        <v>1389</v>
      </c>
      <c r="D36" s="869">
        <f>Energia!K66</f>
        <v>1685561.1761699938</v>
      </c>
      <c r="E36" s="973">
        <f t="shared" ca="1" si="2"/>
        <v>2.2306471702529442E-2</v>
      </c>
      <c r="F36" s="639">
        <v>22</v>
      </c>
      <c r="G36" s="639">
        <v>60</v>
      </c>
      <c r="H36" s="639">
        <v>220</v>
      </c>
      <c r="I36" s="639">
        <v>2</v>
      </c>
      <c r="J36" s="639">
        <v>30</v>
      </c>
      <c r="K36" s="639">
        <v>9</v>
      </c>
      <c r="L36" s="639"/>
      <c r="M36" s="639"/>
      <c r="N36" s="639"/>
      <c r="O36" s="639"/>
      <c r="P36" s="639"/>
      <c r="Q36" s="639"/>
      <c r="R36" s="639"/>
      <c r="T36" s="292"/>
      <c r="U36" s="142"/>
      <c r="V36" s="142"/>
    </row>
    <row r="37" spans="3:23" ht="16.5">
      <c r="C37" s="652" t="s">
        <v>1390</v>
      </c>
      <c r="D37" s="653"/>
      <c r="E37" s="973">
        <f t="shared" ca="1" si="2"/>
        <v>0</v>
      </c>
      <c r="F37" s="652">
        <v>22</v>
      </c>
      <c r="G37" s="652">
        <v>60</v>
      </c>
      <c r="H37" s="652">
        <v>999</v>
      </c>
      <c r="I37" s="652">
        <v>2</v>
      </c>
      <c r="J37" s="652">
        <v>30</v>
      </c>
      <c r="K37" s="652">
        <v>9</v>
      </c>
      <c r="L37" s="639"/>
      <c r="M37" s="639"/>
      <c r="N37" s="639"/>
      <c r="O37" s="639"/>
      <c r="P37" s="639"/>
      <c r="Q37" s="639"/>
      <c r="R37" s="869"/>
    </row>
    <row r="38" spans="3:23" ht="16.5">
      <c r="C38" s="652" t="s">
        <v>1391</v>
      </c>
      <c r="D38" s="653">
        <f>-'Financeiros Mitigação'!D10</f>
        <v>-3716038.383190468</v>
      </c>
      <c r="E38" s="973">
        <f t="shared" ca="1" si="2"/>
        <v>-4.9177512042904083E-2</v>
      </c>
      <c r="F38" s="652">
        <v>22</v>
      </c>
      <c r="G38" s="652">
        <v>60</v>
      </c>
      <c r="H38" s="652">
        <v>179</v>
      </c>
      <c r="I38" s="652">
        <v>99</v>
      </c>
      <c r="J38" s="652">
        <v>999</v>
      </c>
      <c r="K38" s="652">
        <v>3</v>
      </c>
      <c r="L38" s="639"/>
      <c r="M38" s="639"/>
      <c r="N38" s="639"/>
      <c r="O38" s="639"/>
      <c r="P38" s="639"/>
      <c r="Q38" s="639"/>
      <c r="R38" s="869"/>
      <c r="T38" s="292"/>
      <c r="U38" s="142"/>
    </row>
    <row r="39" spans="3:23" ht="16.5">
      <c r="C39" s="652" t="s">
        <v>1392</v>
      </c>
      <c r="D39" s="653"/>
      <c r="E39" s="973">
        <f t="shared" ca="1" si="2"/>
        <v>0</v>
      </c>
      <c r="F39" s="639">
        <v>22</v>
      </c>
      <c r="G39" s="639">
        <v>60</v>
      </c>
      <c r="H39" s="639">
        <v>999</v>
      </c>
      <c r="I39" s="639">
        <v>1</v>
      </c>
      <c r="J39" s="639">
        <v>7</v>
      </c>
      <c r="K39" s="639">
        <v>9</v>
      </c>
      <c r="L39" s="639"/>
      <c r="M39" s="639"/>
      <c r="N39" s="639"/>
      <c r="O39" s="639"/>
      <c r="P39" s="639"/>
      <c r="Q39" s="639"/>
      <c r="R39" s="639"/>
      <c r="U39" s="142"/>
    </row>
    <row r="40" spans="3:23" ht="16.5">
      <c r="C40" s="652" t="s">
        <v>1393</v>
      </c>
      <c r="D40" s="653"/>
      <c r="E40" s="973">
        <f t="shared" ca="1" si="2"/>
        <v>0</v>
      </c>
      <c r="F40" s="639">
        <v>22</v>
      </c>
      <c r="G40" s="639">
        <v>60</v>
      </c>
      <c r="H40" s="639">
        <v>999</v>
      </c>
      <c r="I40" s="639">
        <v>2</v>
      </c>
      <c r="J40" s="639">
        <v>30</v>
      </c>
      <c r="K40" s="639">
        <v>9</v>
      </c>
      <c r="L40" s="639"/>
      <c r="M40" s="639"/>
      <c r="N40" s="639"/>
      <c r="O40" s="639"/>
      <c r="P40" s="639"/>
      <c r="Q40" s="639"/>
      <c r="R40" s="639"/>
    </row>
    <row r="41" spans="3:23" ht="16.5">
      <c r="C41" s="652" t="s">
        <v>1394</v>
      </c>
      <c r="D41" s="653">
        <f>'Financeiros Mitigação'!D12</f>
        <v>-19057.990000000002</v>
      </c>
      <c r="E41" s="973">
        <f t="shared" ca="1" si="2"/>
        <v>-2.5221067063733489E-4</v>
      </c>
      <c r="F41" s="652">
        <v>22</v>
      </c>
      <c r="G41" s="652">
        <v>60</v>
      </c>
      <c r="H41" s="652">
        <v>999</v>
      </c>
      <c r="I41" s="652">
        <v>2</v>
      </c>
      <c r="J41" s="652">
        <v>30</v>
      </c>
      <c r="K41" s="652">
        <v>9</v>
      </c>
      <c r="L41" s="639"/>
      <c r="M41" s="639"/>
      <c r="N41" s="639"/>
      <c r="O41" s="639"/>
      <c r="P41" s="639"/>
      <c r="Q41" s="639"/>
      <c r="R41" s="639"/>
    </row>
    <row r="42" spans="3:23" ht="16.5">
      <c r="C42" s="652"/>
      <c r="D42" s="1656"/>
      <c r="E42" s="1618">
        <f>IF(ISERROR(D42/#REF!),0,D42/#REF!)</f>
        <v>0</v>
      </c>
      <c r="F42" s="652"/>
      <c r="G42" s="652"/>
      <c r="H42" s="652"/>
      <c r="I42" s="652"/>
      <c r="J42" s="652"/>
      <c r="K42" s="652"/>
      <c r="L42" s="639"/>
      <c r="M42" s="639"/>
      <c r="N42" s="639"/>
      <c r="O42" s="639"/>
      <c r="P42" s="639"/>
      <c r="Q42" s="639"/>
      <c r="R42" s="639"/>
    </row>
    <row r="43" spans="3:23" ht="16.5">
      <c r="C43" s="652"/>
      <c r="D43" s="1656"/>
      <c r="E43" s="1618">
        <f>IF(ISERROR(D43/#REF!),0,D43/#REF!)</f>
        <v>0</v>
      </c>
      <c r="F43" s="652"/>
      <c r="G43" s="652"/>
      <c r="H43" s="652"/>
      <c r="I43" s="652"/>
      <c r="J43" s="652"/>
      <c r="K43" s="652"/>
      <c r="L43" s="639"/>
      <c r="M43" s="639"/>
      <c r="N43" s="639"/>
      <c r="O43" s="639"/>
      <c r="P43" s="639"/>
      <c r="Q43" s="639"/>
      <c r="R43" s="639"/>
    </row>
    <row r="44" spans="3:23" ht="16.5">
      <c r="C44" s="652"/>
      <c r="D44" s="1656"/>
      <c r="E44" s="1618">
        <f>IF(ISERROR(D44/#REF!),0,D44/#REF!)</f>
        <v>0</v>
      </c>
      <c r="F44" s="652"/>
      <c r="G44" s="652"/>
      <c r="H44" s="652"/>
      <c r="I44" s="652"/>
      <c r="J44" s="652"/>
      <c r="K44" s="652"/>
      <c r="L44" s="639"/>
      <c r="M44" s="639"/>
      <c r="N44" s="639"/>
      <c r="O44" s="639"/>
      <c r="P44" s="639"/>
      <c r="Q44" s="639"/>
      <c r="R44" s="639"/>
    </row>
    <row r="45" spans="3:23" ht="16.5">
      <c r="C45" s="652"/>
      <c r="D45" s="653"/>
      <c r="E45" s="973">
        <f t="shared" ca="1" si="2"/>
        <v>0</v>
      </c>
      <c r="F45" s="652">
        <v>22</v>
      </c>
      <c r="G45" s="652">
        <v>60</v>
      </c>
      <c r="H45" s="652">
        <v>999</v>
      </c>
      <c r="I45" s="652">
        <v>99</v>
      </c>
      <c r="J45" s="652">
        <v>999</v>
      </c>
      <c r="K45" s="652">
        <v>9</v>
      </c>
      <c r="L45" s="639"/>
      <c r="M45" s="639"/>
      <c r="N45" s="639"/>
      <c r="O45" s="639"/>
      <c r="P45" s="639"/>
      <c r="Q45" s="639"/>
      <c r="R45" s="639"/>
    </row>
    <row r="46" spans="3:23" ht="16.5">
      <c r="C46" s="652"/>
      <c r="D46" s="653"/>
      <c r="E46" s="973">
        <f t="shared" ca="1" si="2"/>
        <v>0</v>
      </c>
      <c r="F46" s="652">
        <v>22</v>
      </c>
      <c r="G46" s="652">
        <v>60</v>
      </c>
      <c r="H46" s="652">
        <v>999</v>
      </c>
      <c r="I46" s="652">
        <v>99</v>
      </c>
      <c r="J46" s="652">
        <v>999</v>
      </c>
      <c r="K46" s="652">
        <v>9</v>
      </c>
      <c r="L46" s="639"/>
      <c r="M46" s="639"/>
      <c r="N46" s="639"/>
      <c r="O46" s="639"/>
      <c r="P46" s="639"/>
      <c r="Q46" s="639"/>
      <c r="R46" s="639"/>
    </row>
    <row r="47" spans="3:23" ht="16.5">
      <c r="C47" s="652"/>
      <c r="D47" s="654"/>
      <c r="E47" s="973">
        <f t="shared" ca="1" si="2"/>
        <v>0</v>
      </c>
      <c r="F47" s="652">
        <v>22</v>
      </c>
      <c r="G47" s="652">
        <v>60</v>
      </c>
      <c r="H47" s="652">
        <v>999</v>
      </c>
      <c r="I47" s="652">
        <v>99</v>
      </c>
      <c r="J47" s="652">
        <v>999</v>
      </c>
      <c r="K47" s="652">
        <v>9</v>
      </c>
      <c r="L47" s="639"/>
      <c r="M47" s="639"/>
      <c r="N47" s="639"/>
      <c r="O47" s="639"/>
      <c r="P47" s="639"/>
      <c r="Q47" s="639"/>
      <c r="R47" s="639"/>
    </row>
    <row r="48" spans="3:23" ht="16.5">
      <c r="C48" s="975" t="s">
        <v>2276</v>
      </c>
      <c r="D48" s="975">
        <f>CVE!$E$9</f>
        <v>0</v>
      </c>
      <c r="E48" s="973">
        <f t="shared" ca="1" si="2"/>
        <v>0</v>
      </c>
      <c r="F48" s="966">
        <v>22</v>
      </c>
      <c r="G48" s="966">
        <v>60</v>
      </c>
      <c r="H48" s="966">
        <v>241</v>
      </c>
      <c r="I48" s="966">
        <v>3</v>
      </c>
      <c r="J48" s="966">
        <v>13</v>
      </c>
      <c r="K48" s="966">
        <v>9</v>
      </c>
      <c r="L48" s="639"/>
      <c r="M48" s="639"/>
      <c r="N48" s="639"/>
      <c r="O48" s="639"/>
      <c r="P48" s="639"/>
      <c r="Q48" s="639"/>
      <c r="R48" s="639"/>
    </row>
    <row r="49" spans="3:12" ht="16.5">
      <c r="C49" s="975" t="s">
        <v>2277</v>
      </c>
      <c r="D49" s="975">
        <f>CVE!$E$10</f>
        <v>0</v>
      </c>
      <c r="E49" s="973">
        <f t="shared" ca="1" si="2"/>
        <v>0</v>
      </c>
      <c r="F49" s="966">
        <v>22</v>
      </c>
      <c r="G49" s="966">
        <v>60</v>
      </c>
      <c r="H49" s="966">
        <v>241</v>
      </c>
      <c r="I49" s="966">
        <v>3</v>
      </c>
      <c r="J49" s="966">
        <v>15</v>
      </c>
      <c r="K49" s="966">
        <v>9</v>
      </c>
      <c r="L49" s="639"/>
    </row>
    <row r="50" spans="3:12" ht="16.5">
      <c r="C50" s="975" t="s">
        <v>2278</v>
      </c>
      <c r="D50" s="975">
        <f>CVE!$E$11</f>
        <v>0</v>
      </c>
      <c r="E50" s="973">
        <f t="shared" ca="1" si="0"/>
        <v>0</v>
      </c>
      <c r="F50" s="966">
        <v>22</v>
      </c>
      <c r="G50" s="966">
        <v>60</v>
      </c>
      <c r="H50" s="966">
        <v>241</v>
      </c>
      <c r="I50" s="966">
        <v>3</v>
      </c>
      <c r="J50" s="966">
        <v>25</v>
      </c>
      <c r="K50" s="966">
        <v>9</v>
      </c>
      <c r="L50" s="639"/>
    </row>
    <row r="51" spans="3:12" ht="16.5">
      <c r="C51" s="975" t="s">
        <v>2279</v>
      </c>
      <c r="D51" s="975">
        <f>IFERROR(CVE!$E$12*Resultado!D25/SUM(Resultado!$D$25:$D$29),0)</f>
        <v>0</v>
      </c>
      <c r="E51" s="973">
        <f t="shared" ca="1" si="0"/>
        <v>0</v>
      </c>
      <c r="F51" s="966">
        <v>22</v>
      </c>
      <c r="G51" s="966">
        <v>60</v>
      </c>
      <c r="H51" s="966">
        <v>241</v>
      </c>
      <c r="I51" s="966">
        <v>1</v>
      </c>
      <c r="J51" s="966">
        <v>1</v>
      </c>
      <c r="K51" s="967">
        <v>9</v>
      </c>
      <c r="L51" s="639"/>
    </row>
    <row r="52" spans="3:12" ht="16.5">
      <c r="C52" s="975" t="s">
        <v>2280</v>
      </c>
      <c r="D52" s="975">
        <f>IFERROR(CVE!$E$12*Resultado!D26/SUM(Resultado!$D$25:$D$29),0)</f>
        <v>0</v>
      </c>
      <c r="E52" s="973">
        <f t="shared" ca="1" si="0"/>
        <v>0</v>
      </c>
      <c r="F52" s="966">
        <v>22</v>
      </c>
      <c r="G52" s="966">
        <v>60</v>
      </c>
      <c r="H52" s="966">
        <v>241</v>
      </c>
      <c r="I52" s="966">
        <v>1</v>
      </c>
      <c r="J52" s="966">
        <v>1</v>
      </c>
      <c r="K52" s="967">
        <v>9</v>
      </c>
      <c r="L52" s="639"/>
    </row>
    <row r="53" spans="3:12" ht="16.5">
      <c r="C53" s="975" t="s">
        <v>2281</v>
      </c>
      <c r="D53" s="975">
        <f>IFERROR(CVE!$E$12*Resultado!D28/SUM(Resultado!$D$25:$D$29),0)</f>
        <v>0</v>
      </c>
      <c r="E53" s="973">
        <f t="shared" ca="1" si="0"/>
        <v>0</v>
      </c>
      <c r="F53" s="966">
        <v>22</v>
      </c>
      <c r="G53" s="966">
        <v>60</v>
      </c>
      <c r="H53" s="966">
        <v>241</v>
      </c>
      <c r="I53" s="966">
        <v>1</v>
      </c>
      <c r="J53" s="966">
        <v>1</v>
      </c>
      <c r="K53" s="967">
        <v>9</v>
      </c>
      <c r="L53" s="639"/>
    </row>
    <row r="54" spans="3:12" ht="16.5">
      <c r="C54" s="975" t="s">
        <v>2282</v>
      </c>
      <c r="D54" s="975">
        <f>IFERROR(CVE!$E$12*Resultado!D27/SUM(Resultado!$D$25:$D$29),0)</f>
        <v>0</v>
      </c>
      <c r="E54" s="973">
        <f t="shared" ca="1" si="0"/>
        <v>0</v>
      </c>
      <c r="F54" s="966">
        <v>22</v>
      </c>
      <c r="G54" s="966">
        <v>60</v>
      </c>
      <c r="H54" s="966">
        <v>241</v>
      </c>
      <c r="I54" s="966">
        <v>1</v>
      </c>
      <c r="J54" s="966">
        <v>1</v>
      </c>
      <c r="K54" s="967">
        <v>9</v>
      </c>
      <c r="L54" s="639"/>
    </row>
    <row r="55" spans="3:12" ht="16.5">
      <c r="C55" s="975" t="s">
        <v>2283</v>
      </c>
      <c r="D55" s="975">
        <f>IFERROR(CVE!$E$12*Resultado!D29/SUM(Resultado!$D$25:$D$29),0)</f>
        <v>0</v>
      </c>
      <c r="E55" s="973">
        <f t="shared" ca="1" si="0"/>
        <v>0</v>
      </c>
      <c r="F55" s="966">
        <v>22</v>
      </c>
      <c r="G55" s="966">
        <v>60</v>
      </c>
      <c r="H55" s="966">
        <v>241</v>
      </c>
      <c r="I55" s="966">
        <v>1</v>
      </c>
      <c r="J55" s="966">
        <v>1</v>
      </c>
      <c r="K55" s="967">
        <v>9</v>
      </c>
      <c r="L55" s="639"/>
    </row>
    <row r="56" spans="3:12" ht="16.5">
      <c r="C56" s="975" t="s">
        <v>2284</v>
      </c>
      <c r="D56" s="975">
        <f>CVE!E15</f>
        <v>0</v>
      </c>
      <c r="E56" s="973">
        <f t="shared" ca="1" si="0"/>
        <v>0</v>
      </c>
      <c r="F56" s="966">
        <v>22</v>
      </c>
      <c r="G56" s="966">
        <v>60</v>
      </c>
      <c r="H56" s="966">
        <v>241</v>
      </c>
      <c r="I56" s="966">
        <v>1</v>
      </c>
      <c r="J56" s="966">
        <v>21</v>
      </c>
      <c r="K56" s="967">
        <v>9</v>
      </c>
      <c r="L56" s="639"/>
    </row>
    <row r="57" spans="3:12" ht="16.5">
      <c r="C57" s="975" t="s">
        <v>2285</v>
      </c>
      <c r="D57" s="975">
        <f ca="1">IFERROR(CVE!$D$13*Energia!C6/Energia!$C$5,0)</f>
        <v>1304784.3672955362</v>
      </c>
      <c r="E57" s="973">
        <f t="shared" ca="1" si="0"/>
        <v>1.7267326738691639E-2</v>
      </c>
      <c r="F57" s="966">
        <v>22</v>
      </c>
      <c r="G57" s="966">
        <v>60</v>
      </c>
      <c r="H57" s="966">
        <v>241</v>
      </c>
      <c r="I57" s="966">
        <v>2</v>
      </c>
      <c r="J57" s="966">
        <v>11</v>
      </c>
      <c r="K57" s="967">
        <v>9</v>
      </c>
      <c r="L57" s="639"/>
    </row>
    <row r="58" spans="3:12" ht="16.5">
      <c r="C58" s="975" t="s">
        <v>2286</v>
      </c>
      <c r="D58" s="975">
        <f ca="1">IFERROR(CVE!$D$13*Energia!N16/Energia!$C$5,0)</f>
        <v>0</v>
      </c>
      <c r="E58" s="973">
        <f t="shared" ca="1" si="0"/>
        <v>0</v>
      </c>
      <c r="F58" s="966">
        <v>22</v>
      </c>
      <c r="G58" s="966">
        <v>60</v>
      </c>
      <c r="H58" s="966">
        <v>241</v>
      </c>
      <c r="I58" s="966">
        <v>2</v>
      </c>
      <c r="J58" s="966">
        <v>9</v>
      </c>
      <c r="K58" s="966">
        <v>9</v>
      </c>
      <c r="L58" s="639"/>
    </row>
    <row r="59" spans="3:12" ht="16.5">
      <c r="C59" s="975" t="s">
        <v>2287</v>
      </c>
      <c r="D59" s="975">
        <f ca="1">IFERROR(CVE!$D$13*Energia!N17/Energia!$C$5,0)</f>
        <v>139583.29446862088</v>
      </c>
      <c r="E59" s="973">
        <f t="shared" ca="1" si="0"/>
        <v>1.8472250383014929E-3</v>
      </c>
      <c r="F59" s="966">
        <v>22</v>
      </c>
      <c r="G59" s="966">
        <v>60</v>
      </c>
      <c r="H59" s="966">
        <v>241</v>
      </c>
      <c r="I59" s="966">
        <v>2</v>
      </c>
      <c r="J59" s="966">
        <v>8</v>
      </c>
      <c r="K59" s="966">
        <v>9</v>
      </c>
      <c r="L59" s="639"/>
    </row>
    <row r="60" spans="3:12" ht="16.5">
      <c r="C60" s="975" t="s">
        <v>2288</v>
      </c>
      <c r="D60" s="975">
        <f ca="1">IFERROR(CVE!$D$13*Energia!C11/Energia!$C$5,0)</f>
        <v>4238.0874577150898</v>
      </c>
      <c r="E60" s="973">
        <f t="shared" ca="1" si="0"/>
        <v>5.6086233644261563E-5</v>
      </c>
      <c r="F60" s="966">
        <v>22</v>
      </c>
      <c r="G60" s="966">
        <v>60</v>
      </c>
      <c r="H60" s="966">
        <v>241</v>
      </c>
      <c r="I60" s="966">
        <v>2</v>
      </c>
      <c r="J60" s="966">
        <v>10</v>
      </c>
      <c r="K60" s="966">
        <v>9</v>
      </c>
      <c r="L60" s="639"/>
    </row>
    <row r="61" spans="3:12" ht="16.5">
      <c r="C61" s="975" t="s">
        <v>2289</v>
      </c>
      <c r="D61" s="975">
        <f ca="1">IFERROR(CVE!$D$13*Energia!C12/Energia!$C$5,0)</f>
        <v>39616.418878127712</v>
      </c>
      <c r="E61" s="973">
        <f t="shared" ca="1" si="0"/>
        <v>5.2427793138217426E-4</v>
      </c>
      <c r="F61" s="966">
        <v>22</v>
      </c>
      <c r="G61" s="966">
        <v>60</v>
      </c>
      <c r="H61" s="966">
        <v>241</v>
      </c>
      <c r="I61" s="966">
        <v>2</v>
      </c>
      <c r="J61" s="966">
        <v>24</v>
      </c>
      <c r="K61" s="966">
        <v>9</v>
      </c>
      <c r="L61" s="639"/>
    </row>
    <row r="62" spans="3:12" ht="16.5">
      <c r="C62" s="975" t="s">
        <v>2290</v>
      </c>
      <c r="D62" s="975">
        <f ca="1">IFERROR(CVE!$E$13*Energia!C11/Energia!$C$5,0)</f>
        <v>0</v>
      </c>
      <c r="E62" s="973">
        <f t="shared" ca="1" si="0"/>
        <v>0</v>
      </c>
      <c r="F62" s="966">
        <v>22</v>
      </c>
      <c r="G62" s="966">
        <v>60</v>
      </c>
      <c r="H62" s="966">
        <v>241</v>
      </c>
      <c r="I62" s="966">
        <v>3</v>
      </c>
      <c r="J62" s="966">
        <v>18</v>
      </c>
      <c r="K62" s="966">
        <v>9</v>
      </c>
      <c r="L62" s="639"/>
    </row>
    <row r="63" spans="3:12" ht="16.5">
      <c r="C63" s="975" t="s">
        <v>2291</v>
      </c>
      <c r="D63" s="975">
        <f>CVE!E14</f>
        <v>0</v>
      </c>
      <c r="E63" s="973">
        <f t="shared" ca="1" si="0"/>
        <v>0</v>
      </c>
      <c r="F63" s="966">
        <v>22</v>
      </c>
      <c r="G63" s="966">
        <v>60</v>
      </c>
      <c r="H63" s="966">
        <v>241</v>
      </c>
      <c r="I63" s="966">
        <v>3</v>
      </c>
      <c r="J63" s="966">
        <v>16</v>
      </c>
      <c r="K63" s="967">
        <v>9</v>
      </c>
      <c r="L63" s="639"/>
    </row>
    <row r="64" spans="3:12" ht="16.5">
      <c r="C64" s="975" t="s">
        <v>2292</v>
      </c>
      <c r="D64" s="975">
        <f>CVE!D17</f>
        <v>2452923.1017</v>
      </c>
      <c r="E64" s="973">
        <f t="shared" ca="1" si="0"/>
        <v>3.2461627931464364E-2</v>
      </c>
      <c r="F64" s="966">
        <v>22</v>
      </c>
      <c r="G64" s="966">
        <v>60</v>
      </c>
      <c r="H64" s="966">
        <v>241</v>
      </c>
      <c r="I64" s="966">
        <v>3</v>
      </c>
      <c r="J64" s="966">
        <v>17</v>
      </c>
      <c r="K64" s="967">
        <v>9</v>
      </c>
      <c r="L64" s="639"/>
    </row>
    <row r="65" spans="3:12" ht="16.5">
      <c r="C65" s="1619" t="s">
        <v>2264</v>
      </c>
      <c r="D65" s="1619">
        <f ca="1">IFERROR('Financeiros Mitigação'!$D$5*Energia!C6/Energia!$C$5,0)</f>
        <v>-211419.35251272083</v>
      </c>
      <c r="E65" s="973">
        <f t="shared" ca="1" si="0"/>
        <v>-2.7978929930671825E-3</v>
      </c>
      <c r="F65" s="966">
        <v>22</v>
      </c>
      <c r="G65" s="966">
        <v>60</v>
      </c>
      <c r="H65" s="966">
        <v>240</v>
      </c>
      <c r="I65" s="966">
        <v>2</v>
      </c>
      <c r="J65" s="966">
        <v>11</v>
      </c>
      <c r="K65" s="967">
        <v>9</v>
      </c>
      <c r="L65" s="639"/>
    </row>
    <row r="66" spans="3:12" ht="16.5">
      <c r="C66" s="1619" t="s">
        <v>2265</v>
      </c>
      <c r="D66" s="1619">
        <f ca="1">IFERROR('Financeiros Mitigação'!$D$5*Energia!N16/Energia!$C$5,0)</f>
        <v>0</v>
      </c>
      <c r="E66" s="973">
        <f t="shared" ca="1" si="0"/>
        <v>0</v>
      </c>
      <c r="F66" s="966">
        <v>22</v>
      </c>
      <c r="G66" s="966">
        <v>60</v>
      </c>
      <c r="H66" s="966">
        <v>240</v>
      </c>
      <c r="I66" s="966">
        <v>2</v>
      </c>
      <c r="J66" s="966">
        <v>9</v>
      </c>
      <c r="K66" s="967">
        <v>9</v>
      </c>
      <c r="L66" s="639"/>
    </row>
    <row r="67" spans="3:12" ht="16.5">
      <c r="C67" s="1619" t="s">
        <v>2266</v>
      </c>
      <c r="D67" s="1619">
        <f ca="1">IFERROR('Financeiros Mitigação'!$D$5*Energia!N17/Energia!$C$5,0)</f>
        <v>-22617.231228264751</v>
      </c>
      <c r="E67" s="973">
        <f t="shared" ca="1" si="0"/>
        <v>-2.9931315191372888E-4</v>
      </c>
      <c r="F67" s="966">
        <v>22</v>
      </c>
      <c r="G67" s="966">
        <v>60</v>
      </c>
      <c r="H67" s="966">
        <v>240</v>
      </c>
      <c r="I67" s="966">
        <v>2</v>
      </c>
      <c r="J67" s="966">
        <v>8</v>
      </c>
      <c r="K67" s="967">
        <v>9</v>
      </c>
      <c r="L67" s="639"/>
    </row>
    <row r="68" spans="3:12" ht="16.5">
      <c r="C68" s="1619" t="s">
        <v>2267</v>
      </c>
      <c r="D68" s="1619">
        <f ca="1">IFERROR('Financeiros Mitigação'!$D$5*Energia!C11/Energia!$C$5,0)</f>
        <v>-686.71401088258006</v>
      </c>
      <c r="E68" s="973">
        <f t="shared" ca="1" si="0"/>
        <v>-9.0878734441958252E-6</v>
      </c>
      <c r="F68" s="966">
        <v>22</v>
      </c>
      <c r="G68" s="966">
        <v>60</v>
      </c>
      <c r="H68" s="966">
        <v>240</v>
      </c>
      <c r="I68" s="966">
        <v>2</v>
      </c>
      <c r="J68" s="966">
        <v>10</v>
      </c>
      <c r="K68" s="967">
        <v>9</v>
      </c>
      <c r="L68" s="639"/>
    </row>
    <row r="69" spans="3:12" ht="16.5">
      <c r="C69" s="1619" t="s">
        <v>2268</v>
      </c>
      <c r="D69" s="1619">
        <f ca="1">IFERROR('Financeiros Mitigação'!$D$5*Energia!C12/Energia!$C$5,0)</f>
        <v>-6419.204458624069</v>
      </c>
      <c r="E69" s="973">
        <f t="shared" ca="1" si="0"/>
        <v>-8.4950819129810996E-5</v>
      </c>
      <c r="F69" s="966">
        <v>22</v>
      </c>
      <c r="G69" s="966">
        <v>60</v>
      </c>
      <c r="H69" s="966">
        <v>240</v>
      </c>
      <c r="I69" s="966">
        <v>2</v>
      </c>
      <c r="J69" s="966">
        <v>24</v>
      </c>
      <c r="K69" s="967">
        <v>9</v>
      </c>
      <c r="L69" s="639"/>
    </row>
    <row r="70" spans="3:12" ht="16.5">
      <c r="C70" s="1619" t="s">
        <v>2269</v>
      </c>
      <c r="D70" s="1619">
        <f>'Financeiros Mitigação'!D6</f>
        <v>-699865.67102402018</v>
      </c>
      <c r="E70" s="973">
        <f t="shared" ca="1" si="0"/>
        <v>-9.2619206036426982E-3</v>
      </c>
      <c r="F70" s="966">
        <v>22</v>
      </c>
      <c r="G70" s="966">
        <v>60</v>
      </c>
      <c r="H70" s="966">
        <v>240</v>
      </c>
      <c r="I70" s="966">
        <v>3</v>
      </c>
      <c r="J70" s="966">
        <v>17</v>
      </c>
      <c r="K70" s="967">
        <v>9</v>
      </c>
      <c r="L70" s="639"/>
    </row>
    <row r="71" spans="3:12" ht="16.5">
      <c r="C71" s="1619" t="s">
        <v>2270</v>
      </c>
      <c r="D71" s="1619">
        <f ca="1">IFERROR('Financeiros Mitigação'!$D$7*Energia!C6/Energia!$C$5,0)</f>
        <v>0</v>
      </c>
      <c r="E71" s="973">
        <f t="shared" ca="1" si="0"/>
        <v>0</v>
      </c>
      <c r="F71" s="966">
        <v>22</v>
      </c>
      <c r="G71" s="966">
        <v>60</v>
      </c>
      <c r="H71" s="966">
        <v>240</v>
      </c>
      <c r="I71" s="966">
        <v>2</v>
      </c>
      <c r="J71" s="966">
        <v>11</v>
      </c>
      <c r="K71" s="967">
        <v>9</v>
      </c>
      <c r="L71" s="639"/>
    </row>
    <row r="72" spans="3:12" ht="16.5">
      <c r="C72" s="1619" t="s">
        <v>2271</v>
      </c>
      <c r="D72" s="1619">
        <f ca="1">IFERROR('Financeiros Mitigação'!$D$7*Energia!N16/Energia!$C$5,0)</f>
        <v>0</v>
      </c>
      <c r="E72" s="973">
        <f t="shared" ca="1" si="0"/>
        <v>0</v>
      </c>
      <c r="F72" s="966">
        <v>22</v>
      </c>
      <c r="G72" s="966">
        <v>60</v>
      </c>
      <c r="H72" s="966">
        <v>240</v>
      </c>
      <c r="I72" s="966">
        <v>2</v>
      </c>
      <c r="J72" s="966">
        <v>9</v>
      </c>
      <c r="K72" s="967">
        <v>9</v>
      </c>
      <c r="L72" s="639"/>
    </row>
    <row r="73" spans="3:12" ht="16.5">
      <c r="C73" s="1619" t="s">
        <v>2272</v>
      </c>
      <c r="D73" s="1619">
        <f ca="1">IFERROR('Financeiros Mitigação'!$D$7*Energia!N17/Energia!$C$5,0)</f>
        <v>0</v>
      </c>
      <c r="E73" s="973">
        <f t="shared" ca="1" si="0"/>
        <v>0</v>
      </c>
      <c r="F73" s="966">
        <v>22</v>
      </c>
      <c r="G73" s="966">
        <v>60</v>
      </c>
      <c r="H73" s="966">
        <v>240</v>
      </c>
      <c r="I73" s="966">
        <v>2</v>
      </c>
      <c r="J73" s="966">
        <v>8</v>
      </c>
      <c r="K73" s="967">
        <v>9</v>
      </c>
      <c r="L73" s="639"/>
    </row>
    <row r="74" spans="3:12" ht="16.5">
      <c r="C74" s="1619" t="s">
        <v>2273</v>
      </c>
      <c r="D74" s="1619">
        <f ca="1">IFERROR('Financeiros Mitigação'!$D$7*Energia!C11/Energia!$C$5,0)</f>
        <v>0</v>
      </c>
      <c r="E74" s="973">
        <f t="shared" ca="1" si="0"/>
        <v>0</v>
      </c>
      <c r="F74" s="966">
        <v>22</v>
      </c>
      <c r="G74" s="966">
        <v>60</v>
      </c>
      <c r="H74" s="966">
        <v>240</v>
      </c>
      <c r="I74" s="966">
        <v>2</v>
      </c>
      <c r="J74" s="966">
        <v>10</v>
      </c>
      <c r="K74" s="967">
        <v>9</v>
      </c>
      <c r="L74" s="639"/>
    </row>
    <row r="75" spans="3:12" ht="16.5">
      <c r="C75" s="1619" t="s">
        <v>2274</v>
      </c>
      <c r="D75" s="1619">
        <f ca="1">IFERROR('Financeiros Mitigação'!$D$7*Energia!C12/Energia!$C$5,0)</f>
        <v>0</v>
      </c>
      <c r="E75" s="973">
        <f t="shared" ca="1" si="0"/>
        <v>0</v>
      </c>
      <c r="F75" s="966">
        <v>22</v>
      </c>
      <c r="G75" s="966">
        <v>60</v>
      </c>
      <c r="H75" s="966">
        <v>240</v>
      </c>
      <c r="I75" s="966">
        <v>2</v>
      </c>
      <c r="J75" s="966">
        <v>24</v>
      </c>
      <c r="K75" s="967">
        <v>9</v>
      </c>
      <c r="L75" s="639"/>
    </row>
    <row r="76" spans="3:12" ht="16.5">
      <c r="C76" s="1619" t="s">
        <v>2381</v>
      </c>
      <c r="D76" s="1619">
        <f ca="1">CVE!$I$9*LnkTXTEV/LnkTXTER</f>
        <v>-158272.05261579252</v>
      </c>
      <c r="E76" s="973">
        <f t="shared" ca="1" si="0"/>
        <v>-2.0945493482458846E-3</v>
      </c>
      <c r="F76" s="966">
        <v>22</v>
      </c>
      <c r="G76" s="966">
        <v>60</v>
      </c>
      <c r="H76" s="966">
        <v>106</v>
      </c>
      <c r="I76" s="966">
        <v>2</v>
      </c>
      <c r="J76" s="966">
        <v>11</v>
      </c>
      <c r="K76" s="967">
        <v>9</v>
      </c>
      <c r="L76" s="639"/>
    </row>
    <row r="77" spans="3:12" ht="16.5">
      <c r="C77" s="1619" t="s">
        <v>2382</v>
      </c>
      <c r="D77" s="1619">
        <f ca="1">CVE!$I$9*Energia!N16/LnkTXTER</f>
        <v>0</v>
      </c>
      <c r="E77" s="973">
        <f t="shared" ref="E77:E80" ca="1" si="3">IF(ISERROR(D77/$D$4),0,D77/$D$4)</f>
        <v>0</v>
      </c>
      <c r="F77" s="966">
        <v>22</v>
      </c>
      <c r="G77" s="966">
        <v>60</v>
      </c>
      <c r="H77" s="966">
        <v>106</v>
      </c>
      <c r="I77" s="966">
        <v>2</v>
      </c>
      <c r="J77" s="966">
        <v>9</v>
      </c>
      <c r="K77" s="967">
        <v>9</v>
      </c>
      <c r="L77" s="639"/>
    </row>
    <row r="78" spans="3:12" ht="16.5">
      <c r="C78" s="1619" t="s">
        <v>2383</v>
      </c>
      <c r="D78" s="1619">
        <f ca="1">CVE!$I$9*Energia!N17/LnkTXTER</f>
        <v>-16931.636429867885</v>
      </c>
      <c r="E78" s="973">
        <f t="shared" ca="1" si="3"/>
        <v>-2.2407081643785676E-4</v>
      </c>
      <c r="F78" s="966">
        <v>22</v>
      </c>
      <c r="G78" s="966">
        <v>60</v>
      </c>
      <c r="H78" s="966">
        <v>106</v>
      </c>
      <c r="I78" s="966">
        <v>2</v>
      </c>
      <c r="J78" s="966">
        <v>8</v>
      </c>
      <c r="K78" s="967">
        <v>9</v>
      </c>
      <c r="L78" s="639"/>
    </row>
    <row r="79" spans="3:12" ht="16.5">
      <c r="C79" s="1619" t="s">
        <v>2384</v>
      </c>
      <c r="D79" s="1619">
        <f ca="1">CVE!$I$9*Energia!N18/LnkTXTER</f>
        <v>-514.08555920097263</v>
      </c>
      <c r="E79" s="973">
        <f t="shared" ca="1" si="3"/>
        <v>-6.8033335966199282E-6</v>
      </c>
      <c r="F79" s="966">
        <v>22</v>
      </c>
      <c r="G79" s="966">
        <v>60</v>
      </c>
      <c r="H79" s="966">
        <v>106</v>
      </c>
      <c r="I79" s="966">
        <v>2</v>
      </c>
      <c r="J79" s="966">
        <v>10</v>
      </c>
      <c r="K79" s="967">
        <v>9</v>
      </c>
      <c r="L79" s="639"/>
    </row>
    <row r="80" spans="3:12" ht="16.5">
      <c r="C80" s="1619" t="s">
        <v>2385</v>
      </c>
      <c r="D80" s="1619">
        <f ca="1">CVE!$I$9*Energia!N19/LnkTXTER</f>
        <v>-4805.523495138641</v>
      </c>
      <c r="E80" s="973">
        <f t="shared" ca="1" si="3"/>
        <v>-6.3595599718143734E-5</v>
      </c>
      <c r="F80" s="967">
        <v>22</v>
      </c>
      <c r="G80" s="967">
        <v>60</v>
      </c>
      <c r="H80" s="967">
        <v>106</v>
      </c>
      <c r="I80" s="967">
        <v>2</v>
      </c>
      <c r="J80" s="967">
        <v>24</v>
      </c>
      <c r="K80" s="967">
        <v>9</v>
      </c>
      <c r="L80" s="639"/>
    </row>
    <row r="81" spans="3:12" ht="16.5">
      <c r="C81" s="1619"/>
      <c r="D81" s="1619"/>
      <c r="E81" s="973"/>
      <c r="F81" s="967"/>
      <c r="G81" s="967"/>
      <c r="H81" s="967"/>
      <c r="I81" s="967"/>
      <c r="J81" s="967"/>
      <c r="K81" s="967"/>
      <c r="L81" s="639"/>
    </row>
    <row r="82" spans="3:12" ht="16.5">
      <c r="C82" s="975" t="s">
        <v>1396</v>
      </c>
      <c r="D82" s="975">
        <f>IFERROR(CVE!$I$15,0)</f>
        <v>-2585622.9629355916</v>
      </c>
      <c r="E82" s="1408">
        <f ca="1">IF(ISERROR(D82/$D$4),0,D82/$D$4)</f>
        <v>-3.4217758614485491E-2</v>
      </c>
      <c r="F82" s="1409">
        <v>22</v>
      </c>
      <c r="G82" s="1409">
        <v>62</v>
      </c>
      <c r="H82" s="1409">
        <v>220</v>
      </c>
      <c r="I82" s="1409">
        <v>2</v>
      </c>
      <c r="J82" s="1409">
        <v>30</v>
      </c>
      <c r="K82" s="1409">
        <v>9</v>
      </c>
      <c r="L82" s="639"/>
    </row>
    <row r="83" spans="3:12" ht="16.5">
      <c r="C83" s="976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2:D18 E21 E22" calculatedColumn="1"/>
  </ignoredErrors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2" t="s">
        <v>2185</v>
      </c>
    </row>
    <row r="4" spans="1:5">
      <c r="B4" t="s">
        <v>2186</v>
      </c>
    </row>
    <row r="7" spans="1:5">
      <c r="A7" s="754"/>
      <c r="B7" s="754" t="s">
        <v>2180</v>
      </c>
    </row>
    <row r="8" spans="1:5">
      <c r="A8" s="754" t="s">
        <v>1030</v>
      </c>
      <c r="B8" s="1566"/>
    </row>
    <row r="9" spans="1:5">
      <c r="A9" s="754" t="s">
        <v>1049</v>
      </c>
      <c r="B9" s="1566"/>
    </row>
    <row r="11" spans="1:5" ht="47.25">
      <c r="A11" s="1568"/>
      <c r="B11" s="1569" t="s">
        <v>2187</v>
      </c>
      <c r="C11" s="1570" t="s">
        <v>2181</v>
      </c>
      <c r="D11" s="1570" t="s">
        <v>2182</v>
      </c>
      <c r="E11" s="1570" t="s">
        <v>845</v>
      </c>
    </row>
    <row r="12" spans="1:5">
      <c r="A12" s="889" t="s">
        <v>845</v>
      </c>
      <c r="B12" s="1567">
        <f>B13+B14</f>
        <v>0</v>
      </c>
      <c r="C12" s="1567">
        <f>Indexador!R49</f>
        <v>0</v>
      </c>
      <c r="D12" s="1567">
        <f>C12*85%</f>
        <v>0</v>
      </c>
      <c r="E12" s="1567">
        <f>SUM(B12:D12)</f>
        <v>0</v>
      </c>
    </row>
    <row r="13" spans="1:5">
      <c r="A13" s="754" t="s">
        <v>1030</v>
      </c>
      <c r="B13" s="1567">
        <f>Indexador!V49</f>
        <v>0</v>
      </c>
      <c r="C13" s="1567">
        <f ca="1">IFERROR($C$12*(Resultado!D32/(Resultado!$D$32+Resultado!$D$33)),0)</f>
        <v>0</v>
      </c>
      <c r="D13" s="1567">
        <f t="shared" ref="D13:D14" ca="1" si="0">C13*85%</f>
        <v>0</v>
      </c>
      <c r="E13" s="1567">
        <f t="shared" ref="E13:E14" ca="1" si="1">SUM(B13:D13)</f>
        <v>0</v>
      </c>
    </row>
    <row r="14" spans="1:5">
      <c r="A14" s="754" t="s">
        <v>1049</v>
      </c>
      <c r="B14" s="1567">
        <f>Indexador!T49</f>
        <v>0</v>
      </c>
      <c r="C14" s="1567">
        <f ca="1">IFERROR($C$12*(Resultado!D33/(Resultado!$D$32+Resultado!$D$33)),0)</f>
        <v>0</v>
      </c>
      <c r="D14" s="1567">
        <f t="shared" ca="1" si="0"/>
        <v>0</v>
      </c>
      <c r="E14" s="1567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D8" sqref="D8"/>
    </sheetView>
  </sheetViews>
  <sheetFormatPr defaultRowHeight="15.75"/>
  <cols>
    <col min="1" max="1" width="0" hidden="1" customWidth="1"/>
    <col min="2" max="2" width="49.28515625" bestFit="1" customWidth="1"/>
    <col min="3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44" t="s">
        <v>2306</v>
      </c>
    </row>
    <row r="4" spans="1:15">
      <c r="B4" s="1636" t="s">
        <v>2294</v>
      </c>
      <c r="C4" s="1638" t="s">
        <v>2295</v>
      </c>
      <c r="D4" s="1637" t="s">
        <v>2296</v>
      </c>
      <c r="E4" s="1642"/>
      <c r="F4" s="1642"/>
      <c r="G4" s="1642"/>
      <c r="N4" t="s">
        <v>34</v>
      </c>
      <c r="O4" t="s">
        <v>2297</v>
      </c>
    </row>
    <row r="5" spans="1:15">
      <c r="A5" s="835" t="s">
        <v>2221</v>
      </c>
      <c r="B5" s="902" t="s">
        <v>2304</v>
      </c>
      <c r="C5" s="1645">
        <f>IFERROR(VLOOKUP(A5,Escassez[#All],2,FALSE),0)</f>
        <v>-234493.53</v>
      </c>
      <c r="D5" s="1645">
        <f>C5/$C$8*$O$87</f>
        <v>-241142.50221049221</v>
      </c>
      <c r="E5" s="1643"/>
      <c r="F5" s="1641"/>
      <c r="G5" s="1632"/>
      <c r="N5" s="8">
        <v>44690</v>
      </c>
      <c r="O5" s="234">
        <f>C8</f>
        <v>-915061.95000000007</v>
      </c>
    </row>
    <row r="6" spans="1:15">
      <c r="A6" s="1620" t="s">
        <v>2222</v>
      </c>
      <c r="B6" s="902" t="s">
        <v>2305</v>
      </c>
      <c r="C6" s="1645">
        <f>IFERROR(VLOOKUP(A6,Escassez[#All],2,FALSE),0)</f>
        <v>-680568.42</v>
      </c>
      <c r="D6" s="1645">
        <f>C6/$C$8*$O$87</f>
        <v>-699865.67102402018</v>
      </c>
      <c r="E6" s="1643"/>
      <c r="F6" s="1641"/>
      <c r="G6" s="1632"/>
      <c r="N6" s="8">
        <f>N5+1</f>
        <v>44691</v>
      </c>
      <c r="O6" s="234">
        <f>O5*VLOOKUP(N6,Índices!$K$6:$N$3249,4,FALSE)/VLOOKUP(N5,Índices!$K$6:$N$3249,4,FALSE)</f>
        <v>-915494.58213934046</v>
      </c>
    </row>
    <row r="7" spans="1:15">
      <c r="A7" s="1620" t="s">
        <v>2223</v>
      </c>
      <c r="B7" s="902" t="s">
        <v>111</v>
      </c>
      <c r="C7" s="1645">
        <f>IFERROR(VLOOKUP(A7,Escassez[#All],2,FALSE),0)</f>
        <v>0</v>
      </c>
      <c r="D7" s="1645">
        <f>C7/$C$8*$O$87</f>
        <v>0</v>
      </c>
      <c r="E7" s="1643"/>
      <c r="F7" s="1641"/>
      <c r="G7" s="1632"/>
      <c r="N7" s="8">
        <f t="shared" ref="N7:N70" si="0">N6+1</f>
        <v>44692</v>
      </c>
      <c r="O7" s="234">
        <f>O6*VLOOKUP(N7,Índices!$K$6:$N$3249,4,FALSE)/VLOOKUP(N6,Índices!$K$6:$N$3249,4,FALSE)</f>
        <v>-915927.41882282996</v>
      </c>
    </row>
    <row r="8" spans="1:15">
      <c r="B8" s="1639"/>
      <c r="C8" s="1646">
        <f>SUM(C5:C7)</f>
        <v>-915061.95000000007</v>
      </c>
      <c r="D8" s="1646">
        <f>SUM(D5:D7)</f>
        <v>-941008.17323451233</v>
      </c>
      <c r="E8" s="1630"/>
      <c r="F8" s="1633"/>
      <c r="G8" s="1633"/>
      <c r="N8" s="8">
        <f t="shared" si="0"/>
        <v>44693</v>
      </c>
      <c r="O8" s="234">
        <f>O7*VLOOKUP(N8,Índices!$K$6:$N$3249,4,FALSE)/VLOOKUP(N7,Índices!$K$6:$N$3249,4,FALSE)</f>
        <v>-916360.46014717501</v>
      </c>
    </row>
    <row r="9" spans="1:15">
      <c r="E9" s="1630"/>
      <c r="N9" s="8">
        <f t="shared" si="0"/>
        <v>44694</v>
      </c>
      <c r="O9" s="234">
        <f>O8*VLOOKUP(N9,Índices!$K$6:$N$3249,4,FALSE)/VLOOKUP(N8,Índices!$K$6:$N$3249,4,FALSE)</f>
        <v>-916793.70620912791</v>
      </c>
    </row>
    <row r="10" spans="1:15">
      <c r="B10" s="1647" t="s">
        <v>2307</v>
      </c>
      <c r="C10" s="1659">
        <v>3163611.42</v>
      </c>
      <c r="D10" s="1670">
        <f>PIS_COFINS!R4</f>
        <v>3716038.383190468</v>
      </c>
      <c r="E10" s="1630" t="s">
        <v>2334</v>
      </c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-916793.70620912791</v>
      </c>
    </row>
    <row r="11" spans="1:15">
      <c r="E11" s="1630"/>
      <c r="N11" s="8">
        <f>L10+1</f>
        <v>44696</v>
      </c>
      <c r="O11" s="234">
        <f>O10*VLOOKUP(N11,Índices!$K$6:$N$3249,4,FALSE)/VLOOKUP(N10,Índices!$K$6:$N$3249,4,FALSE)</f>
        <v>-916793.70620912791</v>
      </c>
    </row>
    <row r="12" spans="1:15">
      <c r="B12" s="1647" t="s">
        <v>1394</v>
      </c>
      <c r="C12" s="1640"/>
      <c r="D12" s="1670">
        <v>-19057.990000000002</v>
      </c>
      <c r="E12" s="1630"/>
      <c r="F12" s="1630"/>
      <c r="G12" s="1630"/>
      <c r="H12" s="1630"/>
      <c r="I12" s="1630"/>
      <c r="J12" s="1630"/>
      <c r="K12" s="1630"/>
      <c r="L12" s="1630"/>
      <c r="N12" s="8">
        <f t="shared" si="0"/>
        <v>44697</v>
      </c>
      <c r="O12" s="234">
        <f>O11*VLOOKUP(N12,Índices!$K$6:$N$3249,4,FALSE)/VLOOKUP(N11,Índices!$K$6:$N$3249,4,FALSE)</f>
        <v>-917227.15710548649</v>
      </c>
    </row>
    <row r="13" spans="1:15">
      <c r="B13" s="1648"/>
      <c r="C13" s="1631"/>
      <c r="D13" s="1631"/>
      <c r="E13" s="1631"/>
      <c r="F13" s="1631"/>
      <c r="G13" s="1631"/>
      <c r="H13" s="1631"/>
      <c r="I13" s="1631"/>
      <c r="J13" s="1631"/>
      <c r="K13" s="1631"/>
      <c r="L13" s="1631"/>
      <c r="N13" s="8">
        <f t="shared" si="0"/>
        <v>44698</v>
      </c>
      <c r="O13" s="234">
        <f>O12*VLOOKUP(N13,Índices!$K$6:$N$3249,4,FALSE)/VLOOKUP(N12,Índices!$K$6:$N$3249,4,FALSE)</f>
        <v>-917660.81293309422</v>
      </c>
    </row>
    <row r="14" spans="1:15">
      <c r="B14" s="1649"/>
      <c r="C14" s="1650"/>
      <c r="D14" s="1650"/>
      <c r="E14" s="1651"/>
      <c r="F14" s="1652"/>
      <c r="G14" s="1632"/>
      <c r="H14" s="1632"/>
      <c r="I14" s="1632"/>
      <c r="J14" s="1632"/>
      <c r="K14" s="1632"/>
      <c r="L14" s="1632"/>
      <c r="N14" s="8">
        <f t="shared" si="0"/>
        <v>44699</v>
      </c>
      <c r="O14" s="234">
        <f>O13*VLOOKUP(N14,Índices!$K$6:$N$3249,4,FALSE)/VLOOKUP(N13,Índices!$K$6:$N$3249,4,FALSE)</f>
        <v>-918094.67378884077</v>
      </c>
    </row>
    <row r="15" spans="1:15">
      <c r="B15" s="1649"/>
      <c r="C15" s="1650"/>
      <c r="D15" s="1650"/>
      <c r="E15" s="1651"/>
      <c r="F15" s="1652"/>
      <c r="G15" s="1632"/>
      <c r="H15" s="1632"/>
      <c r="I15" s="1632"/>
      <c r="J15" s="1632"/>
      <c r="K15" s="1632"/>
      <c r="L15" s="1632"/>
      <c r="N15" s="8">
        <f t="shared" si="0"/>
        <v>44700</v>
      </c>
      <c r="O15" s="234">
        <f>O14*VLOOKUP(N15,Índices!$K$6:$N$3249,4,FALSE)/VLOOKUP(N14,Índices!$K$6:$N$3249,4,FALSE)</f>
        <v>-918528.73976966133</v>
      </c>
    </row>
    <row r="16" spans="1:15">
      <c r="B16" s="1649"/>
      <c r="C16" s="1650"/>
      <c r="D16" s="1650"/>
      <c r="E16" s="1651"/>
      <c r="F16" s="1652"/>
      <c r="G16" s="1632"/>
      <c r="H16" s="1632"/>
      <c r="I16" s="1632"/>
      <c r="J16" s="1632"/>
      <c r="K16" s="1632"/>
      <c r="L16" s="1632"/>
      <c r="N16" s="8">
        <f t="shared" si="0"/>
        <v>44701</v>
      </c>
      <c r="O16" s="234">
        <f>O15*VLOOKUP(N16,Índices!$K$6:$N$3249,4,FALSE)/VLOOKUP(N15,Índices!$K$6:$N$3249,4,FALSE)</f>
        <v>-918963.01097253698</v>
      </c>
    </row>
    <row r="17" spans="2:15">
      <c r="B17" s="1649"/>
      <c r="C17" s="1650"/>
      <c r="D17" s="1650"/>
      <c r="E17" s="1651"/>
      <c r="F17" s="1652"/>
      <c r="G17" s="1632"/>
      <c r="H17" s="1632"/>
      <c r="I17" s="1632"/>
      <c r="J17" s="1632"/>
      <c r="K17" s="1632"/>
      <c r="L17" s="1632"/>
      <c r="N17" s="8">
        <f t="shared" si="0"/>
        <v>44702</v>
      </c>
      <c r="O17" s="234">
        <f>O16*VLOOKUP(N17,Índices!$K$6:$N$3249,4,FALSE)/VLOOKUP(N16,Índices!$K$6:$N$3249,4,FALSE)</f>
        <v>-918963.01097253698</v>
      </c>
    </row>
    <row r="18" spans="2:15">
      <c r="B18" s="1649"/>
      <c r="C18" s="1650"/>
      <c r="D18" s="1650"/>
      <c r="E18" s="1651"/>
      <c r="F18" s="1652"/>
      <c r="G18" s="1632"/>
      <c r="H18" s="1632"/>
      <c r="I18" s="1632"/>
      <c r="J18" s="1632"/>
      <c r="K18" s="1632"/>
      <c r="L18" s="1632"/>
      <c r="N18" s="8">
        <f t="shared" si="0"/>
        <v>44703</v>
      </c>
      <c r="O18" s="234">
        <f>O17*VLOOKUP(N18,Índices!$K$6:$N$3249,4,FALSE)/VLOOKUP(N17,Índices!$K$6:$N$3249,4,FALSE)</f>
        <v>-918963.01097253698</v>
      </c>
    </row>
    <row r="19" spans="2:15">
      <c r="B19" s="1649"/>
      <c r="C19" s="1650"/>
      <c r="D19" s="1650"/>
      <c r="E19" s="1650"/>
      <c r="F19" s="1652"/>
      <c r="G19" s="1632"/>
      <c r="H19" s="1632"/>
      <c r="I19" s="1632"/>
      <c r="J19" s="1632"/>
      <c r="K19" s="1632"/>
      <c r="L19" s="1632"/>
      <c r="N19" s="8">
        <f t="shared" si="0"/>
        <v>44704</v>
      </c>
      <c r="O19" s="234">
        <f>O18*VLOOKUP(N19,Índices!$K$6:$N$3249,4,FALSE)/VLOOKUP(N18,Índices!$K$6:$N$3249,4,FALSE)</f>
        <v>-919397.48749449453</v>
      </c>
    </row>
    <row r="20" spans="2:15">
      <c r="B20" s="1649"/>
      <c r="C20" s="1650"/>
      <c r="D20" s="1650"/>
      <c r="E20" s="1650"/>
      <c r="F20" s="1652"/>
      <c r="G20" s="1632"/>
      <c r="H20" s="1632"/>
      <c r="I20" s="1632"/>
      <c r="J20" s="1632"/>
      <c r="K20" s="1632"/>
      <c r="L20" s="1632"/>
      <c r="N20" s="8">
        <f t="shared" si="0"/>
        <v>44705</v>
      </c>
      <c r="O20" s="234">
        <f>O19*VLOOKUP(N20,Índices!$K$6:$N$3249,4,FALSE)/VLOOKUP(N19,Índices!$K$6:$N$3249,4,FALSE)</f>
        <v>-919832.16943260701</v>
      </c>
    </row>
    <row r="21" spans="2:15">
      <c r="B21" s="1649"/>
      <c r="C21" s="1650"/>
      <c r="D21" s="1650"/>
      <c r="E21" s="1650"/>
      <c r="F21" s="1652"/>
      <c r="G21" s="1632"/>
      <c r="H21" s="1632"/>
      <c r="I21" s="1632"/>
      <c r="J21" s="1632"/>
      <c r="K21" s="1632"/>
      <c r="L21" s="1632"/>
      <c r="N21" s="8">
        <f t="shared" si="0"/>
        <v>44706</v>
      </c>
      <c r="O21" s="234">
        <f>O20*VLOOKUP(N21,Índices!$K$6:$N$3249,4,FALSE)/VLOOKUP(N20,Índices!$K$6:$N$3249,4,FALSE)</f>
        <v>-920267.05688399286</v>
      </c>
    </row>
    <row r="22" spans="2:15">
      <c r="B22" s="1649"/>
      <c r="C22" s="1650"/>
      <c r="D22" s="1650"/>
      <c r="E22" s="1650"/>
      <c r="F22" s="1652"/>
      <c r="G22" s="1632"/>
      <c r="H22" s="1632"/>
      <c r="I22" s="1632"/>
      <c r="J22" s="1632"/>
      <c r="K22" s="1632"/>
      <c r="L22" s="1632"/>
      <c r="N22" s="8">
        <f t="shared" si="0"/>
        <v>44707</v>
      </c>
      <c r="O22" s="234">
        <f>O21*VLOOKUP(N22,Índices!$K$6:$N$3249,4,FALSE)/VLOOKUP(N21,Índices!$K$6:$N$3249,4,FALSE)</f>
        <v>-920702.14994581696</v>
      </c>
    </row>
    <row r="23" spans="2:15">
      <c r="B23" s="1649"/>
      <c r="C23" s="1650"/>
      <c r="D23" s="1650"/>
      <c r="E23" s="1650"/>
      <c r="F23" s="1652"/>
      <c r="G23" s="1632"/>
      <c r="H23" s="1632"/>
      <c r="I23" s="1632"/>
      <c r="J23" s="1632"/>
      <c r="K23" s="1632"/>
      <c r="L23" s="1632"/>
      <c r="N23" s="8">
        <f t="shared" si="0"/>
        <v>44708</v>
      </c>
      <c r="O23" s="234">
        <f>O22*VLOOKUP(N23,Índices!$K$6:$N$3249,4,FALSE)/VLOOKUP(N22,Índices!$K$6:$N$3249,4,FALSE)</f>
        <v>-921137.44871528982</v>
      </c>
    </row>
    <row r="24" spans="2:15">
      <c r="B24" s="1649"/>
      <c r="C24" s="1650"/>
      <c r="D24" s="1650"/>
      <c r="E24" s="1650"/>
      <c r="F24" s="1652"/>
      <c r="G24" s="1632"/>
      <c r="H24" s="1632"/>
      <c r="I24" s="1632"/>
      <c r="J24" s="1632"/>
      <c r="K24" s="1632"/>
      <c r="L24" s="1632"/>
      <c r="N24" s="8">
        <f t="shared" si="0"/>
        <v>44709</v>
      </c>
      <c r="O24" s="234">
        <f>O23*VLOOKUP(N24,Índices!$K$6:$N$3249,4,FALSE)/VLOOKUP(N23,Índices!$K$6:$N$3249,4,FALSE)</f>
        <v>-921137.44871528982</v>
      </c>
    </row>
    <row r="25" spans="2:15">
      <c r="B25" s="1653"/>
      <c r="C25" s="1650"/>
      <c r="D25" s="1650"/>
      <c r="E25" s="1654"/>
      <c r="F25" s="1652"/>
      <c r="G25" s="1632"/>
      <c r="H25" s="1632"/>
      <c r="I25" s="1632"/>
      <c r="J25" s="1632"/>
      <c r="K25" s="1632"/>
      <c r="L25" s="1632"/>
      <c r="N25" s="8">
        <f t="shared" si="0"/>
        <v>44710</v>
      </c>
      <c r="O25" s="234">
        <f>O24*VLOOKUP(N25,Índices!$K$6:$N$3249,4,FALSE)/VLOOKUP(N24,Índices!$K$6:$N$3249,4,FALSE)</f>
        <v>-921137.44871528982</v>
      </c>
    </row>
    <row r="26" spans="2:15">
      <c r="B26" s="1655"/>
      <c r="C26" s="902"/>
      <c r="D26" s="902"/>
      <c r="E26" s="902"/>
      <c r="F26" s="1633"/>
      <c r="G26" s="1633"/>
      <c r="H26" s="1633"/>
      <c r="I26" s="1633"/>
      <c r="J26" s="1633"/>
      <c r="K26" s="1633"/>
      <c r="L26" s="1633"/>
      <c r="N26" s="8">
        <f t="shared" si="0"/>
        <v>44711</v>
      </c>
      <c r="O26" s="234">
        <f>O25*VLOOKUP(N26,Índices!$K$6:$N$3249,4,FALSE)/VLOOKUP(N25,Índices!$K$6:$N$3249,4,FALSE)</f>
        <v>-921572.95328966784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-922008.66376625362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-922444.58024239563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-922880.70281548833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-923317.03158297227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-923317.03158297227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-923317.03158297227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-923753.56664233434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-924190.30809110706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-924627.25602686941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-925064.41054724623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-925501.7717499088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-925501.7717499088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-925501.7717499088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-925939.3397325743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-926377.11459300632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-926815.09642901469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-926815.09642901469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-927269.57874785073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-927269.57874785073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-927269.57874785073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-927724.28393118142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-928179.21208829281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-928634.36332852463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-929089.73776127014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-929545.33549597627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-929545.33549597627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-929545.33549597627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-930001.1566421435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-930457.2013093261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-930913.46960713225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-931369.96164522355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-931826.67753331573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-931826.67753331573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-931826.67753331573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-932283.61738117784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-932740.7812986332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-933198.16939555865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-933655.78178188519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-934113.61856759759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-934113.61856759759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-934113.61856759759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-934571.67986273463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-935029.96577738901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-935488.47642170731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-935947.21190589038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-936406.17234019272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-936406.17234019272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-936406.17234019272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-936865.35783492331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-937324.76850044483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-937784.40444717451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-938244.26578558341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-938704.35262619669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-938704.35262619669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-938704.35262619669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-939164.66507959412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-939625.20325640927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-940085.96726733004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-940546.95722309907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-941008.17323451256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-941008.17323451245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8" zoomScale="85" zoomScaleNormal="85" workbookViewId="0">
      <selection activeCell="H17" sqref="H17"/>
    </sheetView>
  </sheetViews>
  <sheetFormatPr defaultColWidth="9.140625" defaultRowHeight="15" customHeight="1"/>
  <cols>
    <col min="1" max="1" width="4.42578125" style="911" customWidth="1"/>
    <col min="2" max="2" width="27.28515625" style="911" customWidth="1"/>
    <col min="3" max="5" width="17.7109375" style="912" customWidth="1"/>
    <col min="6" max="7" width="17.7109375" style="911" customWidth="1"/>
    <col min="8" max="8" width="46.42578125" style="911" customWidth="1"/>
    <col min="9" max="9" width="14.7109375" style="911" customWidth="1"/>
    <col min="10" max="13" width="12.7109375" style="911" customWidth="1"/>
    <col min="14" max="17" width="9.140625" style="911"/>
    <col min="18" max="18" width="17" style="911" customWidth="1"/>
    <col min="19" max="19" width="14.28515625" style="911" customWidth="1"/>
    <col min="20" max="20" width="15.42578125" style="911" customWidth="1"/>
    <col min="21" max="21" width="13.85546875" style="911" customWidth="1"/>
    <col min="22" max="22" width="17.140625" style="911" customWidth="1"/>
    <col min="23" max="23" width="13" style="911" customWidth="1"/>
    <col min="24" max="24" width="14.140625" style="911" customWidth="1"/>
    <col min="25" max="25" width="17.7109375" style="911" customWidth="1"/>
    <col min="26" max="26" width="17" style="911" customWidth="1"/>
    <col min="27" max="27" width="14" style="911" customWidth="1"/>
    <col min="28" max="28" width="14.85546875" style="911" customWidth="1"/>
    <col min="29" max="16384" width="9.140625" style="911"/>
  </cols>
  <sheetData>
    <row r="1" spans="1:18" ht="14.45" customHeight="1"/>
    <row r="2" spans="1:18" ht="14.45" customHeight="1">
      <c r="B2" s="913" t="s">
        <v>1397</v>
      </c>
      <c r="C2" s="914"/>
      <c r="D2" s="914"/>
      <c r="E2" s="914"/>
      <c r="F2" s="915"/>
      <c r="G2" s="915"/>
      <c r="H2" s="916" t="s">
        <v>13</v>
      </c>
      <c r="I2" s="917">
        <f>Resultado!$D$6</f>
        <v>0</v>
      </c>
      <c r="J2" s="918"/>
      <c r="K2" s="918"/>
    </row>
    <row r="3" spans="1:18" ht="14.45" customHeight="1">
      <c r="B3" s="919"/>
      <c r="C3" s="920"/>
      <c r="D3" s="920"/>
      <c r="E3" s="920"/>
      <c r="H3" s="921" t="s">
        <v>14</v>
      </c>
      <c r="I3" s="922">
        <f>Resultado!$D$8</f>
        <v>0</v>
      </c>
      <c r="J3" s="918"/>
      <c r="K3" s="918"/>
    </row>
    <row r="4" spans="1:18" ht="14.45" customHeight="1">
      <c r="B4" s="918"/>
      <c r="C4" s="920"/>
      <c r="D4" s="920"/>
      <c r="E4" s="920"/>
      <c r="F4" s="923"/>
      <c r="G4" s="918"/>
      <c r="H4" s="918"/>
      <c r="I4" s="918"/>
      <c r="J4" s="918"/>
      <c r="K4" s="918"/>
    </row>
    <row r="5" spans="1:18" ht="15" customHeight="1">
      <c r="B5" s="918"/>
      <c r="C5" s="924"/>
      <c r="D5" s="920"/>
      <c r="E5" s="920"/>
      <c r="F5" s="923"/>
      <c r="G5" s="918"/>
      <c r="H5" s="918"/>
      <c r="I5" s="918"/>
      <c r="J5" s="918"/>
      <c r="K5" s="918"/>
      <c r="R5" s="1410" t="s">
        <v>952</v>
      </c>
    </row>
    <row r="6" spans="1:18" s="928" customFormat="1" ht="15" customHeight="1">
      <c r="A6" s="925"/>
      <c r="B6" s="926"/>
      <c r="C6" s="927"/>
      <c r="D6" s="927"/>
      <c r="E6" s="927"/>
      <c r="F6" s="926"/>
      <c r="G6" s="926"/>
      <c r="H6" s="926"/>
      <c r="I6" s="926"/>
      <c r="J6" s="926"/>
      <c r="K6" s="926"/>
      <c r="R6" s="950">
        <f>DATE(YEAR(R8),MONTH(R8)-1,1)</f>
        <v>44378</v>
      </c>
    </row>
    <row r="7" spans="1:18" s="928" customFormat="1" ht="15" customHeight="1">
      <c r="A7" s="925"/>
      <c r="B7" s="929" t="s">
        <v>2309</v>
      </c>
      <c r="C7" s="927"/>
      <c r="D7" s="930"/>
      <c r="E7" s="930"/>
      <c r="F7" s="931"/>
      <c r="G7" s="926"/>
      <c r="H7" s="926"/>
      <c r="I7" s="926"/>
      <c r="J7" s="926"/>
      <c r="K7" s="926"/>
      <c r="R7" s="1410" t="s">
        <v>952</v>
      </c>
    </row>
    <row r="8" spans="1:18" ht="27.95" customHeight="1">
      <c r="B8" s="932" t="s">
        <v>854</v>
      </c>
      <c r="C8" s="932" t="s">
        <v>1398</v>
      </c>
      <c r="D8" s="932" t="s">
        <v>1399</v>
      </c>
      <c r="E8" s="932" t="s">
        <v>1400</v>
      </c>
      <c r="F8" s="918"/>
      <c r="G8" s="918"/>
      <c r="H8" s="918"/>
      <c r="I8" s="933"/>
      <c r="R8" s="950">
        <f>DATE(YEAR(R10),MONTH(R10)-1,1)</f>
        <v>44409</v>
      </c>
    </row>
    <row r="9" spans="1:18" ht="14.45" customHeight="1">
      <c r="B9" s="1411" t="s">
        <v>1401</v>
      </c>
      <c r="C9" s="1412"/>
      <c r="D9" s="1412"/>
      <c r="E9" s="1412"/>
      <c r="F9" s="918"/>
      <c r="G9" s="448"/>
      <c r="H9" s="1413" t="s">
        <v>1402</v>
      </c>
      <c r="I9" s="1414">
        <v>-180523.29810000001</v>
      </c>
      <c r="R9" s="1410" t="s">
        <v>952</v>
      </c>
    </row>
    <row r="10" spans="1:18" ht="14.45" customHeight="1">
      <c r="B10" s="934" t="s">
        <v>41</v>
      </c>
      <c r="C10" s="935"/>
      <c r="D10" s="935"/>
      <c r="E10" s="935"/>
      <c r="F10" s="918"/>
      <c r="G10" s="448"/>
      <c r="H10" s="936" t="s">
        <v>1403</v>
      </c>
      <c r="I10" s="937">
        <f>Indexador!F173</f>
        <v>0</v>
      </c>
      <c r="R10" s="950">
        <f>DATE(YEAR(R12),MONTH(R12)-1,1)</f>
        <v>44440</v>
      </c>
    </row>
    <row r="11" spans="1:18" ht="14.45" customHeight="1">
      <c r="B11" s="934" t="s">
        <v>1404</v>
      </c>
      <c r="C11" s="935"/>
      <c r="D11" s="935"/>
      <c r="E11" s="935"/>
      <c r="F11" s="918"/>
      <c r="G11" s="918"/>
      <c r="H11" s="936" t="s">
        <v>1405</v>
      </c>
      <c r="I11" s="938"/>
      <c r="R11" s="1410" t="s">
        <v>952</v>
      </c>
    </row>
    <row r="12" spans="1:18" ht="14.45" customHeight="1">
      <c r="B12" s="934" t="s">
        <v>704</v>
      </c>
      <c r="C12" s="935"/>
      <c r="D12" s="935"/>
      <c r="E12" s="935"/>
      <c r="F12" s="918"/>
      <c r="G12" s="448"/>
      <c r="H12" s="936" t="s">
        <v>1406</v>
      </c>
      <c r="I12" s="938"/>
      <c r="R12" s="950">
        <f>DATE(YEAR(R14),MONTH(R14)-1,1)</f>
        <v>44470</v>
      </c>
    </row>
    <row r="13" spans="1:18" ht="14.45" customHeight="1">
      <c r="B13" s="934" t="s">
        <v>1407</v>
      </c>
      <c r="C13" s="935">
        <v>1311016.0331999999</v>
      </c>
      <c r="D13" s="935">
        <v>1488222.1680999999</v>
      </c>
      <c r="E13" s="935"/>
      <c r="F13" s="918"/>
      <c r="G13" s="1762"/>
      <c r="H13" s="936" t="s">
        <v>1408</v>
      </c>
      <c r="I13" s="1415"/>
      <c r="R13" s="1410" t="s">
        <v>952</v>
      </c>
    </row>
    <row r="14" spans="1:18" ht="14.45" customHeight="1">
      <c r="B14" s="934" t="s">
        <v>126</v>
      </c>
      <c r="C14" s="935"/>
      <c r="D14" s="935"/>
      <c r="E14" s="935"/>
      <c r="F14" s="918"/>
      <c r="G14" s="1762"/>
      <c r="H14" s="1413" t="s">
        <v>1409</v>
      </c>
      <c r="I14" s="1416">
        <v>2452358.7945324299</v>
      </c>
      <c r="J14" s="918"/>
      <c r="K14" s="918"/>
      <c r="R14" s="950">
        <f>DATE(YEAR(R16),MONTH(R16)-1,1)</f>
        <v>44501</v>
      </c>
    </row>
    <row r="15" spans="1:18" ht="14.45" customHeight="1">
      <c r="B15" s="934" t="s">
        <v>1410</v>
      </c>
      <c r="C15" s="935"/>
      <c r="D15" s="935"/>
      <c r="E15" s="935"/>
      <c r="F15" s="918"/>
      <c r="G15" s="1762"/>
      <c r="H15" s="1417" t="s">
        <v>1411</v>
      </c>
      <c r="I15" s="1418">
        <f>Indexador!N49</f>
        <v>-2585622.9629355916</v>
      </c>
      <c r="J15" s="918"/>
      <c r="K15" s="918"/>
      <c r="R15" s="1410" t="s">
        <v>952</v>
      </c>
    </row>
    <row r="16" spans="1:18" ht="14.45" customHeight="1">
      <c r="B16" s="934" t="s">
        <v>122</v>
      </c>
      <c r="C16" s="935"/>
      <c r="D16" s="935"/>
      <c r="E16" s="935"/>
      <c r="F16" s="919"/>
      <c r="G16" s="1762"/>
      <c r="H16" s="918"/>
      <c r="I16" s="933"/>
      <c r="J16" s="918"/>
      <c r="K16" s="918"/>
      <c r="R16" s="950">
        <f>DATE(YEAR(R18),MONTH(R18)-1,1)</f>
        <v>44531</v>
      </c>
    </row>
    <row r="17" spans="1:18" ht="14.45" customHeight="1">
      <c r="B17" s="934" t="s">
        <v>46</v>
      </c>
      <c r="C17" s="935">
        <v>2321558.6307999999</v>
      </c>
      <c r="D17" s="935">
        <v>2452923.1017</v>
      </c>
      <c r="E17" s="935"/>
      <c r="F17" s="918"/>
      <c r="G17" s="1762"/>
      <c r="H17" s="918"/>
      <c r="I17" s="918"/>
      <c r="J17" s="918"/>
      <c r="K17" s="918"/>
      <c r="R17" s="1410" t="s">
        <v>952</v>
      </c>
    </row>
    <row r="18" spans="1:18" ht="14.45" customHeight="1">
      <c r="B18" s="939" t="s">
        <v>845</v>
      </c>
      <c r="C18" s="940">
        <f>SUM(C9:C17)</f>
        <v>3632574.6639999999</v>
      </c>
      <c r="D18" s="940">
        <f t="shared" ref="D18:E18" si="0">SUM(D9:D17)</f>
        <v>3941145.2697999999</v>
      </c>
      <c r="E18" s="940">
        <f t="shared" si="0"/>
        <v>0</v>
      </c>
      <c r="F18" s="918"/>
      <c r="G18" s="1762"/>
      <c r="H18" s="918"/>
      <c r="I18" s="918"/>
      <c r="J18" s="918"/>
      <c r="K18" s="918"/>
      <c r="R18" s="950">
        <f>DATE(YEAR(R20),MONTH(R20)-1,1)</f>
        <v>44562</v>
      </c>
    </row>
    <row r="19" spans="1:18" ht="14.45" hidden="1" customHeight="1">
      <c r="B19" s="918"/>
      <c r="C19" s="920"/>
      <c r="D19" s="920"/>
      <c r="E19" s="920"/>
      <c r="F19" s="918"/>
      <c r="G19" s="918"/>
      <c r="R19" s="1410" t="s">
        <v>952</v>
      </c>
    </row>
    <row r="20" spans="1:18" ht="14.45" customHeight="1">
      <c r="B20" s="918"/>
      <c r="C20" s="920"/>
      <c r="D20" s="920"/>
      <c r="E20" s="920"/>
      <c r="F20" s="918"/>
      <c r="G20" s="918"/>
      <c r="R20" s="950">
        <f>DATE(YEAR(R22),MONTH(R22)-1,1)</f>
        <v>44593</v>
      </c>
    </row>
    <row r="21" spans="1:18" s="928" customFormat="1" ht="14.45" customHeight="1">
      <c r="A21" s="1713"/>
      <c r="B21" s="1714"/>
      <c r="C21" s="1715"/>
      <c r="D21" s="1715"/>
      <c r="E21" s="1715"/>
      <c r="F21" s="1714"/>
      <c r="G21" s="1714"/>
      <c r="H21" s="1716"/>
      <c r="I21" s="1716"/>
      <c r="R21" s="1410" t="s">
        <v>952</v>
      </c>
    </row>
    <row r="22" spans="1:18" ht="14.45" customHeight="1">
      <c r="A22" s="1717"/>
      <c r="B22" s="1718" t="s">
        <v>1412</v>
      </c>
      <c r="C22" s="1719"/>
      <c r="D22" s="1719"/>
      <c r="E22" s="1719"/>
      <c r="F22" s="1720"/>
      <c r="G22" s="1720"/>
      <c r="H22" s="1717"/>
      <c r="I22" s="1717"/>
      <c r="R22" s="950">
        <f>DATE(YEAR(R24),MONTH(R24)-1,1)</f>
        <v>44621</v>
      </c>
    </row>
    <row r="23" spans="1:18" ht="42" customHeight="1">
      <c r="A23" s="1717"/>
      <c r="B23" s="1721" t="s">
        <v>854</v>
      </c>
      <c r="C23" s="1721" t="s">
        <v>1413</v>
      </c>
      <c r="D23" s="1721" t="s">
        <v>1414</v>
      </c>
      <c r="E23" s="1721" t="s">
        <v>1415</v>
      </c>
      <c r="F23" s="1721" t="s">
        <v>1416</v>
      </c>
      <c r="G23" s="1721" t="s">
        <v>1417</v>
      </c>
      <c r="H23" s="1717"/>
      <c r="I23" s="1717"/>
      <c r="R23" s="1410" t="s">
        <v>952</v>
      </c>
    </row>
    <row r="24" spans="1:18" ht="14.45" customHeight="1">
      <c r="A24" s="1717"/>
      <c r="B24" s="1722" t="s">
        <v>1401</v>
      </c>
      <c r="C24" s="1723">
        <f>BD!AM7</f>
        <v>0</v>
      </c>
      <c r="D24" s="1724"/>
      <c r="E24" s="1725">
        <f t="shared" ref="E24:E32" si="1">D24-C24</f>
        <v>0</v>
      </c>
      <c r="F24" s="1726"/>
      <c r="G24" s="1726"/>
      <c r="H24" s="1727"/>
      <c r="I24" s="1728"/>
      <c r="J24" s="941"/>
      <c r="K24" s="952"/>
      <c r="R24" s="950">
        <f>DATE(YEAR(R26),MONTH(R26)-1,1)</f>
        <v>44652</v>
      </c>
    </row>
    <row r="25" spans="1:18" ht="14.45" customHeight="1">
      <c r="A25" s="1717"/>
      <c r="B25" s="1729" t="s">
        <v>41</v>
      </c>
      <c r="C25" s="1730">
        <f>BD!AM8</f>
        <v>0</v>
      </c>
      <c r="D25" s="1731"/>
      <c r="E25" s="1732">
        <f t="shared" si="1"/>
        <v>0</v>
      </c>
      <c r="F25" s="1728">
        <f ca="1">M66</f>
        <v>0</v>
      </c>
      <c r="G25" s="1733" t="e">
        <f ca="1">(D25+D39)/$D$33*Indexador!$X$80-M67</f>
        <v>#DIV/0!</v>
      </c>
      <c r="H25" s="1727"/>
      <c r="I25" s="1728"/>
      <c r="J25" s="941"/>
      <c r="K25" s="933"/>
      <c r="R25" s="1410" t="s">
        <v>952</v>
      </c>
    </row>
    <row r="26" spans="1:18" ht="14.45" customHeight="1">
      <c r="A26" s="1717"/>
      <c r="B26" s="1729" t="s">
        <v>1404</v>
      </c>
      <c r="C26" s="1730">
        <f>BD!AM14</f>
        <v>0</v>
      </c>
      <c r="D26" s="1731"/>
      <c r="E26" s="1732">
        <f t="shared" si="1"/>
        <v>0</v>
      </c>
      <c r="F26" s="1728">
        <f ca="1">X66</f>
        <v>0</v>
      </c>
      <c r="G26" s="1733" t="e">
        <f ca="1">(D26+D40)/$D$33*Indexador!$X$80-X67</f>
        <v>#DIV/0!</v>
      </c>
      <c r="H26" s="1727"/>
      <c r="I26" s="1728"/>
      <c r="J26" s="941"/>
      <c r="K26" s="933"/>
      <c r="R26" s="950">
        <f>DATE(YEAR(R28),MONTH(R28)-1,1)</f>
        <v>44682</v>
      </c>
    </row>
    <row r="27" spans="1:18" ht="14.45" customHeight="1">
      <c r="A27" s="1717"/>
      <c r="B27" s="1729" t="s">
        <v>704</v>
      </c>
      <c r="C27" s="1730">
        <f>BD!AM6</f>
        <v>0</v>
      </c>
      <c r="D27" s="1731"/>
      <c r="E27" s="1734">
        <f t="shared" si="1"/>
        <v>0</v>
      </c>
      <c r="F27" s="1735">
        <f ca="1">L66</f>
        <v>0</v>
      </c>
      <c r="G27" s="1736" t="e">
        <f ca="1">D27/$D$33*Indexador!$X$80-L67</f>
        <v>#DIV/0!</v>
      </c>
      <c r="H27" s="1727"/>
      <c r="I27" s="1735"/>
      <c r="J27" s="942"/>
      <c r="K27" s="933"/>
      <c r="R27" s="1410" t="s">
        <v>952</v>
      </c>
    </row>
    <row r="28" spans="1:18" ht="14.45" customHeight="1">
      <c r="A28" s="1717"/>
      <c r="B28" s="1729" t="s">
        <v>1407</v>
      </c>
      <c r="C28" s="1730">
        <f>BD!AM13</f>
        <v>872023.76029981195</v>
      </c>
      <c r="D28" s="1731"/>
      <c r="E28" s="1734">
        <f t="shared" si="1"/>
        <v>-872023.76029981195</v>
      </c>
      <c r="F28" s="1735">
        <f ca="1">K66</f>
        <v>0</v>
      </c>
      <c r="G28" s="1736" t="e">
        <f ca="1">(IF(C42=0,D28,C42)+D42)/$D$33*Indexador!$X$80-K67</f>
        <v>#DIV/0!</v>
      </c>
      <c r="H28" s="1727"/>
      <c r="I28" s="1735"/>
      <c r="J28" s="942"/>
      <c r="K28" s="933"/>
      <c r="R28" s="950">
        <f>B65</f>
        <v>44713</v>
      </c>
    </row>
    <row r="29" spans="1:18" ht="14.45" customHeight="1">
      <c r="A29" s="1717"/>
      <c r="B29" s="1729" t="s">
        <v>126</v>
      </c>
      <c r="C29" s="1730">
        <f>BD!AM9</f>
        <v>0</v>
      </c>
      <c r="D29" s="1731"/>
      <c r="E29" s="1734">
        <f t="shared" si="1"/>
        <v>0</v>
      </c>
      <c r="F29" s="1735">
        <f ca="1">N66</f>
        <v>0</v>
      </c>
      <c r="G29" s="1736" t="e">
        <f ca="1">D29/$D$33*Indexador!$X$80-N67</f>
        <v>#DIV/0!</v>
      </c>
      <c r="H29" s="1727"/>
      <c r="I29" s="1735"/>
      <c r="J29" s="942"/>
      <c r="K29" s="933"/>
    </row>
    <row r="30" spans="1:18" ht="14.45" customHeight="1">
      <c r="A30" s="1717"/>
      <c r="B30" s="1729" t="s">
        <v>1410</v>
      </c>
      <c r="C30" s="1730">
        <f>BD!AM12</f>
        <v>0</v>
      </c>
      <c r="D30" s="1731"/>
      <c r="E30" s="1734">
        <f t="shared" si="1"/>
        <v>0</v>
      </c>
      <c r="F30" s="1735">
        <f ca="1">O66</f>
        <v>0</v>
      </c>
      <c r="G30" s="1736" t="e">
        <f ca="1">D30/$D$33*Indexador!$X$80-O67</f>
        <v>#DIV/0!</v>
      </c>
      <c r="H30" s="1720"/>
      <c r="I30" s="1735"/>
      <c r="J30" s="942"/>
      <c r="K30" s="933"/>
    </row>
    <row r="31" spans="1:18" ht="14.45" customHeight="1">
      <c r="A31" s="1717"/>
      <c r="B31" s="1729" t="s">
        <v>122</v>
      </c>
      <c r="C31" s="1730">
        <f>BD!AM11</f>
        <v>0</v>
      </c>
      <c r="D31" s="1731"/>
      <c r="E31" s="1734">
        <f t="shared" si="1"/>
        <v>0</v>
      </c>
      <c r="F31" s="1735">
        <f ca="1">Q66</f>
        <v>0</v>
      </c>
      <c r="G31" s="1736" t="e">
        <f ca="1">D31/$D$33*Indexador!$X$80-Q67</f>
        <v>#DIV/0!</v>
      </c>
      <c r="H31" s="1717"/>
      <c r="I31" s="1735"/>
      <c r="J31" s="942"/>
      <c r="K31" s="918"/>
    </row>
    <row r="32" spans="1:18" ht="14.45" customHeight="1">
      <c r="A32" s="1717"/>
      <c r="B32" s="1737" t="s">
        <v>46</v>
      </c>
      <c r="C32" s="1738">
        <f>BD!AM10</f>
        <v>-30562.894592922999</v>
      </c>
      <c r="D32" s="1731"/>
      <c r="E32" s="1739">
        <f t="shared" si="1"/>
        <v>30562.894592922999</v>
      </c>
      <c r="F32" s="1740">
        <f ca="1">P66</f>
        <v>0</v>
      </c>
      <c r="G32" s="1741" t="e">
        <f ca="1">IF(C46=0,D32,C46)/$D$33*Indexador!$X$80-P67</f>
        <v>#DIV/0!</v>
      </c>
      <c r="H32" s="1717"/>
      <c r="I32" s="1735"/>
      <c r="J32" s="942"/>
      <c r="K32" s="918"/>
    </row>
    <row r="33" spans="1:11" ht="14.45" customHeight="1">
      <c r="A33" s="1717"/>
      <c r="B33" s="1742" t="s">
        <v>845</v>
      </c>
      <c r="C33" s="1743">
        <f>SUM(C24:C32)</f>
        <v>841460.86570688896</v>
      </c>
      <c r="D33" s="1744">
        <f>SUM(D24:D32)</f>
        <v>0</v>
      </c>
      <c r="E33" s="1743">
        <f>SUM(E24:E32)</f>
        <v>-841460.86570688896</v>
      </c>
      <c r="F33" s="1745">
        <f ca="1">SUM(F24:F32)</f>
        <v>0</v>
      </c>
      <c r="G33" s="1745" t="e">
        <f ca="1">SUM(G24:G32)</f>
        <v>#DIV/0!</v>
      </c>
      <c r="H33" s="1717"/>
      <c r="I33" s="1746"/>
      <c r="J33" s="951"/>
      <c r="K33" s="918"/>
    </row>
    <row r="34" spans="1:11" ht="14.45" customHeight="1">
      <c r="A34" s="1717"/>
      <c r="B34" s="1720"/>
      <c r="C34" s="1747"/>
      <c r="D34" s="1719"/>
      <c r="E34" s="1719"/>
      <c r="F34" s="1720"/>
      <c r="G34" s="1720"/>
      <c r="H34" s="1717"/>
      <c r="I34" s="1717"/>
      <c r="K34" s="918"/>
    </row>
    <row r="35" spans="1:11" ht="14.45" customHeight="1">
      <c r="A35" s="1717"/>
      <c r="B35" s="1720"/>
      <c r="C35" s="1719"/>
      <c r="D35" s="1719"/>
      <c r="E35" s="1719"/>
      <c r="F35" s="1748"/>
      <c r="G35" s="1720"/>
      <c r="H35" s="1717"/>
      <c r="I35" s="1717"/>
      <c r="K35" s="918"/>
    </row>
    <row r="36" spans="1:11" ht="14.45" customHeight="1">
      <c r="A36" s="1717"/>
      <c r="B36" s="1718" t="s">
        <v>1418</v>
      </c>
      <c r="C36" s="1747"/>
      <c r="D36" s="1719"/>
      <c r="E36" s="1719"/>
      <c r="F36" s="1720"/>
      <c r="G36" s="1749"/>
      <c r="H36" s="1717"/>
      <c r="I36" s="1717"/>
      <c r="K36" s="918"/>
    </row>
    <row r="37" spans="1:11" ht="43.5" customHeight="1">
      <c r="A37" s="1717"/>
      <c r="B37" s="1750" t="s">
        <v>854</v>
      </c>
      <c r="C37" s="1750" t="s">
        <v>1419</v>
      </c>
      <c r="D37" s="1750" t="s">
        <v>1420</v>
      </c>
      <c r="E37" s="1751"/>
      <c r="F37" s="1748"/>
      <c r="G37" s="1720"/>
      <c r="H37" s="1720"/>
      <c r="I37" s="1720"/>
      <c r="J37" s="918"/>
      <c r="K37" s="918"/>
    </row>
    <row r="38" spans="1:11" ht="14.45" customHeight="1">
      <c r="A38" s="1717"/>
      <c r="B38" s="1752" t="s">
        <v>1401</v>
      </c>
      <c r="C38" s="1753"/>
      <c r="D38" s="1754"/>
      <c r="E38" s="1751"/>
      <c r="F38" s="1748"/>
      <c r="G38" s="1720"/>
      <c r="H38" s="1720"/>
      <c r="I38" s="1720"/>
      <c r="J38" s="918"/>
      <c r="K38" s="918"/>
    </row>
    <row r="39" spans="1:11" ht="14.45" customHeight="1">
      <c r="A39" s="1717"/>
      <c r="B39" s="1755" t="s">
        <v>41</v>
      </c>
      <c r="C39" s="1719"/>
      <c r="D39" s="1756">
        <v>0</v>
      </c>
      <c r="E39" s="1751"/>
      <c r="F39" s="1748"/>
      <c r="G39" s="1748"/>
      <c r="H39" s="1720"/>
      <c r="I39" s="1720"/>
      <c r="J39" s="918"/>
      <c r="K39" s="918"/>
    </row>
    <row r="40" spans="1:11" ht="14.45" customHeight="1">
      <c r="A40" s="1717"/>
      <c r="B40" s="1755" t="s">
        <v>1404</v>
      </c>
      <c r="C40" s="1751"/>
      <c r="D40" s="1756">
        <v>0</v>
      </c>
      <c r="E40" s="1751"/>
      <c r="F40" s="1748"/>
      <c r="G40" s="1720"/>
      <c r="H40" s="1720"/>
      <c r="I40" s="1720"/>
      <c r="J40" s="918"/>
      <c r="K40" s="918"/>
    </row>
    <row r="41" spans="1:11" ht="14.45" customHeight="1">
      <c r="A41" s="1717"/>
      <c r="B41" s="1755" t="s">
        <v>704</v>
      </c>
      <c r="C41" s="1751"/>
      <c r="D41" s="1757"/>
      <c r="E41" s="1751"/>
      <c r="F41" s="1748"/>
      <c r="G41" s="1720"/>
      <c r="H41" s="1720"/>
      <c r="I41" s="1720"/>
      <c r="J41" s="918"/>
      <c r="K41" s="918"/>
    </row>
    <row r="42" spans="1:11" ht="14.45" customHeight="1">
      <c r="A42" s="1717"/>
      <c r="B42" s="1755" t="s">
        <v>1407</v>
      </c>
      <c r="C42" s="1758"/>
      <c r="D42" s="1756">
        <v>0</v>
      </c>
      <c r="E42" s="1751"/>
      <c r="F42" s="1748"/>
      <c r="G42" s="1720"/>
      <c r="H42" s="1720"/>
      <c r="I42" s="1720"/>
      <c r="J42" s="918"/>
      <c r="K42" s="918"/>
    </row>
    <row r="43" spans="1:11" ht="14.45" customHeight="1">
      <c r="A43" s="1717"/>
      <c r="B43" s="1755" t="s">
        <v>126</v>
      </c>
      <c r="C43" s="1759"/>
      <c r="D43" s="1754"/>
      <c r="E43" s="1751"/>
      <c r="F43" s="1748"/>
      <c r="G43" s="1720"/>
      <c r="H43" s="1720"/>
      <c r="I43" s="1720"/>
      <c r="J43" s="918"/>
      <c r="K43" s="918"/>
    </row>
    <row r="44" spans="1:11" ht="14.45" customHeight="1">
      <c r="A44" s="1717"/>
      <c r="B44" s="1755" t="s">
        <v>1410</v>
      </c>
      <c r="C44" s="1759"/>
      <c r="D44" s="1754"/>
      <c r="E44" s="1751"/>
      <c r="F44" s="1748"/>
      <c r="G44" s="1720"/>
      <c r="H44" s="1720"/>
      <c r="I44" s="1720"/>
      <c r="J44" s="918"/>
      <c r="K44" s="918"/>
    </row>
    <row r="45" spans="1:11" ht="14.45" customHeight="1">
      <c r="A45" s="1717"/>
      <c r="B45" s="1755" t="s">
        <v>122</v>
      </c>
      <c r="C45" s="1759"/>
      <c r="D45" s="1754"/>
      <c r="E45" s="1751"/>
      <c r="F45" s="1748"/>
      <c r="G45" s="1720"/>
      <c r="H45" s="1720"/>
      <c r="I45" s="1720"/>
      <c r="J45" s="918"/>
      <c r="K45" s="918"/>
    </row>
    <row r="46" spans="1:11" ht="14.45" customHeight="1">
      <c r="A46" s="1717"/>
      <c r="B46" s="1737" t="s">
        <v>46</v>
      </c>
      <c r="C46" s="1760"/>
      <c r="D46" s="1761"/>
      <c r="E46" s="1751"/>
      <c r="F46" s="1748"/>
      <c r="G46" s="1720"/>
      <c r="H46" s="1720"/>
      <c r="I46" s="1720"/>
      <c r="J46" s="918"/>
      <c r="K46" s="918"/>
    </row>
    <row r="47" spans="1:11" ht="14.45" customHeight="1">
      <c r="A47" s="1717"/>
      <c r="B47" s="1748"/>
      <c r="C47" s="1751"/>
      <c r="D47" s="1751"/>
      <c r="E47" s="1751"/>
      <c r="F47" s="1748"/>
      <c r="G47" s="1720"/>
      <c r="H47" s="1720"/>
      <c r="I47" s="1720"/>
      <c r="J47" s="918"/>
      <c r="K47" s="918"/>
    </row>
    <row r="48" spans="1:11" ht="14.45" customHeight="1">
      <c r="B48" s="65"/>
      <c r="C48" s="943"/>
      <c r="D48" s="943"/>
      <c r="E48" s="943"/>
      <c r="F48" s="65"/>
    </row>
    <row r="49" spans="2:28" ht="14.45" customHeight="1">
      <c r="B49" s="65"/>
      <c r="C49" s="943"/>
      <c r="D49" s="943"/>
      <c r="E49" s="943"/>
      <c r="F49" s="65"/>
    </row>
    <row r="50" spans="2:28" ht="14.45" customHeight="1"/>
    <row r="52" spans="2:28" ht="15" customHeight="1">
      <c r="B52" s="902" t="s">
        <v>1002</v>
      </c>
      <c r="C52" s="902"/>
      <c r="D52" s="902"/>
      <c r="E52" s="902"/>
      <c r="F52" s="902"/>
      <c r="G52" s="902"/>
      <c r="H52" s="902"/>
      <c r="I52" s="902"/>
      <c r="J52" s="902"/>
      <c r="K52" s="944"/>
      <c r="L52" s="944"/>
      <c r="M52" s="944"/>
      <c r="N52" s="944"/>
      <c r="O52" s="944"/>
      <c r="P52" s="944"/>
      <c r="Q52" s="944"/>
      <c r="R52" s="944"/>
      <c r="S52" s="944"/>
      <c r="T52" s="944"/>
      <c r="U52" s="944"/>
      <c r="V52" s="944"/>
      <c r="W52" s="944"/>
      <c r="X52" s="944"/>
      <c r="Y52" s="944"/>
      <c r="Z52" s="944"/>
      <c r="AA52" s="944"/>
      <c r="AB52" s="944"/>
    </row>
    <row r="53" spans="2:28" ht="15" customHeight="1">
      <c r="B53" s="1419" t="s">
        <v>1003</v>
      </c>
      <c r="C53" s="1419"/>
      <c r="D53" s="945" t="s">
        <v>966</v>
      </c>
      <c r="E53" s="945" t="s">
        <v>49</v>
      </c>
      <c r="F53" s="945" t="s">
        <v>969</v>
      </c>
      <c r="G53" s="945" t="s">
        <v>47</v>
      </c>
      <c r="H53" s="945" t="s">
        <v>41</v>
      </c>
      <c r="I53" s="945" t="s">
        <v>40</v>
      </c>
      <c r="J53" s="945" t="s">
        <v>126</v>
      </c>
      <c r="K53" s="945" t="s">
        <v>1061</v>
      </c>
      <c r="L53" s="945" t="s">
        <v>1062</v>
      </c>
      <c r="M53" s="945" t="s">
        <v>1055</v>
      </c>
      <c r="N53" s="945" t="s">
        <v>1059</v>
      </c>
      <c r="O53" s="945" t="s">
        <v>1057</v>
      </c>
      <c r="P53" s="945" t="s">
        <v>1058</v>
      </c>
      <c r="Q53" s="945" t="s">
        <v>1056</v>
      </c>
      <c r="R53" s="1420" t="s">
        <v>1421</v>
      </c>
      <c r="S53" s="945" t="s">
        <v>1075</v>
      </c>
      <c r="T53" s="945" t="s">
        <v>1076</v>
      </c>
      <c r="U53" s="945" t="s">
        <v>1077</v>
      </c>
      <c r="V53" s="945" t="s">
        <v>1074</v>
      </c>
      <c r="W53" s="945" t="s">
        <v>1078</v>
      </c>
      <c r="X53" s="945" t="s">
        <v>1060</v>
      </c>
      <c r="Y53" s="945" t="s">
        <v>1054</v>
      </c>
      <c r="Z53" s="945" t="s">
        <v>1031</v>
      </c>
      <c r="AA53" s="945" t="s">
        <v>1422</v>
      </c>
      <c r="AB53" s="945" t="s">
        <v>1090</v>
      </c>
    </row>
    <row r="54" spans="2:28" ht="15" customHeight="1">
      <c r="B54" s="946">
        <f t="shared" ref="B54:B64" si="2">DATE(YEAR(B55),MONTH(B55)-1,1)</f>
        <v>44378</v>
      </c>
      <c r="C54" s="947"/>
      <c r="D54" s="1421" cm="1">
        <f t="array" aca="1" ref="D54" ca="1">DSUM(MercadoBase1,D$53,INDIRECT("r"&amp;5+2*(ROW()-54)&amp;":r"&amp;6+2*(ROW()-54)))</f>
        <v>0</v>
      </c>
      <c r="E54" s="1421" cm="1">
        <f t="array" aca="1" ref="E54" ca="1">DSUM(MercadoBase1,E$53,INDIRECT("r"&amp;5+2*(ROW()-54)&amp;":r"&amp;6+2*(ROW()-54)))</f>
        <v>0</v>
      </c>
      <c r="F54" s="1421" cm="1">
        <f t="array" aca="1" ref="F54" ca="1">DSUM(MercadoBase1,F$53,INDIRECT("r"&amp;5+2*(ROW()-54)&amp;":r"&amp;6+2*(ROW()-54)))</f>
        <v>62868.723628623302</v>
      </c>
      <c r="G54" s="1421" cm="1">
        <f t="array" aca="1" ref="G54" ca="1">DSUM(MercadoBase1,G$53,INDIRECT("r"&amp;5+2*(ROW()-54)&amp;":r"&amp;6+2*(ROW()-54)))</f>
        <v>77940.743589969061</v>
      </c>
      <c r="H54" s="1421" cm="1">
        <f t="array" aca="1" ref="H54" ca="1">DSUM(MercadoBase1,H$53,INDIRECT("r"&amp;5+2*(ROW()-54)&amp;":r"&amp;6+2*(ROW()-54)))</f>
        <v>479005.68424631964</v>
      </c>
      <c r="I54" s="1421" cm="1">
        <f t="array" aca="1" ref="I54" ca="1">DSUM(MercadoBase1,I$53,INDIRECT("r"&amp;5+2*(ROW()-54)&amp;":r"&amp;6+2*(ROW()-54)))</f>
        <v>12399.289502701802</v>
      </c>
      <c r="J54" s="1421" cm="1">
        <f t="array" aca="1" ref="J54" ca="1">DSUM(MercadoBase1,J$53,INDIRECT("r"&amp;5+2*(ROW()-54)&amp;":r"&amp;6+2*(ROW()-54)))</f>
        <v>0</v>
      </c>
      <c r="K54" s="1421" cm="1">
        <f t="array" aca="1" ref="K54" ca="1">DSUM(MercadoBase1,K$53,INDIRECT("r"&amp;5+2*(ROW()-54)&amp;":r"&amp;6+2*(ROW()-54)))</f>
        <v>0</v>
      </c>
      <c r="L54" s="1421" cm="1">
        <f t="array" aca="1" ref="L54" ca="1">DSUM(MercadoBase1,L$53,INDIRECT("r"&amp;5+2*(ROW()-54)&amp;":r"&amp;6+2*(ROW()-54)))</f>
        <v>0</v>
      </c>
      <c r="M54" s="1421" cm="1">
        <f t="array" aca="1" ref="M54" ca="1">DSUM(MercadoBase1,M$53,INDIRECT("r"&amp;5+2*(ROW()-54)&amp;":r"&amp;6+2*(ROW()-54)))</f>
        <v>0</v>
      </c>
      <c r="N54" s="1421" cm="1">
        <f t="array" aca="1" ref="N54" ca="1">DSUM(MercadoBase1,N$53,INDIRECT("r"&amp;5+2*(ROW()-54)&amp;":r"&amp;6+2*(ROW()-54)))</f>
        <v>0</v>
      </c>
      <c r="O54" s="1421" cm="1">
        <f t="array" aca="1" ref="O54" ca="1">DSUM(MercadoBase1,O$53,INDIRECT("r"&amp;5+2*(ROW()-54)&amp;":r"&amp;6+2*(ROW()-54)))</f>
        <v>0</v>
      </c>
      <c r="P54" s="1421" cm="1">
        <f t="array" aca="1" ref="P54" ca="1">DSUM(MercadoBase1,P$53,INDIRECT("r"&amp;5+2*(ROW()-54)&amp;":r"&amp;6+2*(ROW()-54)))</f>
        <v>0</v>
      </c>
      <c r="Q54" s="1422" cm="1">
        <f t="array" aca="1" ref="Q54" ca="1">DSUM(MercadoBase1,Q$53,INDIRECT("r"&amp;5+2*(ROW()-54)&amp;":r"&amp;6+2*(ROW()-54)))</f>
        <v>0</v>
      </c>
      <c r="R54" s="1423">
        <f>VLOOKUP(CAPA!$C$17,Índices!B:F,5,FALSE)/VLOOKUP(DATE(YEAR(B54),MONTH(B54),1),Índices!B:F,5,FALSE)</f>
        <v>1.0830593980554473</v>
      </c>
      <c r="S54" s="1424" cm="1">
        <f t="array" aca="1" ref="S54" ca="1">DSUM(MercadoBase1,S$53,INDIRECT("r"&amp;5+2*(ROW()-54)&amp;":r"&amp;6+2*(ROW()-54)))</f>
        <v>0</v>
      </c>
      <c r="T54" s="1421" cm="1">
        <f t="array" aca="1" ref="T54" ca="1">DSUM(MercadoBase1,T$53,INDIRECT("r"&amp;5+2*(ROW()-54)&amp;":r"&amp;6+2*(ROW()-54)))</f>
        <v>0</v>
      </c>
      <c r="U54" s="1421" cm="1">
        <f t="array" aca="1" ref="U54" ca="1">DSUM(MercadoBase1,U$53,INDIRECT("r"&amp;5+2*(ROW()-54)&amp;":r"&amp;6+2*(ROW()-54)))</f>
        <v>0</v>
      </c>
      <c r="V54" s="1421" cm="1">
        <f t="array" aca="1" ref="V54" ca="1">DSUM(MercadoBase1,V$53,INDIRECT("r"&amp;5+2*(ROW()-54)&amp;":r"&amp;6+2*(ROW()-54)))</f>
        <v>0</v>
      </c>
      <c r="W54" s="1421" cm="1">
        <f t="array" aca="1" ref="W54" ca="1">DSUM(MercadoBase1,W$53,INDIRECT("r"&amp;5+2*(ROW()-54)&amp;":r"&amp;6+2*(ROW()-54)))</f>
        <v>0</v>
      </c>
      <c r="X54" s="1421" cm="1">
        <f t="array" aca="1" ref="X54" ca="1">DSUM(MercadoBase1,X$53,INDIRECT("r"&amp;5+2*(ROW()-54)&amp;":r"&amp;6+2*(ROW()-54)))</f>
        <v>0</v>
      </c>
      <c r="Y54" s="1421" cm="1">
        <f t="array" aca="1" ref="Y54" ca="1">DSUM(MercadoBase1,Y$53,INDIRECT("r"&amp;5+2*(ROW()-54)&amp;":r"&amp;6+2*(ROW()-54)))</f>
        <v>0</v>
      </c>
      <c r="Z54" s="1421" cm="1">
        <f t="array" aca="1" ref="Z54" ca="1">DSUM(MercadoBase1,Z$53,INDIRECT("r"&amp;5+2*(ROW()-54)&amp;":r"&amp;6+2*(ROW()-54)))</f>
        <v>2863501.8743278156</v>
      </c>
      <c r="AA54" s="1421" cm="1">
        <f t="array" aca="1" ref="AA54" ca="1">DSUM(MercadoBase1,AA$53,INDIRECT("r"&amp;5+2*(ROW()-54)&amp;":r"&amp;6+2*(ROW()-54)))</f>
        <v>0</v>
      </c>
      <c r="AB54" s="1421" cm="1">
        <f t="array" aca="1" ref="AB54" ca="1">DSUM(MercadoBase1,AB$53,INDIRECT("r"&amp;5+2*(ROW()-54)&amp;":r"&amp;6+2*(ROW()-54)))</f>
        <v>0</v>
      </c>
    </row>
    <row r="55" spans="2:28" ht="15" customHeight="1">
      <c r="B55" s="946">
        <f t="shared" si="2"/>
        <v>44409</v>
      </c>
      <c r="C55" s="947"/>
      <c r="D55" s="948" cm="1">
        <f t="array" aca="1" ref="D55" ca="1">DSUM(MercadoBase1,D$53,INDIRECT("r"&amp;5+2*(ROW()-54)&amp;":r"&amp;6+2*(ROW()-54)))</f>
        <v>0</v>
      </c>
      <c r="E55" s="948" cm="1">
        <f t="array" aca="1" ref="E55" ca="1">DSUM(MercadoBase1,E$53,INDIRECT("r"&amp;5+2*(ROW()-54)&amp;":r"&amp;6+2*(ROW()-54)))</f>
        <v>0</v>
      </c>
      <c r="F55" s="948" cm="1">
        <f t="array" aca="1" ref="F55" ca="1">DSUM(MercadoBase1,F$53,INDIRECT("r"&amp;5+2*(ROW()-54)&amp;":r"&amp;6+2*(ROW()-54)))</f>
        <v>64152.824625396526</v>
      </c>
      <c r="G55" s="948" cm="1">
        <f t="array" aca="1" ref="G55" ca="1">DSUM(MercadoBase1,G$53,INDIRECT("r"&amp;5+2*(ROW()-54)&amp;":r"&amp;6+2*(ROW()-54)))</f>
        <v>79076.349892303842</v>
      </c>
      <c r="H55" s="948" cm="1">
        <f t="array" aca="1" ref="H55" ca="1">DSUM(MercadoBase1,H$53,INDIRECT("r"&amp;5+2*(ROW()-54)&amp;":r"&amp;6+2*(ROW()-54)))</f>
        <v>486601.27706107544</v>
      </c>
      <c r="I55" s="948" cm="1">
        <f t="array" aca="1" ref="I55" ca="1">DSUM(MercadoBase1,I$53,INDIRECT("r"&amp;5+2*(ROW()-54)&amp;":r"&amp;6+2*(ROW()-54)))</f>
        <v>12596.884572929044</v>
      </c>
      <c r="J55" s="948" cm="1">
        <f t="array" aca="1" ref="J55" ca="1">DSUM(MercadoBase1,J$53,INDIRECT("r"&amp;5+2*(ROW()-54)&amp;":r"&amp;6+2*(ROW()-54)))</f>
        <v>0</v>
      </c>
      <c r="K55" s="948" cm="1">
        <f t="array" aca="1" ref="K55" ca="1">DSUM(MercadoBase1,K$53,INDIRECT("r"&amp;5+2*(ROW()-54)&amp;":r"&amp;6+2*(ROW()-54)))</f>
        <v>0</v>
      </c>
      <c r="L55" s="948" cm="1">
        <f t="array" aca="1" ref="L55" ca="1">DSUM(MercadoBase1,L$53,INDIRECT("r"&amp;5+2*(ROW()-54)&amp;":r"&amp;6+2*(ROW()-54)))</f>
        <v>0</v>
      </c>
      <c r="M55" s="948" cm="1">
        <f t="array" aca="1" ref="M55" ca="1">DSUM(MercadoBase1,M$53,INDIRECT("r"&amp;5+2*(ROW()-54)&amp;":r"&amp;6+2*(ROW()-54)))</f>
        <v>0</v>
      </c>
      <c r="N55" s="948" cm="1">
        <f t="array" aca="1" ref="N55" ca="1">DSUM(MercadoBase1,N$53,INDIRECT("r"&amp;5+2*(ROW()-54)&amp;":r"&amp;6+2*(ROW()-54)))</f>
        <v>0</v>
      </c>
      <c r="O55" s="948" cm="1">
        <f t="array" aca="1" ref="O55" ca="1">DSUM(MercadoBase1,O$53,INDIRECT("r"&amp;5+2*(ROW()-54)&amp;":r"&amp;6+2*(ROW()-54)))</f>
        <v>0</v>
      </c>
      <c r="P55" s="948" cm="1">
        <f t="array" aca="1" ref="P55" ca="1">DSUM(MercadoBase1,P$53,INDIRECT("r"&amp;5+2*(ROW()-54)&amp;":r"&amp;6+2*(ROW()-54)))</f>
        <v>0</v>
      </c>
      <c r="Q55" s="953" cm="1">
        <f t="array" aca="1" ref="Q55" ca="1">DSUM(MercadoBase1,Q$53,INDIRECT("r"&amp;5+2*(ROW()-54)&amp;":r"&amp;6+2*(ROW()-54)))</f>
        <v>0</v>
      </c>
      <c r="R55" s="949">
        <f>VLOOKUP(CAPA!$C$17,Índices!B:F,5,FALSE)/VLOOKUP(DATE(YEAR(B55),MONTH(B55),1),Índices!B:F,5,FALSE)</f>
        <v>1.0784441695152505</v>
      </c>
      <c r="S55" s="955" cm="1">
        <f t="array" aca="1" ref="S55" ca="1">DSUM(MercadoBase1,S$53,INDIRECT("r"&amp;5+2*(ROW()-54)&amp;":r"&amp;6+2*(ROW()-54)))</f>
        <v>0</v>
      </c>
      <c r="T55" s="948" cm="1">
        <f t="array" aca="1" ref="T55" ca="1">DSUM(MercadoBase1,T$53,INDIRECT("r"&amp;5+2*(ROW()-54)&amp;":r"&amp;6+2*(ROW()-54)))</f>
        <v>0</v>
      </c>
      <c r="U55" s="948" cm="1">
        <f t="array" aca="1" ref="U55" ca="1">DSUM(MercadoBase1,U$53,INDIRECT("r"&amp;5+2*(ROW()-54)&amp;":r"&amp;6+2*(ROW()-54)))</f>
        <v>0</v>
      </c>
      <c r="V55" s="948" cm="1">
        <f t="array" aca="1" ref="V55" ca="1">DSUM(MercadoBase1,V$53,INDIRECT("r"&amp;5+2*(ROW()-54)&amp;":r"&amp;6+2*(ROW()-54)))</f>
        <v>0</v>
      </c>
      <c r="W55" s="948" cm="1">
        <f t="array" aca="1" ref="W55" ca="1">DSUM(MercadoBase1,W$53,INDIRECT("r"&amp;5+2*(ROW()-54)&amp;":r"&amp;6+2*(ROW()-54)))</f>
        <v>0</v>
      </c>
      <c r="X55" s="948" cm="1">
        <f t="array" aca="1" ref="X55" ca="1">DSUM(MercadoBase1,X$53,INDIRECT("r"&amp;5+2*(ROW()-54)&amp;":r"&amp;6+2*(ROW()-54)))</f>
        <v>0</v>
      </c>
      <c r="Y55" s="948" cm="1">
        <f t="array" aca="1" ref="Y55" ca="1">DSUM(MercadoBase1,Y$53,INDIRECT("r"&amp;5+2*(ROW()-54)&amp;":r"&amp;6+2*(ROW()-54)))</f>
        <v>0</v>
      </c>
      <c r="Z55" s="948" cm="1">
        <f t="array" aca="1" ref="Z55" ca="1">DSUM(MercadoBase1,Z$53,INDIRECT("r"&amp;5+2*(ROW()-54)&amp;":r"&amp;6+2*(ROW()-54)))</f>
        <v>3006461.721935703</v>
      </c>
      <c r="AA55" s="948" cm="1">
        <f t="array" aca="1" ref="AA55" ca="1">DSUM(MercadoBase1,AA$53,INDIRECT("r"&amp;5+2*(ROW()-54)&amp;":r"&amp;6+2*(ROW()-54)))</f>
        <v>0</v>
      </c>
      <c r="AB55" s="948" cm="1">
        <f t="array" aca="1" ref="AB55" ca="1">DSUM(MercadoBase1,AB$53,INDIRECT("r"&amp;5+2*(ROW()-54)&amp;":r"&amp;6+2*(ROW()-54)))</f>
        <v>0</v>
      </c>
    </row>
    <row r="56" spans="2:28" ht="15" customHeight="1">
      <c r="B56" s="946">
        <f t="shared" si="2"/>
        <v>44440</v>
      </c>
      <c r="C56" s="947"/>
      <c r="D56" s="948" cm="1">
        <f t="array" aca="1" ref="D56" ca="1">DSUM(MercadoBase1,D$53,INDIRECT("r"&amp;5+2*(ROW()-54)&amp;":r"&amp;6+2*(ROW()-54)))</f>
        <v>0</v>
      </c>
      <c r="E56" s="948" cm="1">
        <f t="array" aca="1" ref="E56" ca="1">DSUM(MercadoBase1,E$53,INDIRECT("r"&amp;5+2*(ROW()-54)&amp;":r"&amp;6+2*(ROW()-54)))</f>
        <v>0</v>
      </c>
      <c r="F56" s="948" cm="1">
        <f t="array" aca="1" ref="F56" ca="1">DSUM(MercadoBase1,F$53,INDIRECT("r"&amp;5+2*(ROW()-54)&amp;":r"&amp;6+2*(ROW()-54)))</f>
        <v>62709.939420688708</v>
      </c>
      <c r="G56" s="948" cm="1">
        <f t="array" aca="1" ref="G56" ca="1">DSUM(MercadoBase1,G$53,INDIRECT("r"&amp;5+2*(ROW()-54)&amp;":r"&amp;6+2*(ROW()-54)))</f>
        <v>78515.290620289074</v>
      </c>
      <c r="H56" s="948" cm="1">
        <f t="array" aca="1" ref="H56" ca="1">DSUM(MercadoBase1,H$53,INDIRECT("r"&amp;5+2*(ROW()-54)&amp;":r"&amp;6+2*(ROW()-54)))</f>
        <v>483798.35294714198</v>
      </c>
      <c r="I56" s="948" cm="1">
        <f t="array" aca="1" ref="I56" ca="1">DSUM(MercadoBase1,I$53,INDIRECT("r"&amp;5+2*(ROW()-54)&amp;":r"&amp;6+2*(ROW()-54)))</f>
        <v>12532.133862957437</v>
      </c>
      <c r="J56" s="948" cm="1">
        <f t="array" aca="1" ref="J56" ca="1">DSUM(MercadoBase1,J$53,INDIRECT("r"&amp;5+2*(ROW()-54)&amp;":r"&amp;6+2*(ROW()-54)))</f>
        <v>0</v>
      </c>
      <c r="K56" s="948" cm="1">
        <f t="array" aca="1" ref="K56" ca="1">DSUM(MercadoBase1,K$53,INDIRECT("r"&amp;5+2*(ROW()-54)&amp;":r"&amp;6+2*(ROW()-54)))</f>
        <v>0</v>
      </c>
      <c r="L56" s="948" cm="1">
        <f t="array" aca="1" ref="L56" ca="1">DSUM(MercadoBase1,L$53,INDIRECT("r"&amp;5+2*(ROW()-54)&amp;":r"&amp;6+2*(ROW()-54)))</f>
        <v>0</v>
      </c>
      <c r="M56" s="948" cm="1">
        <f t="array" aca="1" ref="M56" ca="1">DSUM(MercadoBase1,M$53,INDIRECT("r"&amp;5+2*(ROW()-54)&amp;":r"&amp;6+2*(ROW()-54)))</f>
        <v>0</v>
      </c>
      <c r="N56" s="948" cm="1">
        <f t="array" aca="1" ref="N56" ca="1">DSUM(MercadoBase1,N$53,INDIRECT("r"&amp;5+2*(ROW()-54)&amp;":r"&amp;6+2*(ROW()-54)))</f>
        <v>0</v>
      </c>
      <c r="O56" s="948" cm="1">
        <f t="array" aca="1" ref="O56" ca="1">DSUM(MercadoBase1,O$53,INDIRECT("r"&amp;5+2*(ROW()-54)&amp;":r"&amp;6+2*(ROW()-54)))</f>
        <v>0</v>
      </c>
      <c r="P56" s="948" cm="1">
        <f t="array" aca="1" ref="P56" ca="1">DSUM(MercadoBase1,P$53,INDIRECT("r"&amp;5+2*(ROW()-54)&amp;":r"&amp;6+2*(ROW()-54)))</f>
        <v>0</v>
      </c>
      <c r="Q56" s="953" cm="1">
        <f t="array" aca="1" ref="Q56" ca="1">DSUM(MercadoBase1,Q$53,INDIRECT("r"&amp;5+2*(ROW()-54)&amp;":r"&amp;6+2*(ROW()-54)))</f>
        <v>0</v>
      </c>
      <c r="R56" s="949">
        <f>VLOOKUP(CAPA!$C$17,Índices!B:F,5,FALSE)/VLOOKUP(DATE(YEAR(B56),MONTH(B56),1),Índices!B:F,5,FALSE)</f>
        <v>1.073698429626083</v>
      </c>
      <c r="S56" s="955" cm="1">
        <f t="array" aca="1" ref="S56" ca="1">DSUM(MercadoBase1,S$53,INDIRECT("r"&amp;5+2*(ROW()-54)&amp;":r"&amp;6+2*(ROW()-54)))</f>
        <v>0</v>
      </c>
      <c r="T56" s="948" cm="1">
        <f t="array" aca="1" ref="T56" ca="1">DSUM(MercadoBase1,T$53,INDIRECT("r"&amp;5+2*(ROW()-54)&amp;":r"&amp;6+2*(ROW()-54)))</f>
        <v>0</v>
      </c>
      <c r="U56" s="948" cm="1">
        <f t="array" aca="1" ref="U56" ca="1">DSUM(MercadoBase1,U$53,INDIRECT("r"&amp;5+2*(ROW()-54)&amp;":r"&amp;6+2*(ROW()-54)))</f>
        <v>0</v>
      </c>
      <c r="V56" s="948" cm="1">
        <f t="array" aca="1" ref="V56" ca="1">DSUM(MercadoBase1,V$53,INDIRECT("r"&amp;5+2*(ROW()-54)&amp;":r"&amp;6+2*(ROW()-54)))</f>
        <v>0</v>
      </c>
      <c r="W56" s="948" cm="1">
        <f t="array" aca="1" ref="W56" ca="1">DSUM(MercadoBase1,W$53,INDIRECT("r"&amp;5+2*(ROW()-54)&amp;":r"&amp;6+2*(ROW()-54)))</f>
        <v>0</v>
      </c>
      <c r="X56" s="948" cm="1">
        <f t="array" aca="1" ref="X56" ca="1">DSUM(MercadoBase1,X$53,INDIRECT("r"&amp;5+2*(ROW()-54)&amp;":r"&amp;6+2*(ROW()-54)))</f>
        <v>0</v>
      </c>
      <c r="Y56" s="948" cm="1">
        <f t="array" aca="1" ref="Y56" ca="1">DSUM(MercadoBase1,Y$53,INDIRECT("r"&amp;5+2*(ROW()-54)&amp;":r"&amp;6+2*(ROW()-54)))</f>
        <v>0</v>
      </c>
      <c r="Z56" s="948" cm="1">
        <f t="array" aca="1" ref="Z56" ca="1">DSUM(MercadoBase1,Z$53,INDIRECT("r"&amp;5+2*(ROW()-54)&amp;":r"&amp;6+2*(ROW()-54)))</f>
        <v>3027247.9492599182</v>
      </c>
      <c r="AA56" s="948" cm="1">
        <f t="array" aca="1" ref="AA56" ca="1">DSUM(MercadoBase1,AA$53,INDIRECT("r"&amp;5+2*(ROW()-54)&amp;":r"&amp;6+2*(ROW()-54)))</f>
        <v>0</v>
      </c>
      <c r="AB56" s="948" cm="1">
        <f t="array" aca="1" ref="AB56" ca="1">DSUM(MercadoBase1,AB$53,INDIRECT("r"&amp;5+2*(ROW()-54)&amp;":r"&amp;6+2*(ROW()-54)))</f>
        <v>0</v>
      </c>
    </row>
    <row r="57" spans="2:28" ht="15" customHeight="1">
      <c r="B57" s="946">
        <f t="shared" si="2"/>
        <v>44470</v>
      </c>
      <c r="C57" s="947"/>
      <c r="D57" s="948" cm="1">
        <f t="array" aca="1" ref="D57" ca="1">DSUM(MercadoBase1,D$53,INDIRECT("r"&amp;5+2*(ROW()-54)&amp;":r"&amp;6+2*(ROW()-54)))</f>
        <v>0</v>
      </c>
      <c r="E57" s="948" cm="1">
        <f t="array" aca="1" ref="E57" ca="1">DSUM(MercadoBase1,E$53,INDIRECT("r"&amp;5+2*(ROW()-54)&amp;":r"&amp;6+2*(ROW()-54)))</f>
        <v>0</v>
      </c>
      <c r="F57" s="948" cm="1">
        <f t="array" aca="1" ref="F57" ca="1">DSUM(MercadoBase1,F$53,INDIRECT("r"&amp;5+2*(ROW()-54)&amp;":r"&amp;6+2*(ROW()-54)))</f>
        <v>67617.636424835509</v>
      </c>
      <c r="G57" s="948" cm="1">
        <f t="array" aca="1" ref="G57" ca="1">DSUM(MercadoBase1,G$53,INDIRECT("r"&amp;5+2*(ROW()-54)&amp;":r"&amp;6+2*(ROW()-54)))</f>
        <v>84580.079265492022</v>
      </c>
      <c r="H57" s="948" cm="1">
        <f t="array" aca="1" ref="H57" ca="1">DSUM(MercadoBase1,H$53,INDIRECT("r"&amp;5+2*(ROW()-54)&amp;":r"&amp;6+2*(ROW()-54)))</f>
        <v>517788.92917194334</v>
      </c>
      <c r="I57" s="948" cm="1">
        <f t="array" aca="1" ref="I57" ca="1">DSUM(MercadoBase1,I$53,INDIRECT("r"&amp;5+2*(ROW()-54)&amp;":r"&amp;6+2*(ROW()-54)))</f>
        <v>13322.006646883394</v>
      </c>
      <c r="J57" s="948" cm="1">
        <f t="array" aca="1" ref="J57" ca="1">DSUM(MercadoBase1,J$53,INDIRECT("r"&amp;5+2*(ROW()-54)&amp;":r"&amp;6+2*(ROW()-54)))</f>
        <v>0</v>
      </c>
      <c r="K57" s="948" cm="1">
        <f t="array" aca="1" ref="K57" ca="1">DSUM(MercadoBase1,K$53,INDIRECT("r"&amp;5+2*(ROW()-54)&amp;":r"&amp;6+2*(ROW()-54)))</f>
        <v>0</v>
      </c>
      <c r="L57" s="948" cm="1">
        <f t="array" aca="1" ref="L57" ca="1">DSUM(MercadoBase1,L$53,INDIRECT("r"&amp;5+2*(ROW()-54)&amp;":r"&amp;6+2*(ROW()-54)))</f>
        <v>0</v>
      </c>
      <c r="M57" s="948" cm="1">
        <f t="array" aca="1" ref="M57" ca="1">DSUM(MercadoBase1,M$53,INDIRECT("r"&amp;5+2*(ROW()-54)&amp;":r"&amp;6+2*(ROW()-54)))</f>
        <v>0</v>
      </c>
      <c r="N57" s="948" cm="1">
        <f t="array" aca="1" ref="N57" ca="1">DSUM(MercadoBase1,N$53,INDIRECT("r"&amp;5+2*(ROW()-54)&amp;":r"&amp;6+2*(ROW()-54)))</f>
        <v>0</v>
      </c>
      <c r="O57" s="948" cm="1">
        <f t="array" aca="1" ref="O57" ca="1">DSUM(MercadoBase1,O$53,INDIRECT("r"&amp;5+2*(ROW()-54)&amp;":r"&amp;6+2*(ROW()-54)))</f>
        <v>0</v>
      </c>
      <c r="P57" s="948" cm="1">
        <f t="array" aca="1" ref="P57" ca="1">DSUM(MercadoBase1,P$53,INDIRECT("r"&amp;5+2*(ROW()-54)&amp;":r"&amp;6+2*(ROW()-54)))</f>
        <v>0</v>
      </c>
      <c r="Q57" s="953" cm="1">
        <f t="array" aca="1" ref="Q57" ca="1">DSUM(MercadoBase1,Q$53,INDIRECT("r"&amp;5+2*(ROW()-54)&amp;":r"&amp;6+2*(ROW()-54)))</f>
        <v>0</v>
      </c>
      <c r="R57" s="949">
        <f>VLOOKUP(CAPA!$C$17,Índices!B:F,5,FALSE)/VLOOKUP(DATE(YEAR(B57),MONTH(B57),1),Índices!B:F,5,FALSE)</f>
        <v>1.0685055343738492</v>
      </c>
      <c r="S57" s="955" cm="1">
        <f t="array" aca="1" ref="S57" ca="1">DSUM(MercadoBase1,S$53,INDIRECT("r"&amp;5+2*(ROW()-54)&amp;":r"&amp;6+2*(ROW()-54)))</f>
        <v>0</v>
      </c>
      <c r="T57" s="948" cm="1">
        <f t="array" aca="1" ref="T57" ca="1">DSUM(MercadoBase1,T$53,INDIRECT("r"&amp;5+2*(ROW()-54)&amp;":r"&amp;6+2*(ROW()-54)))</f>
        <v>0</v>
      </c>
      <c r="U57" s="948" cm="1">
        <f t="array" aca="1" ref="U57" ca="1">DSUM(MercadoBase1,U$53,INDIRECT("r"&amp;5+2*(ROW()-54)&amp;":r"&amp;6+2*(ROW()-54)))</f>
        <v>0</v>
      </c>
      <c r="V57" s="948" cm="1">
        <f t="array" aca="1" ref="V57" ca="1">DSUM(MercadoBase1,V$53,INDIRECT("r"&amp;5+2*(ROW()-54)&amp;":r"&amp;6+2*(ROW()-54)))</f>
        <v>0</v>
      </c>
      <c r="W57" s="948" cm="1">
        <f t="array" aca="1" ref="W57" ca="1">DSUM(MercadoBase1,W$53,INDIRECT("r"&amp;5+2*(ROW()-54)&amp;":r"&amp;6+2*(ROW()-54)))</f>
        <v>0</v>
      </c>
      <c r="X57" s="948" cm="1">
        <f t="array" aca="1" ref="X57" ca="1">DSUM(MercadoBase1,X$53,INDIRECT("r"&amp;5+2*(ROW()-54)&amp;":r"&amp;6+2*(ROW()-54)))</f>
        <v>0</v>
      </c>
      <c r="Y57" s="948" cm="1">
        <f t="array" aca="1" ref="Y57" ca="1">DSUM(MercadoBase1,Y$53,INDIRECT("r"&amp;5+2*(ROW()-54)&amp;":r"&amp;6+2*(ROW()-54)))</f>
        <v>0</v>
      </c>
      <c r="Z57" s="948" cm="1">
        <f t="array" aca="1" ref="Z57" ca="1">DSUM(MercadoBase1,Z$53,INDIRECT("r"&amp;5+2*(ROW()-54)&amp;":r"&amp;6+2*(ROW()-54)))</f>
        <v>3045169.4574258872</v>
      </c>
      <c r="AA57" s="948" cm="1">
        <f t="array" aca="1" ref="AA57" ca="1">DSUM(MercadoBase1,AA$53,INDIRECT("r"&amp;5+2*(ROW()-54)&amp;":r"&amp;6+2*(ROW()-54)))</f>
        <v>0</v>
      </c>
      <c r="AB57" s="948" cm="1">
        <f t="array" aca="1" ref="AB57" ca="1">DSUM(MercadoBase1,AB$53,INDIRECT("r"&amp;5+2*(ROW()-54)&amp;":r"&amp;6+2*(ROW()-54)))</f>
        <v>0</v>
      </c>
    </row>
    <row r="58" spans="2:28" ht="15" customHeight="1">
      <c r="B58" s="946">
        <f t="shared" si="2"/>
        <v>44501</v>
      </c>
      <c r="C58" s="947"/>
      <c r="D58" s="948" cm="1">
        <f t="array" aca="1" ref="D58" ca="1">DSUM(MercadoBase1,D$53,INDIRECT("r"&amp;5+2*(ROW()-54)&amp;":r"&amp;6+2*(ROW()-54)))</f>
        <v>0</v>
      </c>
      <c r="E58" s="948" cm="1">
        <f t="array" aca="1" ref="E58" ca="1">DSUM(MercadoBase1,E$53,INDIRECT("r"&amp;5+2*(ROW()-54)&amp;":r"&amp;6+2*(ROW()-54)))</f>
        <v>0</v>
      </c>
      <c r="F58" s="948" cm="1">
        <f t="array" aca="1" ref="F58" ca="1">DSUM(MercadoBase1,F$53,INDIRECT("r"&amp;5+2*(ROW()-54)&amp;":r"&amp;6+2*(ROW()-54)))</f>
        <v>76704.606158857685</v>
      </c>
      <c r="G58" s="948" cm="1">
        <f t="array" aca="1" ref="G58" ca="1">DSUM(MercadoBase1,G$53,INDIRECT("r"&amp;5+2*(ROW()-54)&amp;":r"&amp;6+2*(ROW()-54)))</f>
        <v>94393.360784746474</v>
      </c>
      <c r="H58" s="948" cm="1">
        <f t="array" aca="1" ref="H58" ca="1">DSUM(MercadoBase1,H$53,INDIRECT("r"&amp;5+2*(ROW()-54)&amp;":r"&amp;6+2*(ROW()-54)))</f>
        <v>580992.87945256871</v>
      </c>
      <c r="I58" s="948" cm="1">
        <f t="array" aca="1" ref="I58" ca="1">DSUM(MercadoBase1,I$53,INDIRECT("r"&amp;5+2*(ROW()-54)&amp;":r"&amp;6+2*(ROW()-54)))</f>
        <v>14943.4077105781</v>
      </c>
      <c r="J58" s="948" cm="1">
        <f t="array" aca="1" ref="J58" ca="1">DSUM(MercadoBase1,J$53,INDIRECT("r"&amp;5+2*(ROW()-54)&amp;":r"&amp;6+2*(ROW()-54)))</f>
        <v>0</v>
      </c>
      <c r="K58" s="948" cm="1">
        <f t="array" aca="1" ref="K58" ca="1">DSUM(MercadoBase1,K$53,INDIRECT("r"&amp;5+2*(ROW()-54)&amp;":r"&amp;6+2*(ROW()-54)))</f>
        <v>0</v>
      </c>
      <c r="L58" s="948" cm="1">
        <f t="array" aca="1" ref="L58" ca="1">DSUM(MercadoBase1,L$53,INDIRECT("r"&amp;5+2*(ROW()-54)&amp;":r"&amp;6+2*(ROW()-54)))</f>
        <v>0</v>
      </c>
      <c r="M58" s="948" cm="1">
        <f t="array" aca="1" ref="M58" ca="1">DSUM(MercadoBase1,M$53,INDIRECT("r"&amp;5+2*(ROW()-54)&amp;":r"&amp;6+2*(ROW()-54)))</f>
        <v>0</v>
      </c>
      <c r="N58" s="948" cm="1">
        <f t="array" aca="1" ref="N58" ca="1">DSUM(MercadoBase1,N$53,INDIRECT("r"&amp;5+2*(ROW()-54)&amp;":r"&amp;6+2*(ROW()-54)))</f>
        <v>0</v>
      </c>
      <c r="O58" s="948" cm="1">
        <f t="array" aca="1" ref="O58" ca="1">DSUM(MercadoBase1,O$53,INDIRECT("r"&amp;5+2*(ROW()-54)&amp;":r"&amp;6+2*(ROW()-54)))</f>
        <v>0</v>
      </c>
      <c r="P58" s="948" cm="1">
        <f t="array" aca="1" ref="P58" ca="1">DSUM(MercadoBase1,P$53,INDIRECT("r"&amp;5+2*(ROW()-54)&amp;":r"&amp;6+2*(ROW()-54)))</f>
        <v>0</v>
      </c>
      <c r="Q58" s="953" cm="1">
        <f t="array" aca="1" ref="Q58" ca="1">DSUM(MercadoBase1,Q$53,INDIRECT("r"&amp;5+2*(ROW()-54)&amp;":r"&amp;6+2*(ROW()-54)))</f>
        <v>0</v>
      </c>
      <c r="R58" s="949">
        <f>VLOOKUP(CAPA!$C$17,Índices!B:F,5,FALSE)/VLOOKUP(DATE(YEAR(B58),MONTH(B58),1),Índices!B:F,5,FALSE)</f>
        <v>1.0622726591714087</v>
      </c>
      <c r="S58" s="955" cm="1">
        <f t="array" aca="1" ref="S58" ca="1">DSUM(MercadoBase1,S$53,INDIRECT("r"&amp;5+2*(ROW()-54)&amp;":r"&amp;6+2*(ROW()-54)))</f>
        <v>0</v>
      </c>
      <c r="T58" s="948" cm="1">
        <f t="array" aca="1" ref="T58" ca="1">DSUM(MercadoBase1,T$53,INDIRECT("r"&amp;5+2*(ROW()-54)&amp;":r"&amp;6+2*(ROW()-54)))</f>
        <v>0</v>
      </c>
      <c r="U58" s="948" cm="1">
        <f t="array" aca="1" ref="U58" ca="1">DSUM(MercadoBase1,U$53,INDIRECT("r"&amp;5+2*(ROW()-54)&amp;":r"&amp;6+2*(ROW()-54)))</f>
        <v>0</v>
      </c>
      <c r="V58" s="948" cm="1">
        <f t="array" aca="1" ref="V58" ca="1">DSUM(MercadoBase1,V$53,INDIRECT("r"&amp;5+2*(ROW()-54)&amp;":r"&amp;6+2*(ROW()-54)))</f>
        <v>0</v>
      </c>
      <c r="W58" s="948" cm="1">
        <f t="array" aca="1" ref="W58" ca="1">DSUM(MercadoBase1,W$53,INDIRECT("r"&amp;5+2*(ROW()-54)&amp;":r"&amp;6+2*(ROW()-54)))</f>
        <v>0</v>
      </c>
      <c r="X58" s="948" cm="1">
        <f t="array" aca="1" ref="X58" ca="1">DSUM(MercadoBase1,X$53,INDIRECT("r"&amp;5+2*(ROW()-54)&amp;":r"&amp;6+2*(ROW()-54)))</f>
        <v>0</v>
      </c>
      <c r="Y58" s="948" cm="1">
        <f t="array" aca="1" ref="Y58" ca="1">DSUM(MercadoBase1,Y$53,INDIRECT("r"&amp;5+2*(ROW()-54)&amp;":r"&amp;6+2*(ROW()-54)))</f>
        <v>0</v>
      </c>
      <c r="Z58" s="948" cm="1">
        <f t="array" aca="1" ref="Z58" ca="1">DSUM(MercadoBase1,Z$53,INDIRECT("r"&amp;5+2*(ROW()-54)&amp;":r"&amp;6+2*(ROW()-54)))</f>
        <v>3416645.4772186605</v>
      </c>
      <c r="AA58" s="948" cm="1">
        <f t="array" aca="1" ref="AA58" ca="1">DSUM(MercadoBase1,AA$53,INDIRECT("r"&amp;5+2*(ROW()-54)&amp;":r"&amp;6+2*(ROW()-54)))</f>
        <v>0</v>
      </c>
      <c r="AB58" s="948" cm="1">
        <f t="array" aca="1" ref="AB58" ca="1">DSUM(MercadoBase1,AB$53,INDIRECT("r"&amp;5+2*(ROW()-54)&amp;":r"&amp;6+2*(ROW()-54)))</f>
        <v>0</v>
      </c>
    </row>
    <row r="59" spans="2:28" ht="15" customHeight="1">
      <c r="B59" s="946">
        <f t="shared" si="2"/>
        <v>44531</v>
      </c>
      <c r="C59" s="947"/>
      <c r="D59" s="948" cm="1">
        <f t="array" aca="1" ref="D59" ca="1">DSUM(MercadoBase1,D$53,INDIRECT("r"&amp;5+2*(ROW()-54)&amp;":r"&amp;6+2*(ROW()-54)))</f>
        <v>0</v>
      </c>
      <c r="E59" s="948" cm="1">
        <f t="array" aca="1" ref="E59" ca="1">DSUM(MercadoBase1,E$53,INDIRECT("r"&amp;5+2*(ROW()-54)&amp;":r"&amp;6+2*(ROW()-54)))</f>
        <v>0</v>
      </c>
      <c r="F59" s="948" cm="1">
        <f t="array" aca="1" ref="F59" ca="1">DSUM(MercadoBase1,F$53,INDIRECT("r"&amp;5+2*(ROW()-54)&amp;":r"&amp;6+2*(ROW()-54)))</f>
        <v>79572.32319324225</v>
      </c>
      <c r="G59" s="948" cm="1">
        <f t="array" aca="1" ref="G59" ca="1">DSUM(MercadoBase1,G$53,INDIRECT("r"&amp;5+2*(ROW()-54)&amp;":r"&amp;6+2*(ROW()-54)))</f>
        <v>97649.268589768224</v>
      </c>
      <c r="H59" s="948" cm="1">
        <f t="array" aca="1" ref="H59" ca="1">DSUM(MercadoBase1,H$53,INDIRECT("r"&amp;5+2*(ROW()-54)&amp;":r"&amp;6+2*(ROW()-54)))</f>
        <v>602714.74195929337</v>
      </c>
      <c r="I59" s="948" cm="1">
        <f t="array" aca="1" ref="I59" ca="1">DSUM(MercadoBase1,I$53,INDIRECT("r"&amp;5+2*(ROW()-54)&amp;":r"&amp;6+2*(ROW()-54)))</f>
        <v>15516.882504380437</v>
      </c>
      <c r="J59" s="948" cm="1">
        <f t="array" aca="1" ref="J59" ca="1">DSUM(MercadoBase1,J$53,INDIRECT("r"&amp;5+2*(ROW()-54)&amp;":r"&amp;6+2*(ROW()-54)))</f>
        <v>0</v>
      </c>
      <c r="K59" s="948" cm="1">
        <f t="array" aca="1" ref="K59" ca="1">DSUM(MercadoBase1,K$53,INDIRECT("r"&amp;5+2*(ROW()-54)&amp;":r"&amp;6+2*(ROW()-54)))</f>
        <v>0</v>
      </c>
      <c r="L59" s="948" cm="1">
        <f t="array" aca="1" ref="L59" ca="1">DSUM(MercadoBase1,L$53,INDIRECT("r"&amp;5+2*(ROW()-54)&amp;":r"&amp;6+2*(ROW()-54)))</f>
        <v>0</v>
      </c>
      <c r="M59" s="948" cm="1">
        <f t="array" aca="1" ref="M59" ca="1">DSUM(MercadoBase1,M$53,INDIRECT("r"&amp;5+2*(ROW()-54)&amp;":r"&amp;6+2*(ROW()-54)))</f>
        <v>0</v>
      </c>
      <c r="N59" s="948" cm="1">
        <f t="array" aca="1" ref="N59" ca="1">DSUM(MercadoBase1,N$53,INDIRECT("r"&amp;5+2*(ROW()-54)&amp;":r"&amp;6+2*(ROW()-54)))</f>
        <v>0</v>
      </c>
      <c r="O59" s="948" cm="1">
        <f t="array" aca="1" ref="O59" ca="1">DSUM(MercadoBase1,O$53,INDIRECT("r"&amp;5+2*(ROW()-54)&amp;":r"&amp;6+2*(ROW()-54)))</f>
        <v>0</v>
      </c>
      <c r="P59" s="948" cm="1">
        <f t="array" aca="1" ref="P59" ca="1">DSUM(MercadoBase1,P$53,INDIRECT("r"&amp;5+2*(ROW()-54)&amp;":r"&amp;6+2*(ROW()-54)))</f>
        <v>0</v>
      </c>
      <c r="Q59" s="953" cm="1">
        <f t="array" aca="1" ref="Q59" ca="1">DSUM(MercadoBase1,Q$53,INDIRECT("r"&amp;5+2*(ROW()-54)&amp;":r"&amp;6+2*(ROW()-54)))</f>
        <v>0</v>
      </c>
      <c r="R59" s="949">
        <f>VLOOKUP(CAPA!$C$17,Índices!B:F,5,FALSE)/VLOOKUP(DATE(YEAR(B59),MONTH(B59),1),Índices!B:F,5,FALSE)</f>
        <v>1.0541652525590945</v>
      </c>
      <c r="S59" s="955" cm="1">
        <f t="array" aca="1" ref="S59" ca="1">DSUM(MercadoBase1,S$53,INDIRECT("r"&amp;5+2*(ROW()-54)&amp;":r"&amp;6+2*(ROW()-54)))</f>
        <v>0</v>
      </c>
      <c r="T59" s="948" cm="1">
        <f t="array" aca="1" ref="T59" ca="1">DSUM(MercadoBase1,T$53,INDIRECT("r"&amp;5+2*(ROW()-54)&amp;":r"&amp;6+2*(ROW()-54)))</f>
        <v>0</v>
      </c>
      <c r="U59" s="948" cm="1">
        <f t="array" aca="1" ref="U59" ca="1">DSUM(MercadoBase1,U$53,INDIRECT("r"&amp;5+2*(ROW()-54)&amp;":r"&amp;6+2*(ROW()-54)))</f>
        <v>0</v>
      </c>
      <c r="V59" s="948" cm="1">
        <f t="array" aca="1" ref="V59" ca="1">DSUM(MercadoBase1,V$53,INDIRECT("r"&amp;5+2*(ROW()-54)&amp;":r"&amp;6+2*(ROW()-54)))</f>
        <v>0</v>
      </c>
      <c r="W59" s="948" cm="1">
        <f t="array" aca="1" ref="W59" ca="1">DSUM(MercadoBase1,W$53,INDIRECT("r"&amp;5+2*(ROW()-54)&amp;":r"&amp;6+2*(ROW()-54)))</f>
        <v>0</v>
      </c>
      <c r="X59" s="948" cm="1">
        <f t="array" aca="1" ref="X59" ca="1">DSUM(MercadoBase1,X$53,INDIRECT("r"&amp;5+2*(ROW()-54)&amp;":r"&amp;6+2*(ROW()-54)))</f>
        <v>0</v>
      </c>
      <c r="Y59" s="948" cm="1">
        <f t="array" aca="1" ref="Y59" ca="1">DSUM(MercadoBase1,Y$53,INDIRECT("r"&amp;5+2*(ROW()-54)&amp;":r"&amp;6+2*(ROW()-54)))</f>
        <v>0</v>
      </c>
      <c r="Z59" s="948" cm="1">
        <f t="array" aca="1" ref="Z59" ca="1">DSUM(MercadoBase1,Z$53,INDIRECT("r"&amp;5+2*(ROW()-54)&amp;":r"&amp;6+2*(ROW()-54)))</f>
        <v>3571638.723226564</v>
      </c>
      <c r="AA59" s="948" cm="1">
        <f t="array" aca="1" ref="AA59" ca="1">DSUM(MercadoBase1,AA$53,INDIRECT("r"&amp;5+2*(ROW()-54)&amp;":r"&amp;6+2*(ROW()-54)))</f>
        <v>0</v>
      </c>
      <c r="AB59" s="948" cm="1">
        <f t="array" aca="1" ref="AB59" ca="1">DSUM(MercadoBase1,AB$53,INDIRECT("r"&amp;5+2*(ROW()-54)&amp;":r"&amp;6+2*(ROW()-54)))</f>
        <v>0</v>
      </c>
    </row>
    <row r="60" spans="2:28" ht="15" customHeight="1">
      <c r="B60" s="946">
        <f t="shared" si="2"/>
        <v>44562</v>
      </c>
      <c r="C60" s="947"/>
      <c r="D60" s="948" cm="1">
        <f t="array" aca="1" ref="D60" ca="1">DSUM(MercadoBase1,D$53,INDIRECT("r"&amp;5+2*(ROW()-54)&amp;":r"&amp;6+2*(ROW()-54)))</f>
        <v>0</v>
      </c>
      <c r="E60" s="948" cm="1">
        <f t="array" aca="1" ref="E60" ca="1">DSUM(MercadoBase1,E$53,INDIRECT("r"&amp;5+2*(ROW()-54)&amp;":r"&amp;6+2*(ROW()-54)))</f>
        <v>0</v>
      </c>
      <c r="F60" s="948" cm="1">
        <f t="array" aca="1" ref="F60" ca="1">DSUM(MercadoBase1,F$53,INDIRECT("r"&amp;5+2*(ROW()-54)&amp;":r"&amp;6+2*(ROW()-54)))</f>
        <v>90857.044716994031</v>
      </c>
      <c r="G60" s="948" cm="1">
        <f t="array" aca="1" ref="G60" ca="1">DSUM(MercadoBase1,G$53,INDIRECT("r"&amp;5+2*(ROW()-54)&amp;":r"&amp;6+2*(ROW()-54)))</f>
        <v>109987.27122961772</v>
      </c>
      <c r="H60" s="948" cm="1">
        <f t="array" aca="1" ref="H60" ca="1">DSUM(MercadoBase1,H$53,INDIRECT("r"&amp;5+2*(ROW()-54)&amp;":r"&amp;6+2*(ROW()-54)))</f>
        <v>681979.04033471632</v>
      </c>
      <c r="I60" s="948" cm="1">
        <f t="array" aca="1" ref="I60" ca="1">DSUM(MercadoBase1,I$53,INDIRECT("r"&amp;5+2*(ROW()-54)&amp;":r"&amp;6+2*(ROW()-54)))</f>
        <v>17564.200807216585</v>
      </c>
      <c r="J60" s="948" cm="1">
        <f t="array" aca="1" ref="J60" ca="1">DSUM(MercadoBase1,J$53,INDIRECT("r"&amp;5+2*(ROW()-54)&amp;":r"&amp;6+2*(ROW()-54)))</f>
        <v>0</v>
      </c>
      <c r="K60" s="948" cm="1">
        <f t="array" aca="1" ref="K60" ca="1">DSUM(MercadoBase1,K$53,INDIRECT("r"&amp;5+2*(ROW()-54)&amp;":r"&amp;6+2*(ROW()-54)))</f>
        <v>0</v>
      </c>
      <c r="L60" s="948" cm="1">
        <f t="array" aca="1" ref="L60" ca="1">DSUM(MercadoBase1,L$53,INDIRECT("r"&amp;5+2*(ROW()-54)&amp;":r"&amp;6+2*(ROW()-54)))</f>
        <v>0</v>
      </c>
      <c r="M60" s="948" cm="1">
        <f t="array" aca="1" ref="M60" ca="1">DSUM(MercadoBase1,M$53,INDIRECT("r"&amp;5+2*(ROW()-54)&amp;":r"&amp;6+2*(ROW()-54)))</f>
        <v>0</v>
      </c>
      <c r="N60" s="948" cm="1">
        <f t="array" aca="1" ref="N60" ca="1">DSUM(MercadoBase1,N$53,INDIRECT("r"&amp;5+2*(ROW()-54)&amp;":r"&amp;6+2*(ROW()-54)))</f>
        <v>0</v>
      </c>
      <c r="O60" s="948" cm="1">
        <f t="array" aca="1" ref="O60" ca="1">DSUM(MercadoBase1,O$53,INDIRECT("r"&amp;5+2*(ROW()-54)&amp;":r"&amp;6+2*(ROW()-54)))</f>
        <v>0</v>
      </c>
      <c r="P60" s="948" cm="1">
        <f t="array" aca="1" ref="P60" ca="1">DSUM(MercadoBase1,P$53,INDIRECT("r"&amp;5+2*(ROW()-54)&amp;":r"&amp;6+2*(ROW()-54)))</f>
        <v>0</v>
      </c>
      <c r="Q60" s="953" cm="1">
        <f t="array" aca="1" ref="Q60" ca="1">DSUM(MercadoBase1,Q$53,INDIRECT("r"&amp;5+2*(ROW()-54)&amp;":r"&amp;6+2*(ROW()-54)))</f>
        <v>0</v>
      </c>
      <c r="R60" s="949">
        <f>VLOOKUP(CAPA!$C$17,Índices!B:F,5,FALSE)/VLOOKUP(DATE(YEAR(B60),MONTH(B60),1),Índices!B:F,5,FALSE)</f>
        <v>1.0465020287560824</v>
      </c>
      <c r="S60" s="955" cm="1">
        <f t="array" aca="1" ref="S60" ca="1">DSUM(MercadoBase1,S$53,INDIRECT("r"&amp;5+2*(ROW()-54)&amp;":r"&amp;6+2*(ROW()-54)))</f>
        <v>0</v>
      </c>
      <c r="T60" s="948" cm="1">
        <f t="array" aca="1" ref="T60" ca="1">DSUM(MercadoBase1,T$53,INDIRECT("r"&amp;5+2*(ROW()-54)&amp;":r"&amp;6+2*(ROW()-54)))</f>
        <v>0</v>
      </c>
      <c r="U60" s="948" cm="1">
        <f t="array" aca="1" ref="U60" ca="1">DSUM(MercadoBase1,U$53,INDIRECT("r"&amp;5+2*(ROW()-54)&amp;":r"&amp;6+2*(ROW()-54)))</f>
        <v>0</v>
      </c>
      <c r="V60" s="948" cm="1">
        <f t="array" aca="1" ref="V60" ca="1">DSUM(MercadoBase1,V$53,INDIRECT("r"&amp;5+2*(ROW()-54)&amp;":r"&amp;6+2*(ROW()-54)))</f>
        <v>0</v>
      </c>
      <c r="W60" s="948" cm="1">
        <f t="array" aca="1" ref="W60" ca="1">DSUM(MercadoBase1,W$53,INDIRECT("r"&amp;5+2*(ROW()-54)&amp;":r"&amp;6+2*(ROW()-54)))</f>
        <v>0</v>
      </c>
      <c r="X60" s="948" cm="1">
        <f t="array" aca="1" ref="X60" ca="1">DSUM(MercadoBase1,X$53,INDIRECT("r"&amp;5+2*(ROW()-54)&amp;":r"&amp;6+2*(ROW()-54)))</f>
        <v>0</v>
      </c>
      <c r="Y60" s="948" cm="1">
        <f t="array" aca="1" ref="Y60" ca="1">DSUM(MercadoBase1,Y$53,INDIRECT("r"&amp;5+2*(ROW()-54)&amp;":r"&amp;6+2*(ROW()-54)))</f>
        <v>0</v>
      </c>
      <c r="Z60" s="948" cm="1">
        <f t="array" aca="1" ref="Z60" ca="1">DSUM(MercadoBase1,Z$53,INDIRECT("r"&amp;5+2*(ROW()-54)&amp;":r"&amp;6+2*(ROW()-54)))</f>
        <v>4055484.9016128299</v>
      </c>
      <c r="AA60" s="948" cm="1">
        <f t="array" aca="1" ref="AA60" ca="1">DSUM(MercadoBase1,AA$53,INDIRECT("r"&amp;5+2*(ROW()-54)&amp;":r"&amp;6+2*(ROW()-54)))</f>
        <v>0</v>
      </c>
      <c r="AB60" s="948" cm="1">
        <f t="array" aca="1" ref="AB60" ca="1">DSUM(MercadoBase1,AB$53,INDIRECT("r"&amp;5+2*(ROW()-54)&amp;":r"&amp;6+2*(ROW()-54)))</f>
        <v>0</v>
      </c>
    </row>
    <row r="61" spans="2:28" ht="15" customHeight="1">
      <c r="B61" s="946">
        <f t="shared" si="2"/>
        <v>44593</v>
      </c>
      <c r="C61" s="947"/>
      <c r="D61" s="948" cm="1">
        <f t="array" aca="1" ref="D61" ca="1">DSUM(MercadoBase1,D$53,INDIRECT("r"&amp;5+2*(ROW()-54)&amp;":r"&amp;6+2*(ROW()-54)))</f>
        <v>0</v>
      </c>
      <c r="E61" s="948" cm="1">
        <f t="array" aca="1" ref="E61" ca="1">DSUM(MercadoBase1,E$53,INDIRECT("r"&amp;5+2*(ROW()-54)&amp;":r"&amp;6+2*(ROW()-54)))</f>
        <v>0</v>
      </c>
      <c r="F61" s="948" cm="1">
        <f t="array" aca="1" ref="F61" ca="1">DSUM(MercadoBase1,F$53,INDIRECT("r"&amp;5+2*(ROW()-54)&amp;":r"&amp;6+2*(ROW()-54)))</f>
        <v>86025.658125653004</v>
      </c>
      <c r="G61" s="948" cm="1">
        <f t="array" aca="1" ref="G61" ca="1">DSUM(MercadoBase1,G$53,INDIRECT("r"&amp;5+2*(ROW()-54)&amp;":r"&amp;6+2*(ROW()-54)))</f>
        <v>105257.97764441188</v>
      </c>
      <c r="H61" s="948" cm="1">
        <f t="array" aca="1" ref="H61" ca="1">DSUM(MercadoBase1,H$53,INDIRECT("r"&amp;5+2*(ROW()-54)&amp;":r"&amp;6+2*(ROW()-54)))</f>
        <v>654387.04654429446</v>
      </c>
      <c r="I61" s="948" cm="1">
        <f t="array" aca="1" ref="I61" ca="1">DSUM(MercadoBase1,I$53,INDIRECT("r"&amp;5+2*(ROW()-54)&amp;":r"&amp;6+2*(ROW()-54)))</f>
        <v>16908.179181667325</v>
      </c>
      <c r="J61" s="948" cm="1">
        <f t="array" aca="1" ref="J61" ca="1">DSUM(MercadoBase1,J$53,INDIRECT("r"&amp;5+2*(ROW()-54)&amp;":r"&amp;6+2*(ROW()-54)))</f>
        <v>0</v>
      </c>
      <c r="K61" s="948" cm="1">
        <f t="array" aca="1" ref="K61" ca="1">DSUM(MercadoBase1,K$53,INDIRECT("r"&amp;5+2*(ROW()-54)&amp;":r"&amp;6+2*(ROW()-54)))</f>
        <v>0</v>
      </c>
      <c r="L61" s="948" cm="1">
        <f t="array" aca="1" ref="L61" ca="1">DSUM(MercadoBase1,L$53,INDIRECT("r"&amp;5+2*(ROW()-54)&amp;":r"&amp;6+2*(ROW()-54)))</f>
        <v>0</v>
      </c>
      <c r="M61" s="948" cm="1">
        <f t="array" aca="1" ref="M61" ca="1">DSUM(MercadoBase1,M$53,INDIRECT("r"&amp;5+2*(ROW()-54)&amp;":r"&amp;6+2*(ROW()-54)))</f>
        <v>0</v>
      </c>
      <c r="N61" s="948" cm="1">
        <f t="array" aca="1" ref="N61" ca="1">DSUM(MercadoBase1,N$53,INDIRECT("r"&amp;5+2*(ROW()-54)&amp;":r"&amp;6+2*(ROW()-54)))</f>
        <v>0</v>
      </c>
      <c r="O61" s="948" cm="1">
        <f t="array" aca="1" ref="O61" ca="1">DSUM(MercadoBase1,O$53,INDIRECT("r"&amp;5+2*(ROW()-54)&amp;":r"&amp;6+2*(ROW()-54)))</f>
        <v>0</v>
      </c>
      <c r="P61" s="948" cm="1">
        <f t="array" aca="1" ref="P61" ca="1">DSUM(MercadoBase1,P$53,INDIRECT("r"&amp;5+2*(ROW()-54)&amp;":r"&amp;6+2*(ROW()-54)))</f>
        <v>0</v>
      </c>
      <c r="Q61" s="953" cm="1">
        <f t="array" aca="1" ref="Q61" ca="1">DSUM(MercadoBase1,Q$53,INDIRECT("r"&amp;5+2*(ROW()-54)&amp;":r"&amp;6+2*(ROW()-54)))</f>
        <v>0</v>
      </c>
      <c r="R61" s="949">
        <f>VLOOKUP(CAPA!$C$17,Índices!B:F,5,FALSE)/VLOOKUP(DATE(YEAR(B61),MONTH(B61),1),Índices!B:F,5,FALSE)</f>
        <v>1.038659722138076</v>
      </c>
      <c r="S61" s="955" cm="1">
        <f t="array" aca="1" ref="S61" ca="1">DSUM(MercadoBase1,S$53,INDIRECT("r"&amp;5+2*(ROW()-54)&amp;":r"&amp;6+2*(ROW()-54)))</f>
        <v>0</v>
      </c>
      <c r="T61" s="948" cm="1">
        <f t="array" aca="1" ref="T61" ca="1">DSUM(MercadoBase1,T$53,INDIRECT("r"&amp;5+2*(ROW()-54)&amp;":r"&amp;6+2*(ROW()-54)))</f>
        <v>0</v>
      </c>
      <c r="U61" s="948" cm="1">
        <f t="array" aca="1" ref="U61" ca="1">DSUM(MercadoBase1,U$53,INDIRECT("r"&amp;5+2*(ROW()-54)&amp;":r"&amp;6+2*(ROW()-54)))</f>
        <v>0</v>
      </c>
      <c r="V61" s="948" cm="1">
        <f t="array" aca="1" ref="V61" ca="1">DSUM(MercadoBase1,V$53,INDIRECT("r"&amp;5+2*(ROW()-54)&amp;":r"&amp;6+2*(ROW()-54)))</f>
        <v>0</v>
      </c>
      <c r="W61" s="948" cm="1">
        <f t="array" aca="1" ref="W61" ca="1">DSUM(MercadoBase1,W$53,INDIRECT("r"&amp;5+2*(ROW()-54)&amp;":r"&amp;6+2*(ROW()-54)))</f>
        <v>0</v>
      </c>
      <c r="X61" s="948" cm="1">
        <f t="array" aca="1" ref="X61" ca="1">DSUM(MercadoBase1,X$53,INDIRECT("r"&amp;5+2*(ROW()-54)&amp;":r"&amp;6+2*(ROW()-54)))</f>
        <v>0</v>
      </c>
      <c r="Y61" s="948" cm="1">
        <f t="array" aca="1" ref="Y61" ca="1">DSUM(MercadoBase1,Y$53,INDIRECT("r"&amp;5+2*(ROW()-54)&amp;":r"&amp;6+2*(ROW()-54)))</f>
        <v>0</v>
      </c>
      <c r="Z61" s="948" cm="1">
        <f t="array" aca="1" ref="Z61" ca="1">DSUM(MercadoBase1,Z$53,INDIRECT("r"&amp;5+2*(ROW()-54)&amp;":r"&amp;6+2*(ROW()-54)))</f>
        <v>4013023.3564948398</v>
      </c>
      <c r="AA61" s="948" cm="1">
        <f t="array" aca="1" ref="AA61" ca="1">DSUM(MercadoBase1,AA$53,INDIRECT("r"&amp;5+2*(ROW()-54)&amp;":r"&amp;6+2*(ROW()-54)))</f>
        <v>0</v>
      </c>
      <c r="AB61" s="948" cm="1">
        <f t="array" aca="1" ref="AB61" ca="1">DSUM(MercadoBase1,AB$53,INDIRECT("r"&amp;5+2*(ROW()-54)&amp;":r"&amp;6+2*(ROW()-54)))</f>
        <v>0</v>
      </c>
    </row>
    <row r="62" spans="2:28" ht="15" customHeight="1">
      <c r="B62" s="946">
        <f t="shared" si="2"/>
        <v>44621</v>
      </c>
      <c r="C62" s="947"/>
      <c r="D62" s="948" cm="1">
        <f t="array" aca="1" ref="D62" ca="1">DSUM(MercadoBase1,D$53,INDIRECT("r"&amp;5+2*(ROW()-54)&amp;":r"&amp;6+2*(ROW()-54)))</f>
        <v>0</v>
      </c>
      <c r="E62" s="948" cm="1">
        <f t="array" aca="1" ref="E62" ca="1">DSUM(MercadoBase1,E$53,INDIRECT("r"&amp;5+2*(ROW()-54)&amp;":r"&amp;6+2*(ROW()-54)))</f>
        <v>0</v>
      </c>
      <c r="F62" s="948" cm="1">
        <f t="array" aca="1" ref="F62" ca="1">DSUM(MercadoBase1,F$53,INDIRECT("r"&amp;5+2*(ROW()-54)&amp;":r"&amp;6+2*(ROW()-54)))</f>
        <v>77779.232305716956</v>
      </c>
      <c r="G62" s="948" cm="1">
        <f t="array" aca="1" ref="G62" ca="1">DSUM(MercadoBase1,G$53,INDIRECT("r"&amp;5+2*(ROW()-54)&amp;":r"&amp;6+2*(ROW()-54)))</f>
        <v>96437.744558255639</v>
      </c>
      <c r="H62" s="948" cm="1">
        <f t="array" aca="1" ref="H62" ca="1">DSUM(MercadoBase1,H$53,INDIRECT("r"&amp;5+2*(ROW()-54)&amp;":r"&amp;6+2*(ROW()-54)))</f>
        <v>597390.72790404782</v>
      </c>
      <c r="I62" s="948" cm="1">
        <f t="array" aca="1" ref="I62" ca="1">DSUM(MercadoBase1,I$53,INDIRECT("r"&amp;5+2*(ROW()-54)&amp;":r"&amp;6+2*(ROW()-54)))</f>
        <v>15542.237044905798</v>
      </c>
      <c r="J62" s="948" cm="1">
        <f t="array" aca="1" ref="J62" ca="1">DSUM(MercadoBase1,J$53,INDIRECT("r"&amp;5+2*(ROW()-54)&amp;":r"&amp;6+2*(ROW()-54)))</f>
        <v>0</v>
      </c>
      <c r="K62" s="948" cm="1">
        <f t="array" aca="1" ref="K62" ca="1">DSUM(MercadoBase1,K$53,INDIRECT("r"&amp;5+2*(ROW()-54)&amp;":r"&amp;6+2*(ROW()-54)))</f>
        <v>0</v>
      </c>
      <c r="L62" s="948" cm="1">
        <f t="array" aca="1" ref="L62" ca="1">DSUM(MercadoBase1,L$53,INDIRECT("r"&amp;5+2*(ROW()-54)&amp;":r"&amp;6+2*(ROW()-54)))</f>
        <v>0</v>
      </c>
      <c r="M62" s="948" cm="1">
        <f t="array" aca="1" ref="M62" ca="1">DSUM(MercadoBase1,M$53,INDIRECT("r"&amp;5+2*(ROW()-54)&amp;":r"&amp;6+2*(ROW()-54)))</f>
        <v>0</v>
      </c>
      <c r="N62" s="948" cm="1">
        <f t="array" aca="1" ref="N62" ca="1">DSUM(MercadoBase1,N$53,INDIRECT("r"&amp;5+2*(ROW()-54)&amp;":r"&amp;6+2*(ROW()-54)))</f>
        <v>0</v>
      </c>
      <c r="O62" s="948" cm="1">
        <f t="array" aca="1" ref="O62" ca="1">DSUM(MercadoBase1,O$53,INDIRECT("r"&amp;5+2*(ROW()-54)&amp;":r"&amp;6+2*(ROW()-54)))</f>
        <v>0</v>
      </c>
      <c r="P62" s="948" cm="1">
        <f t="array" aca="1" ref="P62" ca="1">DSUM(MercadoBase1,P$53,INDIRECT("r"&amp;5+2*(ROW()-54)&amp;":r"&amp;6+2*(ROW()-54)))</f>
        <v>0</v>
      </c>
      <c r="Q62" s="953" cm="1">
        <f t="array" aca="1" ref="Q62" ca="1">DSUM(MercadoBase1,Q$53,INDIRECT("r"&amp;5+2*(ROW()-54)&amp;":r"&amp;6+2*(ROW()-54)))</f>
        <v>0</v>
      </c>
      <c r="R62" s="949">
        <f>VLOOKUP(CAPA!$C$17,Índices!B:F,5,FALSE)/VLOOKUP(DATE(YEAR(B62),MONTH(B62),1),Índices!B:F,5,FALSE)</f>
        <v>1.0291192325390464</v>
      </c>
      <c r="S62" s="955" cm="1">
        <f t="array" aca="1" ref="S62" ca="1">DSUM(MercadoBase1,S$53,INDIRECT("r"&amp;5+2*(ROW()-54)&amp;":r"&amp;6+2*(ROW()-54)))</f>
        <v>0</v>
      </c>
      <c r="T62" s="948" cm="1">
        <f t="array" aca="1" ref="T62" ca="1">DSUM(MercadoBase1,T$53,INDIRECT("r"&amp;5+2*(ROW()-54)&amp;":r"&amp;6+2*(ROW()-54)))</f>
        <v>0</v>
      </c>
      <c r="U62" s="948" cm="1">
        <f t="array" aca="1" ref="U62" ca="1">DSUM(MercadoBase1,U$53,INDIRECT("r"&amp;5+2*(ROW()-54)&amp;":r"&amp;6+2*(ROW()-54)))</f>
        <v>0</v>
      </c>
      <c r="V62" s="948" cm="1">
        <f t="array" aca="1" ref="V62" ca="1">DSUM(MercadoBase1,V$53,INDIRECT("r"&amp;5+2*(ROW()-54)&amp;":r"&amp;6+2*(ROW()-54)))</f>
        <v>0</v>
      </c>
      <c r="W62" s="948" cm="1">
        <f t="array" aca="1" ref="W62" ca="1">DSUM(MercadoBase1,W$53,INDIRECT("r"&amp;5+2*(ROW()-54)&amp;":r"&amp;6+2*(ROW()-54)))</f>
        <v>0</v>
      </c>
      <c r="X62" s="948" cm="1">
        <f t="array" aca="1" ref="X62" ca="1">DSUM(MercadoBase1,X$53,INDIRECT("r"&amp;5+2*(ROW()-54)&amp;":r"&amp;6+2*(ROW()-54)))</f>
        <v>0</v>
      </c>
      <c r="Y62" s="948" cm="1">
        <f t="array" aca="1" ref="Y62" ca="1">DSUM(MercadoBase1,Y$53,INDIRECT("r"&amp;5+2*(ROW()-54)&amp;":r"&amp;6+2*(ROW()-54)))</f>
        <v>0</v>
      </c>
      <c r="Z62" s="948" cm="1">
        <f t="array" aca="1" ref="Z62" ca="1">DSUM(MercadoBase1,Z$53,INDIRECT("r"&amp;5+2*(ROW()-54)&amp;":r"&amp;6+2*(ROW()-54)))</f>
        <v>3746995.8977451087</v>
      </c>
      <c r="AA62" s="948" cm="1">
        <f t="array" aca="1" ref="AA62" ca="1">DSUM(MercadoBase1,AA$53,INDIRECT("r"&amp;5+2*(ROW()-54)&amp;":r"&amp;6+2*(ROW()-54)))</f>
        <v>0</v>
      </c>
      <c r="AB62" s="948" cm="1">
        <f t="array" aca="1" ref="AB62" ca="1">DSUM(MercadoBase1,AB$53,INDIRECT("r"&amp;5+2*(ROW()-54)&amp;":r"&amp;6+2*(ROW()-54)))</f>
        <v>0</v>
      </c>
    </row>
    <row r="63" spans="2:28" ht="15" customHeight="1">
      <c r="B63" s="946">
        <f t="shared" si="2"/>
        <v>44652</v>
      </c>
      <c r="C63" s="947"/>
      <c r="D63" s="948" cm="1">
        <f t="array" aca="1" ref="D63" ca="1">DSUM(MercadoBase1,D$53,INDIRECT("r"&amp;5+2*(ROW()-54)&amp;":r"&amp;6+2*(ROW()-54)))</f>
        <v>0</v>
      </c>
      <c r="E63" s="948" cm="1">
        <f t="array" aca="1" ref="E63" ca="1">DSUM(MercadoBase1,E$53,INDIRECT("r"&amp;5+2*(ROW()-54)&amp;":r"&amp;6+2*(ROW()-54)))</f>
        <v>0</v>
      </c>
      <c r="F63" s="948" cm="1">
        <f t="array" aca="1" ref="F63" ca="1">DSUM(MercadoBase1,F$53,INDIRECT("r"&amp;5+2*(ROW()-54)&amp;":r"&amp;6+2*(ROW()-54)))</f>
        <v>63711.795881471357</v>
      </c>
      <c r="G63" s="948" cm="1">
        <f t="array" aca="1" ref="G63" ca="1">DSUM(MercadoBase1,G$53,INDIRECT("r"&amp;5+2*(ROW()-54)&amp;":r"&amp;6+2*(ROW()-54)))</f>
        <v>79325.540491981243</v>
      </c>
      <c r="H63" s="948" cm="1">
        <f t="array" aca="1" ref="H63" ca="1">DSUM(MercadoBase1,H$53,INDIRECT("r"&amp;5+2*(ROW()-54)&amp;":r"&amp;6+2*(ROW()-54)))</f>
        <v>487214.79994610325</v>
      </c>
      <c r="I63" s="948" cm="1">
        <f t="array" aca="1" ref="I63" ca="1">DSUM(MercadoBase1,I$53,INDIRECT("r"&amp;5+2*(ROW()-54)&amp;":r"&amp;6+2*(ROW()-54)))</f>
        <v>12726.933613526027</v>
      </c>
      <c r="J63" s="948" cm="1">
        <f t="array" aca="1" ref="J63" ca="1">DSUM(MercadoBase1,J$53,INDIRECT("r"&amp;5+2*(ROW()-54)&amp;":r"&amp;6+2*(ROW()-54)))</f>
        <v>0</v>
      </c>
      <c r="K63" s="948" cm="1">
        <f t="array" aca="1" ref="K63" ca="1">DSUM(MercadoBase1,K$53,INDIRECT("r"&amp;5+2*(ROW()-54)&amp;":r"&amp;6+2*(ROW()-54)))</f>
        <v>0</v>
      </c>
      <c r="L63" s="948" cm="1">
        <f t="array" aca="1" ref="L63" ca="1">DSUM(MercadoBase1,L$53,INDIRECT("r"&amp;5+2*(ROW()-54)&amp;":r"&amp;6+2*(ROW()-54)))</f>
        <v>0</v>
      </c>
      <c r="M63" s="948" cm="1">
        <f t="array" aca="1" ref="M63" ca="1">DSUM(MercadoBase1,M$53,INDIRECT("r"&amp;5+2*(ROW()-54)&amp;":r"&amp;6+2*(ROW()-54)))</f>
        <v>0</v>
      </c>
      <c r="N63" s="948" cm="1">
        <f t="array" aca="1" ref="N63" ca="1">DSUM(MercadoBase1,N$53,INDIRECT("r"&amp;5+2*(ROW()-54)&amp;":r"&amp;6+2*(ROW()-54)))</f>
        <v>0</v>
      </c>
      <c r="O63" s="948" cm="1">
        <f t="array" aca="1" ref="O63" ca="1">DSUM(MercadoBase1,O$53,INDIRECT("r"&amp;5+2*(ROW()-54)&amp;":r"&amp;6+2*(ROW()-54)))</f>
        <v>0</v>
      </c>
      <c r="P63" s="948" cm="1">
        <f t="array" aca="1" ref="P63" ca="1">DSUM(MercadoBase1,P$53,INDIRECT("r"&amp;5+2*(ROW()-54)&amp;":r"&amp;6+2*(ROW()-54)))</f>
        <v>0</v>
      </c>
      <c r="Q63" s="953" cm="1">
        <f t="array" aca="1" ref="Q63" ca="1">DSUM(MercadoBase1,Q$53,INDIRECT("r"&amp;5+2*(ROW()-54)&amp;":r"&amp;6+2*(ROW()-54)))</f>
        <v>0</v>
      </c>
      <c r="R63" s="949">
        <f>VLOOKUP(CAPA!$C$17,Índices!B:F,5,FALSE)/VLOOKUP(DATE(YEAR(B63),MONTH(B63),1),Índices!B:F,5,FALSE)</f>
        <v>1.0206041228759459</v>
      </c>
      <c r="S63" s="955" cm="1">
        <f t="array" aca="1" ref="S63" ca="1">DSUM(MercadoBase1,S$53,INDIRECT("r"&amp;5+2*(ROW()-54)&amp;":r"&amp;6+2*(ROW()-54)))</f>
        <v>0</v>
      </c>
      <c r="T63" s="948" cm="1">
        <f t="array" aca="1" ref="T63" ca="1">DSUM(MercadoBase1,T$53,INDIRECT("r"&amp;5+2*(ROW()-54)&amp;":r"&amp;6+2*(ROW()-54)))</f>
        <v>0</v>
      </c>
      <c r="U63" s="948" cm="1">
        <f t="array" aca="1" ref="U63" ca="1">DSUM(MercadoBase1,U$53,INDIRECT("r"&amp;5+2*(ROW()-54)&amp;":r"&amp;6+2*(ROW()-54)))</f>
        <v>0</v>
      </c>
      <c r="V63" s="948" cm="1">
        <f t="array" aca="1" ref="V63" ca="1">DSUM(MercadoBase1,V$53,INDIRECT("r"&amp;5+2*(ROW()-54)&amp;":r"&amp;6+2*(ROW()-54)))</f>
        <v>0</v>
      </c>
      <c r="W63" s="948" cm="1">
        <f t="array" aca="1" ref="W63" ca="1">DSUM(MercadoBase1,W$53,INDIRECT("r"&amp;5+2*(ROW()-54)&amp;":r"&amp;6+2*(ROW()-54)))</f>
        <v>0</v>
      </c>
      <c r="X63" s="948" cm="1">
        <f t="array" aca="1" ref="X63" ca="1">DSUM(MercadoBase1,X$53,INDIRECT("r"&amp;5+2*(ROW()-54)&amp;":r"&amp;6+2*(ROW()-54)))</f>
        <v>0</v>
      </c>
      <c r="Y63" s="948" cm="1">
        <f t="array" aca="1" ref="Y63" ca="1">DSUM(MercadoBase1,Y$53,INDIRECT("r"&amp;5+2*(ROW()-54)&amp;":r"&amp;6+2*(ROW()-54)))</f>
        <v>0</v>
      </c>
      <c r="Z63" s="948" cm="1">
        <f t="array" aca="1" ref="Z63" ca="1">DSUM(MercadoBase1,Z$53,INDIRECT("r"&amp;5+2*(ROW()-54)&amp;":r"&amp;6+2*(ROW()-54)))</f>
        <v>2945328.0005542953</v>
      </c>
      <c r="AA63" s="948" cm="1">
        <f t="array" aca="1" ref="AA63" ca="1">DSUM(MercadoBase1,AA$53,INDIRECT("r"&amp;5+2*(ROW()-54)&amp;":r"&amp;6+2*(ROW()-54)))</f>
        <v>0</v>
      </c>
      <c r="AB63" s="948" cm="1">
        <f t="array" aca="1" ref="AB63" ca="1">DSUM(MercadoBase1,AB$53,INDIRECT("r"&amp;5+2*(ROW()-54)&amp;":r"&amp;6+2*(ROW()-54)))</f>
        <v>0</v>
      </c>
    </row>
    <row r="64" spans="2:28" ht="15" customHeight="1">
      <c r="B64" s="946">
        <f t="shared" si="2"/>
        <v>44682</v>
      </c>
      <c r="C64" s="947"/>
      <c r="D64" s="948" cm="1">
        <f t="array" aca="1" ref="D64" ca="1">DSUM(MercadoBase1,D$53,INDIRECT("r"&amp;5+2*(ROW()-54)&amp;":r"&amp;6+2*(ROW()-54)))</f>
        <v>0</v>
      </c>
      <c r="E64" s="948" cm="1">
        <f t="array" aca="1" ref="E64" ca="1">DSUM(MercadoBase1,E$53,INDIRECT("r"&amp;5+2*(ROW()-54)&amp;":r"&amp;6+2*(ROW()-54)))</f>
        <v>0</v>
      </c>
      <c r="F64" s="948" cm="1">
        <f t="array" aca="1" ref="F64" ca="1">DSUM(MercadoBase1,F$53,INDIRECT("r"&amp;5+2*(ROW()-54)&amp;":r"&amp;6+2*(ROW()-54)))</f>
        <v>63229.090836887684</v>
      </c>
      <c r="G64" s="948" cm="1">
        <f t="array" aca="1" ref="G64" ca="1">DSUM(MercadoBase1,G$53,INDIRECT("r"&amp;5+2*(ROW()-54)&amp;":r"&amp;6+2*(ROW()-54)))</f>
        <v>79292.217822790335</v>
      </c>
      <c r="H64" s="948" cm="1">
        <f t="array" aca="1" ref="H64" ca="1">DSUM(MercadoBase1,H$53,INDIRECT("r"&amp;5+2*(ROW()-54)&amp;":r"&amp;6+2*(ROW()-54)))</f>
        <v>485483.57018688269</v>
      </c>
      <c r="I64" s="948" cm="1">
        <f t="array" aca="1" ref="I64" ca="1">DSUM(MercadoBase1,I$53,INDIRECT("r"&amp;5+2*(ROW()-54)&amp;":r"&amp;6+2*(ROW()-54)))</f>
        <v>12682.327275443862</v>
      </c>
      <c r="J64" s="948" cm="1">
        <f t="array" aca="1" ref="J64" ca="1">DSUM(MercadoBase1,J$53,INDIRECT("r"&amp;5+2*(ROW()-54)&amp;":r"&amp;6+2*(ROW()-54)))</f>
        <v>0</v>
      </c>
      <c r="K64" s="948" cm="1">
        <f t="array" aca="1" ref="K64" ca="1">DSUM(MercadoBase1,K$53,INDIRECT("r"&amp;5+2*(ROW()-54)&amp;":r"&amp;6+2*(ROW()-54)))</f>
        <v>0</v>
      </c>
      <c r="L64" s="948" cm="1">
        <f t="array" aca="1" ref="L64" ca="1">DSUM(MercadoBase1,L$53,INDIRECT("r"&amp;5+2*(ROW()-54)&amp;":r"&amp;6+2*(ROW()-54)))</f>
        <v>0</v>
      </c>
      <c r="M64" s="948" cm="1">
        <f t="array" aca="1" ref="M64" ca="1">DSUM(MercadoBase1,M$53,INDIRECT("r"&amp;5+2*(ROW()-54)&amp;":r"&amp;6+2*(ROW()-54)))</f>
        <v>0</v>
      </c>
      <c r="N64" s="948" cm="1">
        <f t="array" aca="1" ref="N64" ca="1">DSUM(MercadoBase1,N$53,INDIRECT("r"&amp;5+2*(ROW()-54)&amp;":r"&amp;6+2*(ROW()-54)))</f>
        <v>0</v>
      </c>
      <c r="O64" s="948" cm="1">
        <f t="array" aca="1" ref="O64" ca="1">DSUM(MercadoBase1,O$53,INDIRECT("r"&amp;5+2*(ROW()-54)&amp;":r"&amp;6+2*(ROW()-54)))</f>
        <v>0</v>
      </c>
      <c r="P64" s="948" cm="1">
        <f t="array" aca="1" ref="P64" ca="1">DSUM(MercadoBase1,P$53,INDIRECT("r"&amp;5+2*(ROW()-54)&amp;":r"&amp;6+2*(ROW()-54)))</f>
        <v>0</v>
      </c>
      <c r="Q64" s="953" cm="1">
        <f t="array" aca="1" ref="Q64" ca="1">DSUM(MercadoBase1,Q$53,INDIRECT("r"&amp;5+2*(ROW()-54)&amp;":r"&amp;6+2*(ROW()-54)))</f>
        <v>0</v>
      </c>
      <c r="R64" s="949">
        <f>VLOOKUP(CAPA!$C$17,Índices!B:F,5,FALSE)/VLOOKUP(DATE(YEAR(B64),MONTH(B64),1),Índices!B:F,5,FALSE)</f>
        <v>1.0101531560893695</v>
      </c>
      <c r="S64" s="955" cm="1">
        <f t="array" aca="1" ref="S64" ca="1">DSUM(MercadoBase1,S$53,INDIRECT("r"&amp;5+2*(ROW()-54)&amp;":r"&amp;6+2*(ROW()-54)))</f>
        <v>0</v>
      </c>
      <c r="T64" s="948" cm="1">
        <f t="array" aca="1" ref="T64" ca="1">DSUM(MercadoBase1,T$53,INDIRECT("r"&amp;5+2*(ROW()-54)&amp;":r"&amp;6+2*(ROW()-54)))</f>
        <v>0</v>
      </c>
      <c r="U64" s="948" cm="1">
        <f t="array" aca="1" ref="U64" ca="1">DSUM(MercadoBase1,U$53,INDIRECT("r"&amp;5+2*(ROW()-54)&amp;":r"&amp;6+2*(ROW()-54)))</f>
        <v>0</v>
      </c>
      <c r="V64" s="948" cm="1">
        <f t="array" aca="1" ref="V64" ca="1">DSUM(MercadoBase1,V$53,INDIRECT("r"&amp;5+2*(ROW()-54)&amp;":r"&amp;6+2*(ROW()-54)))</f>
        <v>0</v>
      </c>
      <c r="W64" s="948" cm="1">
        <f t="array" aca="1" ref="W64" ca="1">DSUM(MercadoBase1,W$53,INDIRECT("r"&amp;5+2*(ROW()-54)&amp;":r"&amp;6+2*(ROW()-54)))</f>
        <v>0</v>
      </c>
      <c r="X64" s="948" cm="1">
        <f t="array" aca="1" ref="X64" ca="1">DSUM(MercadoBase1,X$53,INDIRECT("r"&amp;5+2*(ROW()-54)&amp;":r"&amp;6+2*(ROW()-54)))</f>
        <v>0</v>
      </c>
      <c r="Y64" s="948" cm="1">
        <f t="array" aca="1" ref="Y64" ca="1">DSUM(MercadoBase1,Y$53,INDIRECT("r"&amp;5+2*(ROW()-54)&amp;":r"&amp;6+2*(ROW()-54)))</f>
        <v>0</v>
      </c>
      <c r="Z64" s="948" cm="1">
        <f t="array" aca="1" ref="Z64" ca="1">DSUM(MercadoBase1,Z$53,INDIRECT("r"&amp;5+2*(ROW()-54)&amp;":r"&amp;6+2*(ROW()-54)))</f>
        <v>2919345.4302304424</v>
      </c>
      <c r="AA64" s="948" cm="1">
        <f t="array" aca="1" ref="AA64" ca="1">DSUM(MercadoBase1,AA$53,INDIRECT("r"&amp;5+2*(ROW()-54)&amp;":r"&amp;6+2*(ROW()-54)))</f>
        <v>0</v>
      </c>
      <c r="AB64" s="948" cm="1">
        <f t="array" aca="1" ref="AB64" ca="1">DSUM(MercadoBase1,AB$53,INDIRECT("r"&amp;5+2*(ROW()-54)&amp;":r"&amp;6+2*(ROW()-54)))</f>
        <v>0</v>
      </c>
    </row>
    <row r="65" spans="2:28" ht="15" customHeight="1">
      <c r="B65" s="946">
        <f>DATE(YEAR(CAPA!$C$15),MONTH(CAPA!$C$15)-1,1)</f>
        <v>44713</v>
      </c>
      <c r="C65" s="947"/>
      <c r="D65" s="1425" cm="1">
        <f t="array" aca="1" ref="D65" ca="1">DSUM(MercadoBase1,D$53,INDIRECT("r"&amp;5+2*(ROW()-54)&amp;":r"&amp;6+2*(ROW()-54)))</f>
        <v>0</v>
      </c>
      <c r="E65" s="1425" cm="1">
        <f t="array" aca="1" ref="E65" ca="1">DSUM(MercadoBase1,E$53,INDIRECT("r"&amp;5+2*(ROW()-54)&amp;":r"&amp;6+2*(ROW()-54)))</f>
        <v>0</v>
      </c>
      <c r="F65" s="948" cm="1">
        <f t="array" aca="1" ref="F65" ca="1">DSUM(MercadoBase1,F$53,INDIRECT("r"&amp;5+2*(ROW()-54)&amp;":r"&amp;6+2*(ROW()-54)))</f>
        <v>64556.188569964863</v>
      </c>
      <c r="G65" s="1425" cm="1">
        <f t="array" aca="1" ref="G65" ca="1">DSUM(MercadoBase1,G$53,INDIRECT("r"&amp;5+2*(ROW()-54)&amp;":r"&amp;6+2*(ROW()-54)))</f>
        <v>80556.354555597267</v>
      </c>
      <c r="H65" s="1425" cm="1">
        <f t="array" aca="1" ref="H65" ca="1">DSUM(MercadoBase1,H$53,INDIRECT("r"&amp;5+2*(ROW()-54)&amp;":r"&amp;6+2*(ROW()-54)))</f>
        <v>494481.643502791</v>
      </c>
      <c r="I65" s="948" cm="1">
        <f t="array" aca="1" ref="I65" ca="1">DSUM(MercadoBase1,I$53,INDIRECT("r"&amp;5+2*(ROW()-54)&amp;":r"&amp;6+2*(ROW()-54)))</f>
        <v>12854.13921316949</v>
      </c>
      <c r="J65" s="1425" cm="1">
        <f t="array" aca="1" ref="J65" ca="1">DSUM(MercadoBase1,J$53,INDIRECT("r"&amp;5+2*(ROW()-54)&amp;":r"&amp;6+2*(ROW()-54)))</f>
        <v>0</v>
      </c>
      <c r="K65" s="1425" cm="1">
        <f t="array" aca="1" ref="K65" ca="1">DSUM(MercadoBase1,K$53,INDIRECT("r"&amp;5+2*(ROW()-54)&amp;":r"&amp;6+2*(ROW()-54)))</f>
        <v>0</v>
      </c>
      <c r="L65" s="948" cm="1">
        <f t="array" aca="1" ref="L65" ca="1">DSUM(MercadoBase1,L$53,INDIRECT("r"&amp;5+2*(ROW()-54)&amp;":r"&amp;6+2*(ROW()-54)))</f>
        <v>0</v>
      </c>
      <c r="M65" s="1425" cm="1">
        <f t="array" aca="1" ref="M65" ca="1">DSUM(MercadoBase1,M$53,INDIRECT("r"&amp;5+2*(ROW()-54)&amp;":r"&amp;6+2*(ROW()-54)))</f>
        <v>0</v>
      </c>
      <c r="N65" s="1425" cm="1">
        <f t="array" aca="1" ref="N65" ca="1">DSUM(MercadoBase1,N$53,INDIRECT("r"&amp;5+2*(ROW()-54)&amp;":r"&amp;6+2*(ROW()-54)))</f>
        <v>0</v>
      </c>
      <c r="O65" s="948" cm="1">
        <f t="array" aca="1" ref="O65" ca="1">DSUM(MercadoBase1,O$53,INDIRECT("r"&amp;5+2*(ROW()-54)&amp;":r"&amp;6+2*(ROW()-54)))</f>
        <v>0</v>
      </c>
      <c r="P65" s="1425" cm="1">
        <f t="array" aca="1" ref="P65" ca="1">DSUM(MercadoBase1,P$53,INDIRECT("r"&amp;5+2*(ROW()-54)&amp;":r"&amp;6+2*(ROW()-54)))</f>
        <v>0</v>
      </c>
      <c r="Q65" s="954" cm="1">
        <f t="array" aca="1" ref="Q65" ca="1">DSUM(MercadoBase1,Q$53,INDIRECT("r"&amp;5+2*(ROW()-54)&amp;":r"&amp;6+2*(ROW()-54)))</f>
        <v>0</v>
      </c>
      <c r="R65" s="1426">
        <f>VLOOKUP(CAPA!$C$17,Índices!B:F,5,FALSE)/VLOOKUP(DATE(YEAR(B65),MONTH(B65),1),Índices!B:F,5,FALSE)</f>
        <v>1</v>
      </c>
      <c r="S65" s="955" cm="1">
        <f t="array" aca="1" ref="S65" ca="1">DSUM(MercadoBase1,S$53,INDIRECT("r"&amp;5+2*(ROW()-54)&amp;":r"&amp;6+2*(ROW()-54)))</f>
        <v>0</v>
      </c>
      <c r="T65" s="1425" cm="1">
        <f t="array" aca="1" ref="T65" ca="1">DSUM(MercadoBase1,T$53,INDIRECT("r"&amp;5+2*(ROW()-54)&amp;":r"&amp;6+2*(ROW()-54)))</f>
        <v>0</v>
      </c>
      <c r="U65" s="1425" cm="1">
        <f t="array" aca="1" ref="U65" ca="1">DSUM(MercadoBase1,U$53,INDIRECT("r"&amp;5+2*(ROW()-54)&amp;":r"&amp;6+2*(ROW()-54)))</f>
        <v>0</v>
      </c>
      <c r="V65" s="948" cm="1">
        <f t="array" aca="1" ref="V65" ca="1">DSUM(MercadoBase1,V$53,INDIRECT("r"&amp;5+2*(ROW()-54)&amp;":r"&amp;6+2*(ROW()-54)))</f>
        <v>0</v>
      </c>
      <c r="W65" s="1425" cm="1">
        <f t="array" aca="1" ref="W65" ca="1">DSUM(MercadoBase1,W$53,INDIRECT("r"&amp;5+2*(ROW()-54)&amp;":r"&amp;6+2*(ROW()-54)))</f>
        <v>0</v>
      </c>
      <c r="X65" s="1425" cm="1">
        <f t="array" aca="1" ref="X65" ca="1">DSUM(MercadoBase1,X$53,INDIRECT("r"&amp;5+2*(ROW()-54)&amp;":r"&amp;6+2*(ROW()-54)))</f>
        <v>0</v>
      </c>
      <c r="Y65" s="948" cm="1">
        <f t="array" aca="1" ref="Y65" ca="1">DSUM(MercadoBase1,Y$53,INDIRECT("r"&amp;5+2*(ROW()-54)&amp;":r"&amp;6+2*(ROW()-54)))</f>
        <v>0</v>
      </c>
      <c r="Z65" s="1425" cm="1">
        <f t="array" aca="1" ref="Z65" ca="1">DSUM(MercadoBase1,Z$53,INDIRECT("r"&amp;5+2*(ROW()-54)&amp;":r"&amp;6+2*(ROW()-54)))</f>
        <v>3183889.9784893459</v>
      </c>
      <c r="AA65" s="1425" cm="1">
        <f t="array" aca="1" ref="AA65" ca="1">DSUM(MercadoBase1,AA$53,INDIRECT("r"&amp;5+2*(ROW()-54)&amp;":r"&amp;6+2*(ROW()-54)))</f>
        <v>0</v>
      </c>
      <c r="AB65" s="948" cm="1">
        <f t="array" aca="1" ref="AB65" ca="1">DSUM(MercadoBase1,AB$53,INDIRECT("r"&amp;5+2*(ROW()-54)&amp;":r"&amp;6+2*(ROW()-54)))</f>
        <v>0</v>
      </c>
    </row>
    <row r="66" spans="2:28" ht="15" customHeight="1">
      <c r="B66" s="1427" t="s">
        <v>1012</v>
      </c>
      <c r="C66" s="1428"/>
      <c r="D66" s="1429">
        <f ca="1">SUM(D54:D65)</f>
        <v>0</v>
      </c>
      <c r="E66" s="1429">
        <f t="shared" ref="E66:Q66" ca="1" si="3">SUM(E54:E65)</f>
        <v>0</v>
      </c>
      <c r="F66" s="1429">
        <f t="shared" ca="1" si="3"/>
        <v>859785.06388833188</v>
      </c>
      <c r="G66" s="1429">
        <f ca="1">SUM(G54:G65)</f>
        <v>1063012.1990452227</v>
      </c>
      <c r="H66" s="1429">
        <f t="shared" ca="1" si="3"/>
        <v>6551838.6932571782</v>
      </c>
      <c r="I66" s="1429">
        <f t="shared" ca="1" si="3"/>
        <v>169588.62193635927</v>
      </c>
      <c r="J66" s="1429">
        <f t="shared" ca="1" si="3"/>
        <v>0</v>
      </c>
      <c r="K66" s="1429">
        <f t="shared" ca="1" si="3"/>
        <v>0</v>
      </c>
      <c r="L66" s="1429">
        <f t="shared" ca="1" si="3"/>
        <v>0</v>
      </c>
      <c r="M66" s="1429">
        <f t="shared" ca="1" si="3"/>
        <v>0</v>
      </c>
      <c r="N66" s="1429">
        <f t="shared" ca="1" si="3"/>
        <v>0</v>
      </c>
      <c r="O66" s="1429">
        <f t="shared" ca="1" si="3"/>
        <v>0</v>
      </c>
      <c r="P66" s="1429">
        <f t="shared" ca="1" si="3"/>
        <v>0</v>
      </c>
      <c r="Q66" s="1429">
        <f t="shared" ca="1" si="3"/>
        <v>0</v>
      </c>
      <c r="R66" s="1425"/>
      <c r="S66" s="1429">
        <f t="shared" ref="S66:AB66" ca="1" si="4">SUM(S54:S65)</f>
        <v>0</v>
      </c>
      <c r="T66" s="1429">
        <f t="shared" ca="1" si="4"/>
        <v>0</v>
      </c>
      <c r="U66" s="1429">
        <f t="shared" ca="1" si="4"/>
        <v>0</v>
      </c>
      <c r="V66" s="1429">
        <f t="shared" ca="1" si="4"/>
        <v>0</v>
      </c>
      <c r="W66" s="1429">
        <f t="shared" ca="1" si="4"/>
        <v>0</v>
      </c>
      <c r="X66" s="1429">
        <f t="shared" ca="1" si="4"/>
        <v>0</v>
      </c>
      <c r="Y66" s="1429">
        <f t="shared" ca="1" si="4"/>
        <v>0</v>
      </c>
      <c r="Z66" s="1429">
        <f t="shared" ca="1" si="4"/>
        <v>39794732.768521406</v>
      </c>
      <c r="AA66" s="1429">
        <f t="shared" ca="1" si="4"/>
        <v>0</v>
      </c>
      <c r="AB66" s="1429">
        <f t="shared" ca="1" si="4"/>
        <v>0</v>
      </c>
    </row>
    <row r="67" spans="2:28" ht="15" customHeight="1">
      <c r="B67" s="1430" t="s">
        <v>1423</v>
      </c>
      <c r="C67" s="1431"/>
      <c r="D67" s="1432">
        <f t="shared" ref="D67:AB67" ca="1" si="5">SUMPRODUCT(D54:D65,$R$54:$R$65)</f>
        <v>0</v>
      </c>
      <c r="E67" s="1433">
        <f t="shared" ca="1" si="5"/>
        <v>0</v>
      </c>
      <c r="F67" s="1434">
        <f t="shared" ca="1" si="5"/>
        <v>900150.11542942026</v>
      </c>
      <c r="G67" s="1433">
        <f t="shared" ca="1" si="5"/>
        <v>1112868.5368899116</v>
      </c>
      <c r="H67" s="1433">
        <f t="shared" ca="1" si="5"/>
        <v>6859123.6179854451</v>
      </c>
      <c r="I67" s="1434">
        <f t="shared" ca="1" si="5"/>
        <v>177527.93041954975</v>
      </c>
      <c r="J67" s="1432">
        <f t="shared" ca="1" si="5"/>
        <v>0</v>
      </c>
      <c r="K67" s="1433">
        <f t="shared" ca="1" si="5"/>
        <v>0</v>
      </c>
      <c r="L67" s="1434">
        <f t="shared" ca="1" si="5"/>
        <v>0</v>
      </c>
      <c r="M67" s="1433">
        <f t="shared" ca="1" si="5"/>
        <v>0</v>
      </c>
      <c r="N67" s="1433">
        <f t="shared" ca="1" si="5"/>
        <v>0</v>
      </c>
      <c r="O67" s="1434">
        <f t="shared" ca="1" si="5"/>
        <v>0</v>
      </c>
      <c r="P67" s="1432">
        <f t="shared" ca="1" si="5"/>
        <v>0</v>
      </c>
      <c r="Q67" s="1432">
        <f t="shared" ca="1" si="5"/>
        <v>0</v>
      </c>
      <c r="R67" s="1433">
        <f t="shared" si="5"/>
        <v>13.165388547125795</v>
      </c>
      <c r="S67" s="1434">
        <f t="shared" ca="1" si="5"/>
        <v>0</v>
      </c>
      <c r="T67" s="1433">
        <f t="shared" ca="1" si="5"/>
        <v>0</v>
      </c>
      <c r="U67" s="1433">
        <f t="shared" ca="1" si="5"/>
        <v>0</v>
      </c>
      <c r="V67" s="1434">
        <f t="shared" ca="1" si="5"/>
        <v>0</v>
      </c>
      <c r="W67" s="1432">
        <f t="shared" ca="1" si="5"/>
        <v>0</v>
      </c>
      <c r="X67" s="1433">
        <f t="shared" ca="1" si="5"/>
        <v>0</v>
      </c>
      <c r="Y67" s="1434">
        <f t="shared" ca="1" si="5"/>
        <v>0</v>
      </c>
      <c r="Z67" s="1433">
        <f t="shared" ca="1" si="5"/>
        <v>41649516.355330214</v>
      </c>
      <c r="AA67" s="1433">
        <f t="shared" ca="1" si="5"/>
        <v>0</v>
      </c>
      <c r="AB67" s="1434">
        <f t="shared" ca="1" si="5"/>
        <v>0</v>
      </c>
    </row>
    <row r="71" spans="2:28" ht="15" customHeight="1">
      <c r="H71" s="956"/>
      <c r="J71" s="956"/>
    </row>
    <row r="72" spans="2:28" ht="15" customHeight="1">
      <c r="H72" s="956"/>
      <c r="J72" s="956"/>
    </row>
    <row r="73" spans="2:28" ht="15" customHeight="1">
      <c r="H73" s="956"/>
      <c r="J73" s="956"/>
    </row>
    <row r="74" spans="2:28" ht="15" customHeight="1">
      <c r="H74" s="956"/>
      <c r="J74" s="956"/>
    </row>
    <row r="75" spans="2:28" ht="15" customHeight="1">
      <c r="H75" s="956"/>
      <c r="J75" s="956"/>
    </row>
    <row r="76" spans="2:28" ht="15" customHeight="1">
      <c r="H76" s="956"/>
      <c r="J76" s="956"/>
    </row>
    <row r="77" spans="2:28" ht="15" customHeight="1">
      <c r="H77" s="956"/>
      <c r="J77" s="956"/>
    </row>
    <row r="78" spans="2:28" ht="15" customHeight="1">
      <c r="H78" s="956"/>
      <c r="J78" s="956"/>
    </row>
    <row r="79" spans="2:28" ht="15" customHeight="1">
      <c r="H79" s="956"/>
      <c r="J79" s="956"/>
    </row>
    <row r="80" spans="2:28" ht="15" customHeight="1">
      <c r="H80" s="956"/>
      <c r="J80" s="956"/>
    </row>
    <row r="81" spans="8:10" ht="15" customHeight="1">
      <c r="H81" s="956"/>
      <c r="J81" s="956"/>
    </row>
    <row r="82" spans="8:10" ht="15" customHeight="1">
      <c r="H82" s="956"/>
      <c r="J82" s="956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79" t="str">
        <f>CAPA!C9</f>
        <v>Certaja</v>
      </c>
    </row>
    <row r="3" spans="1:14">
      <c r="A3" s="879" t="s">
        <v>1424</v>
      </c>
      <c r="B3" s="880">
        <v>0</v>
      </c>
    </row>
    <row r="7" spans="1:14">
      <c r="A7" s="881"/>
      <c r="B7" s="1830" t="s">
        <v>1425</v>
      </c>
      <c r="C7" s="1830"/>
      <c r="D7" s="1830"/>
      <c r="E7" s="881"/>
      <c r="F7" s="1830" t="s">
        <v>1426</v>
      </c>
      <c r="G7" s="1830"/>
      <c r="H7" s="1830"/>
      <c r="I7" s="881"/>
      <c r="J7" s="1830" t="s">
        <v>1427</v>
      </c>
      <c r="K7" s="1830"/>
      <c r="L7" s="1830"/>
    </row>
    <row r="8" spans="1:14">
      <c r="A8" s="1435" t="s">
        <v>1428</v>
      </c>
      <c r="B8" s="1435" t="s">
        <v>1429</v>
      </c>
      <c r="C8" s="1435" t="s">
        <v>110</v>
      </c>
      <c r="D8" s="1435" t="s">
        <v>1430</v>
      </c>
      <c r="E8" s="1435"/>
      <c r="F8" s="1435" t="s">
        <v>1429</v>
      </c>
      <c r="G8" s="1435" t="s">
        <v>1431</v>
      </c>
      <c r="H8" s="1435" t="s">
        <v>1432</v>
      </c>
      <c r="I8" s="1435"/>
      <c r="J8" s="1435" t="s">
        <v>1429</v>
      </c>
      <c r="K8" s="1435" t="s">
        <v>1431</v>
      </c>
      <c r="L8" s="1435" t="s">
        <v>1433</v>
      </c>
    </row>
    <row r="9" spans="1:14">
      <c r="A9" s="1436">
        <v>44013</v>
      </c>
      <c r="B9" s="1437">
        <f>SUMIFS(BDCOVID!F:F,BDCOVID!$C:$C,'Conta covid'!$A$1,BDCOVID!$AH:$AH,'Conta covid'!$A9)</f>
        <v>0</v>
      </c>
      <c r="C9" s="1437">
        <f>SUMIFS(BDCOVID!G:G,BDCOVID!$C:$C,'Conta covid'!$A$1,BDCOVID!$AH:$AH,'Conta covid'!$A9)</f>
        <v>0</v>
      </c>
      <c r="D9" s="1438">
        <f>B9-C9</f>
        <v>0</v>
      </c>
      <c r="E9" s="1437"/>
      <c r="F9" s="1439">
        <f>B9*VLOOKUP(SAS_RA0_DataFim,Índices!$B$6:$F$405,5,FALSE)/VLOOKUP(EDATE('Conta covid'!$A9,-1),Índices!$B$6:$F$405,5,FALSE)</f>
        <v>0</v>
      </c>
      <c r="G9" s="1439">
        <f>C9*VLOOKUP(SAS_RA0_DataFim,Índices!$B$6:$F$405,5,FALSE)/VLOOKUP(EDATE('Conta covid'!$A9,-1),Índices!$B$6:$F$405,5,FALSE)</f>
        <v>0</v>
      </c>
      <c r="H9" s="1439">
        <f>F9-G9</f>
        <v>0</v>
      </c>
      <c r="I9" s="1437"/>
      <c r="J9" s="1439">
        <f>IFERROR(IF($C$19,H9*$B$3,0),0)</f>
        <v>0</v>
      </c>
      <c r="K9" s="1439"/>
      <c r="L9" s="1439"/>
    </row>
    <row r="10" spans="1:14">
      <c r="A10" s="1436">
        <v>44044</v>
      </c>
      <c r="B10" s="1437">
        <f>SUMIFS(BDCOVID!F:F,BDCOVID!$C:$C,'Conta covid'!$A$1,BDCOVID!$AH:$AH,'Conta covid'!$A10)</f>
        <v>0</v>
      </c>
      <c r="C10" s="1437">
        <f>SUMIFS(BDCOVID!G:G,BDCOVID!$C:$C,'Conta covid'!$A$1,BDCOVID!$AH:$AH,'Conta covid'!$A10)</f>
        <v>0</v>
      </c>
      <c r="D10" s="1438">
        <f t="shared" ref="D10:D15" si="0">B10-C10</f>
        <v>0</v>
      </c>
      <c r="E10" s="1437"/>
      <c r="F10" s="1439">
        <f>B10*VLOOKUP(SAS_RA0_DataFim,Índices!$B$6:$F$405,5,FALSE)/VLOOKUP(EDATE('Conta covid'!$A10,-1),Índices!$B$6:$F$405,5,FALSE)</f>
        <v>0</v>
      </c>
      <c r="G10" s="1439">
        <f>C10*VLOOKUP(SAS_RA0_DataFim,Índices!$B$6:$F$405,5,FALSE)/VLOOKUP(EDATE('Conta covid'!$A10,-1),Índices!$B$6:$F$405,5,FALSE)</f>
        <v>0</v>
      </c>
      <c r="H10" s="1439">
        <f t="shared" ref="H10:H15" si="1">F10-G10</f>
        <v>0</v>
      </c>
      <c r="I10" s="1437"/>
      <c r="J10" s="1439">
        <f t="shared" ref="J10:J16" si="2">IFERROR(IF($C$19,H10*$B$3,0),0)</f>
        <v>0</v>
      </c>
      <c r="K10" s="1439"/>
      <c r="L10" s="1439"/>
    </row>
    <row r="11" spans="1:14">
      <c r="A11" s="1436">
        <v>44075</v>
      </c>
      <c r="B11" s="1437">
        <f>SUMIFS(BDCOVID!F:F,BDCOVID!$C:$C,'Conta covid'!$A$1,BDCOVID!$AH:$AH,'Conta covid'!$A11)</f>
        <v>0</v>
      </c>
      <c r="C11" s="1437">
        <f>SUMIFS(BDCOVID!G:G,BDCOVID!$C:$C,'Conta covid'!$A$1,BDCOVID!$AH:$AH,'Conta covid'!$A11)</f>
        <v>0</v>
      </c>
      <c r="D11" s="1438">
        <f t="shared" si="0"/>
        <v>0</v>
      </c>
      <c r="E11" s="1437"/>
      <c r="F11" s="1439">
        <f>B11*VLOOKUP(SAS_RA0_DataFim,Índices!$B$6:$F$405,5,FALSE)/VLOOKUP(EDATE('Conta covid'!$A11,-1),Índices!$B$6:$F$405,5,FALSE)</f>
        <v>0</v>
      </c>
      <c r="G11" s="1439">
        <f>C11*VLOOKUP(SAS_RA0_DataFim,Índices!$B$6:$F$405,5,FALSE)/VLOOKUP(EDATE('Conta covid'!$A11,-1),Índices!$B$6:$F$405,5,FALSE)</f>
        <v>0</v>
      </c>
      <c r="H11" s="1439">
        <f t="shared" si="1"/>
        <v>0</v>
      </c>
      <c r="I11" s="1437"/>
      <c r="J11" s="1439">
        <f t="shared" si="2"/>
        <v>0</v>
      </c>
      <c r="K11" s="1439"/>
      <c r="L11" s="1439"/>
    </row>
    <row r="12" spans="1:14">
      <c r="A12" s="1436">
        <v>44105</v>
      </c>
      <c r="B12" s="1437">
        <f>SUMIFS(BDCOVID!F:F,BDCOVID!$C:$C,'Conta covid'!$A$1,BDCOVID!$AH:$AH,'Conta covid'!$A12)</f>
        <v>0</v>
      </c>
      <c r="C12" s="1437">
        <f>SUMIFS(BDCOVID!G:G,BDCOVID!$C:$C,'Conta covid'!$A$1,BDCOVID!$AH:$AH,'Conta covid'!$A12)</f>
        <v>0</v>
      </c>
      <c r="D12" s="1438">
        <f t="shared" si="0"/>
        <v>0</v>
      </c>
      <c r="E12" s="1437"/>
      <c r="F12" s="1439">
        <f>B12*VLOOKUP(SAS_RA0_DataFim,Índices!$B$6:$F$405,5,FALSE)/VLOOKUP(EDATE('Conta covid'!$A12,-1),Índices!$B$6:$F$405,5,FALSE)</f>
        <v>0</v>
      </c>
      <c r="G12" s="1439">
        <f>C12*VLOOKUP(SAS_RA0_DataFim,Índices!$B$6:$F$405,5,FALSE)/VLOOKUP(EDATE('Conta covid'!$A12,-1),Índices!$B$6:$F$405,5,FALSE)</f>
        <v>0</v>
      </c>
      <c r="H12" s="1439">
        <f t="shared" si="1"/>
        <v>0</v>
      </c>
      <c r="I12" s="1437"/>
      <c r="J12" s="1439">
        <f t="shared" si="2"/>
        <v>0</v>
      </c>
      <c r="K12" s="1439"/>
      <c r="L12" s="1439"/>
    </row>
    <row r="13" spans="1:14">
      <c r="A13" s="1436">
        <v>44136</v>
      </c>
      <c r="B13" s="1437">
        <f>SUMIFS(BDCOVID!F:F,BDCOVID!$C:$C,'Conta covid'!$A$1,BDCOVID!$AH:$AH,'Conta covid'!$A13)</f>
        <v>0</v>
      </c>
      <c r="C13" s="1437">
        <f>SUMIFS(BDCOVID!G:G,BDCOVID!$C:$C,'Conta covid'!$A$1,BDCOVID!$AH:$AH,'Conta covid'!$A13)</f>
        <v>0</v>
      </c>
      <c r="D13" s="1438">
        <f t="shared" si="0"/>
        <v>0</v>
      </c>
      <c r="E13" s="1437"/>
      <c r="F13" s="1439">
        <f>B13*VLOOKUP(SAS_RA0_DataFim,Índices!$B$6:$F$405,5,FALSE)/VLOOKUP(EDATE('Conta covid'!$A13,-1),Índices!$B$6:$F$405,5,FALSE)</f>
        <v>0</v>
      </c>
      <c r="G13" s="1439">
        <f>C13*VLOOKUP(SAS_RA0_DataFim,Índices!$B$6:$F$405,5,FALSE)/VLOOKUP(EDATE('Conta covid'!$A13,-1),Índices!$B$6:$F$405,5,FALSE)</f>
        <v>0</v>
      </c>
      <c r="H13" s="1439">
        <f t="shared" si="1"/>
        <v>0</v>
      </c>
      <c r="I13" s="1437"/>
      <c r="J13" s="1439">
        <f t="shared" si="2"/>
        <v>0</v>
      </c>
      <c r="K13" s="1439"/>
      <c r="L13" s="1439"/>
      <c r="M13" s="882">
        <f t="shared" ref="M13:N13" si="3">SUM(M5:M12)</f>
        <v>0</v>
      </c>
      <c r="N13" s="882">
        <f t="shared" si="3"/>
        <v>0</v>
      </c>
    </row>
    <row r="14" spans="1:14">
      <c r="A14" s="1436">
        <v>44166</v>
      </c>
      <c r="B14" s="1437">
        <f>SUMIFS(BDCOVID!F:F,BDCOVID!$C:$C,'Conta covid'!$A$1,BDCOVID!$AH:$AH,'Conta covid'!$A14)</f>
        <v>0</v>
      </c>
      <c r="C14" s="1437">
        <f>SUMIFS(BDCOVID!G:G,BDCOVID!$C:$C,'Conta covid'!$A$1,BDCOVID!$AH:$AH,'Conta covid'!$A14)</f>
        <v>0</v>
      </c>
      <c r="D14" s="1438">
        <f t="shared" si="0"/>
        <v>0</v>
      </c>
      <c r="E14" s="1437"/>
      <c r="F14" s="1439">
        <f>B14*VLOOKUP(SAS_RA0_DataFim,Índices!$B$6:$F$405,5,FALSE)/VLOOKUP(EDATE('Conta covid'!$A14,-1),Índices!$B$6:$F$405,5,FALSE)</f>
        <v>0</v>
      </c>
      <c r="G14" s="1439">
        <f>C14*VLOOKUP(SAS_RA0_DataFim,Índices!$B$6:$F$405,5,FALSE)/VLOOKUP(EDATE('Conta covid'!$A14,-1),Índices!$B$6:$F$405,5,FALSE)</f>
        <v>0</v>
      </c>
      <c r="H14" s="1439">
        <f t="shared" si="1"/>
        <v>0</v>
      </c>
      <c r="I14" s="1437"/>
      <c r="J14" s="1439">
        <f t="shared" si="2"/>
        <v>0</v>
      </c>
      <c r="K14" s="1439"/>
      <c r="L14" s="1439"/>
    </row>
    <row r="15" spans="1:14">
      <c r="A15" s="1436">
        <v>44197</v>
      </c>
      <c r="B15" s="1437">
        <f>SUMIFS(BDCOVID!F:F,BDCOVID!$C:$C,'Conta covid'!$A$1,BDCOVID!$AH:$AH,'Conta covid'!$A15)</f>
        <v>0</v>
      </c>
      <c r="C15" s="1437">
        <f>SUMIFS(BDCOVID!G:G,BDCOVID!$C:$C,'Conta covid'!$A$1,BDCOVID!$AH:$AH,'Conta covid'!$A15)</f>
        <v>0</v>
      </c>
      <c r="D15" s="1438">
        <f t="shared" si="0"/>
        <v>0</v>
      </c>
      <c r="E15" s="1437"/>
      <c r="F15" s="1439">
        <f>B15*VLOOKUP(SAS_RA0_DataFim,Índices!$B$6:$F$405,5,FALSE)/VLOOKUP(EDATE('Conta covid'!$A15,-1),Índices!$B$6:$F$405,5,FALSE)</f>
        <v>0</v>
      </c>
      <c r="G15" s="1439">
        <f>C15*VLOOKUP(SAS_RA0_DataFim,Índices!$B$6:$F$405,5,FALSE)/VLOOKUP(EDATE('Conta covid'!$A15,-1),Índices!$B$6:$F$405,5,FALSE)</f>
        <v>0</v>
      </c>
      <c r="H15" s="1439">
        <f t="shared" si="1"/>
        <v>0</v>
      </c>
      <c r="I15" s="1437"/>
      <c r="J15" s="1439">
        <f t="shared" si="2"/>
        <v>0</v>
      </c>
      <c r="K15" s="1439"/>
      <c r="L15" s="1439"/>
    </row>
    <row r="16" spans="1:14">
      <c r="A16" s="1437"/>
      <c r="B16" s="1437"/>
      <c r="C16" s="1437"/>
      <c r="D16" s="1437"/>
      <c r="E16" s="1437"/>
      <c r="F16" s="1437"/>
      <c r="G16" s="1439"/>
      <c r="H16" s="1437"/>
      <c r="I16" s="1437"/>
      <c r="J16" s="1439">
        <f t="shared" si="2"/>
        <v>0</v>
      </c>
      <c r="K16" s="1437"/>
      <c r="L16" s="1437"/>
    </row>
    <row r="17" spans="1:12">
      <c r="A17" s="1440" t="s">
        <v>845</v>
      </c>
      <c r="B17" s="1441">
        <f>SUM(B9:B16)</f>
        <v>0</v>
      </c>
      <c r="C17" s="1441">
        <f t="shared" ref="C17:L17" si="4">SUM(C9:C16)</f>
        <v>0</v>
      </c>
      <c r="D17" s="1441">
        <f t="shared" si="4"/>
        <v>0</v>
      </c>
      <c r="E17" s="1441">
        <f t="shared" si="4"/>
        <v>0</v>
      </c>
      <c r="F17" s="1441">
        <f t="shared" si="4"/>
        <v>0</v>
      </c>
      <c r="G17" s="1441">
        <f t="shared" si="4"/>
        <v>0</v>
      </c>
      <c r="H17" s="1441">
        <f t="shared" si="4"/>
        <v>0</v>
      </c>
      <c r="I17" s="1441">
        <f t="shared" si="4"/>
        <v>0</v>
      </c>
      <c r="J17" s="1441">
        <f t="shared" si="4"/>
        <v>0</v>
      </c>
      <c r="K17" s="1441">
        <f t="shared" si="4"/>
        <v>0</v>
      </c>
      <c r="L17" s="1441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5" t="s">
        <v>1434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4"/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358"/>
      <c r="P2" s="358"/>
      <c r="Q2" s="358"/>
      <c r="R2" s="9"/>
      <c r="S2" s="9"/>
      <c r="T2" s="9"/>
      <c r="U2" s="9"/>
      <c r="V2" s="9"/>
    </row>
    <row r="3" spans="1:22">
      <c r="A3" s="696" t="s">
        <v>1435</v>
      </c>
      <c r="B3" s="65"/>
      <c r="C3" s="65"/>
      <c r="D3" s="65"/>
      <c r="E3" s="65"/>
      <c r="F3" s="694"/>
      <c r="G3" s="358"/>
      <c r="H3" s="358"/>
      <c r="I3" s="696" t="s">
        <v>1436</v>
      </c>
      <c r="J3" s="358"/>
      <c r="K3" s="697"/>
      <c r="L3" s="9"/>
      <c r="M3" s="9"/>
      <c r="N3" s="694"/>
      <c r="O3" s="358"/>
      <c r="P3" s="358"/>
      <c r="Q3" s="358"/>
      <c r="R3" s="9"/>
      <c r="S3" s="9"/>
      <c r="T3" s="9"/>
      <c r="U3" s="9"/>
      <c r="V3" s="9"/>
    </row>
    <row r="4" spans="1:22" ht="25.5">
      <c r="A4" s="1442" t="s">
        <v>22</v>
      </c>
      <c r="B4" s="1443"/>
      <c r="C4" s="698" t="s">
        <v>928</v>
      </c>
      <c r="D4" s="698" t="s">
        <v>1437</v>
      </c>
      <c r="E4" s="698" t="s">
        <v>1438</v>
      </c>
      <c r="F4" s="698" t="s">
        <v>8</v>
      </c>
      <c r="G4" s="699" t="s">
        <v>1439</v>
      </c>
      <c r="H4" s="358"/>
      <c r="I4" s="1442" t="s">
        <v>22</v>
      </c>
      <c r="J4" s="1442"/>
      <c r="K4" s="1442"/>
      <c r="L4" s="698" t="s">
        <v>1438</v>
      </c>
      <c r="M4" s="698" t="s">
        <v>8</v>
      </c>
      <c r="N4" s="699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44" t="s">
        <v>773</v>
      </c>
      <c r="B5" s="1445"/>
      <c r="C5" s="1446">
        <f>SUMPRODUCT(C16:Q16,$C$22:$Q$22)</f>
        <v>1039761.0069176104</v>
      </c>
      <c r="D5" s="703">
        <f>SUMPRODUCT(C28:Q28,$C$34:$Q$34)</f>
        <v>1033037.4304298046</v>
      </c>
      <c r="E5" s="1447">
        <f>C5-D5</f>
        <v>6723.5764878058108</v>
      </c>
      <c r="F5" s="1448">
        <f>Resultado!M9</f>
        <v>967315.85564638628</v>
      </c>
      <c r="G5" s="700">
        <f>F5+E5</f>
        <v>974039.43213419209</v>
      </c>
      <c r="H5" s="358"/>
      <c r="I5" s="1444" t="s">
        <v>773</v>
      </c>
      <c r="J5" s="1444"/>
      <c r="K5" s="1444"/>
      <c r="L5" s="1448">
        <f t="shared" ref="L5:N10" si="0">E5/12</f>
        <v>560.29804065048427</v>
      </c>
      <c r="M5" s="1448">
        <f t="shared" si="0"/>
        <v>80609.654637198852</v>
      </c>
      <c r="N5" s="1446">
        <f t="shared" si="0"/>
        <v>81169.952677849345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1"/>
      <c r="C6" s="702">
        <f t="shared" ref="C6:C10" si="1">SUMPRODUCT(C17:Q17,$C$22:$Q$22)</f>
        <v>148310.92523839665</v>
      </c>
      <c r="D6" s="703">
        <f t="shared" ref="D6:D10" si="2">SUMPRODUCT(C29:Q29,$C$34:$Q$34)</f>
        <v>148258.92900710544</v>
      </c>
      <c r="E6" s="721">
        <f t="shared" ref="E6:E10" si="3">C6-D6</f>
        <v>51.996231291210279</v>
      </c>
      <c r="F6" s="703">
        <f>Resultado!M10</f>
        <v>128994.77642500884</v>
      </c>
      <c r="G6" s="700">
        <f t="shared" ref="G6:G10" si="4">F6+E6</f>
        <v>129046.77265630005</v>
      </c>
      <c r="H6" s="358"/>
      <c r="I6" s="65" t="s">
        <v>775</v>
      </c>
      <c r="J6" s="65"/>
      <c r="K6" s="65"/>
      <c r="L6" s="703">
        <f t="shared" si="0"/>
        <v>4.3330192742675235</v>
      </c>
      <c r="M6" s="703">
        <f t="shared" si="0"/>
        <v>10749.56470208407</v>
      </c>
      <c r="N6" s="702">
        <f t="shared" si="0"/>
        <v>10753.897721358337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1"/>
      <c r="C7" s="702">
        <f t="shared" si="1"/>
        <v>0</v>
      </c>
      <c r="D7" s="703">
        <f t="shared" si="2"/>
        <v>0</v>
      </c>
      <c r="E7" s="721">
        <f t="shared" si="3"/>
        <v>0</v>
      </c>
      <c r="F7" s="703">
        <f>-Financeiros!D37+Resultado!M11</f>
        <v>0</v>
      </c>
      <c r="G7" s="700">
        <f t="shared" si="4"/>
        <v>0</v>
      </c>
      <c r="H7" s="358"/>
      <c r="I7" s="65" t="s">
        <v>777</v>
      </c>
      <c r="J7" s="65"/>
      <c r="K7" s="65"/>
      <c r="L7" s="703">
        <f t="shared" si="0"/>
        <v>0</v>
      </c>
      <c r="M7" s="703">
        <f t="shared" si="0"/>
        <v>0</v>
      </c>
      <c r="N7" s="702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1"/>
      <c r="C8" s="702">
        <f t="shared" si="1"/>
        <v>16929.376623253713</v>
      </c>
      <c r="D8" s="703">
        <f t="shared" si="2"/>
        <v>16959.09592072339</v>
      </c>
      <c r="E8" s="721">
        <f t="shared" si="3"/>
        <v>-29.719297469677258</v>
      </c>
      <c r="F8" s="703">
        <f>Resultado!M12</f>
        <v>8395.6567028161553</v>
      </c>
      <c r="G8" s="700">
        <f t="shared" si="4"/>
        <v>8365.937405346478</v>
      </c>
      <c r="H8" s="358"/>
      <c r="I8" s="65" t="s">
        <v>778</v>
      </c>
      <c r="J8" s="65"/>
      <c r="K8" s="65"/>
      <c r="L8" s="703">
        <f t="shared" si="0"/>
        <v>-2.4766081224731047</v>
      </c>
      <c r="M8" s="703">
        <f t="shared" si="0"/>
        <v>699.63805856801298</v>
      </c>
      <c r="N8" s="702">
        <f t="shared" si="0"/>
        <v>697.1614504455398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1"/>
      <c r="C9" s="702">
        <f t="shared" si="1"/>
        <v>2532600.9662827258</v>
      </c>
      <c r="D9" s="703">
        <f t="shared" si="2"/>
        <v>2523971.2191363527</v>
      </c>
      <c r="E9" s="721">
        <f>C9-D9</f>
        <v>8629.747146373149</v>
      </c>
      <c r="F9" s="703">
        <f>Resultado!M13</f>
        <v>1251102.15713881</v>
      </c>
      <c r="G9" s="700">
        <f t="shared" si="4"/>
        <v>1259731.9042851832</v>
      </c>
      <c r="H9" s="358"/>
      <c r="I9" s="65" t="s">
        <v>781</v>
      </c>
      <c r="J9" s="65"/>
      <c r="K9" s="65"/>
      <c r="L9" s="703">
        <f t="shared" si="0"/>
        <v>719.14559553109575</v>
      </c>
      <c r="M9" s="703">
        <f t="shared" si="0"/>
        <v>104258.51309490083</v>
      </c>
      <c r="N9" s="702">
        <f t="shared" si="0"/>
        <v>104977.65869043193</v>
      </c>
      <c r="P9" s="358"/>
      <c r="Q9" s="358"/>
      <c r="R9" s="9"/>
      <c r="S9" s="9"/>
      <c r="T9" s="9"/>
      <c r="U9" s="9"/>
      <c r="V9" s="9"/>
    </row>
    <row r="10" spans="1:22">
      <c r="A10" s="1150" t="s">
        <v>783</v>
      </c>
      <c r="B10" s="704"/>
      <c r="C10" s="702">
        <f t="shared" si="1"/>
        <v>587201.69387809886</v>
      </c>
      <c r="D10" s="703">
        <f t="shared" si="2"/>
        <v>519378.82810975704</v>
      </c>
      <c r="E10" s="1449">
        <f t="shared" si="3"/>
        <v>67822.865768341813</v>
      </c>
      <c r="F10" s="1450">
        <f>Resultado!M14</f>
        <v>569269.26509445382</v>
      </c>
      <c r="G10" s="700">
        <f t="shared" si="4"/>
        <v>637092.13086279563</v>
      </c>
      <c r="H10" s="358"/>
      <c r="I10" s="1150" t="s">
        <v>783</v>
      </c>
      <c r="J10" s="1150"/>
      <c r="K10" s="1150"/>
      <c r="L10" s="1450">
        <f t="shared" si="0"/>
        <v>5651.9054806951508</v>
      </c>
      <c r="M10" s="1450">
        <f t="shared" si="0"/>
        <v>47439.105424537818</v>
      </c>
      <c r="N10" s="705">
        <f t="shared" si="0"/>
        <v>53091.010905232972</v>
      </c>
      <c r="P10" s="358"/>
      <c r="Q10" s="358"/>
      <c r="R10" s="9"/>
      <c r="S10" s="9"/>
      <c r="T10" s="9"/>
      <c r="U10" s="9"/>
      <c r="V10" s="9"/>
    </row>
    <row r="11" spans="1:22">
      <c r="A11" s="1451" t="s">
        <v>845</v>
      </c>
      <c r="B11" s="1451"/>
      <c r="C11" s="1452">
        <f>SUM(C5:C10)</f>
        <v>4324803.9689400848</v>
      </c>
      <c r="D11" s="1452">
        <f>SUM(D5:D10)</f>
        <v>4241605.5026037432</v>
      </c>
      <c r="E11" s="1452">
        <f t="shared" ref="E11" si="5">SUM(E5:E10)</f>
        <v>83198.466336342302</v>
      </c>
      <c r="F11" s="1452">
        <f>SUM(F5:F10)</f>
        <v>2925077.7110074754</v>
      </c>
      <c r="G11" s="1453">
        <f>SUM(G5:G10)</f>
        <v>3008276.1773438174</v>
      </c>
      <c r="H11" s="358"/>
      <c r="I11" s="1451" t="s">
        <v>845</v>
      </c>
      <c r="J11" s="1451"/>
      <c r="K11" s="1451"/>
      <c r="L11" s="1452">
        <f>SUM(L5:L10)</f>
        <v>6933.2055280285258</v>
      </c>
      <c r="M11" s="1452">
        <f>SUM(M5:M10)</f>
        <v>243756.47591728959</v>
      </c>
      <c r="N11" s="1453">
        <f>SUM(N5:N10)</f>
        <v>250689.68144531813</v>
      </c>
      <c r="P11" s="358"/>
      <c r="Q11" s="358"/>
      <c r="R11" s="9"/>
      <c r="S11" s="9"/>
      <c r="T11" s="9"/>
      <c r="U11" s="9"/>
      <c r="V11" s="9"/>
    </row>
    <row r="12" spans="1:22">
      <c r="A12" s="694"/>
      <c r="B12" s="694"/>
      <c r="C12" s="694"/>
      <c r="D12" s="694"/>
      <c r="E12" s="694"/>
      <c r="F12" s="694"/>
      <c r="G12" s="694"/>
      <c r="H12" s="694"/>
      <c r="I12" s="9"/>
      <c r="J12" s="694"/>
      <c r="K12" s="694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6" t="s">
        <v>1440</v>
      </c>
      <c r="B13" s="694"/>
      <c r="C13" s="358"/>
      <c r="D13" s="358"/>
      <c r="E13" s="358"/>
      <c r="F13" s="694"/>
      <c r="G13" s="694"/>
      <c r="H13" s="694"/>
      <c r="I13" s="694"/>
      <c r="J13" s="694"/>
      <c r="K13" s="694"/>
      <c r="L13" s="694"/>
      <c r="M13" s="694"/>
      <c r="N13" s="694"/>
      <c r="O13" s="358"/>
      <c r="P13" s="358"/>
      <c r="Q13" s="358"/>
      <c r="R13" s="9"/>
      <c r="S13" s="9"/>
      <c r="T13" s="9"/>
      <c r="U13" s="9"/>
      <c r="V13" s="9"/>
    </row>
    <row r="14" spans="1:22">
      <c r="A14" s="1831" t="s">
        <v>22</v>
      </c>
      <c r="B14" s="1832" t="s">
        <v>1441</v>
      </c>
      <c r="C14" s="358"/>
      <c r="D14" s="358"/>
      <c r="E14" s="358"/>
      <c r="F14" s="706" t="s">
        <v>952</v>
      </c>
      <c r="G14" s="706" t="s">
        <v>952</v>
      </c>
      <c r="H14" s="706" t="s">
        <v>952</v>
      </c>
      <c r="I14" s="706" t="s">
        <v>952</v>
      </c>
      <c r="J14" s="706" t="s">
        <v>952</v>
      </c>
      <c r="K14" s="706" t="s">
        <v>952</v>
      </c>
      <c r="L14" s="706" t="s">
        <v>952</v>
      </c>
      <c r="M14" s="706" t="s">
        <v>952</v>
      </c>
      <c r="N14" s="706" t="s">
        <v>952</v>
      </c>
      <c r="O14" s="706" t="s">
        <v>952</v>
      </c>
      <c r="P14" s="706" t="s">
        <v>952</v>
      </c>
      <c r="Q14" s="706" t="s">
        <v>952</v>
      </c>
      <c r="R14" s="9"/>
      <c r="S14" s="9"/>
      <c r="T14" s="9"/>
      <c r="U14" s="9"/>
      <c r="V14" s="9"/>
    </row>
    <row r="15" spans="1:22">
      <c r="A15" s="1831"/>
      <c r="B15" s="1832"/>
      <c r="C15" s="707">
        <f t="shared" ref="C15:P15" si="6">EDATE(D15,-1)</f>
        <v>44287</v>
      </c>
      <c r="D15" s="707">
        <f>EDATE(E15,-1)</f>
        <v>44317</v>
      </c>
      <c r="E15" s="707">
        <f>EDATE(F15,-1)</f>
        <v>44348</v>
      </c>
      <c r="F15" s="708">
        <f>EDATE(G15,-1)</f>
        <v>44378</v>
      </c>
      <c r="G15" s="708">
        <f t="shared" si="6"/>
        <v>44409</v>
      </c>
      <c r="H15" s="708">
        <f t="shared" si="6"/>
        <v>44440</v>
      </c>
      <c r="I15" s="708">
        <f t="shared" si="6"/>
        <v>44470</v>
      </c>
      <c r="J15" s="708">
        <f t="shared" si="6"/>
        <v>44501</v>
      </c>
      <c r="K15" s="708">
        <f t="shared" si="6"/>
        <v>44531</v>
      </c>
      <c r="L15" s="708">
        <f t="shared" si="6"/>
        <v>44562</v>
      </c>
      <c r="M15" s="708">
        <f t="shared" si="6"/>
        <v>44593</v>
      </c>
      <c r="N15" s="708">
        <f t="shared" si="6"/>
        <v>44621</v>
      </c>
      <c r="O15" s="708">
        <f t="shared" si="6"/>
        <v>44652</v>
      </c>
      <c r="P15" s="708">
        <f t="shared" si="6"/>
        <v>44682</v>
      </c>
      <c r="Q15" s="708">
        <f>DATE(YEAR(DataRevRea),MONTH(DataRevRea)-1,1)</f>
        <v>44713</v>
      </c>
      <c r="R15" s="9" t="s">
        <v>1015</v>
      </c>
      <c r="S15" s="9"/>
      <c r="T15" s="9"/>
      <c r="U15" s="9"/>
      <c r="V15" s="9"/>
    </row>
    <row r="16" spans="1:22">
      <c r="A16" s="709" t="s">
        <v>1442</v>
      </c>
      <c r="B16" s="710" t="s">
        <v>1004</v>
      </c>
      <c r="C16" s="711">
        <f>C40</f>
        <v>0</v>
      </c>
      <c r="D16" s="711">
        <f t="shared" ref="D16:E16" si="7">D40</f>
        <v>0</v>
      </c>
      <c r="E16" s="711">
        <f t="shared" si="7"/>
        <v>0</v>
      </c>
      <c r="F16" s="711">
        <f t="shared" ref="F16:Q21" si="8">DSUM(MercadoBase,$B16,F$14:F$15)</f>
        <v>80361.678776920002</v>
      </c>
      <c r="G16" s="711">
        <f t="shared" si="8"/>
        <v>81130.86923110002</v>
      </c>
      <c r="H16" s="711">
        <f t="shared" si="8"/>
        <v>83515.421493000002</v>
      </c>
      <c r="I16" s="711">
        <f t="shared" si="8"/>
        <v>82828.112825239994</v>
      </c>
      <c r="J16" s="711">
        <f t="shared" si="8"/>
        <v>81969.836336069988</v>
      </c>
      <c r="K16" s="711">
        <f t="shared" si="8"/>
        <v>79297.538294085025</v>
      </c>
      <c r="L16" s="711">
        <f t="shared" si="8"/>
        <v>90062.801292960008</v>
      </c>
      <c r="M16" s="711">
        <f t="shared" si="8"/>
        <v>89373.115807695009</v>
      </c>
      <c r="N16" s="711">
        <f t="shared" si="8"/>
        <v>76222.558042500008</v>
      </c>
      <c r="O16" s="711">
        <f t="shared" si="8"/>
        <v>75731.522349240011</v>
      </c>
      <c r="P16" s="711">
        <f t="shared" si="8"/>
        <v>76722.780436770001</v>
      </c>
      <c r="Q16" s="711">
        <f t="shared" si="8"/>
        <v>76048.902593135004</v>
      </c>
      <c r="R16" s="9"/>
      <c r="S16" s="9"/>
      <c r="T16" s="9"/>
      <c r="U16" s="9"/>
      <c r="V16" s="9"/>
    </row>
    <row r="17" spans="1:22">
      <c r="A17" s="709" t="s">
        <v>1443</v>
      </c>
      <c r="B17" s="710" t="s">
        <v>1005</v>
      </c>
      <c r="C17" s="711">
        <f t="shared" ref="C17:E21" si="9">C41</f>
        <v>0</v>
      </c>
      <c r="D17" s="711">
        <f t="shared" si="9"/>
        <v>0</v>
      </c>
      <c r="E17" s="711">
        <f t="shared" si="9"/>
        <v>0</v>
      </c>
      <c r="F17" s="711">
        <f t="shared" si="8"/>
        <v>11580.5</v>
      </c>
      <c r="G17" s="711">
        <f t="shared" si="8"/>
        <v>11580.5</v>
      </c>
      <c r="H17" s="711">
        <f t="shared" si="8"/>
        <v>11580.5</v>
      </c>
      <c r="I17" s="711">
        <f t="shared" si="8"/>
        <v>11580.5</v>
      </c>
      <c r="J17" s="711">
        <f t="shared" si="8"/>
        <v>11580.5</v>
      </c>
      <c r="K17" s="711">
        <f t="shared" si="8"/>
        <v>11580.5</v>
      </c>
      <c r="L17" s="711">
        <f t="shared" si="8"/>
        <v>11580.5</v>
      </c>
      <c r="M17" s="711">
        <f t="shared" si="8"/>
        <v>11580.5</v>
      </c>
      <c r="N17" s="711">
        <f t="shared" si="8"/>
        <v>11580.5</v>
      </c>
      <c r="O17" s="711">
        <f t="shared" si="8"/>
        <v>11580.5</v>
      </c>
      <c r="P17" s="711">
        <f t="shared" si="8"/>
        <v>11580.5</v>
      </c>
      <c r="Q17" s="711">
        <f t="shared" si="8"/>
        <v>11580.5</v>
      </c>
      <c r="R17" s="9"/>
      <c r="S17" s="9"/>
      <c r="T17" s="9"/>
      <c r="U17" s="9"/>
      <c r="V17" s="9"/>
    </row>
    <row r="18" spans="1:22">
      <c r="A18" s="709" t="s">
        <v>1444</v>
      </c>
      <c r="B18" s="710" t="s">
        <v>1006</v>
      </c>
      <c r="C18" s="711">
        <f t="shared" si="9"/>
        <v>0</v>
      </c>
      <c r="D18" s="711">
        <f t="shared" si="9"/>
        <v>0</v>
      </c>
      <c r="E18" s="711">
        <f t="shared" si="9"/>
        <v>0</v>
      </c>
      <c r="F18" s="1005">
        <f t="shared" ref="F18:Q18" si="10">IFERROR(DSUM(MercadoBase,$B18,F$14:F$15)+(DSUM(MercadoBase,$R$15,F$14:F$15)/($D$53/12))*$F$30,0)</f>
        <v>0</v>
      </c>
      <c r="G18" s="1005">
        <f t="shared" si="10"/>
        <v>0</v>
      </c>
      <c r="H18" s="1005">
        <f t="shared" si="10"/>
        <v>0</v>
      </c>
      <c r="I18" s="1005">
        <f t="shared" si="10"/>
        <v>0</v>
      </c>
      <c r="J18" s="1005">
        <f t="shared" si="10"/>
        <v>0</v>
      </c>
      <c r="K18" s="1005">
        <f t="shared" si="10"/>
        <v>0</v>
      </c>
      <c r="L18" s="1005">
        <f t="shared" si="10"/>
        <v>0</v>
      </c>
      <c r="M18" s="1005">
        <f t="shared" si="10"/>
        <v>0</v>
      </c>
      <c r="N18" s="1005">
        <f t="shared" si="10"/>
        <v>0</v>
      </c>
      <c r="O18" s="1005">
        <f t="shared" si="10"/>
        <v>0</v>
      </c>
      <c r="P18" s="1005">
        <f t="shared" si="10"/>
        <v>0</v>
      </c>
      <c r="Q18" s="1005">
        <f t="shared" si="10"/>
        <v>0</v>
      </c>
      <c r="R18" s="9"/>
      <c r="S18" s="9"/>
      <c r="T18" s="9"/>
      <c r="U18" s="9"/>
      <c r="V18" s="9"/>
    </row>
    <row r="19" spans="1:22">
      <c r="A19" s="709" t="s">
        <v>1445</v>
      </c>
      <c r="B19" s="710" t="s">
        <v>1007</v>
      </c>
      <c r="C19" s="711">
        <f t="shared" si="9"/>
        <v>0</v>
      </c>
      <c r="D19" s="711">
        <f t="shared" si="9"/>
        <v>0</v>
      </c>
      <c r="E19" s="711">
        <f t="shared" si="9"/>
        <v>0</v>
      </c>
      <c r="F19" s="711">
        <f t="shared" si="8"/>
        <v>1304.2402878000007</v>
      </c>
      <c r="G19" s="711">
        <f t="shared" si="8"/>
        <v>1288.7544744000006</v>
      </c>
      <c r="H19" s="711">
        <f t="shared" si="8"/>
        <v>1259.2960110000008</v>
      </c>
      <c r="I19" s="711">
        <f t="shared" si="8"/>
        <v>1255.3390668000006</v>
      </c>
      <c r="J19" s="711">
        <f t="shared" si="8"/>
        <v>1347.0455027999994</v>
      </c>
      <c r="K19" s="711">
        <f t="shared" si="8"/>
        <v>1473.0490985999998</v>
      </c>
      <c r="L19" s="711">
        <f t="shared" si="8"/>
        <v>1456.4518739999999</v>
      </c>
      <c r="M19" s="711">
        <f t="shared" si="8"/>
        <v>1299.8771255999986</v>
      </c>
      <c r="N19" s="711">
        <f t="shared" si="8"/>
        <v>1359.0099143999985</v>
      </c>
      <c r="O19" s="711">
        <f t="shared" si="8"/>
        <v>1256.5962233999992</v>
      </c>
      <c r="P19" s="711">
        <f t="shared" si="8"/>
        <v>1284.2091006000014</v>
      </c>
      <c r="Q19" s="711">
        <f t="shared" si="8"/>
        <v>1271.3009801999999</v>
      </c>
      <c r="R19" s="9"/>
      <c r="S19" s="9"/>
      <c r="T19" s="9"/>
      <c r="U19" s="9"/>
      <c r="V19" s="9"/>
    </row>
    <row r="20" spans="1:22">
      <c r="A20" s="709" t="s">
        <v>1446</v>
      </c>
      <c r="B20" s="710" t="s">
        <v>1008</v>
      </c>
      <c r="C20" s="711">
        <f t="shared" si="9"/>
        <v>0</v>
      </c>
      <c r="D20" s="711">
        <f t="shared" si="9"/>
        <v>0</v>
      </c>
      <c r="E20" s="711">
        <f t="shared" si="9"/>
        <v>0</v>
      </c>
      <c r="F20" s="711">
        <f t="shared" si="8"/>
        <v>157931.12040479996</v>
      </c>
      <c r="G20" s="711">
        <f t="shared" si="8"/>
        <v>165684.87941920001</v>
      </c>
      <c r="H20" s="711">
        <f t="shared" si="8"/>
        <v>169623.36956080003</v>
      </c>
      <c r="I20" s="711">
        <f t="shared" si="8"/>
        <v>175791.93599520001</v>
      </c>
      <c r="J20" s="711">
        <f t="shared" si="8"/>
        <v>211541.94082999998</v>
      </c>
      <c r="K20" s="711">
        <f t="shared" si="8"/>
        <v>234538.54841119997</v>
      </c>
      <c r="L20" s="711">
        <f t="shared" si="8"/>
        <v>279675.4369743999</v>
      </c>
      <c r="M20" s="711">
        <f t="shared" si="8"/>
        <v>273563.21748599998</v>
      </c>
      <c r="N20" s="711">
        <f t="shared" si="8"/>
        <v>225970.6400552</v>
      </c>
      <c r="O20" s="711">
        <f t="shared" si="8"/>
        <v>161886.85443999997</v>
      </c>
      <c r="P20" s="711">
        <f t="shared" si="8"/>
        <v>156679.94069480003</v>
      </c>
      <c r="Q20" s="711">
        <f t="shared" si="8"/>
        <v>156646.10215719999</v>
      </c>
      <c r="R20" s="9"/>
      <c r="S20" s="9"/>
      <c r="T20" s="9"/>
      <c r="U20" s="9"/>
      <c r="V20" s="9"/>
    </row>
    <row r="21" spans="1:22">
      <c r="A21" s="709" t="s">
        <v>1447</v>
      </c>
      <c r="B21" s="710" t="s">
        <v>1009</v>
      </c>
      <c r="C21" s="711">
        <f t="shared" si="9"/>
        <v>0</v>
      </c>
      <c r="D21" s="711">
        <f t="shared" si="9"/>
        <v>0</v>
      </c>
      <c r="E21" s="711">
        <f t="shared" si="9"/>
        <v>0</v>
      </c>
      <c r="F21" s="711">
        <f t="shared" si="8"/>
        <v>528.93965300000002</v>
      </c>
      <c r="G21" s="711">
        <f t="shared" si="8"/>
        <v>8472.2620289999995</v>
      </c>
      <c r="H21" s="711">
        <f t="shared" si="8"/>
        <v>19110.851869999995</v>
      </c>
      <c r="I21" s="711">
        <f t="shared" si="8"/>
        <v>55564.295908</v>
      </c>
      <c r="J21" s="711">
        <f t="shared" si="8"/>
        <v>105557.83378799999</v>
      </c>
      <c r="K21" s="711">
        <f t="shared" si="8"/>
        <v>123487.06791300001</v>
      </c>
      <c r="L21" s="711">
        <f t="shared" si="8"/>
        <v>116345.35575299998</v>
      </c>
      <c r="M21" s="711">
        <f t="shared" si="8"/>
        <v>89556.675757999998</v>
      </c>
      <c r="N21" s="711">
        <f t="shared" si="8"/>
        <v>22755.277259000002</v>
      </c>
      <c r="O21" s="711">
        <f t="shared" si="8"/>
        <v>197.35453100000001</v>
      </c>
      <c r="P21" s="711">
        <f>DSUM(MercadoBase,$B21,P$14:P$15)</f>
        <v>523.3133509999999</v>
      </c>
      <c r="Q21" s="711">
        <f t="shared" si="8"/>
        <v>49.508073999999993</v>
      </c>
      <c r="R21" s="9"/>
      <c r="S21" s="9"/>
      <c r="T21" s="9"/>
      <c r="U21" s="9"/>
      <c r="V21" s="9"/>
    </row>
    <row r="22" spans="1:22">
      <c r="A22" s="1454" t="s">
        <v>1448</v>
      </c>
      <c r="B22" s="1455" t="s">
        <v>1275</v>
      </c>
      <c r="C22" s="1456">
        <f>VLOOKUP($Q$15,Índices!$B:$F,2,FALSE)/VLOOKUP(EDATE(C15,-1),Índices!$B:$F,2,FALSE)</f>
        <v>1.1768213386458592</v>
      </c>
      <c r="D22" s="1456">
        <f>VLOOKUP($Q$15,Índices!$B:$F,2,FALSE)/VLOOKUP(EDATE(D15,-1),Índices!$B:$F,2,FALSE)</f>
        <v>1.1593353264324466</v>
      </c>
      <c r="E22" s="1456">
        <f>VLOOKUP($Q$15,Índices!$B:$F,2,FALSE)/VLOOKUP(EDATE(E15,-1),Índices!$B:$F,2,FALSE)</f>
        <v>1.1137138790355088</v>
      </c>
      <c r="F22" s="1456">
        <f>VLOOKUP($Q$15,Índices!$B:$F,2,FALSE)/VLOOKUP(EDATE(F15,-1),Índices!$B:$F,2,FALSE)</f>
        <v>1.1070423608832305</v>
      </c>
      <c r="G22" s="1456">
        <f>VLOOKUP($Q$15,Índices!$B:$F,2,FALSE)/VLOOKUP(EDATE(G15,-1),Índices!$B:$F,2,FALSE)</f>
        <v>1.0985033599453922</v>
      </c>
      <c r="H22" s="1456">
        <f>VLOOKUP($Q$15,Índices!$B:$F,2,FALSE)/VLOOKUP(EDATE(H15,-1),Índices!$B:$F,2,FALSE)</f>
        <v>1.0912608014368317</v>
      </c>
      <c r="I22" s="1456">
        <f>VLOOKUP($Q$15,Índices!$B:$F,2,FALSE)/VLOOKUP(EDATE(I15,-1),Índices!$B:$F,2,FALSE)</f>
        <v>1.0982835198725092</v>
      </c>
      <c r="J22" s="1456">
        <f>VLOOKUP($Q$15,Índices!$B:$F,2,FALSE)/VLOOKUP(EDATE(J15,-1),Índices!$B:$F,2,FALSE)</f>
        <v>1.0912678012944399</v>
      </c>
      <c r="K22" s="1456">
        <f>VLOOKUP($Q$15,Índices!$B:$F,2,FALSE)/VLOOKUP(EDATE(K15,-1),Índices!$B:$F,2,FALSE)</f>
        <v>1.0910678407267911</v>
      </c>
      <c r="L22" s="1456">
        <f>VLOOKUP($Q$15,Índices!$B:$F,2,FALSE)/VLOOKUP(EDATE(L15,-1),Índices!$B:$F,2,FALSE)</f>
        <v>1.0816484829989064</v>
      </c>
      <c r="M22" s="1456">
        <f>VLOOKUP($Q$15,Índices!$B:$F,2,FALSE)/VLOOKUP(EDATE(M15,-1),Índices!$B:$F,2,FALSE)</f>
        <v>1.0623399307225074</v>
      </c>
      <c r="N22" s="1456">
        <f>VLOOKUP($Q$15,Índices!$B:$F,2,FALSE)/VLOOKUP(EDATE(N15,-1),Índices!$B:$F,2,FALSE)</f>
        <v>1.0432185825187947</v>
      </c>
      <c r="O22" s="1456">
        <f>VLOOKUP($Q$15,Índices!$B:$F,2,FALSE)/VLOOKUP(EDATE(O15,-1),Índices!$B:$F,2,FALSE)</f>
        <v>1.0253689885984203</v>
      </c>
      <c r="P22" s="1456">
        <f>VLOOKUP($Q$15,Índices!$B:$F,2,FALSE)/VLOOKUP(EDATE(P15,-1),Índices!$B:$F,2,FALSE)</f>
        <v>1.011099422741718</v>
      </c>
      <c r="Q22" s="1456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57" t="s">
        <v>1449</v>
      </c>
      <c r="B23" s="1458"/>
      <c r="C23" s="1459">
        <f t="shared" ref="C23:Q23" si="11">SUM(C16:C21)*C22</f>
        <v>0</v>
      </c>
      <c r="D23" s="1459">
        <f t="shared" si="11"/>
        <v>0</v>
      </c>
      <c r="E23" s="1459">
        <f t="shared" si="11"/>
        <v>0</v>
      </c>
      <c r="F23" s="1460">
        <f>SUM(F16:F21)*F22</f>
        <v>278649.73489740008</v>
      </c>
      <c r="G23" s="1460">
        <f t="shared" si="11"/>
        <v>294571.65676510689</v>
      </c>
      <c r="H23" s="1460">
        <f t="shared" si="11"/>
        <v>311106.92961316661</v>
      </c>
      <c r="I23" s="1460">
        <f t="shared" si="11"/>
        <v>359160.87852799107</v>
      </c>
      <c r="J23" s="1460">
        <f t="shared" si="11"/>
        <v>449599.23106624983</v>
      </c>
      <c r="K23" s="1460">
        <f t="shared" si="11"/>
        <v>491391.53763803147</v>
      </c>
      <c r="L23" s="1460">
        <f t="shared" si="11"/>
        <v>539872.98130022048</v>
      </c>
      <c r="M23" s="1460">
        <f t="shared" si="11"/>
        <v>494384.73083168629</v>
      </c>
      <c r="N23" s="1460">
        <f t="shared" si="11"/>
        <v>352491.02504464833</v>
      </c>
      <c r="O23" s="1460">
        <f t="shared" si="11"/>
        <v>257011.63626775637</v>
      </c>
      <c r="P23" s="1460">
        <f t="shared" si="11"/>
        <v>249529.97837494258</v>
      </c>
      <c r="Q23" s="1460">
        <f t="shared" si="11"/>
        <v>247033.64861288609</v>
      </c>
      <c r="R23" s="9"/>
      <c r="S23" s="9"/>
      <c r="T23" s="9"/>
      <c r="U23" s="9"/>
      <c r="V23" s="9"/>
    </row>
    <row r="24" spans="1:22">
      <c r="A24" s="9"/>
      <c r="B24" s="9"/>
      <c r="C24" s="9" t="s">
        <v>1450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6" t="s">
        <v>1451</v>
      </c>
      <c r="B25" s="694"/>
      <c r="C25" s="694"/>
      <c r="D25" s="694"/>
      <c r="E25" s="694"/>
      <c r="F25" s="694"/>
      <c r="G25" s="694"/>
      <c r="H25" s="694"/>
      <c r="I25" s="694"/>
      <c r="J25" s="694"/>
      <c r="K25" s="694"/>
      <c r="L25" s="694"/>
      <c r="M25" s="694"/>
      <c r="N25" s="694"/>
      <c r="O25" s="358"/>
      <c r="P25" s="358"/>
      <c r="Q25" s="358"/>
      <c r="R25" s="9"/>
      <c r="S25" s="9"/>
      <c r="T25" s="9"/>
      <c r="U25" s="9"/>
      <c r="V25" s="9"/>
    </row>
    <row r="26" spans="1:22">
      <c r="A26" s="1831" t="s">
        <v>22</v>
      </c>
      <c r="B26" s="1832" t="s">
        <v>1441</v>
      </c>
      <c r="C26" s="706" t="s">
        <v>952</v>
      </c>
      <c r="D26" s="706" t="s">
        <v>952</v>
      </c>
      <c r="E26" s="706" t="s">
        <v>952</v>
      </c>
      <c r="F26" s="706" t="s">
        <v>952</v>
      </c>
      <c r="G26" s="706" t="s">
        <v>952</v>
      </c>
      <c r="H26" s="706" t="s">
        <v>952</v>
      </c>
      <c r="I26" s="706" t="s">
        <v>952</v>
      </c>
      <c r="J26" s="706" t="s">
        <v>952</v>
      </c>
      <c r="K26" s="706" t="s">
        <v>952</v>
      </c>
      <c r="L26" s="706" t="s">
        <v>952</v>
      </c>
      <c r="M26" s="706" t="s">
        <v>952</v>
      </c>
      <c r="N26" s="706" t="s">
        <v>952</v>
      </c>
      <c r="O26" s="706" t="s">
        <v>952</v>
      </c>
      <c r="P26" s="706" t="s">
        <v>952</v>
      </c>
      <c r="Q26" s="706" t="s">
        <v>952</v>
      </c>
      <c r="R26" s="9"/>
      <c r="S26" s="9"/>
      <c r="T26" s="9"/>
      <c r="U26" s="9"/>
      <c r="V26" s="9"/>
    </row>
    <row r="27" spans="1:22">
      <c r="A27" s="1831"/>
      <c r="B27" s="1832"/>
      <c r="C27" s="707">
        <f t="shared" ref="C27:Q27" si="12">C15</f>
        <v>44287</v>
      </c>
      <c r="D27" s="707">
        <f t="shared" si="12"/>
        <v>44317</v>
      </c>
      <c r="E27" s="707">
        <f t="shared" si="12"/>
        <v>44348</v>
      </c>
      <c r="F27" s="708">
        <f>F15</f>
        <v>44378</v>
      </c>
      <c r="G27" s="708">
        <f t="shared" si="12"/>
        <v>44409</v>
      </c>
      <c r="H27" s="708">
        <f t="shared" si="12"/>
        <v>44440</v>
      </c>
      <c r="I27" s="708">
        <f t="shared" si="12"/>
        <v>44470</v>
      </c>
      <c r="J27" s="708">
        <f t="shared" si="12"/>
        <v>44501</v>
      </c>
      <c r="K27" s="708">
        <f t="shared" si="12"/>
        <v>44531</v>
      </c>
      <c r="L27" s="708">
        <f t="shared" si="12"/>
        <v>44562</v>
      </c>
      <c r="M27" s="708">
        <f t="shared" si="12"/>
        <v>44593</v>
      </c>
      <c r="N27" s="708">
        <f t="shared" si="12"/>
        <v>44621</v>
      </c>
      <c r="O27" s="708">
        <f t="shared" si="12"/>
        <v>44652</v>
      </c>
      <c r="P27" s="708">
        <f t="shared" si="12"/>
        <v>44682</v>
      </c>
      <c r="Q27" s="708">
        <f t="shared" si="12"/>
        <v>44713</v>
      </c>
      <c r="S27" s="9"/>
      <c r="T27" s="9"/>
      <c r="U27" s="9"/>
      <c r="V27" s="9"/>
    </row>
    <row r="28" spans="1:22">
      <c r="A28" s="709" t="s">
        <v>1442</v>
      </c>
      <c r="B28" s="710" t="s">
        <v>773</v>
      </c>
      <c r="C28" s="711">
        <f>IF(C40=0,0,VLOOKUP($B28,BD!$B$61:$C$66,2,FALSE))</f>
        <v>0</v>
      </c>
      <c r="D28" s="711">
        <f>IF(D40=0,0,VLOOKUP($B28,BD!$B$61:$C$66,2,FALSE))</f>
        <v>0</v>
      </c>
      <c r="E28" s="711">
        <f>IF(E40=0,0,VLOOKUP($B28,BD!$B$61:$C$66,2,FALSE))</f>
        <v>0</v>
      </c>
      <c r="F28" s="711">
        <f>VLOOKUP($B28,BD!$B$61:$C$66,2,FALSE)</f>
        <v>80662.23</v>
      </c>
      <c r="G28" s="711">
        <f>VLOOKUP($B28,BD!$B$61:$C$66,2,FALSE)</f>
        <v>80662.23</v>
      </c>
      <c r="H28" s="711">
        <f>VLOOKUP($B28,BD!$B$61:$C$66,2,FALSE)</f>
        <v>80662.23</v>
      </c>
      <c r="I28" s="711">
        <f>VLOOKUP($B28,BD!$B$61:$C$66,2,FALSE)</f>
        <v>80662.23</v>
      </c>
      <c r="J28" s="711">
        <f>VLOOKUP($B28,BD!$B$61:$C$66,2,FALSE)</f>
        <v>80662.23</v>
      </c>
      <c r="K28" s="711">
        <f>VLOOKUP($B28,BD!$B$61:$C$66,2,FALSE)</f>
        <v>80662.23</v>
      </c>
      <c r="L28" s="711">
        <f>VLOOKUP($B28,BD!$B$61:$C$66,2,FALSE)</f>
        <v>80662.23</v>
      </c>
      <c r="M28" s="711">
        <f>VLOOKUP($B28,BD!$B$61:$C$66,2,FALSE)</f>
        <v>80662.23</v>
      </c>
      <c r="N28" s="711">
        <f>VLOOKUP($B28,BD!$B$61:$C$66,2,FALSE)</f>
        <v>80662.23</v>
      </c>
      <c r="O28" s="711">
        <f>VLOOKUP($B28,BD!$B$61:$C$66,2,FALSE)</f>
        <v>80662.23</v>
      </c>
      <c r="P28" s="711">
        <f>VLOOKUP($B28,BD!$B$61:$C$66,2,FALSE)</f>
        <v>80662.23</v>
      </c>
      <c r="Q28" s="711">
        <f>VLOOKUP($B28,BD!$B$61:$C$66,2,FALSE)</f>
        <v>80662.23</v>
      </c>
      <c r="S28" s="9"/>
      <c r="T28" s="9"/>
      <c r="U28" s="9"/>
      <c r="V28" s="9"/>
    </row>
    <row r="29" spans="1:22">
      <c r="A29" s="709" t="s">
        <v>1443</v>
      </c>
      <c r="B29" s="710" t="s">
        <v>775</v>
      </c>
      <c r="C29" s="711">
        <f>IF(C41=0,0,VLOOKUP($B29,BD!$B$61:$C$66,2,FALSE))</f>
        <v>0</v>
      </c>
      <c r="D29" s="711">
        <f>IF(D41=0,0,VLOOKUP($B29,BD!$B$61:$C$66,2,FALSE))</f>
        <v>0</v>
      </c>
      <c r="E29" s="711">
        <f>IF(E41=0,0,VLOOKUP($B29,BD!$B$61:$C$66,2,FALSE))</f>
        <v>0</v>
      </c>
      <c r="F29" s="711">
        <f>VLOOKUP($B29,BD!$B$61:$C$66,2,FALSE)</f>
        <v>11576.44</v>
      </c>
      <c r="G29" s="711">
        <f>VLOOKUP($B29,BD!$B$61:$C$66,2,FALSE)</f>
        <v>11576.44</v>
      </c>
      <c r="H29" s="711">
        <f>VLOOKUP($B29,BD!$B$61:$C$66,2,FALSE)</f>
        <v>11576.44</v>
      </c>
      <c r="I29" s="711">
        <f>VLOOKUP($B29,BD!$B$61:$C$66,2,FALSE)</f>
        <v>11576.44</v>
      </c>
      <c r="J29" s="711">
        <f>VLOOKUP($B29,BD!$B$61:$C$66,2,FALSE)</f>
        <v>11576.44</v>
      </c>
      <c r="K29" s="711">
        <f>VLOOKUP($B29,BD!$B$61:$C$66,2,FALSE)</f>
        <v>11576.44</v>
      </c>
      <c r="L29" s="711">
        <f>VLOOKUP($B29,BD!$B$61:$C$66,2,FALSE)</f>
        <v>11576.44</v>
      </c>
      <c r="M29" s="711">
        <f>VLOOKUP($B29,BD!$B$61:$C$66,2,FALSE)</f>
        <v>11576.44</v>
      </c>
      <c r="N29" s="711">
        <f>VLOOKUP($B29,BD!$B$61:$C$66,2,FALSE)</f>
        <v>11576.44</v>
      </c>
      <c r="O29" s="711">
        <f>VLOOKUP($B29,BD!$B$61:$C$66,2,FALSE)</f>
        <v>11576.44</v>
      </c>
      <c r="P29" s="711">
        <f>VLOOKUP($B29,BD!$B$61:$C$66,2,FALSE)</f>
        <v>11576.44</v>
      </c>
      <c r="Q29" s="711">
        <f>VLOOKUP($B29,BD!$B$61:$C$66,2,FALSE)</f>
        <v>11576.44</v>
      </c>
      <c r="S29" s="9"/>
      <c r="T29" s="9"/>
      <c r="U29" s="9"/>
      <c r="V29" s="9"/>
    </row>
    <row r="30" spans="1:22">
      <c r="A30" s="709" t="s">
        <v>1444</v>
      </c>
      <c r="B30" s="710" t="s">
        <v>777</v>
      </c>
      <c r="C30" s="711">
        <f>IF(C42=0,0,VLOOKUP($B30,BD!$B$61:$C$66,2,FALSE))</f>
        <v>0</v>
      </c>
      <c r="D30" s="711">
        <f>IF(D42=0,0,VLOOKUP($B30,BD!$B$61:$C$66,2,FALSE))</f>
        <v>0</v>
      </c>
      <c r="E30" s="711">
        <f>IF(E42=0,0,VLOOKUP($B30,BD!$B$61:$C$66,2,FALSE))</f>
        <v>0</v>
      </c>
      <c r="F30" s="1005">
        <f>VLOOKUP($B30,BD!$B$61:$C$66,2,FALSE)</f>
        <v>0</v>
      </c>
      <c r="G30" s="1005">
        <f>VLOOKUP($B30,BD!$B$61:$C$66,2,FALSE)</f>
        <v>0</v>
      </c>
      <c r="H30" s="1005">
        <f>VLOOKUP($B30,BD!$B$61:$C$66,2,FALSE)</f>
        <v>0</v>
      </c>
      <c r="I30" s="1005">
        <f>VLOOKUP($B30,BD!$B$61:$C$66,2,FALSE)</f>
        <v>0</v>
      </c>
      <c r="J30" s="1005">
        <f>VLOOKUP($B30,BD!$B$61:$C$66,2,FALSE)</f>
        <v>0</v>
      </c>
      <c r="K30" s="1005">
        <f>VLOOKUP($B30,BD!$B$61:$C$66,2,FALSE)</f>
        <v>0</v>
      </c>
      <c r="L30" s="1005">
        <f>VLOOKUP($B30,BD!$B$61:$C$66,2,FALSE)</f>
        <v>0</v>
      </c>
      <c r="M30" s="1005">
        <f>VLOOKUP($B30,BD!$B$61:$C$66,2,FALSE)</f>
        <v>0</v>
      </c>
      <c r="N30" s="1005">
        <f>VLOOKUP($B30,BD!$B$61:$C$66,2,FALSE)</f>
        <v>0</v>
      </c>
      <c r="O30" s="1005">
        <f>VLOOKUP($B30,BD!$B$61:$C$66,2,FALSE)</f>
        <v>0</v>
      </c>
      <c r="P30" s="1005">
        <f>VLOOKUP($B30,BD!$B$61:$C$66,2,FALSE)</f>
        <v>0</v>
      </c>
      <c r="Q30" s="1005">
        <f>VLOOKUP($B30,BD!$B$61:$C$66,2,FALSE)</f>
        <v>0</v>
      </c>
      <c r="S30" s="9"/>
      <c r="T30" s="9"/>
      <c r="U30" s="9"/>
      <c r="V30" s="9"/>
    </row>
    <row r="31" spans="1:22">
      <c r="A31" s="709" t="s">
        <v>1445</v>
      </c>
      <c r="B31" s="710" t="s">
        <v>778</v>
      </c>
      <c r="C31" s="711">
        <f>IF(C43=0,0,VLOOKUP($B31,BD!$B$61:$C$66,2,FALSE))</f>
        <v>0</v>
      </c>
      <c r="D31" s="711">
        <f>IF(D43=0,0,VLOOKUP($B31,BD!$B$61:$C$66,2,FALSE))</f>
        <v>0</v>
      </c>
      <c r="E31" s="711">
        <f>IF(E43=0,0,VLOOKUP($B31,BD!$B$61:$C$66,2,FALSE))</f>
        <v>0</v>
      </c>
      <c r="F31" s="711">
        <f>VLOOKUP($B31,BD!$B$61:$C$66,2,FALSE)</f>
        <v>1324.21</v>
      </c>
      <c r="G31" s="711">
        <f>VLOOKUP($B31,BD!$B$61:$C$66,2,FALSE)</f>
        <v>1324.21</v>
      </c>
      <c r="H31" s="711">
        <f>VLOOKUP($B31,BD!$B$61:$C$66,2,FALSE)</f>
        <v>1324.21</v>
      </c>
      <c r="I31" s="711">
        <f>VLOOKUP($B31,BD!$B$61:$C$66,2,FALSE)</f>
        <v>1324.21</v>
      </c>
      <c r="J31" s="711">
        <f>VLOOKUP($B31,BD!$B$61:$C$66,2,FALSE)</f>
        <v>1324.21</v>
      </c>
      <c r="K31" s="711">
        <f>VLOOKUP($B31,BD!$B$61:$C$66,2,FALSE)</f>
        <v>1324.21</v>
      </c>
      <c r="L31" s="711">
        <f>VLOOKUP($B31,BD!$B$61:$C$66,2,FALSE)</f>
        <v>1324.21</v>
      </c>
      <c r="M31" s="711">
        <f>VLOOKUP($B31,BD!$B$61:$C$66,2,FALSE)</f>
        <v>1324.21</v>
      </c>
      <c r="N31" s="711">
        <f>VLOOKUP($B31,BD!$B$61:$C$66,2,FALSE)</f>
        <v>1324.21</v>
      </c>
      <c r="O31" s="711">
        <f>VLOOKUP($B31,BD!$B$61:$C$66,2,FALSE)</f>
        <v>1324.21</v>
      </c>
      <c r="P31" s="711">
        <f>VLOOKUP($B31,BD!$B$61:$C$66,2,FALSE)</f>
        <v>1324.21</v>
      </c>
      <c r="Q31" s="711">
        <f>VLOOKUP($B31,BD!$B$61:$C$66,2,FALSE)</f>
        <v>1324.21</v>
      </c>
      <c r="S31" s="9"/>
      <c r="T31" s="9"/>
      <c r="U31" s="9"/>
      <c r="V31" s="9"/>
    </row>
    <row r="32" spans="1:22">
      <c r="A32" s="709" t="s">
        <v>1446</v>
      </c>
      <c r="B32" s="710" t="s">
        <v>781</v>
      </c>
      <c r="C32" s="711">
        <f>IF(C44=0,0,VLOOKUP($B32,BD!$B$61:$C$66,2,FALSE))</f>
        <v>0</v>
      </c>
      <c r="D32" s="711">
        <f>IF(D44=0,0,VLOOKUP($B32,BD!$B$61:$C$66,2,FALSE))</f>
        <v>0</v>
      </c>
      <c r="E32" s="711">
        <f>IF(E44=0,0,VLOOKUP($B32,BD!$B$61:$C$66,2,FALSE))</f>
        <v>0</v>
      </c>
      <c r="F32" s="711">
        <f>VLOOKUP($B32,BD!$B$61:$C$66,2,FALSE)</f>
        <v>197078.19</v>
      </c>
      <c r="G32" s="711">
        <f>VLOOKUP($B32,BD!$B$61:$C$66,2,FALSE)</f>
        <v>197078.19</v>
      </c>
      <c r="H32" s="711">
        <f>VLOOKUP($B32,BD!$B$61:$C$66,2,FALSE)</f>
        <v>197078.19</v>
      </c>
      <c r="I32" s="711">
        <f>VLOOKUP($B32,BD!$B$61:$C$66,2,FALSE)</f>
        <v>197078.19</v>
      </c>
      <c r="J32" s="711">
        <f>VLOOKUP($B32,BD!$B$61:$C$66,2,FALSE)</f>
        <v>197078.19</v>
      </c>
      <c r="K32" s="711">
        <f>VLOOKUP($B32,BD!$B$61:$C$66,2,FALSE)</f>
        <v>197078.19</v>
      </c>
      <c r="L32" s="711">
        <f>VLOOKUP($B32,BD!$B$61:$C$66,2,FALSE)</f>
        <v>197078.19</v>
      </c>
      <c r="M32" s="711">
        <f>VLOOKUP($B32,BD!$B$61:$C$66,2,FALSE)</f>
        <v>197078.19</v>
      </c>
      <c r="N32" s="711">
        <f>VLOOKUP($B32,BD!$B$61:$C$66,2,FALSE)</f>
        <v>197078.19</v>
      </c>
      <c r="O32" s="711">
        <f>VLOOKUP($B32,BD!$B$61:$C$66,2,FALSE)</f>
        <v>197078.19</v>
      </c>
      <c r="P32" s="711">
        <f>VLOOKUP($B32,BD!$B$61:$C$66,2,FALSE)</f>
        <v>197078.19</v>
      </c>
      <c r="Q32" s="711">
        <f>VLOOKUP($B32,BD!$B$61:$C$66,2,FALSE)</f>
        <v>197078.19</v>
      </c>
      <c r="S32" s="9"/>
      <c r="T32" s="9"/>
      <c r="U32" s="9"/>
      <c r="V32" s="9"/>
    </row>
    <row r="33" spans="1:22">
      <c r="A33" s="712" t="s">
        <v>1447</v>
      </c>
      <c r="B33" s="710" t="s">
        <v>783</v>
      </c>
      <c r="C33" s="711">
        <f>IF(C45=0,0,VLOOKUP($B33,BD!$B$61:$C$66,2,FALSE))</f>
        <v>0</v>
      </c>
      <c r="D33" s="711">
        <f>IF(D45=0,0,VLOOKUP($B33,BD!$B$61:$C$66,2,FALSE))</f>
        <v>0</v>
      </c>
      <c r="E33" s="711">
        <f>IF(E45=0,0,VLOOKUP($B33,BD!$B$61:$C$66,2,FALSE))</f>
        <v>0</v>
      </c>
      <c r="F33" s="711">
        <f>VLOOKUP($B33,BD!$B$61:$C$66,2,FALSE)</f>
        <v>40554.44</v>
      </c>
      <c r="G33" s="711">
        <f>VLOOKUP($B33,BD!$B$61:$C$66,2,FALSE)</f>
        <v>40554.44</v>
      </c>
      <c r="H33" s="711">
        <f>VLOOKUP($B33,BD!$B$61:$C$66,2,FALSE)</f>
        <v>40554.44</v>
      </c>
      <c r="I33" s="711">
        <f>VLOOKUP($B33,BD!$B$61:$C$66,2,FALSE)</f>
        <v>40554.44</v>
      </c>
      <c r="J33" s="711">
        <f>VLOOKUP($B33,BD!$B$61:$C$66,2,FALSE)</f>
        <v>40554.44</v>
      </c>
      <c r="K33" s="711">
        <f>VLOOKUP($B33,BD!$B$61:$C$66,2,FALSE)</f>
        <v>40554.44</v>
      </c>
      <c r="L33" s="711">
        <f>VLOOKUP($B33,BD!$B$61:$C$66,2,FALSE)</f>
        <v>40554.44</v>
      </c>
      <c r="M33" s="711">
        <f>VLOOKUP($B33,BD!$B$61:$C$66,2,FALSE)</f>
        <v>40554.44</v>
      </c>
      <c r="N33" s="711">
        <f>VLOOKUP($B33,BD!$B$61:$C$66,2,FALSE)</f>
        <v>40554.44</v>
      </c>
      <c r="O33" s="711">
        <f>VLOOKUP($B33,BD!$B$61:$C$66,2,FALSE)</f>
        <v>40554.44</v>
      </c>
      <c r="P33" s="711">
        <f>VLOOKUP($B33,BD!$B$61:$C$66,2,FALSE)</f>
        <v>40554.44</v>
      </c>
      <c r="Q33" s="711">
        <f>VLOOKUP($B33,BD!$B$61:$C$66,2,FALSE)</f>
        <v>40554.44</v>
      </c>
      <c r="S33" s="9"/>
      <c r="T33" s="9"/>
      <c r="U33" s="9"/>
      <c r="V33" s="9"/>
    </row>
    <row r="34" spans="1:22">
      <c r="A34" s="1454" t="s">
        <v>1448</v>
      </c>
      <c r="B34" s="1455" t="s">
        <v>1275</v>
      </c>
      <c r="C34" s="1461">
        <f t="shared" ref="C34:Q34" si="13">C22</f>
        <v>1.1768213386458592</v>
      </c>
      <c r="D34" s="1461">
        <f t="shared" si="13"/>
        <v>1.1593353264324466</v>
      </c>
      <c r="E34" s="1461">
        <f t="shared" si="13"/>
        <v>1.1137138790355088</v>
      </c>
      <c r="F34" s="1456">
        <f t="shared" si="13"/>
        <v>1.1070423608832305</v>
      </c>
      <c r="G34" s="1456">
        <f t="shared" si="13"/>
        <v>1.0985033599453922</v>
      </c>
      <c r="H34" s="1456">
        <f t="shared" si="13"/>
        <v>1.0912608014368317</v>
      </c>
      <c r="I34" s="1456">
        <f t="shared" si="13"/>
        <v>1.0982835198725092</v>
      </c>
      <c r="J34" s="1456">
        <f t="shared" si="13"/>
        <v>1.0912678012944399</v>
      </c>
      <c r="K34" s="1456">
        <f t="shared" si="13"/>
        <v>1.0910678407267911</v>
      </c>
      <c r="L34" s="1456">
        <f t="shared" si="13"/>
        <v>1.0816484829989064</v>
      </c>
      <c r="M34" s="1456">
        <f t="shared" si="13"/>
        <v>1.0623399307225074</v>
      </c>
      <c r="N34" s="1456">
        <f t="shared" si="13"/>
        <v>1.0432185825187947</v>
      </c>
      <c r="O34" s="1456">
        <f t="shared" si="13"/>
        <v>1.0253689885984203</v>
      </c>
      <c r="P34" s="1456">
        <f t="shared" si="13"/>
        <v>1.011099422741718</v>
      </c>
      <c r="Q34" s="1456">
        <f t="shared" si="13"/>
        <v>1.0058524282636221</v>
      </c>
      <c r="S34" s="9"/>
      <c r="T34" s="9"/>
      <c r="U34" s="9"/>
      <c r="V34" s="9"/>
    </row>
    <row r="35" spans="1:22">
      <c r="A35" s="1457" t="s">
        <v>1449</v>
      </c>
      <c r="B35" s="1458"/>
      <c r="C35" s="1459">
        <f>SUM(C28:C33)*C34</f>
        <v>0</v>
      </c>
      <c r="D35" s="1459">
        <f t="shared" ref="D35:Q35" si="14">SUM(D28:D33)*D34</f>
        <v>0</v>
      </c>
      <c r="E35" s="1459">
        <f t="shared" si="14"/>
        <v>0</v>
      </c>
      <c r="F35" s="1460">
        <f t="shared" si="14"/>
        <v>366647.45930432557</v>
      </c>
      <c r="G35" s="1460">
        <f t="shared" si="14"/>
        <v>363819.38053382776</v>
      </c>
      <c r="H35" s="1460">
        <f t="shared" si="14"/>
        <v>361420.67767488019</v>
      </c>
      <c r="I35" s="1460">
        <f t="shared" si="14"/>
        <v>363746.57048877084</v>
      </c>
      <c r="J35" s="1460">
        <f t="shared" si="14"/>
        <v>361422.9959962907</v>
      </c>
      <c r="K35" s="1460">
        <f t="shared" si="14"/>
        <v>361356.76995410834</v>
      </c>
      <c r="L35" s="1460">
        <f t="shared" si="14"/>
        <v>358237.12096754916</v>
      </c>
      <c r="M35" s="1460">
        <f t="shared" si="14"/>
        <v>351842.21514900553</v>
      </c>
      <c r="N35" s="1460">
        <f t="shared" si="14"/>
        <v>345509.31047878932</v>
      </c>
      <c r="O35" s="1460">
        <f t="shared" si="14"/>
        <v>339597.60511703801</v>
      </c>
      <c r="P35" s="1460">
        <f t="shared" si="14"/>
        <v>334871.58897564892</v>
      </c>
      <c r="Q35" s="1460">
        <f t="shared" si="14"/>
        <v>333133.80796350876</v>
      </c>
      <c r="R35" s="9"/>
      <c r="S35" s="9"/>
      <c r="T35" s="9"/>
      <c r="U35" s="9"/>
      <c r="V35" s="9"/>
    </row>
    <row r="36" spans="1:22">
      <c r="A36" s="1462"/>
      <c r="B36" s="1444"/>
      <c r="C36" s="1462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6" t="s">
        <v>1452</v>
      </c>
      <c r="B37" s="710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1" t="s">
        <v>22</v>
      </c>
      <c r="B38" s="1832" t="s">
        <v>1441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831"/>
      <c r="B39" s="1833"/>
      <c r="C39" s="1463">
        <f>C27</f>
        <v>44287</v>
      </c>
      <c r="D39" s="1463">
        <f t="shared" ref="D39:E39" si="15">D27</f>
        <v>44317</v>
      </c>
      <c r="E39" s="1463">
        <f t="shared" si="15"/>
        <v>44348</v>
      </c>
      <c r="G39" s="894"/>
      <c r="H39" s="894"/>
      <c r="I39" s="894"/>
      <c r="J39" s="894"/>
      <c r="K39" s="894"/>
      <c r="L39" s="897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09" t="s">
        <v>1442</v>
      </c>
      <c r="B40" s="713"/>
      <c r="C40" s="714"/>
      <c r="D40" s="715"/>
      <c r="E40" s="715"/>
      <c r="F40" s="65"/>
      <c r="G40" s="898"/>
      <c r="H40" s="711"/>
      <c r="I40" s="711"/>
      <c r="J40" s="711"/>
      <c r="K40" s="711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09" t="s">
        <v>1443</v>
      </c>
      <c r="B41" s="713"/>
      <c r="C41" s="714"/>
      <c r="D41" s="715"/>
      <c r="E41" s="715"/>
      <c r="F41" s="65"/>
      <c r="G41" s="898"/>
      <c r="H41" s="711"/>
      <c r="I41" s="711"/>
      <c r="J41" s="711"/>
      <c r="K41" s="711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09" t="s">
        <v>1444</v>
      </c>
      <c r="B42" s="713"/>
      <c r="C42" s="714"/>
      <c r="D42" s="715"/>
      <c r="E42" s="715"/>
      <c r="F42" s="65"/>
      <c r="G42" s="898"/>
      <c r="H42" s="711"/>
      <c r="I42" s="711"/>
      <c r="J42" s="711"/>
      <c r="K42" s="711"/>
      <c r="L42" s="899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09" t="s">
        <v>1445</v>
      </c>
      <c r="B43" s="713"/>
      <c r="C43" s="714"/>
      <c r="D43" s="715"/>
      <c r="E43" s="715"/>
      <c r="F43" s="65"/>
      <c r="G43" s="898"/>
      <c r="H43" s="711"/>
      <c r="I43" s="711"/>
      <c r="J43" s="711"/>
      <c r="K43" s="711"/>
      <c r="L43" s="899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09" t="s">
        <v>1446</v>
      </c>
      <c r="B44" s="713"/>
      <c r="C44" s="714"/>
      <c r="D44" s="715"/>
      <c r="E44" s="715"/>
      <c r="F44" s="65"/>
      <c r="G44" s="898"/>
      <c r="H44" s="711"/>
      <c r="I44" s="711"/>
      <c r="J44" s="711"/>
      <c r="K44" s="711"/>
      <c r="L44" s="899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2" t="s">
        <v>1447</v>
      </c>
      <c r="B45" s="713"/>
      <c r="C45" s="716"/>
      <c r="D45" s="896"/>
      <c r="E45" s="896"/>
      <c r="F45" s="65"/>
      <c r="G45" s="898"/>
      <c r="H45" s="711"/>
      <c r="I45" s="711"/>
      <c r="J45" s="711"/>
      <c r="K45" s="711"/>
      <c r="L45" s="899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00"/>
      <c r="L46" s="901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64" t="s">
        <v>8</v>
      </c>
      <c r="B49" s="1465"/>
      <c r="C49" s="1464"/>
      <c r="D49" s="9" t="s">
        <v>1453</v>
      </c>
    </row>
    <row r="50" spans="1:10">
      <c r="A50" s="1465" t="s">
        <v>2</v>
      </c>
      <c r="B50" s="1465"/>
      <c r="C50" s="1439"/>
    </row>
    <row r="51" spans="1:10">
      <c r="A51" s="1465" t="s">
        <v>3</v>
      </c>
      <c r="B51" s="1465"/>
      <c r="C51" s="1439"/>
      <c r="D51" s="234"/>
    </row>
    <row r="52" spans="1:10">
      <c r="A52" s="1465" t="s">
        <v>4</v>
      </c>
      <c r="B52" s="1465"/>
      <c r="C52" s="1439"/>
      <c r="D52" s="234"/>
    </row>
    <row r="53" spans="1:10">
      <c r="A53" s="1465" t="s">
        <v>5</v>
      </c>
      <c r="B53" s="1465"/>
      <c r="C53" s="1439"/>
      <c r="D53" s="234">
        <f>VLOOKUP(idsreag,Subsidio!$A$1:$J$52,10,FALSE)</f>
        <v>0</v>
      </c>
    </row>
    <row r="54" spans="1:10">
      <c r="A54" s="1465" t="s">
        <v>6</v>
      </c>
      <c r="B54" s="1465"/>
      <c r="C54" s="1439"/>
      <c r="D54" s="234"/>
      <c r="H54" s="1466"/>
      <c r="I54" s="1467"/>
      <c r="J54" s="1468"/>
    </row>
    <row r="55" spans="1:10">
      <c r="A55" s="1465" t="s">
        <v>7</v>
      </c>
      <c r="B55" s="1465"/>
      <c r="C55" s="1439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G1" zoomScale="85" zoomScaleNormal="85" workbookViewId="0">
      <pane ySplit="3" topLeftCell="A31" activePane="bottomLeft" state="frozen"/>
      <selection activeCell="D36" sqref="D36"/>
      <selection pane="bottomLeft" activeCell="M38" sqref="M38:M4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07" t="s">
        <v>1454</v>
      </c>
      <c r="C1" s="263"/>
      <c r="D1" s="263"/>
      <c r="E1" s="206"/>
      <c r="F1" s="1469"/>
      <c r="G1" s="1217" t="s">
        <v>951</v>
      </c>
      <c r="H1" s="1218">
        <f ca="1">LnkTXTIRTEco</f>
        <v>0.1182</v>
      </c>
    </row>
    <row r="2" spans="2:26" ht="14.25">
      <c r="B2" s="138" t="str">
        <f>CAPA!C9</f>
        <v>Certaja</v>
      </c>
      <c r="C2" s="1470"/>
      <c r="D2" s="1470"/>
      <c r="E2" s="1470"/>
      <c r="F2" s="1471"/>
      <c r="G2" s="121" t="s">
        <v>955</v>
      </c>
      <c r="H2" s="122">
        <f ca="1">LnkTXTIRTTotal</f>
        <v>-0.2044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42"/>
      <c r="P4" s="1842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472" t="s">
        <v>1455</v>
      </c>
      <c r="M6" s="1473"/>
      <c r="O6" s="272"/>
      <c r="P6" s="292"/>
      <c r="Z6" s="68"/>
    </row>
    <row r="7" spans="2:26" ht="14.25">
      <c r="C7" s="71"/>
      <c r="L7" s="214" t="s">
        <v>1275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1456</v>
      </c>
      <c r="D9" s="294" t="s">
        <v>1457</v>
      </c>
      <c r="L9" s="214" t="s">
        <v>1458</v>
      </c>
      <c r="M9" s="215">
        <v>4</v>
      </c>
      <c r="O9" s="272"/>
      <c r="P9" s="292"/>
      <c r="Z9" s="68"/>
    </row>
    <row r="10" spans="2:26" ht="14.25">
      <c r="L10" s="214" t="s">
        <v>1459</v>
      </c>
      <c r="M10" s="216">
        <f>CAPA!K16</f>
        <v>0.10704236088323049</v>
      </c>
      <c r="O10" s="272"/>
      <c r="P10" s="292"/>
      <c r="Z10" s="68"/>
    </row>
    <row r="11" spans="2:26" ht="14.25">
      <c r="B11" s="1845" t="s">
        <v>1460</v>
      </c>
      <c r="C11" s="1846"/>
      <c r="D11" s="1474" t="s">
        <v>1461</v>
      </c>
      <c r="E11" s="1475" t="s">
        <v>1462</v>
      </c>
      <c r="F11" s="1476" t="s">
        <v>1463</v>
      </c>
      <c r="G11" s="1475"/>
      <c r="H11" s="1475"/>
      <c r="I11" s="1475"/>
      <c r="J11" s="1475"/>
      <c r="L11" s="214" t="s">
        <v>1464</v>
      </c>
      <c r="M11" s="216">
        <f>CAPA!K17</f>
        <v>0.11886869625198027</v>
      </c>
      <c r="O11" s="272"/>
      <c r="P11" s="292"/>
      <c r="Z11" s="68"/>
    </row>
    <row r="12" spans="2:26" ht="14.25">
      <c r="B12" s="1851" t="s">
        <v>1465</v>
      </c>
      <c r="C12" s="1846"/>
      <c r="D12" s="1477" t="s">
        <v>1458</v>
      </c>
      <c r="E12" s="1477" t="s">
        <v>848</v>
      </c>
      <c r="F12" s="1477" t="s">
        <v>848</v>
      </c>
      <c r="G12" s="1477" t="s">
        <v>848</v>
      </c>
      <c r="H12" s="1477" t="s">
        <v>848</v>
      </c>
      <c r="I12" s="1477" t="s">
        <v>848</v>
      </c>
      <c r="J12" s="1477" t="s">
        <v>848</v>
      </c>
      <c r="L12" s="1478" t="s">
        <v>1466</v>
      </c>
      <c r="M12" s="1479">
        <v>41275</v>
      </c>
      <c r="O12" s="272"/>
      <c r="P12" s="292"/>
      <c r="Z12" s="68"/>
    </row>
    <row r="13" spans="2:26" ht="14.25">
      <c r="B13" s="1852" t="s">
        <v>1467</v>
      </c>
      <c r="C13" s="1853"/>
      <c r="D13" s="1480">
        <v>43617</v>
      </c>
      <c r="E13" s="1480">
        <v>43617</v>
      </c>
      <c r="F13" s="1480">
        <v>43617</v>
      </c>
      <c r="G13" s="1480">
        <v>44713</v>
      </c>
      <c r="H13" s="1480">
        <f t="shared" ref="H13:J14" si="0">G13</f>
        <v>44713</v>
      </c>
      <c r="I13" s="1480">
        <f t="shared" si="0"/>
        <v>44713</v>
      </c>
      <c r="J13" s="1480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843" t="s">
        <v>1468</v>
      </c>
      <c r="C14" s="1844"/>
      <c r="D14" s="1480">
        <v>42887</v>
      </c>
      <c r="E14" s="1480">
        <v>43252</v>
      </c>
      <c r="F14" s="1480">
        <v>43252</v>
      </c>
      <c r="G14" s="1480">
        <v>44348</v>
      </c>
      <c r="H14" s="1480">
        <f t="shared" si="0"/>
        <v>44348</v>
      </c>
      <c r="I14" s="1480">
        <f t="shared" si="0"/>
        <v>44348</v>
      </c>
      <c r="J14" s="1480">
        <f t="shared" si="0"/>
        <v>44348</v>
      </c>
      <c r="L14" s="1481"/>
      <c r="M14" s="1482">
        <v>41334</v>
      </c>
      <c r="O14" s="272"/>
      <c r="P14" s="292"/>
      <c r="Z14" s="68"/>
    </row>
    <row r="15" spans="2:26" ht="14.25">
      <c r="B15" s="1843" t="s">
        <v>1469</v>
      </c>
      <c r="C15" s="1844"/>
      <c r="D15" s="1483">
        <f>VLOOKUP(D13,Índices!$B$6:$F$500,VLOOKUP(D12,$L$7:$M$9,2,FALSE)+1,FALSE)/VLOOKUP(D14,Índices!$B$6:$F$500,VLOOKUP(D12,$L$7:$M$9,2,FALSE)+1,FALSE)</f>
        <v>1.1414978440075982</v>
      </c>
      <c r="E15" s="1483">
        <f>VLOOKUP(E13,Índices!$B$6:$F$500,VLOOKUP(E12,$L$7:$M$9,2,FALSE)+1,FALSE)/VLOOKUP(E14,Índices!$B$6:$F$500,VLOOKUP(E12,$L$7:$M$9,2,FALSE)+1,FALSE)</f>
        <v>1.0336626715248016</v>
      </c>
      <c r="F15" s="1483">
        <f>VLOOKUP(F13,Índices!$B$6:$F$500,VLOOKUP(F12,$L$7:$M$9,2,FALSE)+1,FALSE)/VLOOKUP(F14,Índices!$B$6:$F$500,VLOOKUP(F12,$L$7:$M$9,2,FALSE)+1,FALSE)</f>
        <v>1.0336626715248016</v>
      </c>
      <c r="G15" s="1483">
        <f>VLOOKUP(G13,Índices!$B$6:$F$500,VLOOKUP(G12,$L$7:$M$9,2,FALSE)+1,FALSE)/VLOOKUP(G14,Índices!$B$6:$F$500,VLOOKUP(G12,$L$7:$M$9,2,FALSE)+1,FALSE)</f>
        <v>1.1188686962519803</v>
      </c>
      <c r="H15" s="1483">
        <f>VLOOKUP(H13,Índices!$B$6:$F$500,VLOOKUP(H12,$L$7:$M$9,2,FALSE)+1,FALSE)/VLOOKUP(H14,Índices!$B$6:$F$500,VLOOKUP(H12,$L$7:$M$9,2,FALSE)+1,FALSE)</f>
        <v>1.1188686962519803</v>
      </c>
      <c r="I15" s="1483">
        <f>VLOOKUP(I13,Índices!$B$6:$F$500,VLOOKUP(I12,$L$7:$M$9,2,FALSE)+1,FALSE)/VLOOKUP(I14,Índices!$B$6:$F$500,VLOOKUP(I12,$L$7:$M$9,2,FALSE)+1,FALSE)</f>
        <v>1.1188686962519803</v>
      </c>
      <c r="J15" s="1483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843" t="s">
        <v>1470</v>
      </c>
      <c r="C16" s="1844"/>
      <c r="D16" s="1484"/>
      <c r="E16" s="1484"/>
      <c r="F16" s="1484"/>
      <c r="G16" s="1484"/>
      <c r="H16" s="1484"/>
      <c r="I16" s="1484"/>
      <c r="J16" s="1484"/>
      <c r="O16" s="272"/>
      <c r="P16" s="292"/>
      <c r="Z16" s="68"/>
    </row>
    <row r="17" spans="1:26" ht="14.25">
      <c r="B17" s="1849" t="s">
        <v>1471</v>
      </c>
      <c r="C17" s="1850"/>
      <c r="D17" s="1485">
        <f t="shared" ref="D17:E17" si="1">D16*D15</f>
        <v>0</v>
      </c>
      <c r="E17" s="1485">
        <f t="shared" si="1"/>
        <v>0</v>
      </c>
      <c r="F17" s="1485">
        <f>F16*F15</f>
        <v>0</v>
      </c>
      <c r="G17" s="1485">
        <f>G16*G15</f>
        <v>0</v>
      </c>
      <c r="H17" s="1485">
        <f>H16*H15</f>
        <v>0</v>
      </c>
      <c r="I17" s="1485">
        <f>I16*I15</f>
        <v>0</v>
      </c>
      <c r="J17" s="1485">
        <f>J16*J15</f>
        <v>0</v>
      </c>
      <c r="O17" s="272"/>
      <c r="P17" s="93"/>
      <c r="Z17" s="68"/>
    </row>
    <row r="18" spans="1:26" ht="14.25">
      <c r="E18" s="295" t="s">
        <v>1472</v>
      </c>
      <c r="F18" s="504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1473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1474</v>
      </c>
      <c r="E20" s="296" t="s">
        <v>1475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486" t="s">
        <v>1460</v>
      </c>
      <c r="C22" s="1847" t="str">
        <f>Financeiros!C9</f>
        <v>Repasse de PIS COFINS</v>
      </c>
      <c r="D22" s="1848"/>
      <c r="E22" s="1836" t="s">
        <v>1476</v>
      </c>
      <c r="F22" s="1837"/>
      <c r="G22" s="1836" t="str">
        <f>Financeiros!C27</f>
        <v>Compensação DIC FIC</v>
      </c>
      <c r="H22" s="1837"/>
      <c r="I22" s="1838" t="s">
        <v>1257</v>
      </c>
      <c r="J22" s="1839"/>
      <c r="K22" s="1854" t="s">
        <v>1477</v>
      </c>
      <c r="L22" s="1855"/>
      <c r="M22" s="1856" t="s">
        <v>2371</v>
      </c>
      <c r="N22" s="1857"/>
      <c r="O22" s="1834" t="s">
        <v>1478</v>
      </c>
      <c r="P22" s="1835"/>
      <c r="Q22" s="1834" t="s">
        <v>232</v>
      </c>
      <c r="R22" s="1835"/>
      <c r="S22" s="1834" t="s">
        <v>2183</v>
      </c>
      <c r="T22" s="1835"/>
      <c r="U22" s="1834" t="s">
        <v>2184</v>
      </c>
      <c r="V22" s="1835"/>
      <c r="Z22" s="68"/>
    </row>
    <row r="23" spans="1:26" ht="14.25">
      <c r="B23" s="1487" t="s">
        <v>1003</v>
      </c>
      <c r="C23" s="1488" t="s">
        <v>1479</v>
      </c>
      <c r="D23" s="1489" t="s">
        <v>848</v>
      </c>
      <c r="E23" s="1488" t="s">
        <v>1479</v>
      </c>
      <c r="F23" s="1489" t="s">
        <v>848</v>
      </c>
      <c r="G23" s="1488" t="s">
        <v>1479</v>
      </c>
      <c r="H23" s="1489" t="s">
        <v>848</v>
      </c>
      <c r="I23" s="1488" t="s">
        <v>1479</v>
      </c>
      <c r="J23" s="1489" t="s">
        <v>848</v>
      </c>
      <c r="K23" s="1488" t="s">
        <v>1479</v>
      </c>
      <c r="L23" s="1489" t="s">
        <v>1458</v>
      </c>
      <c r="M23" s="1490" t="s">
        <v>1479</v>
      </c>
      <c r="N23" s="1491" t="s">
        <v>1458</v>
      </c>
      <c r="O23" s="1490" t="s">
        <v>1479</v>
      </c>
      <c r="P23" s="1491" t="s">
        <v>848</v>
      </c>
      <c r="Q23" s="1490" t="s">
        <v>1479</v>
      </c>
      <c r="R23" s="1491" t="s">
        <v>848</v>
      </c>
      <c r="S23" s="1490" t="s">
        <v>1479</v>
      </c>
      <c r="T23" s="1491" t="s">
        <v>848</v>
      </c>
      <c r="U23" s="1490" t="s">
        <v>1479</v>
      </c>
      <c r="V23" s="1491" t="s">
        <v>848</v>
      </c>
      <c r="Z23" s="68"/>
    </row>
    <row r="24" spans="1:26" ht="14.25">
      <c r="B24" s="1492">
        <f>DATE(YEAR(B25),MONTH(B25)-1,1)</f>
        <v>43983</v>
      </c>
      <c r="C24" s="494"/>
      <c r="D24" s="495"/>
      <c r="E24" s="494"/>
      <c r="F24" s="495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6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6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6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25378.33</v>
      </c>
      <c r="P36" s="100">
        <f>VLOOKUP($B$48,Índices!$B$6:$F$500,VLOOKUP(P$23,$L$7:$M$9,2,FALSE)+1,FALSE)/VLOOKUP(DATE(YEAR($B36),MONTH($B36)-1,1),Índices!$B$6:$F$500,VLOOKUP(P$23,$L$7:$M$9,2,FALSE)+1,FALSE)*O36</f>
        <v>28545.514243339214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6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8" customFormat="1" ht="14.25">
      <c r="A37" s="872"/>
      <c r="B37" s="873">
        <f t="shared" si="2"/>
        <v>44378</v>
      </c>
      <c r="C37" s="874">
        <f>CAPA!C66</f>
        <v>21884.28</v>
      </c>
      <c r="D37" s="875">
        <f>VLOOKUP($B$48,Índices!$B$6:$F$500,VLOOKUP(D$23,$L$7:$M$9,2,FALSE)+1,FALSE)/VLOOKUP(DATE(YEAR($B37),MONTH($B37)-1,1),Índices!$B$6:$F$500,VLOOKUP(D$23,$L$7:$M$9,2,FALSE)+1,FALSE)*C37</f>
        <v>24485.635832013286</v>
      </c>
      <c r="E37" s="876"/>
      <c r="F37" s="875">
        <f>VLOOKUP($B$48,Índices!$B$6:$F$500,VLOOKUP(F$23,$L$7:$M$9,2,FALSE)+1,FALSE)/VLOOKUP(DATE(YEAR($B37),MONTH($B37)-1,1),Índices!$B$6:$F$500,VLOOKUP(H$23,$L$7:$M$9,2,FALSE)+1,FALSE)*E37</f>
        <v>0</v>
      </c>
      <c r="G37" s="876">
        <f>CAPA!E66</f>
        <v>-81916.289999999994</v>
      </c>
      <c r="H37" s="875">
        <f>VLOOKUP($B$48,Índices!$B$6:$F$500,VLOOKUP(H$23,$L$7:$M$9,2,FALSE)+1,FALSE)/VLOOKUP(DATE(YEAR($B37),MONTH($B37)-1,1),Índices!$B$6:$F$500,VLOOKUP(H$23,$L$7:$M$9,2,FALSE)+1,FALSE)*G37</f>
        <v>-91653.572594099125</v>
      </c>
      <c r="I37" s="877">
        <f>IFERROR(HLOOKUP(B37,'Rede Básica + Ajuste'!$E$70:$P$71,2,FALSE),0)</f>
        <v>0</v>
      </c>
      <c r="J37" s="877">
        <f>VLOOKUP($B$48,Índices!$B$6:$F$500,VLOOKUP(J$23,$L$7:$M$9,2,FALSE)+1,FALSE)/VLOOKUP(DATE(YEAR($B37),MONTH($B37)-1,1),Índices!$B$6:$F$500,VLOOKUP(J$23,$L$7:$M$9,2,FALSE)+1,FALSE)*I37</f>
        <v>0</v>
      </c>
      <c r="K37" s="876">
        <f>CAPA!H66</f>
        <v>0</v>
      </c>
      <c r="L37" s="875">
        <f>VLOOKUP($B$48,Índices!$B$6:$F$500,VLOOKUP(L$23,$L$7:$M$9,2,FALSE)+1,FALSE)/VLOOKUP(DATE(YEAR($B37),MONTH($B37)-1,1),Índices!$B$6:$F$500,VLOOKUP(L$23,$L$7:$M$9,2,FALSE)+1,FALSE)*K37</f>
        <v>0</v>
      </c>
      <c r="M37" s="876">
        <f>-CVE!$I$14/12</f>
        <v>-204363.23287770248</v>
      </c>
      <c r="N37" s="875">
        <f>VLOOKUP($B$48,Índices!$B$6:$F$500,VLOOKUP(N$23,$L$7:$M$9,2,FALSE)+1,FALSE)/VLOOKUP(DATE(YEAR($B37),MONTH($B37)-1,1),Índices!$B$6:$F$500,VLOOKUP(N$23,$L$7:$M$9,2,FALSE)+1,FALSE)*M37</f>
        <v>-222124.63201428344</v>
      </c>
      <c r="O37" s="416">
        <f>CAPA!G66</f>
        <v>21958.19</v>
      </c>
      <c r="P37" s="875">
        <f>VLOOKUP($B$48,Índices!$B$6:$F$500,VLOOKUP(P$23,$L$7:$M$9,2,FALSE)+1,FALSE)/VLOOKUP(DATE(YEAR($B37),MONTH($B37)-1,1),Índices!$B$6:$F$500,VLOOKUP(P$23,$L$7:$M$9,2,FALSE)+1,FALSE)*O37</f>
        <v>24568.331417353271</v>
      </c>
      <c r="Q37" s="876">
        <f>CAPA!D66</f>
        <v>0</v>
      </c>
      <c r="R37" s="875">
        <f>VLOOKUP($B$48,Índices!$B$6:$F$500,VLOOKUP(R$23,$L$7:$M$9,2,FALSE)+1,FALSE)/VLOOKUP(DATE(YEAR($B37),MONTH($B37)-1,1),Índices!$B$6:$F$500,VLOOKUP(R$23,$L$7:$M$9,2,FALSE)+1,FALSE)*Q37</f>
        <v>0</v>
      </c>
      <c r="S37" s="876">
        <f>ICMS!$B$9/12</f>
        <v>0</v>
      </c>
      <c r="T37" s="875">
        <f>VLOOKUP($B$48,Índices!$B$6:$F$500,VLOOKUP(T$23,$L$7:$M$9,2,FALSE)+1,FALSE)/VLOOKUP(DATE(YEAR($B37),MONTH($B37)-1,1),Índices!$B$6:$F$500,VLOOKUP(T$23,$L$7:$M$9,2,FALSE)+1,FALSE)*S37</f>
        <v>0</v>
      </c>
      <c r="U37" s="876">
        <f>ICMS!$B$8/12</f>
        <v>0</v>
      </c>
      <c r="V37" s="875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27134.399999999998</v>
      </c>
      <c r="D38" s="227">
        <f>VLOOKUP($B$48,Índices!$B$6:$F$500,VLOOKUP(D$23,$L$7:$M$9,2,FALSE)+1,FALSE)/VLOOKUP(DATE(YEAR($B38),MONTH($B38)-1,1),Índices!$B$6:$F$500,VLOOKUP(D$23,$L$7:$M$9,2,FALSE)+1,FALSE)*C38</f>
        <v>30071.157066418098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>
        <f>-CVE!$I$14/12</f>
        <v>-204363.23287770248</v>
      </c>
      <c r="N38" s="100">
        <f>VLOOKUP($B$48,Índices!$B$6:$F$500,VLOOKUP(N$23,$L$7:$M$9,2,FALSE)+1,FALSE)/VLOOKUP(DATE(YEAR($B38),MONTH($B38)-1,1),Índices!$B$6:$F$500,VLOOKUP(N$23,$L$7:$M$9,2,FALSE)+1,FALSE)*M38</f>
        <v>-221337.51998518963</v>
      </c>
      <c r="O38" s="416">
        <f>CAPA!G67</f>
        <v>21912.04</v>
      </c>
      <c r="P38" s="100">
        <f>VLOOKUP($B$48,Índices!$B$6:$F$500,VLOOKUP(P$23,$L$7:$M$9,2,FALSE)+1,FALSE)/VLOOKUP(DATE(YEAR($B38),MONTH($B38)-1,1),Índices!$B$6:$F$500,VLOOKUP(P$23,$L$7:$M$9,2,FALSE)+1,FALSE)*O38</f>
        <v>24283.580859928214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6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6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32321.97</v>
      </c>
      <c r="D39" s="227">
        <f>VLOOKUP($B$48,Índices!$B$6:$F$500,VLOOKUP(D$23,$L$7:$M$9,2,FALSE)+1,FALSE)/VLOOKUP(DATE(YEAR($B39),MONTH($B39)-1,1),Índices!$B$6:$F$500,VLOOKUP(D$23,$L$7:$M$9,2,FALSE)+1,FALSE)*C39</f>
        <v>35511.234592030363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>
        <f>-CVE!$I$14/12</f>
        <v>-204363.23287770248</v>
      </c>
      <c r="N39" s="100">
        <f>VLOOKUP($B$48,Índices!$B$6:$F$500,VLOOKUP(N$23,$L$7:$M$9,2,FALSE)+1,FALSE)/VLOOKUP(DATE(YEAR($B39),MONTH($B39)-1,1),Índices!$B$6:$F$500,VLOOKUP(N$23,$L$7:$M$9,2,FALSE)+1,FALSE)*M39</f>
        <v>-220394.33696024559</v>
      </c>
      <c r="O39" s="416">
        <f>CAPA!G68</f>
        <v>21877.3</v>
      </c>
      <c r="P39" s="100">
        <f>VLOOKUP($B$48,Índices!$B$6:$F$500,VLOOKUP(P$23,$L$7:$M$9,2,FALSE)+1,FALSE)/VLOOKUP(DATE(YEAR($B39),MONTH($B39)-1,1),Índices!$B$6:$F$500,VLOOKUP(P$23,$L$7:$M$9,2,FALSE)+1,FALSE)*O39</f>
        <v>24035.970967741934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6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6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30501.64</v>
      </c>
      <c r="D40" s="227">
        <f>VLOOKUP($B$48,Índices!$B$6:$F$500,VLOOKUP(D$23,$L$7:$M$9,2,FALSE)+1,FALSE)/VLOOKUP(DATE(YEAR($B40),MONTH($B40)-1,1),Índices!$B$6:$F$500,VLOOKUP(D$23,$L$7:$M$9,2,FALSE)+1,FALSE)*C40</f>
        <v>33127.028250011354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0</v>
      </c>
      <c r="H40" s="227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>
        <f>-CVE!$I$14/12</f>
        <v>-204363.23287770248</v>
      </c>
      <c r="N40" s="100">
        <f>VLOOKUP($B$48,Índices!$B$6:$F$500,VLOOKUP(N$23,$L$7:$M$9,2,FALSE)+1,FALSE)/VLOOKUP(DATE(YEAR($B40),MONTH($B40)-1,1),Índices!$B$6:$F$500,VLOOKUP(N$23,$L$7:$M$9,2,FALSE)+1,FALSE)*M40</f>
        <v>-219424.48221409865</v>
      </c>
      <c r="O40" s="416">
        <f>CAPA!G69</f>
        <v>21868.81</v>
      </c>
      <c r="P40" s="100">
        <f>VLOOKUP($B$48,Índices!$B$6:$F$500,VLOOKUP(P$23,$L$7:$M$9,2,FALSE)+1,FALSE)/VLOOKUP(DATE(YEAR($B40),MONTH($B40)-1,1),Índices!$B$6:$F$500,VLOOKUP(P$23,$L$7:$M$9,2,FALSE)+1,FALSE)*O40</f>
        <v>23751.138845784386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6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6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23712.17</v>
      </c>
      <c r="D41" s="227">
        <f>VLOOKUP($B$48,Índices!$B$6:$F$500,VLOOKUP(D$23,$L$7:$M$9,2,FALSE)+1,FALSE)/VLOOKUP(DATE(YEAR($B41),MONTH($B41)-1,1),Índices!$B$6:$F$500,VLOOKUP(D$23,$L$7:$M$9,2,FALSE)+1,FALSE)*C41</f>
        <v>25435.234417571792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-22161.13</v>
      </c>
      <c r="H41" s="227">
        <f>VLOOKUP($B$48,Índices!$B$6:$F$500,VLOOKUP(H$23,$L$7:$M$9,2,FALSE)+1,FALSE)/VLOOKUP(DATE(YEAR($B41),MONTH($B41)-1,1),Índices!$B$6:$F$500,VLOOKUP(H$23,$L$7:$M$9,2,FALSE)+1,FALSE)*G41</f>
        <v>-23771.486814925956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>
        <f>-CVE!$I$14/12</f>
        <v>-204363.23287770248</v>
      </c>
      <c r="N41" s="100">
        <f>VLOOKUP($B$48,Índices!$B$6:$F$500,VLOOKUP(N$23,$L$7:$M$9,2,FALSE)+1,FALSE)/VLOOKUP(DATE(YEAR($B41),MONTH($B41)-1,1),Índices!$B$6:$F$500,VLOOKUP(N$23,$L$7:$M$9,2,FALSE)+1,FALSE)*M41</f>
        <v>-218363.24535235687</v>
      </c>
      <c r="O41" s="416">
        <f>CAPA!G70</f>
        <v>21923.67</v>
      </c>
      <c r="P41" s="100">
        <f>VLOOKUP($B$48,Índices!$B$6:$F$500,VLOOKUP(P$23,$L$7:$M$9,2,FALSE)+1,FALSE)/VLOOKUP(DATE(YEAR($B41),MONTH($B41)-1,1),Índices!$B$6:$F$500,VLOOKUP(P$23,$L$7:$M$9,2,FALSE)+1,FALSE)*O41</f>
        <v>23516.771587901323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6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6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17875.810000000001</v>
      </c>
      <c r="D42" s="227">
        <f>VLOOKUP($B$48,Índices!$B$6:$F$500,VLOOKUP(D$23,$L$7:$M$9,2,FALSE)+1,FALSE)/VLOOKUP(DATE(YEAR($B42),MONTH($B42)-1,1),Índices!$B$6:$F$500,VLOOKUP(D$23,$L$7:$M$9,2,FALSE)+1,FALSE)*C42</f>
        <v>18994.311426109631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0</v>
      </c>
      <c r="H42" s="227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>
        <f>-CVE!$I$14/12</f>
        <v>-204363.23287770248</v>
      </c>
      <c r="N42" s="100">
        <f>VLOOKUP($B$48,Índices!$B$6:$F$500,VLOOKUP(N$23,$L$7:$M$9,2,FALSE)+1,FALSE)/VLOOKUP(DATE(YEAR($B42),MONTH($B42)-1,1),Índices!$B$6:$F$500,VLOOKUP(N$23,$L$7:$M$9,2,FALSE)+1,FALSE)*M42</f>
        <v>-217089.47482586285</v>
      </c>
      <c r="O42" s="416">
        <f>CAPA!G71</f>
        <v>21884.16</v>
      </c>
      <c r="P42" s="100">
        <f>VLOOKUP($B$48,Índices!$B$6:$F$500,VLOOKUP(P$23,$L$7:$M$9,2,FALSE)+1,FALSE)/VLOOKUP(DATE(YEAR($B42),MONTH($B42)-1,1),Índices!$B$6:$F$500,VLOOKUP(P$23,$L$7:$M$9,2,FALSE)+1,FALSE)*O42</f>
        <v>23253.466575154431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6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6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8462.81</v>
      </c>
      <c r="D43" s="227">
        <f>VLOOKUP($B$48,Índices!$B$6:$F$500,VLOOKUP(D$23,$L$7:$M$9,2,FALSE)+1,FALSE)/VLOOKUP(DATE(YEAR($B43),MONTH($B43)-1,1),Índices!$B$6:$F$500,VLOOKUP(D$23,$L$7:$M$9,2,FALSE)+1,FALSE)*C43</f>
        <v>8927.1690934209564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-23575.19</v>
      </c>
      <c r="H43" s="227">
        <f>VLOOKUP($B$48,Índices!$B$6:$F$500,VLOOKUP(H$23,$L$7:$M$9,2,FALSE)+1,FALSE)/VLOOKUP(DATE(YEAR($B43),MONTH($B43)-1,1),Índices!$B$6:$F$500,VLOOKUP(H$23,$L$7:$M$9,2,FALSE)+1,FALSE)*G43</f>
        <v>-24868.773792573247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>
        <f>-CVE!$I$14/12</f>
        <v>-204363.23287770248</v>
      </c>
      <c r="N43" s="100">
        <f>VLOOKUP($B$48,Índices!$B$6:$F$500,VLOOKUP(N$23,$L$7:$M$9,2,FALSE)+1,FALSE)/VLOOKUP(DATE(YEAR($B43),MONTH($B43)-1,1),Índices!$B$6:$F$500,VLOOKUP(N$23,$L$7:$M$9,2,FALSE)+1,FALSE)*M43</f>
        <v>-215432.61900031628</v>
      </c>
      <c r="O43" s="416">
        <f>CAPA!G72</f>
        <v>22725.15</v>
      </c>
      <c r="P43" s="100">
        <f>VLOOKUP($B$48,Índices!$B$6:$F$500,VLOOKUP(P$23,$L$7:$M$9,2,FALSE)+1,FALSE)/VLOOKUP(DATE(YEAR($B43),MONTH($B43)-1,1),Índices!$B$6:$F$500,VLOOKUP(P$23,$L$7:$M$9,2,FALSE)+1,FALSE)*O43</f>
        <v>23972.091624809644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6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6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15925.86</v>
      </c>
      <c r="D44" s="227">
        <f>VLOOKUP($B$48,Índices!$B$6:$F$500,VLOOKUP(D$23,$L$7:$M$9,2,FALSE)+1,FALSE)/VLOOKUP(DATE(YEAR($B44),MONTH($B44)-1,1),Índices!$B$6:$F$500,VLOOKUP(D$23,$L$7:$M$9,2,FALSE)+1,FALSE)*C44</f>
        <v>16709.484711096378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-67698.44</v>
      </c>
      <c r="H44" s="227">
        <f>VLOOKUP($B$48,Índices!$B$6:$F$500,VLOOKUP(H$23,$L$7:$M$9,2,FALSE)+1,FALSE)/VLOOKUP(DATE(YEAR($B44),MONTH($B44)-1,1),Índices!$B$6:$F$500,VLOOKUP(H$23,$L$7:$M$9,2,FALSE)+1,FALSE)*G44</f>
        <v>-71029.511005689827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>
        <f>-CVE!$I$14/12</f>
        <v>-204363.23287770248</v>
      </c>
      <c r="N44" s="100">
        <f>VLOOKUP($B$48,Índices!$B$6:$F$500,VLOOKUP(N$23,$L$7:$M$9,2,FALSE)+1,FALSE)/VLOOKUP(DATE(YEAR($B44),MONTH($B44)-1,1),Índices!$B$6:$F$500,VLOOKUP(N$23,$L$7:$M$9,2,FALSE)+1,FALSE)*M44</f>
        <v>-213866.53780966738</v>
      </c>
      <c r="O44" s="416">
        <f>CAPA!G73</f>
        <v>23175.93</v>
      </c>
      <c r="P44" s="100">
        <f>VLOOKUP($B$48,Índices!$B$6:$F$500,VLOOKUP(P$23,$L$7:$M$9,2,FALSE)+1,FALSE)/VLOOKUP(DATE(YEAR($B44),MONTH($B44)-1,1),Índices!$B$6:$F$500,VLOOKUP(P$23,$L$7:$M$9,2,FALSE)+1,FALSE)*O44</f>
        <v>24316.29111397688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6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6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31272.550000000003</v>
      </c>
      <c r="D45" s="227">
        <f>VLOOKUP($B$48,Índices!$B$6:$F$500,VLOOKUP(D$23,$L$7:$M$9,2,FALSE)+1,FALSE)/VLOOKUP(DATE(YEAR($B45),MONTH($B45)-1,1),Índices!$B$6:$F$500,VLOOKUP(D$23,$L$7:$M$9,2,FALSE)+1,FALSE)*C45</f>
        <v>32483.201279033477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0</v>
      </c>
      <c r="H45" s="227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>
        <f>-CVE!$I$14/12</f>
        <v>-204363.23287770248</v>
      </c>
      <c r="N45" s="100">
        <f>VLOOKUP($B$48,Índices!$B$6:$F$500,VLOOKUP(N$23,$L$7:$M$9,2,FALSE)+1,FALSE)/VLOOKUP(DATE(YEAR($B45),MONTH($B45)-1,1),Índices!$B$6:$F$500,VLOOKUP(N$23,$L$7:$M$9,2,FALSE)+1,FALSE)*M45</f>
        <v>-212263.85867599337</v>
      </c>
      <c r="O45" s="416">
        <f>CAPA!G74</f>
        <v>29061.09</v>
      </c>
      <c r="P45" s="100">
        <f>VLOOKUP($B$48,Índices!$B$6:$F$500,VLOOKUP(P$23,$L$7:$M$9,2,FALSE)+1,FALSE)/VLOOKUP(DATE(YEAR($B45),MONTH($B45)-1,1),Índices!$B$6:$F$500,VLOOKUP(P$23,$L$7:$M$9,2,FALSE)+1,FALSE)*O45</f>
        <v>30186.12923660229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6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6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26953.33</v>
      </c>
      <c r="D46" s="227">
        <f>VLOOKUP($B$48,Índices!$B$6:$F$500,VLOOKUP(D$23,$L$7:$M$9,2,FALSE)+1,FALSE)/VLOOKUP(DATE(YEAR($B46),MONTH($B46)-1,1),Índices!$B$6:$F$500,VLOOKUP(D$23,$L$7:$M$9,2,FALSE)+1,FALSE)*C46</f>
        <v>27550.440787104988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-5027.68</v>
      </c>
      <c r="H46" s="227">
        <f>VLOOKUP($B$48,Índices!$B$6:$F$500,VLOOKUP(H$23,$L$7:$M$9,2,FALSE)+1,FALSE)/VLOOKUP(DATE(YEAR($B46),MONTH($B46)-1,1),Índices!$B$6:$F$500,VLOOKUP(H$23,$L$7:$M$9,2,FALSE)+1,FALSE)*G46</f>
        <v>-5139.0607444984353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>
        <f>-CVE!$I$14/12</f>
        <v>-204363.23287770248</v>
      </c>
      <c r="N46" s="100">
        <f>VLOOKUP($B$48,Índices!$B$6:$F$500,VLOOKUP(N$23,$L$7:$M$9,2,FALSE)+1,FALSE)/VLOOKUP(DATE(YEAR($B46),MONTH($B46)-1,1),Índices!$B$6:$F$500,VLOOKUP(N$23,$L$7:$M$9,2,FALSE)+1,FALSE)*M46</f>
        <v>-210314.13337829959</v>
      </c>
      <c r="O46" s="416">
        <f>CAPA!G75</f>
        <v>28794.05</v>
      </c>
      <c r="P46" s="100">
        <f>VLOOKUP($B$48,Índices!$B$6:$F$500,VLOOKUP(P$23,$L$7:$M$9,2,FALSE)+1,FALSE)/VLOOKUP(DATE(YEAR($B46),MONTH($B46)-1,1),Índices!$B$6:$F$500,VLOOKUP(P$23,$L$7:$M$9,2,FALSE)+1,FALSE)*O46</f>
        <v>29431.939190665507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6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6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20347.150000000001</v>
      </c>
      <c r="D47" s="227">
        <f>VLOOKUP($B$48,Índices!$B$6:$F$500,VLOOKUP(D$23,$L$7:$M$9,2,FALSE)+1,FALSE)/VLOOKUP(DATE(YEAR($B47),MONTH($B47)-1,1),Índices!$B$6:$F$500,VLOOKUP(D$23,$L$7:$M$9,2,FALSE)+1,FALSE)*C47</f>
        <v>20579.761538286792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-15566.1</v>
      </c>
      <c r="H47" s="227">
        <f>VLOOKUP($B$48,Índices!$B$6:$F$500,VLOOKUP(H$23,$L$7:$M$9,2,FALSE)+1,FALSE)/VLOOKUP(DATE(YEAR($B47),MONTH($B47)-1,1),Índices!$B$6:$F$500,VLOOKUP(H$23,$L$7:$M$9,2,FALSE)+1,FALSE)*G47</f>
        <v>-15744.053888683478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>
        <f>-CVE!$I$14/12</f>
        <v>-204363.23287770248</v>
      </c>
      <c r="N47" s="100">
        <f>VLOOKUP($B$48,Índices!$B$6:$F$500,VLOOKUP(N$23,$L$7:$M$9,2,FALSE)+1,FALSE)/VLOOKUP(DATE(YEAR($B47),MONTH($B47)-1,1),Índices!$B$6:$F$500,VLOOKUP(N$23,$L$7:$M$9,2,FALSE)+1,FALSE)*M47</f>
        <v>-208573.95803924021</v>
      </c>
      <c r="O47" s="416">
        <f>CAPA!G76</f>
        <v>28645.65</v>
      </c>
      <c r="P47" s="100">
        <f>VLOOKUP($B$48,Índices!$B$6:$F$500,VLOOKUP(P$23,$L$7:$M$9,2,FALSE)+1,FALSE)/VLOOKUP(DATE(YEAR($B47),MONTH($B47)-1,1),Índices!$B$6:$F$500,VLOOKUP(P$23,$L$7:$M$9,2,FALSE)+1,FALSE)*O47</f>
        <v>28973.131180987264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6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6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493">
        <f>DATE(YEAR(CAPA!$C$15),MONTH(CAPA!$C$15)-1,1)</f>
        <v>44713</v>
      </c>
      <c r="C48" s="298">
        <f>CAPA!C77</f>
        <v>6822.81</v>
      </c>
      <c r="D48" s="227">
        <f>VLOOKUP($B$48,Índices!$B$6:$F$500,VLOOKUP(D$23,$L$7:$M$9,2,FALSE)+1,FALSE)/VLOOKUP(DATE(YEAR($B48),MONTH($B48)-1,1),Índices!$B$6:$F$500,VLOOKUP(D$23,$L$7:$M$9,2,FALSE)+1,FALSE)*C48</f>
        <v>6868.5267677704878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6">
        <f>-CVE!$I$14/12</f>
        <v>-204363.23287770248</v>
      </c>
      <c r="N48" s="100">
        <f>VLOOKUP($B$48,Índices!$B$6:$F$500,VLOOKUP(N$23,$L$7:$M$9,2,FALSE)+1,FALSE)/VLOOKUP(DATE(YEAR($B48),MONTH($B48)-1,1),Índices!$B$6:$F$500,VLOOKUP(N$23,$L$7:$M$9,2,FALSE)+1,FALSE)*M48</f>
        <v>-206438.16468003797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6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6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94">
        <f t="shared" ref="C49:P49" si="3">SUM(C25:C48)</f>
        <v>263214.78000000003</v>
      </c>
      <c r="D49" s="1495">
        <f t="shared" si="3"/>
        <v>280743.18576086761</v>
      </c>
      <c r="E49" s="1494">
        <f t="shared" si="3"/>
        <v>0</v>
      </c>
      <c r="F49" s="1495">
        <f t="shared" si="3"/>
        <v>0</v>
      </c>
      <c r="G49" s="1494">
        <f t="shared" si="3"/>
        <v>-215944.83</v>
      </c>
      <c r="H49" s="1495">
        <f t="shared" si="3"/>
        <v>-232206.45884047006</v>
      </c>
      <c r="I49" s="1496">
        <f>SUM(I24:I48)</f>
        <v>0</v>
      </c>
      <c r="J49" s="1496">
        <f>SUM(J24:J48)</f>
        <v>0</v>
      </c>
      <c r="K49" s="1497">
        <f t="shared" si="3"/>
        <v>0</v>
      </c>
      <c r="L49" s="1498">
        <f t="shared" si="3"/>
        <v>0</v>
      </c>
      <c r="M49" s="1499">
        <f t="shared" si="3"/>
        <v>-2452358.7945324299</v>
      </c>
      <c r="N49" s="1500">
        <f t="shared" si="3"/>
        <v>-2585622.9629355916</v>
      </c>
      <c r="O49" s="1499">
        <f t="shared" si="3"/>
        <v>289204.37</v>
      </c>
      <c r="P49" s="1500">
        <f t="shared" si="3"/>
        <v>308834.35684424435</v>
      </c>
      <c r="Q49" s="1499">
        <f t="shared" ref="Q49:R49" si="4">SUM(Q25:Q48)</f>
        <v>0</v>
      </c>
      <c r="R49" s="1500">
        <f t="shared" si="4"/>
        <v>0</v>
      </c>
      <c r="S49" s="1499">
        <f>-S51</f>
        <v>0</v>
      </c>
      <c r="T49" s="1500">
        <f t="shared" ref="T49:V49" si="5">SUM(T25:T48)</f>
        <v>0</v>
      </c>
      <c r="U49" s="1499">
        <f>-S52</f>
        <v>0</v>
      </c>
      <c r="V49" s="1500">
        <f t="shared" si="5"/>
        <v>0</v>
      </c>
      <c r="Z49" s="68"/>
    </row>
    <row r="50" spans="2:30" ht="14.25">
      <c r="J50" s="68" t="s">
        <v>926</v>
      </c>
      <c r="M50" s="200"/>
      <c r="N50" s="108"/>
      <c r="S50" s="1407"/>
      <c r="T50" s="68" t="s">
        <v>1480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40" t="s">
        <v>2258</v>
      </c>
      <c r="D53" s="1841"/>
      <c r="E53" s="1840" t="s">
        <v>1481</v>
      </c>
      <c r="F53" s="1841"/>
      <c r="G53" s="1840" t="s">
        <v>1482</v>
      </c>
      <c r="H53" s="1841"/>
      <c r="I53" s="1840" t="s">
        <v>1483</v>
      </c>
      <c r="J53" s="1841"/>
      <c r="K53" s="1836" t="s">
        <v>1484</v>
      </c>
      <c r="L53" s="1837"/>
      <c r="M53" s="1840" t="s">
        <v>1485</v>
      </c>
      <c r="N53" s="1841"/>
      <c r="O53" s="1840" t="s">
        <v>2260</v>
      </c>
      <c r="P53" s="1841"/>
      <c r="Q53" s="1840" t="s">
        <v>2261</v>
      </c>
      <c r="R53" s="1841"/>
      <c r="S53" s="1840" t="s">
        <v>1486</v>
      </c>
      <c r="T53" s="1841"/>
      <c r="U53" s="1840" t="s">
        <v>1487</v>
      </c>
      <c r="V53" s="1841"/>
      <c r="W53" s="1840" t="s">
        <v>36</v>
      </c>
      <c r="X53" s="1841"/>
      <c r="Z53" s="68"/>
    </row>
    <row r="54" spans="2:30" ht="14.25">
      <c r="C54" s="1490" t="s">
        <v>1479</v>
      </c>
      <c r="D54" s="1491" t="s">
        <v>848</v>
      </c>
      <c r="E54" s="1490" t="s">
        <v>1479</v>
      </c>
      <c r="F54" s="1491" t="s">
        <v>848</v>
      </c>
      <c r="G54" s="1490" t="s">
        <v>1479</v>
      </c>
      <c r="H54" s="1491" t="s">
        <v>848</v>
      </c>
      <c r="I54" s="1490" t="s">
        <v>1479</v>
      </c>
      <c r="J54" s="1491" t="s">
        <v>848</v>
      </c>
      <c r="K54" s="1488" t="s">
        <v>1479</v>
      </c>
      <c r="L54" s="1489" t="s">
        <v>848</v>
      </c>
      <c r="M54" s="1490" t="s">
        <v>1479</v>
      </c>
      <c r="N54" s="1491" t="s">
        <v>848</v>
      </c>
      <c r="O54" s="1490" t="s">
        <v>1479</v>
      </c>
      <c r="P54" s="1491" t="s">
        <v>848</v>
      </c>
      <c r="Q54" s="1490" t="s">
        <v>1479</v>
      </c>
      <c r="R54" s="1491" t="s">
        <v>848</v>
      </c>
      <c r="S54" s="1490" t="s">
        <v>1479</v>
      </c>
      <c r="T54" s="1491" t="s">
        <v>848</v>
      </c>
      <c r="U54" s="1490" t="s">
        <v>1479</v>
      </c>
      <c r="V54" s="1491" t="s">
        <v>848</v>
      </c>
      <c r="W54" s="1490" t="s">
        <v>1479</v>
      </c>
      <c r="X54" s="1501" t="s">
        <v>1458</v>
      </c>
      <c r="Z54" s="68"/>
    </row>
    <row r="55" spans="2:30" ht="14.25">
      <c r="B55" s="272">
        <f t="shared" ref="B55:B79" si="6">B24</f>
        <v>43983</v>
      </c>
      <c r="C55" s="496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8128.5809190471118</v>
      </c>
      <c r="F68" s="100">
        <f ca="1">VLOOKUP($B$79,Índices!$B$6:$F$500,VLOOKUP(F$54,$L$7:$M$9,2,FALSE)+1,FALSE)/VLOOKUP(DATE(YEAR($B68),MONTH($B68)-1,1),Índices!$B$6:$F$500,VLOOKUP(F$54,$L$7:$M$9,2,FALSE)+1,FALSE)*E68</f>
        <v>9094.8147352729648</v>
      </c>
      <c r="G68" s="209">
        <f ca="1">Encargos!E31</f>
        <v>1466.5134282969466</v>
      </c>
      <c r="H68" s="227">
        <f ca="1">VLOOKUP($B$48,Índices!$B$6:$F$500,VLOOKUP(H$54,$L$7:$M$9,2,FALSE)+1,FALSE)/VLOOKUP(DATE(YEAR($B68),MONTH($B68)-1,1),Índices!$B$6:$F$500,VLOOKUP(H$54,$L$7:$M$9,2,FALSE)+1,FALSE)*G68</f>
        <v>1640.8359675546267</v>
      </c>
      <c r="I68" s="209">
        <f ca="1">Encargos!F31</f>
        <v>57699.410088680394</v>
      </c>
      <c r="J68" s="227">
        <f ca="1">VLOOKUP($B$48,Índices!$B$6:$F$500,VLOOKUP(J$54,$L$7:$M$9,2,FALSE)+1,FALSE)/VLOOKUP(DATE(YEAR($B68),MONTH($B68)-1,1),Índices!$B$6:$F$500,VLOOKUP(J$54,$L$7:$M$9,2,FALSE)+1,FALSE)*I68</f>
        <v>64558.063740430189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9070.8921333642647</v>
      </c>
      <c r="N68" s="227">
        <f ca="1">VLOOKUP($B$48,Índices!$B$6:$F$500,VLOOKUP(N$54,$L$7:$M$9,2,FALSE)+1,FALSE)/VLOOKUP(DATE(YEAR($B68),MONTH($B68)-1,1),Índices!$B$6:$F$500,VLOOKUP(N$54,$L$7:$M$9,2,FALSE)+1,FALSE)*M68</f>
        <v>10149.137255099618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6844.4799222738875</v>
      </c>
      <c r="F69" s="100">
        <f ca="1">VLOOKUP($B$79,Índices!$B$6:$F$500,VLOOKUP(F$54,$L$7:$M$9,2,FALSE)+1,FALSE)/VLOOKUP(DATE(YEAR($B69),MONTH($B69)-1,1),Índices!$B$6:$F$500,VLOOKUP(F$54,$L$7:$M$9,2,FALSE)+1,FALSE)*E69</f>
        <v>7585.2582250074893</v>
      </c>
      <c r="G69" s="209">
        <f ca="1">Encargos!E32</f>
        <v>1268.9183580697045</v>
      </c>
      <c r="H69" s="227">
        <f ca="1">VLOOKUP($B$48,Índices!$B$6:$F$500,VLOOKUP(H$54,$L$7:$M$9,2,FALSE)+1,FALSE)/VLOOKUP(DATE(YEAR($B69),MONTH($B69)-1,1),Índices!$B$6:$F$500,VLOOKUP(H$54,$L$7:$M$9,2,FALSE)+1,FALSE)*G69</f>
        <v>1406.2534365961822</v>
      </c>
      <c r="I69" s="209">
        <f ca="1">Encargos!F32</f>
        <v>50103.817273924593</v>
      </c>
      <c r="J69" s="227">
        <f ca="1">VLOOKUP($B$48,Índices!$B$6:$F$500,VLOOKUP(J$54,$L$7:$M$9,2,FALSE)+1,FALSE)/VLOOKUP(DATE(YEAR($B69),MONTH($B69)-1,1),Índices!$B$6:$F$500,VLOOKUP(J$54,$L$7:$M$9,2,FALSE)+1,FALSE)*I69</f>
        <v>55526.555179819668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7935.2858310294832</v>
      </c>
      <c r="N69" s="227">
        <f ca="1">VLOOKUP($B$48,Índices!$B$6:$F$500,VLOOKUP(N$54,$L$7:$M$9,2,FALSE)+1,FALSE)/VLOOKUP(DATE(YEAR($B69),MONTH($B69)-1,1),Índices!$B$6:$F$500,VLOOKUP(N$54,$L$7:$M$9,2,FALSE)+1,FALSE)*M69</f>
        <v>8794.1220956354173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8287.3651269817055</v>
      </c>
      <c r="F70" s="100">
        <f ca="1">VLOOKUP($B$79,Índices!$B$6:$F$500,VLOOKUP(F$54,$L$7:$M$9,2,FALSE)+1,FALSE)/VLOOKUP(DATE(YEAR($B70),MONTH($B70)-1,1),Índices!$B$6:$F$500,VLOOKUP(F$54,$L$7:$M$9,2,FALSE)+1,FALSE)*E70</f>
        <v>9105.093754311969</v>
      </c>
      <c r="G70" s="209">
        <f ca="1">Encargos!E33</f>
        <v>1333.6690680413121</v>
      </c>
      <c r="H70" s="227">
        <f ca="1">VLOOKUP($B$48,Índices!$B$6:$F$500,VLOOKUP(H$54,$L$7:$M$9,2,FALSE)+1,FALSE)/VLOOKUP(DATE(YEAR($B70),MONTH($B70)-1,1),Índices!$B$6:$F$500,VLOOKUP(H$54,$L$7:$M$9,2,FALSE)+1,FALSE)*G70</f>
        <v>1465.264497904971</v>
      </c>
      <c r="I70" s="209">
        <f ca="1">Encargos!F33</f>
        <v>52906.741387858056</v>
      </c>
      <c r="J70" s="227">
        <f ca="1">VLOOKUP($B$48,Índices!$B$6:$F$500,VLOOKUP(J$54,$L$7:$M$9,2,FALSE)+1,FALSE)/VLOOKUP(DATE(YEAR($B70),MONTH($B70)-1,1),Índices!$B$6:$F$500,VLOOKUP(J$54,$L$7:$M$9,2,FALSE)+1,FALSE)*I70</f>
        <v>58127.140917589779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8496.345103044252</v>
      </c>
      <c r="N70" s="227">
        <f ca="1">VLOOKUP($B$48,Índices!$B$6:$F$500,VLOOKUP(N$54,$L$7:$M$9,2,FALSE)+1,FALSE)/VLOOKUP(DATE(YEAR($B70),MONTH($B70)-1,1),Índices!$B$6:$F$500,VLOOKUP(N$54,$L$7:$M$9,2,FALSE)+1,FALSE)*M70</f>
        <v>9334.6941454698699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3379.6681228349044</v>
      </c>
      <c r="F71" s="100">
        <f ca="1">VLOOKUP($B$79,Índices!$B$6:$F$500,VLOOKUP(F$54,$L$7:$M$9,2,FALSE)+1,FALSE)/VLOOKUP(DATE(YEAR($B71),MONTH($B71)-1,1),Índices!$B$6:$F$500,VLOOKUP(F$54,$L$7:$M$9,2,FALSE)+1,FALSE)*E71</f>
        <v>3670.5685786342874</v>
      </c>
      <c r="G71" s="209">
        <f ca="1">Encargos!E34</f>
        <v>543.79628411535487</v>
      </c>
      <c r="H71" s="227">
        <f ca="1">VLOOKUP($B$48,Índices!$B$6:$F$500,VLOOKUP(H$54,$L$7:$M$9,2,FALSE)+1,FALSE)/VLOOKUP(DATE(YEAR($B71),MONTH($B71)-1,1),Índices!$B$6:$F$500,VLOOKUP(H$54,$L$7:$M$9,2,FALSE)+1,FALSE)*G71</f>
        <v>590.60282877053703</v>
      </c>
      <c r="I71" s="209">
        <f ca="1">Encargos!F34</f>
        <v>18916.165163056692</v>
      </c>
      <c r="J71" s="227">
        <f ca="1">VLOOKUP($B$48,Índices!$B$6:$F$500,VLOOKUP(J$54,$L$7:$M$9,2,FALSE)+1,FALSE)/VLOOKUP(DATE(YEAR($B71),MONTH($B71)-1,1),Índices!$B$6:$F$500,VLOOKUP(J$54,$L$7:$M$9,2,FALSE)+1,FALSE)*I71</f>
        <v>20544.34901659254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2431.5564578413032</v>
      </c>
      <c r="N71" s="227">
        <f ca="1">VLOOKUP($B$48,Índices!$B$6:$F$500,VLOOKUP(N$54,$L$7:$M$9,2,FALSE)+1,FALSE)/VLOOKUP(DATE(YEAR($B71),MONTH($B71)-1,1),Índices!$B$6:$F$500,VLOOKUP(N$54,$L$7:$M$9,2,FALSE)+1,FALSE)*M71</f>
        <v>2640.8494582719618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-5707.3016111872712</v>
      </c>
      <c r="F72" s="100">
        <f ca="1">VLOOKUP($B$79,Índices!$B$6:$F$500,VLOOKUP(F$54,$L$7:$M$9,2,FALSE)+1,FALSE)/VLOOKUP(DATE(YEAR($B72),MONTH($B72)-1,1),Índices!$B$6:$F$500,VLOOKUP(F$54,$L$7:$M$9,2,FALSE)+1,FALSE)*E72</f>
        <v>-6122.0273965787792</v>
      </c>
      <c r="G72" s="209">
        <f ca="1">Encargos!E35</f>
        <v>-1077.6047795793511</v>
      </c>
      <c r="H72" s="227">
        <f ca="1">VLOOKUP($B$48,Índices!$B$6:$F$500,VLOOKUP(H$54,$L$7:$M$9,2,FALSE)+1,FALSE)/VLOOKUP(DATE(YEAR($B72),MONTH($B72)-1,1),Índices!$B$6:$F$500,VLOOKUP(H$54,$L$7:$M$9,2,FALSE)+1,FALSE)*G72</f>
        <v>-1155.9098209103838</v>
      </c>
      <c r="I72" s="209">
        <f ca="1">Encargos!F35</f>
        <v>-44287.785117568681</v>
      </c>
      <c r="J72" s="227">
        <f ca="1">VLOOKUP($B$48,Índices!$B$6:$F$500,VLOOKUP(J$54,$L$7:$M$9,2,FALSE)+1,FALSE)/VLOOKUP(DATE(YEAR($B72),MONTH($B72)-1,1),Índices!$B$6:$F$500,VLOOKUP(J$54,$L$7:$M$9,2,FALSE)+1,FALSE)*I72</f>
        <v>-47505.99360161498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-7381.7250614131481</v>
      </c>
      <c r="N72" s="227">
        <f ca="1">VLOOKUP($B$48,Índices!$B$6:$F$500,VLOOKUP(N$54,$L$7:$M$9,2,FALSE)+1,FALSE)/VLOOKUP(DATE(YEAR($B72),MONTH($B72)-1,1),Índices!$B$6:$F$500,VLOOKUP(N$54,$L$7:$M$9,2,FALSE)+1,FALSE)*M72</f>
        <v>-7918.1242097668819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-8575.0186455718358</v>
      </c>
      <c r="F73" s="100">
        <f ca="1">VLOOKUP($B$79,Índices!$B$6:$F$500,VLOOKUP(F$54,$L$7:$M$9,2,FALSE)+1,FALSE)/VLOOKUP(DATE(YEAR($B73),MONTH($B73)-1,1),Índices!$B$6:$F$500,VLOOKUP(F$54,$L$7:$M$9,2,FALSE)+1,FALSE)*E73</f>
        <v>-9111.5633159385925</v>
      </c>
      <c r="G73" s="209">
        <f ca="1">Encargos!E36</f>
        <v>-1651.0795733816885</v>
      </c>
      <c r="H73" s="227">
        <f ca="1">VLOOKUP($B$48,Índices!$B$6:$F$500,VLOOKUP(H$54,$L$7:$M$9,2,FALSE)+1,FALSE)/VLOOKUP(DATE(YEAR($B73),MONTH($B73)-1,1),Índices!$B$6:$F$500,VLOOKUP(H$54,$L$7:$M$9,2,FALSE)+1,FALSE)*G73</f>
        <v>-1754.3887301386633</v>
      </c>
      <c r="I73" s="209">
        <f ca="1">Encargos!F36</f>
        <v>-66009.647624293342</v>
      </c>
      <c r="J73" s="227">
        <f ca="1">VLOOKUP($B$48,Índices!$B$6:$F$500,VLOOKUP(J$54,$L$7:$M$9,2,FALSE)+1,FALSE)/VLOOKUP(DATE(YEAR($B73),MONTH($B73)-1,1),Índices!$B$6:$F$500,VLOOKUP(J$54,$L$7:$M$9,2,FALSE)+1,FALSE)*I73</f>
        <v>-70139.915567662974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-10637.632866434898</v>
      </c>
      <c r="N73" s="227">
        <f ca="1">VLOOKUP($B$48,Índices!$B$6:$F$500,VLOOKUP(N$54,$L$7:$M$9,2,FALSE)+1,FALSE)/VLOOKUP(DATE(YEAR($B73),MONTH($B73)-1,1),Índices!$B$6:$F$500,VLOOKUP(N$54,$L$7:$M$9,2,FALSE)+1,FALSE)*M73</f>
        <v>-11303.236692585328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-19859.740169323617</v>
      </c>
      <c r="F74" s="100">
        <f ca="1">VLOOKUP($B$79,Índices!$B$6:$F$500,VLOOKUP(F$54,$L$7:$M$9,2,FALSE)+1,FALSE)/VLOOKUP(DATE(YEAR($B74),MONTH($B74)-1,1),Índices!$B$6:$F$500,VLOOKUP(F$54,$L$7:$M$9,2,FALSE)+1,FALSE)*E74</f>
        <v>-20949.455162405451</v>
      </c>
      <c r="G74" s="209">
        <f ca="1">Encargos!E37</f>
        <v>-3698.3978762178358</v>
      </c>
      <c r="H74" s="227">
        <f ca="1">VLOOKUP($B$48,Índices!$B$6:$F$500,VLOOKUP(H$54,$L$7:$M$9,2,FALSE)+1,FALSE)/VLOOKUP(DATE(YEAR($B74),MONTH($B74)-1,1),Índices!$B$6:$F$500,VLOOKUP(H$54,$L$7:$M$9,2,FALSE)+1,FALSE)*G74</f>
        <v>-3901.331025480375</v>
      </c>
      <c r="I74" s="209">
        <f ca="1">Encargos!F37</f>
        <v>-145273.94599971629</v>
      </c>
      <c r="J74" s="227">
        <f ca="1">VLOOKUP($B$48,Índices!$B$6:$F$500,VLOOKUP(J$54,$L$7:$M$9,2,FALSE)+1,FALSE)/VLOOKUP(DATE(YEAR($B74),MONTH($B74)-1,1),Índices!$B$6:$F$500,VLOOKUP(J$54,$L$7:$M$9,2,FALSE)+1,FALSE)*I74</f>
        <v>-153245.20824737556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-22975.635506284394</v>
      </c>
      <c r="N74" s="227">
        <f ca="1">VLOOKUP($B$48,Índices!$B$6:$F$500,VLOOKUP(N$54,$L$7:$M$9,2,FALSE)+1,FALSE)/VLOOKUP(DATE(YEAR($B74),MONTH($B74)-1,1),Índices!$B$6:$F$500,VLOOKUP(N$54,$L$7:$M$9,2,FALSE)+1,FALSE)*M74</f>
        <v>-24236.321410194396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-15028.353577982591</v>
      </c>
      <c r="F75" s="100">
        <f ca="1">VLOOKUP($B$79,Índices!$B$6:$F$500,VLOOKUP(F$54,$L$7:$M$9,2,FALSE)+1,FALSE)/VLOOKUP(DATE(YEAR($B75),MONTH($B75)-1,1),Índices!$B$6:$F$500,VLOOKUP(F$54,$L$7:$M$9,2,FALSE)+1,FALSE)*E75</f>
        <v>-15767.816893043806</v>
      </c>
      <c r="G75" s="209">
        <f ca="1">Encargos!E38</f>
        <v>-3042.3762506685762</v>
      </c>
      <c r="H75" s="227">
        <f ca="1">VLOOKUP($B$48,Índices!$B$6:$F$500,VLOOKUP(H$54,$L$7:$M$9,2,FALSE)+1,FALSE)/VLOOKUP(DATE(YEAR($B75),MONTH($B75)-1,1),Índices!$B$6:$F$500,VLOOKUP(H$54,$L$7:$M$9,2,FALSE)+1,FALSE)*G75</f>
        <v>-3192.074992870042</v>
      </c>
      <c r="I75" s="209">
        <f ca="1">Encargos!F38</f>
        <v>-117681.95220929442</v>
      </c>
      <c r="J75" s="227">
        <f ca="1">VLOOKUP($B$48,Índices!$B$6:$F$500,VLOOKUP(J$54,$L$7:$M$9,2,FALSE)+1,FALSE)/VLOOKUP(DATE(YEAR($B75),MONTH($B75)-1,1),Índices!$B$6:$F$500,VLOOKUP(J$54,$L$7:$M$9,2,FALSE)+1,FALSE)*I75</f>
        <v>-123472.43924115744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-18246.341921078551</v>
      </c>
      <c r="N75" s="227">
        <f ca="1">VLOOKUP($B$48,Índices!$B$6:$F$500,VLOOKUP(N$54,$L$7:$M$9,2,FALSE)+1,FALSE)/VLOOKUP(DATE(YEAR($B75),MONTH($B75)-1,1),Índices!$B$6:$F$500,VLOOKUP(N$54,$L$7:$M$9,2,FALSE)+1,FALSE)*M75</f>
        <v>-19144.144891622738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-6781.9277580465423</v>
      </c>
      <c r="F76" s="100">
        <f ca="1">VLOOKUP($B$79,Índices!$B$6:$F$500,VLOOKUP(F$54,$L$7:$M$9,2,FALSE)+1,FALSE)/VLOOKUP(DATE(YEAR($B76),MONTH($B76)-1,1),Índices!$B$6:$F$500,VLOOKUP(F$54,$L$7:$M$9,2,FALSE)+1,FALSE)*E76</f>
        <v>-7044.4758877830573</v>
      </c>
      <c r="G76" s="209">
        <f ca="1">Encargos!E39</f>
        <v>-1676.4341139070493</v>
      </c>
      <c r="H76" s="227">
        <f ca="1">VLOOKUP($B$48,Índices!$B$6:$F$500,VLOOKUP(H$54,$L$7:$M$9,2,FALSE)+1,FALSE)/VLOOKUP(DATE(YEAR($B76),MONTH($B76)-1,1),Índices!$B$6:$F$500,VLOOKUP(H$54,$L$7:$M$9,2,FALSE)+1,FALSE)*G76</f>
        <v>-1741.3337496648278</v>
      </c>
      <c r="I76" s="209">
        <f ca="1">Encargos!F39</f>
        <v>-60685.633569047786</v>
      </c>
      <c r="J76" s="227">
        <f ca="1">VLOOKUP($B$48,Índices!$B$6:$F$500,VLOOKUP(J$54,$L$7:$M$9,2,FALSE)+1,FALSE)/VLOOKUP(DATE(YEAR($B76),MONTH($B76)-1,1),Índices!$B$6:$F$500,VLOOKUP(J$54,$L$7:$M$9,2,FALSE)+1,FALSE)*I76</f>
        <v>-63034.950778527804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-9426.1088349223137</v>
      </c>
      <c r="N76" s="227">
        <f ca="1">VLOOKUP($B$48,Índices!$B$6:$F$500,VLOOKUP(N$54,$L$7:$M$9,2,FALSE)+1,FALSE)/VLOOKUP(DATE(YEAR($B76),MONTH($B76)-1,1),Índices!$B$6:$F$500,VLOOKUP(N$54,$L$7:$M$9,2,FALSE)+1,FALSE)*M76</f>
        <v>-9791.0208973319168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7285.5086661990572</v>
      </c>
      <c r="F77" s="100">
        <f ca="1">VLOOKUP($B$79,Índices!$B$6:$F$500,VLOOKUP(F$54,$L$7:$M$9,2,FALSE)+1,FALSE)/VLOOKUP(DATE(YEAR($B77),MONTH($B77)-1,1),Índices!$B$6:$F$500,VLOOKUP(F$54,$L$7:$M$9,2,FALSE)+1,FALSE)*E77</f>
        <v>7446.908234049647</v>
      </c>
      <c r="G77" s="209">
        <f ca="1">Encargos!E40</f>
        <v>1138.8693174727214</v>
      </c>
      <c r="H77" s="227">
        <f ca="1">VLOOKUP($B$48,Índices!$B$6:$F$500,VLOOKUP(H$54,$L$7:$M$9,2,FALSE)+1,FALSE)/VLOOKUP(DATE(YEAR($B77),MONTH($B77)-1,1),Índices!$B$6:$F$500,VLOOKUP(H$54,$L$7:$M$9,2,FALSE)+1,FALSE)*G77</f>
        <v>1164.0992669656359</v>
      </c>
      <c r="I77" s="209">
        <f ca="1">Encargos!F40</f>
        <v>49490.294388896786</v>
      </c>
      <c r="J77" s="227">
        <f ca="1">VLOOKUP($B$48,Índices!$B$6:$F$500,VLOOKUP(J$54,$L$7:$M$9,2,FALSE)+1,FALSE)/VLOOKUP(DATE(YEAR($B77),MONTH($B77)-1,1),Índices!$B$6:$F$500,VLOOKUP(J$54,$L$7:$M$9,2,FALSE)+1,FALSE)*I77</f>
        <v>50586.677976253588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7686.0952313520829</v>
      </c>
      <c r="N77" s="227">
        <f ca="1">VLOOKUP($B$48,Índices!$B$6:$F$500,VLOOKUP(N$54,$L$7:$M$9,2,FALSE)+1,FALSE)/VLOOKUP(DATE(YEAR($B77),MONTH($B77)-1,1),Índices!$B$6:$F$500,VLOOKUP(N$54,$L$7:$M$9,2,FALSE)+1,FALSE)*M77</f>
        <v>7856.3691965117323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7768.2137107827293</v>
      </c>
      <c r="F78" s="100">
        <f ca="1">VLOOKUP($B$79,Índices!$B$6:$F$500,VLOOKUP(F$54,$L$7:$M$9,2,FALSE)+1,FALSE)/VLOOKUP(DATE(YEAR($B78),MONTH($B78)-1,1),Índices!$B$6:$F$500,VLOOKUP(F$54,$L$7:$M$9,2,FALSE)+1,FALSE)*E78</f>
        <v>7857.0210445373687</v>
      </c>
      <c r="G78" s="209">
        <f ca="1">Encargos!E41</f>
        <v>1183.4756555548865</v>
      </c>
      <c r="H78" s="227">
        <f ca="1">VLOOKUP($B$48,Índices!$B$6:$F$500,VLOOKUP(H$54,$L$7:$M$9,2,FALSE)+1,FALSE)/VLOOKUP(DATE(YEAR($B78),MONTH($B78)-1,1),Índices!$B$6:$F$500,VLOOKUP(H$54,$L$7:$M$9,2,FALSE)+1,FALSE)*G78</f>
        <v>1197.0053190587969</v>
      </c>
      <c r="I78" s="209">
        <f ca="1">Encargos!F41</f>
        <v>51221.524148117343</v>
      </c>
      <c r="J78" s="227">
        <f ca="1">VLOOKUP($B$48,Índices!$B$6:$F$500,VLOOKUP(J$54,$L$7:$M$9,2,FALSE)+1,FALSE)/VLOOKUP(DATE(YEAR($B78),MONTH($B78)-1,1),Índices!$B$6:$F$500,VLOOKUP(J$54,$L$7:$M$9,2,FALSE)+1,FALSE)*I78</f>
        <v>51807.09596163853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7719.4179005429905</v>
      </c>
      <c r="N78" s="227">
        <f ca="1">VLOOKUP($B$48,Índices!$B$6:$F$500,VLOOKUP(N$54,$L$7:$M$9,2,FALSE)+1,FALSE)/VLOOKUP(DATE(YEAR($B78),MONTH($B78)-1,1),Índices!$B$6:$F$500,VLOOKUP(N$54,$L$7:$M$9,2,FALSE)+1,FALSE)*M78</f>
        <v>7807.6673935935596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6441.1159777055509</v>
      </c>
      <c r="F79" s="100">
        <f ca="1">VLOOKUP($B$79,Índices!$B$6:$F$500,VLOOKUP(F$54,$L$7:$M$9,2,FALSE)+1,FALSE)/VLOOKUP(DATE(YEAR($B79),MONTH($B79)-1,1),Índices!$B$6:$F$500,VLOOKUP(F$54,$L$7:$M$9,2,FALSE)+1,FALSE)*E79</f>
        <v>6484.2751750649295</v>
      </c>
      <c r="G79" s="209">
        <f ca="1">Encargos!E42</f>
        <v>1011.6637178292585</v>
      </c>
      <c r="H79" s="227">
        <f ca="1">VLOOKUP($B$48,Índices!$B$6:$F$500,VLOOKUP(H$54,$L$7:$M$9,2,FALSE)+1,FALSE)/VLOOKUP(DATE(YEAR($B79),MONTH($B79)-1,1),Índices!$B$6:$F$500,VLOOKUP(H$54,$L$7:$M$9,2,FALSE)+1,FALSE)*G79</f>
        <v>1018.4424490631384</v>
      </c>
      <c r="I79" s="209">
        <f ca="1">Encargos!F42</f>
        <v>42223.450832209026</v>
      </c>
      <c r="J79" s="227">
        <f ca="1">VLOOKUP($B$48,Índices!$B$6:$F$500,VLOOKUP(J$54,$L$7:$M$9,2,FALSE)+1,FALSE)/VLOOKUP(DATE(YEAR($B79),MONTH($B79)-1,1),Índices!$B$6:$F$500,VLOOKUP(J$54,$L$7:$M$9,2,FALSE)+1,FALSE)*I79</f>
        <v>42506.372340526665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6455.2811677360587</v>
      </c>
      <c r="N79" s="227">
        <f ca="1">VLOOKUP($B$48,Índices!$B$6:$F$500,VLOOKUP(N$54,$L$7:$M$9,2,FALSE)+1,FALSE)/VLOOKUP(DATE(YEAR($B79),MONTH($B79)-1,1),Índices!$B$6:$F$500,VLOOKUP(N$54,$L$7:$M$9,2,FALSE)+1,FALSE)*M79</f>
        <v>6498.5352800502797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499">
        <f ca="1">SUM(C56:C79)</f>
        <v>0</v>
      </c>
      <c r="D80" s="1500">
        <f ca="1">SUM(D56:D79)</f>
        <v>0</v>
      </c>
      <c r="E80" s="1499">
        <f ca="1">SUM(E56:E79)</f>
        <v>-7817.4093162869103</v>
      </c>
      <c r="F80" s="1500">
        <f ca="1">SUM(F56:F79)</f>
        <v>-7751.3989088710314</v>
      </c>
      <c r="G80" s="1499">
        <f ca="1">SUM(G55:G79)</f>
        <v>-3198.9867643743164</v>
      </c>
      <c r="H80" s="1499">
        <f t="shared" ref="H80:N80" ca="1" si="7">SUM(H55:H79)</f>
        <v>-3262.5345531504045</v>
      </c>
      <c r="I80" s="1499">
        <f t="shared" ca="1" si="7"/>
        <v>-111377.56123717764</v>
      </c>
      <c r="J80" s="1499">
        <f t="shared" ca="1" si="7"/>
        <v>-113742.2523034878</v>
      </c>
      <c r="K80" s="1499">
        <f t="shared" ca="1" si="7"/>
        <v>0</v>
      </c>
      <c r="L80" s="1499">
        <f t="shared" ca="1" si="7"/>
        <v>0</v>
      </c>
      <c r="M80" s="1499">
        <f t="shared" ca="1" si="7"/>
        <v>-18872.570365222869</v>
      </c>
      <c r="N80" s="1499">
        <f t="shared" ca="1" si="7"/>
        <v>-19311.473276868819</v>
      </c>
      <c r="O80" s="1499">
        <f t="shared" ref="O80:R80" ca="1" si="8">SUM(O55:O79)</f>
        <v>0</v>
      </c>
      <c r="P80" s="1499">
        <f t="shared" ca="1" si="8"/>
        <v>0</v>
      </c>
      <c r="Q80" s="1499">
        <f t="shared" ca="1" si="8"/>
        <v>0</v>
      </c>
      <c r="R80" s="1499">
        <f t="shared" ca="1" si="8"/>
        <v>0</v>
      </c>
      <c r="S80" s="1499">
        <f t="shared" ref="S80:X80" si="9">SUM(S55:S79)</f>
        <v>0</v>
      </c>
      <c r="T80" s="1499">
        <f t="shared" si="9"/>
        <v>0</v>
      </c>
      <c r="U80" s="1499">
        <f t="shared" si="9"/>
        <v>0</v>
      </c>
      <c r="V80" s="1502">
        <f t="shared" si="9"/>
        <v>0</v>
      </c>
      <c r="W80" s="1499">
        <f t="shared" si="9"/>
        <v>0</v>
      </c>
      <c r="X80" s="1502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1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1488</v>
      </c>
      <c r="C1" s="9" t="s">
        <v>1489</v>
      </c>
      <c r="D1" s="9" t="s">
        <v>1490</v>
      </c>
      <c r="E1" s="235" t="s">
        <v>1491</v>
      </c>
      <c r="F1" s="235" t="s">
        <v>1492</v>
      </c>
      <c r="G1" s="235" t="s">
        <v>1493</v>
      </c>
      <c r="H1" s="235" t="s">
        <v>1494</v>
      </c>
      <c r="I1" s="9" t="s">
        <v>232</v>
      </c>
      <c r="J1" s="9" t="s">
        <v>1495</v>
      </c>
      <c r="K1" s="9" t="s">
        <v>1496</v>
      </c>
      <c r="L1" s="9" t="s">
        <v>1497</v>
      </c>
      <c r="M1" s="9" t="s">
        <v>1498</v>
      </c>
      <c r="N1" s="9" t="s">
        <v>1039</v>
      </c>
      <c r="O1" s="9" t="s">
        <v>953</v>
      </c>
      <c r="P1" s="9" t="s">
        <v>1499</v>
      </c>
      <c r="Q1" s="8" t="s">
        <v>947</v>
      </c>
      <c r="R1" s="17" t="s">
        <v>1500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1489</v>
      </c>
      <c r="B1" t="s">
        <v>1038</v>
      </c>
      <c r="C1" t="s">
        <v>1501</v>
      </c>
      <c r="D1" t="s">
        <v>957</v>
      </c>
      <c r="E1" t="s">
        <v>1502</v>
      </c>
      <c r="F1" t="s">
        <v>58</v>
      </c>
      <c r="G1" t="s">
        <v>587</v>
      </c>
      <c r="H1" t="s">
        <v>1039</v>
      </c>
      <c r="I1" t="s">
        <v>120</v>
      </c>
      <c r="J1" t="s">
        <v>1493</v>
      </c>
      <c r="K1" t="s">
        <v>1503</v>
      </c>
      <c r="L1" t="s">
        <v>1504</v>
      </c>
      <c r="M1" t="s">
        <v>1505</v>
      </c>
      <c r="N1" t="s">
        <v>1049</v>
      </c>
      <c r="O1" t="s">
        <v>1506</v>
      </c>
      <c r="P1" t="s">
        <v>1507</v>
      </c>
      <c r="Q1" t="s">
        <v>1508</v>
      </c>
      <c r="R1" t="s">
        <v>1509</v>
      </c>
      <c r="S1" t="s">
        <v>232</v>
      </c>
      <c r="T1" t="s">
        <v>1510</v>
      </c>
      <c r="U1" t="s">
        <v>1511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03" t="s">
        <v>1512</v>
      </c>
      <c r="D2" s="3" t="s">
        <v>1513</v>
      </c>
    </row>
    <row r="3" spans="2:15">
      <c r="B3" s="5"/>
    </row>
    <row r="6" spans="2:15">
      <c r="B6" s="1504" t="s">
        <v>1514</v>
      </c>
      <c r="C6" s="1504" t="s">
        <v>1515</v>
      </c>
      <c r="D6" s="1504" t="s">
        <v>848</v>
      </c>
      <c r="E6" s="6" t="s">
        <v>1516</v>
      </c>
      <c r="F6" s="6" t="s">
        <v>1517</v>
      </c>
      <c r="G6" s="1505" t="s">
        <v>1518</v>
      </c>
      <c r="K6" s="1621" t="s">
        <v>2298</v>
      </c>
      <c r="L6" s="1622" t="s">
        <v>37</v>
      </c>
      <c r="M6" s="1623" t="s">
        <v>2299</v>
      </c>
      <c r="N6" s="1622" t="s">
        <v>1421</v>
      </c>
      <c r="O6" s="1624" t="s">
        <v>2300</v>
      </c>
    </row>
    <row r="7" spans="2:15">
      <c r="B7" s="1506">
        <v>32629</v>
      </c>
      <c r="C7" s="1507">
        <v>2.5789999999999999E-5</v>
      </c>
      <c r="D7" s="1507">
        <v>3.4132578959999998E-4</v>
      </c>
      <c r="E7" s="1507">
        <v>0</v>
      </c>
      <c r="F7" s="1507">
        <v>1</v>
      </c>
      <c r="K7" s="1625">
        <v>42064</v>
      </c>
      <c r="L7" s="1626"/>
      <c r="M7" s="1627">
        <v>0</v>
      </c>
      <c r="N7" s="1628">
        <v>1</v>
      </c>
      <c r="O7" s="1628">
        <v>1</v>
      </c>
    </row>
    <row r="8" spans="2:15">
      <c r="B8" s="1506">
        <v>32660</v>
      </c>
      <c r="C8" s="1507">
        <v>3.0859999999999999E-5</v>
      </c>
      <c r="D8" s="1507">
        <v>4.3911559890000003E-4</v>
      </c>
      <c r="E8" s="1507">
        <v>0</v>
      </c>
      <c r="F8" s="1507">
        <v>1</v>
      </c>
      <c r="G8" s="10"/>
      <c r="K8" s="1625">
        <v>42065</v>
      </c>
      <c r="L8" s="1626" t="s">
        <v>2301</v>
      </c>
      <c r="M8" s="1627">
        <v>4.5512999999999998E-2</v>
      </c>
      <c r="N8" s="1628">
        <v>1.00045513</v>
      </c>
      <c r="O8" s="1628">
        <v>1.00045513</v>
      </c>
    </row>
    <row r="9" spans="2:15">
      <c r="B9" s="1506">
        <v>32690</v>
      </c>
      <c r="C9" s="1507">
        <v>4.1940000000000002E-5</v>
      </c>
      <c r="D9" s="1507">
        <v>5.6092617030000002E-4</v>
      </c>
      <c r="E9" s="1507">
        <v>0</v>
      </c>
      <c r="F9" s="1507">
        <v>1</v>
      </c>
      <c r="K9" s="1625">
        <v>42066</v>
      </c>
      <c r="L9" s="1626" t="s">
        <v>2301</v>
      </c>
      <c r="M9" s="1627">
        <v>4.5512999999999998E-2</v>
      </c>
      <c r="N9" s="1628">
        <v>1.0009104671433169</v>
      </c>
      <c r="O9" s="1628">
        <v>1.0009104671433169</v>
      </c>
    </row>
    <row r="10" spans="2:15">
      <c r="B10" s="1506">
        <v>32721</v>
      </c>
      <c r="C10" s="1507">
        <v>5.7429999999999997E-5</v>
      </c>
      <c r="D10" s="1507">
        <v>7.5001448160000002E-4</v>
      </c>
      <c r="E10" s="1507">
        <v>0</v>
      </c>
      <c r="F10" s="1507">
        <v>1</v>
      </c>
      <c r="K10" s="1625">
        <v>42067</v>
      </c>
      <c r="L10" s="1626" t="s">
        <v>2301</v>
      </c>
      <c r="M10" s="1627">
        <v>4.5512999999999998E-2</v>
      </c>
      <c r="N10" s="1628">
        <v>1.0013660115242278</v>
      </c>
      <c r="O10" s="1628">
        <v>1.0013660115242278</v>
      </c>
    </row>
    <row r="11" spans="2:15">
      <c r="B11" s="1506">
        <v>32752</v>
      </c>
      <c r="C11" s="1507">
        <v>8.0350000000000001E-5</v>
      </c>
      <c r="D11" s="1507">
        <v>1.031719911E-3</v>
      </c>
      <c r="E11" s="1507">
        <v>0</v>
      </c>
      <c r="F11" s="1507">
        <v>1</v>
      </c>
      <c r="K11" s="1625">
        <v>42068</v>
      </c>
      <c r="L11" s="1626" t="s">
        <v>2301</v>
      </c>
      <c r="M11" s="1627">
        <v>4.7279000000000002E-2</v>
      </c>
      <c r="N11" s="1628">
        <v>1.0018394473608161</v>
      </c>
      <c r="O11" s="1628">
        <v>1.0018394473608161</v>
      </c>
    </row>
    <row r="12" spans="2:15">
      <c r="B12" s="1506">
        <v>32782</v>
      </c>
      <c r="C12" s="1507">
        <v>1.13E-4</v>
      </c>
      <c r="D12" s="1507">
        <v>1.4420348808E-3</v>
      </c>
      <c r="E12" s="1507">
        <v>0</v>
      </c>
      <c r="F12" s="1507">
        <v>1</v>
      </c>
      <c r="K12" s="1625">
        <v>42069</v>
      </c>
      <c r="L12" s="1626" t="s">
        <v>2301</v>
      </c>
      <c r="M12" s="1627">
        <v>4.7279000000000002E-2</v>
      </c>
      <c r="N12" s="1628">
        <v>1.0023131070331337</v>
      </c>
      <c r="O12" s="1628">
        <v>1.0023131070331337</v>
      </c>
    </row>
    <row r="13" spans="2:15">
      <c r="B13" s="1506">
        <v>32813</v>
      </c>
      <c r="C13" s="1507">
        <v>1.5873999999999999E-4</v>
      </c>
      <c r="D13" s="1507">
        <v>2.1316159802999999E-3</v>
      </c>
      <c r="E13" s="1507">
        <v>0</v>
      </c>
      <c r="F13" s="1507">
        <v>1</v>
      </c>
      <c r="K13" s="1625">
        <v>42070</v>
      </c>
      <c r="L13" s="1626"/>
      <c r="M13" s="1627">
        <v>0</v>
      </c>
      <c r="N13" s="1628">
        <v>1.0023131070331337</v>
      </c>
      <c r="O13" s="1628">
        <v>1.0023131070331337</v>
      </c>
    </row>
    <row r="14" spans="2:15">
      <c r="B14" s="1506">
        <v>32843</v>
      </c>
      <c r="C14" s="1507">
        <v>2.3356000000000001E-4</v>
      </c>
      <c r="D14" s="1507">
        <v>3.2293981927000001E-3</v>
      </c>
      <c r="E14" s="1507">
        <v>0</v>
      </c>
      <c r="F14" s="1507">
        <v>1</v>
      </c>
      <c r="K14" s="1625">
        <v>42071</v>
      </c>
      <c r="L14" s="1626"/>
      <c r="M14" s="1627">
        <v>0</v>
      </c>
      <c r="N14" s="1628">
        <v>1.0023131070331337</v>
      </c>
      <c r="O14" s="1628">
        <v>1.0023131070331337</v>
      </c>
    </row>
    <row r="15" spans="2:15">
      <c r="B15" s="1506">
        <v>32874</v>
      </c>
      <c r="C15" s="1507">
        <v>3.7711E-4</v>
      </c>
      <c r="D15" s="1507">
        <v>5.4108567453999999E-3</v>
      </c>
      <c r="E15" s="1507">
        <v>0</v>
      </c>
      <c r="F15" s="1507">
        <v>1</v>
      </c>
      <c r="K15" s="1625">
        <v>42072</v>
      </c>
      <c r="L15" s="1626" t="s">
        <v>2301</v>
      </c>
      <c r="M15" s="1627">
        <v>4.7279000000000002E-2</v>
      </c>
      <c r="N15" s="1628">
        <v>1.0027869906470077</v>
      </c>
      <c r="O15" s="1628">
        <v>1.0027869906470077</v>
      </c>
    </row>
    <row r="16" spans="2:15">
      <c r="B16" s="1506">
        <v>32905</v>
      </c>
      <c r="C16" s="1507">
        <v>6.8364999999999995E-4</v>
      </c>
      <c r="D16" s="1507">
        <v>9.5084984832999996E-3</v>
      </c>
      <c r="E16" s="1507">
        <v>0</v>
      </c>
      <c r="F16" s="1507">
        <v>1</v>
      </c>
      <c r="K16" s="1625">
        <v>42073</v>
      </c>
      <c r="L16" s="1626" t="s">
        <v>2301</v>
      </c>
      <c r="M16" s="1627">
        <v>4.7279000000000002E-2</v>
      </c>
      <c r="N16" s="1628">
        <v>1.0032610983083157</v>
      </c>
      <c r="O16" s="1628">
        <v>1.0032610983083157</v>
      </c>
    </row>
    <row r="17" spans="2:15">
      <c r="B17" s="1506">
        <v>32933</v>
      </c>
      <c r="C17" s="1507">
        <v>1.2575500000000001E-3</v>
      </c>
      <c r="D17" s="1507">
        <v>1.7342550351000002E-2</v>
      </c>
      <c r="E17" s="1507">
        <v>0</v>
      </c>
      <c r="F17" s="1507">
        <v>1</v>
      </c>
      <c r="K17" s="1625">
        <v>42074</v>
      </c>
      <c r="L17" s="1626" t="s">
        <v>2301</v>
      </c>
      <c r="M17" s="1627">
        <v>4.7279000000000002E-2</v>
      </c>
      <c r="N17" s="1628">
        <v>1.0037354301229848</v>
      </c>
      <c r="O17" s="1628">
        <v>1.0037354301229848</v>
      </c>
    </row>
    <row r="18" spans="2:15">
      <c r="B18" s="1506">
        <v>32964</v>
      </c>
      <c r="C18" s="1507">
        <v>1.61407E-3</v>
      </c>
      <c r="D18" s="1507">
        <v>2.00341140678E-2</v>
      </c>
      <c r="E18" s="1507">
        <v>0</v>
      </c>
      <c r="F18" s="1507">
        <v>1</v>
      </c>
      <c r="K18" s="1625">
        <v>42075</v>
      </c>
      <c r="L18" s="1626" t="s">
        <v>2301</v>
      </c>
      <c r="M18" s="1627">
        <v>4.7279000000000002E-2</v>
      </c>
      <c r="N18" s="1628">
        <v>1.0042099861969926</v>
      </c>
      <c r="O18" s="1628">
        <v>1.0042099861969926</v>
      </c>
    </row>
    <row r="19" spans="2:15">
      <c r="B19" s="1506">
        <v>32994</v>
      </c>
      <c r="C19" s="1507">
        <v>1.70973E-3</v>
      </c>
      <c r="D19" s="1507">
        <v>2.1554703244099999E-2</v>
      </c>
      <c r="E19" s="1507">
        <v>0</v>
      </c>
      <c r="F19" s="1507">
        <v>1</v>
      </c>
      <c r="K19" s="1625">
        <v>42076</v>
      </c>
      <c r="L19" s="1626" t="s">
        <v>2301</v>
      </c>
      <c r="M19" s="1627">
        <v>4.7279000000000002E-2</v>
      </c>
      <c r="N19" s="1628">
        <v>1.0046847666363665</v>
      </c>
      <c r="O19" s="1628">
        <v>1.0046847666363665</v>
      </c>
    </row>
    <row r="20" spans="2:15">
      <c r="B20" s="1506">
        <v>33025</v>
      </c>
      <c r="C20" s="1507">
        <v>1.87962E-3</v>
      </c>
      <c r="D20" s="1507">
        <v>2.4087380951899998E-2</v>
      </c>
      <c r="E20" s="1507">
        <v>0</v>
      </c>
      <c r="F20" s="1507">
        <v>1</v>
      </c>
      <c r="K20" s="1625">
        <v>42077</v>
      </c>
      <c r="L20" s="1626"/>
      <c r="M20" s="1627">
        <v>0</v>
      </c>
      <c r="N20" s="1628">
        <v>1.0046847666363665</v>
      </c>
      <c r="O20" s="1628">
        <v>1.0046847666363665</v>
      </c>
    </row>
    <row r="21" spans="2:15">
      <c r="B21" s="1506">
        <v>33055</v>
      </c>
      <c r="C21" s="1507">
        <v>2.10539E-3</v>
      </c>
      <c r="D21" s="1507">
        <v>2.7199470492E-2</v>
      </c>
      <c r="E21" s="1507">
        <v>0</v>
      </c>
      <c r="F21" s="1507">
        <v>1</v>
      </c>
      <c r="K21" s="1625">
        <v>42078</v>
      </c>
      <c r="L21" s="1626"/>
      <c r="M21" s="1627">
        <v>0</v>
      </c>
      <c r="N21" s="1628">
        <v>1.0046847666363665</v>
      </c>
      <c r="O21" s="1628">
        <v>1.0046847666363665</v>
      </c>
    </row>
    <row r="22" spans="2:15">
      <c r="B22" s="1506">
        <v>33086</v>
      </c>
      <c r="C22" s="1507">
        <v>2.39215E-3</v>
      </c>
      <c r="D22" s="1507">
        <v>3.0702762318699998E-2</v>
      </c>
      <c r="E22" s="1507">
        <v>0</v>
      </c>
      <c r="F22" s="1507">
        <v>1</v>
      </c>
      <c r="K22" s="1625">
        <v>42079</v>
      </c>
      <c r="L22" s="1626" t="s">
        <v>2301</v>
      </c>
      <c r="M22" s="1627">
        <v>4.7279000000000002E-2</v>
      </c>
      <c r="N22" s="1628">
        <v>1.0051597715471845</v>
      </c>
      <c r="O22" s="1628">
        <v>1.0051597715471845</v>
      </c>
    </row>
    <row r="23" spans="2:15">
      <c r="B23" s="1506">
        <v>33117</v>
      </c>
      <c r="C23" s="1507">
        <v>2.6984000000000001E-3</v>
      </c>
      <c r="D23" s="1507">
        <v>3.51270304097E-2</v>
      </c>
      <c r="E23" s="1507">
        <v>0</v>
      </c>
      <c r="F23" s="1507">
        <v>1</v>
      </c>
      <c r="K23" s="1625">
        <v>42080</v>
      </c>
      <c r="L23" s="1626" t="s">
        <v>2301</v>
      </c>
      <c r="M23" s="1627">
        <v>4.7279000000000002E-2</v>
      </c>
      <c r="N23" s="1628">
        <v>1.0056350010355741</v>
      </c>
      <c r="O23" s="1628">
        <v>1.0056350010355741</v>
      </c>
    </row>
    <row r="24" spans="2:15">
      <c r="B24" s="1506">
        <v>33147</v>
      </c>
      <c r="C24" s="1507">
        <v>3.0483699999999999E-3</v>
      </c>
      <c r="D24" s="1507">
        <v>4.0171272055300002E-2</v>
      </c>
      <c r="E24" s="1507">
        <v>0</v>
      </c>
      <c r="F24" s="1507">
        <v>1</v>
      </c>
      <c r="K24" s="1625">
        <v>42081</v>
      </c>
      <c r="L24" s="1626" t="s">
        <v>2301</v>
      </c>
      <c r="M24" s="1627">
        <v>4.7279000000000002E-2</v>
      </c>
      <c r="N24" s="1628">
        <v>1.0061104552077136</v>
      </c>
      <c r="O24" s="1628">
        <v>1.0061104552077136</v>
      </c>
    </row>
    <row r="25" spans="2:15">
      <c r="B25" s="1506">
        <v>33178</v>
      </c>
      <c r="C25" s="1507">
        <v>3.5622900000000001E-3</v>
      </c>
      <c r="D25" s="1507">
        <v>4.6924062784199999E-2</v>
      </c>
      <c r="E25" s="1507">
        <v>0</v>
      </c>
      <c r="F25" s="1507">
        <v>1</v>
      </c>
      <c r="K25" s="1625">
        <v>42082</v>
      </c>
      <c r="L25" s="1626" t="s">
        <v>2301</v>
      </c>
      <c r="M25" s="1627">
        <v>4.7279000000000002E-2</v>
      </c>
      <c r="N25" s="1628">
        <v>1.0065861341698312</v>
      </c>
      <c r="O25" s="1628">
        <v>1.0065861341698312</v>
      </c>
    </row>
    <row r="26" spans="2:15">
      <c r="B26" s="1506">
        <v>33208</v>
      </c>
      <c r="C26" s="1507">
        <v>4.2034799999999999E-3</v>
      </c>
      <c r="D26" s="1507">
        <v>5.5576860018600002E-2</v>
      </c>
      <c r="E26" s="1507">
        <v>0</v>
      </c>
      <c r="F26" s="1507">
        <v>1</v>
      </c>
      <c r="K26" s="1625">
        <v>42083</v>
      </c>
      <c r="L26" s="1626" t="s">
        <v>2301</v>
      </c>
      <c r="M26" s="1627">
        <v>4.7279000000000002E-2</v>
      </c>
      <c r="N26" s="1628">
        <v>1.0070620380282054</v>
      </c>
      <c r="O26" s="1628">
        <v>1.0070620380282054</v>
      </c>
    </row>
    <row r="27" spans="2:15">
      <c r="B27" s="1506">
        <v>33239</v>
      </c>
      <c r="C27" s="1507">
        <v>4.9475200000000004E-3</v>
      </c>
      <c r="D27" s="1507">
        <v>6.7109058472399993E-2</v>
      </c>
      <c r="E27" s="1507">
        <v>0</v>
      </c>
      <c r="F27" s="1507">
        <v>1</v>
      </c>
      <c r="K27" s="1625">
        <v>42084</v>
      </c>
      <c r="L27" s="1626"/>
      <c r="M27" s="1627">
        <v>0</v>
      </c>
      <c r="N27" s="1628">
        <v>1.0070620380282054</v>
      </c>
      <c r="O27" s="1628">
        <v>1.0070620380282054</v>
      </c>
    </row>
    <row r="28" spans="2:15">
      <c r="B28" s="1506">
        <v>33270</v>
      </c>
      <c r="C28" s="1507">
        <v>5.9873900000000004E-3</v>
      </c>
      <c r="D28" s="1507">
        <v>8.1014388849100005E-2</v>
      </c>
      <c r="E28" s="1507">
        <v>0</v>
      </c>
      <c r="F28" s="1507">
        <v>1</v>
      </c>
      <c r="K28" s="1625">
        <v>42085</v>
      </c>
      <c r="L28" s="1626"/>
      <c r="M28" s="1627">
        <v>0</v>
      </c>
      <c r="N28" s="1628">
        <v>1.0070620380282054</v>
      </c>
      <c r="O28" s="1628">
        <v>1.0070620380282054</v>
      </c>
    </row>
    <row r="29" spans="2:15">
      <c r="B29" s="1506">
        <v>33298</v>
      </c>
      <c r="C29" s="1507">
        <v>6.5374099999999996E-3</v>
      </c>
      <c r="D29" s="1507">
        <v>9.0673647120300002E-2</v>
      </c>
      <c r="E29" s="1507">
        <v>0</v>
      </c>
      <c r="F29" s="1507">
        <v>1</v>
      </c>
      <c r="K29" s="1625">
        <v>42086</v>
      </c>
      <c r="L29" s="1626" t="s">
        <v>2301</v>
      </c>
      <c r="M29" s="1627">
        <v>4.7279000000000002E-2</v>
      </c>
      <c r="N29" s="1628">
        <v>1.0075381668891645</v>
      </c>
      <c r="O29" s="1628">
        <v>1.0075381668891645</v>
      </c>
    </row>
    <row r="30" spans="2:15">
      <c r="B30" s="1506">
        <v>33329</v>
      </c>
      <c r="C30" s="1507">
        <v>7.0477600000000001E-3</v>
      </c>
      <c r="D30" s="1507">
        <v>9.5197603525800006E-2</v>
      </c>
      <c r="E30" s="1507">
        <v>0</v>
      </c>
      <c r="F30" s="1507">
        <v>1</v>
      </c>
      <c r="K30" s="1625">
        <v>42087</v>
      </c>
      <c r="L30" s="1626" t="s">
        <v>2301</v>
      </c>
      <c r="M30" s="1627">
        <v>4.7279000000000002E-2</v>
      </c>
      <c r="N30" s="1628">
        <v>1.008014520859088</v>
      </c>
      <c r="O30" s="1628">
        <v>1.008014520859088</v>
      </c>
    </row>
    <row r="31" spans="2:15">
      <c r="B31" s="1506">
        <v>33359</v>
      </c>
      <c r="C31" s="1507">
        <v>7.57502E-3</v>
      </c>
      <c r="D31" s="1507">
        <v>0.10227253780620001</v>
      </c>
      <c r="E31" s="1507">
        <v>0</v>
      </c>
      <c r="F31" s="1507">
        <v>1</v>
      </c>
      <c r="K31" s="1625">
        <v>42088</v>
      </c>
      <c r="L31" s="1626" t="s">
        <v>2301</v>
      </c>
      <c r="M31" s="1627">
        <v>4.7279000000000002E-2</v>
      </c>
      <c r="N31" s="1628">
        <v>1.008491100044405</v>
      </c>
      <c r="O31" s="1628">
        <v>1.008491100044405</v>
      </c>
    </row>
    <row r="32" spans="2:15">
      <c r="B32" s="1506">
        <v>33390</v>
      </c>
      <c r="C32" s="1507">
        <v>8.2174099999999996E-3</v>
      </c>
      <c r="D32" s="1507">
        <v>0.113715813284</v>
      </c>
      <c r="E32" s="1507">
        <v>0</v>
      </c>
      <c r="F32" s="1507">
        <v>1</v>
      </c>
      <c r="K32" s="1625">
        <v>42089</v>
      </c>
      <c r="L32" s="1626" t="s">
        <v>2301</v>
      </c>
      <c r="M32" s="1627">
        <v>4.7279000000000002E-2</v>
      </c>
      <c r="N32" s="1628">
        <v>1.0089679045515949</v>
      </c>
      <c r="O32" s="1628">
        <v>1.0089679045515949</v>
      </c>
    </row>
    <row r="33" spans="2:15">
      <c r="B33" s="1506">
        <v>33420</v>
      </c>
      <c r="C33" s="1507">
        <v>9.3037399999999996E-3</v>
      </c>
      <c r="D33" s="1507">
        <v>0.12782677804270001</v>
      </c>
      <c r="E33" s="1507">
        <v>0</v>
      </c>
      <c r="F33" s="1507">
        <v>1</v>
      </c>
      <c r="K33" s="1625">
        <v>42090</v>
      </c>
      <c r="L33" s="1626" t="s">
        <v>2301</v>
      </c>
      <c r="M33" s="1627">
        <v>4.7279000000000002E-2</v>
      </c>
      <c r="N33" s="1628">
        <v>1.0094449344871876</v>
      </c>
      <c r="O33" s="1628">
        <v>1.0094449344871876</v>
      </c>
    </row>
    <row r="34" spans="2:15">
      <c r="B34" s="1506">
        <v>33451</v>
      </c>
      <c r="C34" s="1507">
        <v>1.072268E-2</v>
      </c>
      <c r="D34" s="1507">
        <v>0.14780665921940001</v>
      </c>
      <c r="E34" s="1508">
        <v>0</v>
      </c>
      <c r="F34" s="1508">
        <v>1</v>
      </c>
      <c r="K34" s="1625">
        <v>42091</v>
      </c>
      <c r="L34" s="1626"/>
      <c r="M34" s="1627">
        <v>0</v>
      </c>
      <c r="N34" s="1628">
        <v>1.0094449344871876</v>
      </c>
      <c r="O34" s="1628">
        <v>1.0094449344871876</v>
      </c>
    </row>
    <row r="35" spans="2:15">
      <c r="B35" s="1506">
        <v>33482</v>
      </c>
      <c r="C35" s="1507">
        <v>1.232337E-2</v>
      </c>
      <c r="D35" s="1507">
        <v>0.17090995992909999</v>
      </c>
      <c r="E35" s="1508">
        <v>0</v>
      </c>
      <c r="F35" s="1508">
        <v>1</v>
      </c>
      <c r="K35" s="1625">
        <v>42092</v>
      </c>
      <c r="L35" s="1626"/>
      <c r="M35" s="1627">
        <v>0</v>
      </c>
      <c r="N35" s="1628">
        <v>1.0094449344871876</v>
      </c>
      <c r="O35" s="1628">
        <v>1.0094449344871876</v>
      </c>
    </row>
    <row r="36" spans="2:15">
      <c r="B36" s="1506">
        <v>33512</v>
      </c>
      <c r="C36" s="1507">
        <v>1.5112230000000001E-2</v>
      </c>
      <c r="D36" s="1507">
        <v>0.20548432454660001</v>
      </c>
      <c r="E36" s="1508">
        <v>0</v>
      </c>
      <c r="F36" s="1508">
        <v>1</v>
      </c>
      <c r="K36" s="1625">
        <v>42093</v>
      </c>
      <c r="L36" s="1626" t="s">
        <v>2301</v>
      </c>
      <c r="M36" s="1627">
        <v>4.7279000000000002E-2</v>
      </c>
      <c r="N36" s="1628">
        <v>1.0099221899577637</v>
      </c>
      <c r="O36" s="1628">
        <v>1.0099221899577637</v>
      </c>
    </row>
    <row r="37" spans="2:15">
      <c r="B37" s="1506">
        <v>33543</v>
      </c>
      <c r="C37" s="1507">
        <v>1.8984250000000001E-2</v>
      </c>
      <c r="D37" s="1507">
        <v>0.2572875157699</v>
      </c>
      <c r="E37" s="1508">
        <v>0</v>
      </c>
      <c r="F37" s="1508">
        <v>1</v>
      </c>
      <c r="K37" s="1625">
        <v>42094</v>
      </c>
      <c r="L37" s="1626" t="s">
        <v>2301</v>
      </c>
      <c r="M37" s="1627">
        <v>4.7279000000000002E-2</v>
      </c>
      <c r="N37" s="1628">
        <v>1.0103996710699537</v>
      </c>
      <c r="O37" s="1628">
        <v>1.0103996710699537</v>
      </c>
    </row>
    <row r="38" spans="2:15">
      <c r="B38" s="1506">
        <v>33573</v>
      </c>
      <c r="C38" s="1507">
        <v>2.347107E-2</v>
      </c>
      <c r="D38" s="1507">
        <v>0.31828867732630001</v>
      </c>
      <c r="E38" s="1508">
        <v>0</v>
      </c>
      <c r="F38" s="1508">
        <v>1</v>
      </c>
      <c r="K38" s="1625">
        <v>42095</v>
      </c>
      <c r="L38" s="1626" t="s">
        <v>2301</v>
      </c>
      <c r="M38" s="1627">
        <v>4.7279000000000002E-2</v>
      </c>
      <c r="N38" s="1628">
        <v>1.0108773779304387</v>
      </c>
      <c r="O38" s="1628">
        <v>1.0108773779304387</v>
      </c>
    </row>
    <row r="39" spans="2:15">
      <c r="B39" s="1506">
        <v>33604</v>
      </c>
      <c r="C39" s="1507">
        <v>2.9000140000000001E-2</v>
      </c>
      <c r="D39" s="1507">
        <v>0.40085366056990002</v>
      </c>
      <c r="E39" s="1508">
        <v>0</v>
      </c>
      <c r="F39" s="1508">
        <v>1</v>
      </c>
      <c r="K39" s="1625">
        <v>42096</v>
      </c>
      <c r="L39" s="1626" t="s">
        <v>2301</v>
      </c>
      <c r="M39" s="1627">
        <v>4.7279000000000002E-2</v>
      </c>
      <c r="N39" s="1628">
        <v>1.0113553106459503</v>
      </c>
      <c r="O39" s="1628">
        <v>1.0113553106459503</v>
      </c>
    </row>
    <row r="40" spans="2:15">
      <c r="B40" s="1506">
        <v>33635</v>
      </c>
      <c r="C40" s="1507">
        <v>3.7078809999999997E-2</v>
      </c>
      <c r="D40" s="1507">
        <v>0.49834103072840003</v>
      </c>
      <c r="E40" s="1508">
        <v>0</v>
      </c>
      <c r="F40" s="1508">
        <v>1</v>
      </c>
      <c r="K40" s="1625">
        <v>42097</v>
      </c>
      <c r="L40" s="1626"/>
      <c r="M40" s="1627">
        <v>0</v>
      </c>
      <c r="N40" s="1628">
        <v>1.0113553106459503</v>
      </c>
      <c r="O40" s="1628">
        <v>1.0113553106459503</v>
      </c>
    </row>
    <row r="41" spans="2:15">
      <c r="B41" s="1506">
        <v>33664</v>
      </c>
      <c r="C41" s="1507">
        <v>4.501144E-2</v>
      </c>
      <c r="D41" s="1507">
        <v>0.60498746741809994</v>
      </c>
      <c r="E41" s="1508">
        <v>0</v>
      </c>
      <c r="F41" s="1508">
        <v>1</v>
      </c>
      <c r="K41" s="1625">
        <v>42098</v>
      </c>
      <c r="L41" s="1626"/>
      <c r="M41" s="1627">
        <v>0</v>
      </c>
      <c r="N41" s="1628">
        <v>1.0113553106459503</v>
      </c>
      <c r="O41" s="1628">
        <v>1.0113553106459503</v>
      </c>
    </row>
    <row r="42" spans="2:15">
      <c r="B42" s="1506">
        <v>33695</v>
      </c>
      <c r="C42" s="1507">
        <v>5.3986060000000002E-2</v>
      </c>
      <c r="D42" s="1507">
        <v>0.72556146522830001</v>
      </c>
      <c r="E42" s="1508">
        <v>0</v>
      </c>
      <c r="F42" s="1508">
        <v>1</v>
      </c>
      <c r="K42" s="1625">
        <v>42099</v>
      </c>
      <c r="L42" s="1626"/>
      <c r="M42" s="1627">
        <v>0</v>
      </c>
      <c r="N42" s="1628">
        <v>1.0113553106459503</v>
      </c>
      <c r="O42" s="1628">
        <v>1.0113553106459503</v>
      </c>
    </row>
    <row r="43" spans="2:15">
      <c r="B43" s="1506">
        <v>33725</v>
      </c>
      <c r="C43" s="1507">
        <v>6.5012799999999996E-2</v>
      </c>
      <c r="D43" s="1507">
        <v>0.90593616441860003</v>
      </c>
      <c r="E43" s="1508">
        <v>0</v>
      </c>
      <c r="F43" s="1508">
        <v>1</v>
      </c>
      <c r="K43" s="1625">
        <v>42100</v>
      </c>
      <c r="L43" s="1626" t="s">
        <v>2301</v>
      </c>
      <c r="M43" s="1627">
        <v>4.7279000000000002E-2</v>
      </c>
      <c r="N43" s="1628">
        <v>1.0118334693232705</v>
      </c>
      <c r="O43" s="1628">
        <v>1.0118334693232705</v>
      </c>
    </row>
    <row r="44" spans="2:15">
      <c r="B44" s="1506">
        <v>33756</v>
      </c>
      <c r="C44" s="1507">
        <v>8.0361459999999996E-2</v>
      </c>
      <c r="D44" s="1507">
        <v>1.0890285720637001</v>
      </c>
      <c r="E44" s="1508">
        <v>0</v>
      </c>
      <c r="F44" s="1508">
        <v>1</v>
      </c>
      <c r="K44" s="1625">
        <v>42101</v>
      </c>
      <c r="L44" s="1626" t="s">
        <v>2301</v>
      </c>
      <c r="M44" s="1627">
        <v>4.7279000000000002E-2</v>
      </c>
      <c r="N44" s="1628">
        <v>1.0123118540692317</v>
      </c>
      <c r="O44" s="1628">
        <v>1.0123118540692317</v>
      </c>
    </row>
    <row r="45" spans="2:15">
      <c r="B45" s="1506">
        <v>33786</v>
      </c>
      <c r="C45" s="1507">
        <v>9.7908469999999997E-2</v>
      </c>
      <c r="D45" s="1507">
        <v>1.3267641484791</v>
      </c>
      <c r="E45" s="1508">
        <v>0</v>
      </c>
      <c r="F45" s="1508">
        <v>1</v>
      </c>
      <c r="K45" s="1625">
        <v>42102</v>
      </c>
      <c r="L45" s="1626" t="s">
        <v>2301</v>
      </c>
      <c r="M45" s="1627">
        <v>4.7279000000000002E-2</v>
      </c>
      <c r="N45" s="1628">
        <v>1.0127904649907171</v>
      </c>
      <c r="O45" s="1628">
        <v>1.0127904649907171</v>
      </c>
    </row>
    <row r="46" spans="2:15">
      <c r="B46" s="1506">
        <v>33817</v>
      </c>
      <c r="C46" s="1507">
        <v>0.12202180999999999</v>
      </c>
      <c r="D46" s="1507">
        <v>1.6205100844213001</v>
      </c>
      <c r="E46" s="1508">
        <v>0</v>
      </c>
      <c r="F46" s="1508">
        <v>1</v>
      </c>
      <c r="K46" s="1625">
        <v>42103</v>
      </c>
      <c r="L46" s="1626" t="s">
        <v>2301</v>
      </c>
      <c r="M46" s="1627">
        <v>4.7279000000000002E-2</v>
      </c>
      <c r="N46" s="1628">
        <v>1.0132693021946599</v>
      </c>
      <c r="O46" s="1628">
        <v>1.0132693021946599</v>
      </c>
    </row>
    <row r="47" spans="2:15">
      <c r="B47" s="1506">
        <v>33848</v>
      </c>
      <c r="C47" s="1507">
        <v>0.15285811999999999</v>
      </c>
      <c r="D47" s="1507">
        <v>2.0196408623306001</v>
      </c>
      <c r="E47" s="1508">
        <v>0</v>
      </c>
      <c r="F47" s="1508">
        <v>1</v>
      </c>
      <c r="K47" s="1625">
        <v>42104</v>
      </c>
      <c r="L47" s="1626" t="s">
        <v>2301</v>
      </c>
      <c r="M47" s="1627">
        <v>4.7279000000000002E-2</v>
      </c>
      <c r="N47" s="1628">
        <v>1.0137483657880444</v>
      </c>
      <c r="O47" s="1628">
        <v>1.0137483657880444</v>
      </c>
    </row>
    <row r="48" spans="2:15">
      <c r="B48" s="1506">
        <v>33878</v>
      </c>
      <c r="C48" s="1507">
        <v>0.19376498</v>
      </c>
      <c r="D48" s="1507">
        <v>2.5293973801068002</v>
      </c>
      <c r="E48" s="1508">
        <v>0</v>
      </c>
      <c r="F48" s="1508">
        <v>1</v>
      </c>
      <c r="K48" s="1625">
        <v>42105</v>
      </c>
      <c r="L48" s="1626"/>
      <c r="M48" s="1627">
        <v>0</v>
      </c>
      <c r="N48" s="1628">
        <v>1.0137483657880444</v>
      </c>
      <c r="O48" s="1628">
        <v>1.0137483657880444</v>
      </c>
    </row>
    <row r="49" spans="2:15">
      <c r="B49" s="1506">
        <v>33909</v>
      </c>
      <c r="C49" s="1507">
        <v>0.23916162999999999</v>
      </c>
      <c r="D49" s="1507">
        <v>3.0982598885127999</v>
      </c>
      <c r="E49" s="1508">
        <v>0</v>
      </c>
      <c r="F49" s="1508">
        <v>1</v>
      </c>
      <c r="K49" s="1625">
        <v>42106</v>
      </c>
      <c r="L49" s="1626"/>
      <c r="M49" s="1627">
        <v>0</v>
      </c>
      <c r="N49" s="1628">
        <v>1.0137483657880444</v>
      </c>
      <c r="O49" s="1628">
        <v>1.0137483657880444</v>
      </c>
    </row>
    <row r="50" spans="2:15">
      <c r="B50" s="1506">
        <v>33939</v>
      </c>
      <c r="C50" s="1507">
        <v>0.29913278999999998</v>
      </c>
      <c r="D50" s="1507">
        <v>3.8802596550900001</v>
      </c>
      <c r="E50" s="1508">
        <v>0</v>
      </c>
      <c r="F50" s="1508">
        <v>1</v>
      </c>
      <c r="K50" s="1625">
        <v>42107</v>
      </c>
      <c r="L50" s="1626" t="s">
        <v>2301</v>
      </c>
      <c r="M50" s="1627">
        <v>4.7279000000000002E-2</v>
      </c>
      <c r="N50" s="1628">
        <v>1.0142276558779053</v>
      </c>
      <c r="O50" s="1628">
        <v>1.0142276558779053</v>
      </c>
    </row>
    <row r="51" spans="2:15">
      <c r="B51" s="1506">
        <v>33970</v>
      </c>
      <c r="C51" s="1507">
        <v>0.37638683000000001</v>
      </c>
      <c r="D51" s="1507">
        <v>5.0579166458253004</v>
      </c>
      <c r="E51" s="1508">
        <v>0</v>
      </c>
      <c r="F51" s="1508">
        <v>1</v>
      </c>
      <c r="K51" s="1625">
        <v>42108</v>
      </c>
      <c r="L51" s="1626" t="s">
        <v>2301</v>
      </c>
      <c r="M51" s="1627">
        <v>4.7279000000000002E-2</v>
      </c>
      <c r="N51" s="1628">
        <v>1.0147071725713277</v>
      </c>
      <c r="O51" s="1628">
        <v>1.0147071725713277</v>
      </c>
    </row>
    <row r="52" spans="2:15">
      <c r="B52" s="1506">
        <v>34001</v>
      </c>
      <c r="C52" s="1507">
        <v>0.48335073000000001</v>
      </c>
      <c r="D52" s="1507">
        <v>6.3213843084293</v>
      </c>
      <c r="E52" s="1508">
        <v>0</v>
      </c>
      <c r="F52" s="1508">
        <v>1</v>
      </c>
      <c r="K52" s="1625">
        <v>42109</v>
      </c>
      <c r="L52" s="1626" t="s">
        <v>2301</v>
      </c>
      <c r="M52" s="1627">
        <v>4.7279000000000002E-2</v>
      </c>
      <c r="N52" s="1628">
        <v>1.0151869159754476</v>
      </c>
      <c r="O52" s="1628">
        <v>1.0151869159754476</v>
      </c>
    </row>
    <row r="53" spans="2:15">
      <c r="B53" s="1506">
        <v>34029</v>
      </c>
      <c r="C53" s="1507">
        <v>0.61023090000000002</v>
      </c>
      <c r="D53" s="1507">
        <v>8.0445948724788998</v>
      </c>
      <c r="E53" s="1508">
        <v>0</v>
      </c>
      <c r="F53" s="1508">
        <v>1</v>
      </c>
      <c r="K53" s="1625">
        <v>42110</v>
      </c>
      <c r="L53" s="1626" t="s">
        <v>2301</v>
      </c>
      <c r="M53" s="1627">
        <v>4.7279000000000002E-2</v>
      </c>
      <c r="N53" s="1628">
        <v>1.0156668861974516</v>
      </c>
      <c r="O53" s="1628">
        <v>1.0156668861974516</v>
      </c>
    </row>
    <row r="54" spans="2:15">
      <c r="B54" s="1506">
        <v>34060</v>
      </c>
      <c r="C54" s="1507">
        <v>0.78617482000000005</v>
      </c>
      <c r="D54" s="1507">
        <v>10.2769672819025</v>
      </c>
      <c r="E54" s="1508">
        <v>0</v>
      </c>
      <c r="F54" s="1508">
        <v>1</v>
      </c>
      <c r="K54" s="1625">
        <v>42111</v>
      </c>
      <c r="L54" s="1626" t="s">
        <v>2301</v>
      </c>
      <c r="M54" s="1627">
        <v>4.7279000000000002E-2</v>
      </c>
      <c r="N54" s="1628">
        <v>1.0161470833445767</v>
      </c>
      <c r="O54" s="1628">
        <v>1.0161470833445767</v>
      </c>
    </row>
    <row r="55" spans="2:15">
      <c r="B55" s="1506">
        <v>34090</v>
      </c>
      <c r="C55" s="1507">
        <v>1.01968087</v>
      </c>
      <c r="D55" s="1507">
        <v>13.1226581300609</v>
      </c>
      <c r="E55" s="1508">
        <v>0</v>
      </c>
      <c r="F55" s="1508">
        <v>1</v>
      </c>
      <c r="K55" s="1625">
        <v>42112</v>
      </c>
      <c r="L55" s="1626"/>
      <c r="M55" s="1627">
        <v>0</v>
      </c>
      <c r="N55" s="1628">
        <v>1.0161470833445767</v>
      </c>
      <c r="O55" s="1628">
        <v>1.0161470833445767</v>
      </c>
    </row>
    <row r="56" spans="2:15">
      <c r="B56" s="1506">
        <v>34121</v>
      </c>
      <c r="C56" s="1507">
        <v>1.3408208699999999</v>
      </c>
      <c r="D56" s="1507">
        <v>17.068642979808899</v>
      </c>
      <c r="E56" s="1508">
        <v>0</v>
      </c>
      <c r="F56" s="1508">
        <v>1</v>
      </c>
      <c r="K56" s="1625">
        <v>42113</v>
      </c>
      <c r="L56" s="1626"/>
      <c r="M56" s="1627">
        <v>0</v>
      </c>
      <c r="N56" s="1628">
        <v>1.0161470833445767</v>
      </c>
      <c r="O56" s="1628">
        <v>1.0161470833445767</v>
      </c>
    </row>
    <row r="57" spans="2:15">
      <c r="B57" s="1506">
        <v>34151</v>
      </c>
      <c r="C57" s="1507">
        <v>1.75984608</v>
      </c>
      <c r="D57" s="1507">
        <v>22.312130761236201</v>
      </c>
      <c r="E57" s="1508">
        <v>0</v>
      </c>
      <c r="F57" s="1508">
        <v>1</v>
      </c>
      <c r="K57" s="1625">
        <v>42114</v>
      </c>
      <c r="L57" s="1626" t="s">
        <v>2301</v>
      </c>
      <c r="M57" s="1627">
        <v>4.7279000000000002E-2</v>
      </c>
      <c r="N57" s="1628">
        <v>1.0166275075241111</v>
      </c>
      <c r="O57" s="1628">
        <v>1.0166275075241111</v>
      </c>
    </row>
    <row r="58" spans="2:15">
      <c r="B58" s="1506">
        <v>34182</v>
      </c>
      <c r="C58" s="1507">
        <v>2.31923637</v>
      </c>
      <c r="D58" s="1507">
        <v>29.666210936414501</v>
      </c>
      <c r="E58" s="1508">
        <v>0</v>
      </c>
      <c r="F58" s="1508">
        <v>1</v>
      </c>
      <c r="K58" s="1625">
        <v>42115</v>
      </c>
      <c r="L58" s="1626"/>
      <c r="M58" s="1627">
        <v>0</v>
      </c>
      <c r="N58" s="1628">
        <v>1.0166275075241111</v>
      </c>
      <c r="O58" s="1628">
        <v>1.0166275075241111</v>
      </c>
    </row>
    <row r="59" spans="2:15">
      <c r="B59" s="1506">
        <v>34213</v>
      </c>
      <c r="C59" s="1507">
        <v>3.1375231000000001</v>
      </c>
      <c r="D59" s="1507">
        <v>40.254080730946797</v>
      </c>
      <c r="E59" s="1508">
        <v>0</v>
      </c>
      <c r="F59" s="1508">
        <v>1</v>
      </c>
      <c r="K59" s="1625">
        <v>42116</v>
      </c>
      <c r="L59" s="1626" t="s">
        <v>2301</v>
      </c>
      <c r="M59" s="1627">
        <v>4.7279000000000002E-2</v>
      </c>
      <c r="N59" s="1628">
        <v>1.0171081588433935</v>
      </c>
      <c r="O59" s="1628">
        <v>1.0171081588433935</v>
      </c>
    </row>
    <row r="60" spans="2:15">
      <c r="B60" s="1506">
        <v>34243</v>
      </c>
      <c r="C60" s="1507">
        <v>4.2367972299999996</v>
      </c>
      <c r="D60" s="1507">
        <v>53.908264834853298</v>
      </c>
      <c r="E60" s="1508">
        <v>0</v>
      </c>
      <c r="F60" s="1508">
        <v>1</v>
      </c>
      <c r="K60" s="1625">
        <v>42117</v>
      </c>
      <c r="L60" s="1626" t="s">
        <v>2301</v>
      </c>
      <c r="M60" s="1627">
        <v>4.7279000000000002E-2</v>
      </c>
      <c r="N60" s="1628">
        <v>1.0175890374098129</v>
      </c>
      <c r="O60" s="1628">
        <v>1.0175890374098129</v>
      </c>
    </row>
    <row r="61" spans="2:15">
      <c r="B61" s="1506">
        <v>34274</v>
      </c>
      <c r="C61" s="1507">
        <v>5.7685216500000003</v>
      </c>
      <c r="D61" s="1507">
        <v>73.078046584524003</v>
      </c>
      <c r="E61" s="1508">
        <v>0</v>
      </c>
      <c r="F61" s="1508">
        <v>1</v>
      </c>
      <c r="K61" s="1625">
        <v>42118</v>
      </c>
      <c r="L61" s="1626" t="s">
        <v>2301</v>
      </c>
      <c r="M61" s="1627">
        <v>4.7279000000000002E-2</v>
      </c>
      <c r="N61" s="1628">
        <v>1.0180701433308097</v>
      </c>
      <c r="O61" s="1628">
        <v>1.0180701433308097</v>
      </c>
    </row>
    <row r="62" spans="2:15">
      <c r="B62" s="1506">
        <v>34304</v>
      </c>
      <c r="C62" s="1507">
        <v>7.9792505900000004</v>
      </c>
      <c r="D62" s="1507">
        <v>100</v>
      </c>
      <c r="E62" s="1508">
        <v>0</v>
      </c>
      <c r="F62" s="1508">
        <v>1</v>
      </c>
      <c r="K62" s="1625">
        <v>42119</v>
      </c>
      <c r="L62" s="1626"/>
      <c r="M62" s="1627">
        <v>0</v>
      </c>
      <c r="N62" s="1628">
        <v>1.0180701433308097</v>
      </c>
      <c r="O62" s="1628">
        <v>1.0180701433308097</v>
      </c>
    </row>
    <row r="63" spans="2:15">
      <c r="B63" s="1506">
        <v>34335</v>
      </c>
      <c r="C63" s="1507">
        <v>11.0967647</v>
      </c>
      <c r="D63" s="1507">
        <v>141.31</v>
      </c>
      <c r="E63" s="1508">
        <v>0</v>
      </c>
      <c r="F63" s="1508">
        <v>1</v>
      </c>
      <c r="K63" s="1625">
        <v>42120</v>
      </c>
      <c r="L63" s="1626"/>
      <c r="M63" s="1627">
        <v>0</v>
      </c>
      <c r="N63" s="1628">
        <v>1.0180701433308097</v>
      </c>
      <c r="O63" s="1628">
        <v>1.0180701433308097</v>
      </c>
    </row>
    <row r="64" spans="2:15">
      <c r="B64" s="1506">
        <v>34366</v>
      </c>
      <c r="C64" s="1507">
        <v>15.62186911</v>
      </c>
      <c r="D64" s="1507">
        <v>198.22</v>
      </c>
      <c r="E64" s="1508">
        <v>0</v>
      </c>
      <c r="F64" s="1508">
        <v>1</v>
      </c>
      <c r="K64" s="1625">
        <v>42121</v>
      </c>
      <c r="L64" s="1626" t="s">
        <v>2301</v>
      </c>
      <c r="M64" s="1627">
        <v>4.7314000000000002E-2</v>
      </c>
      <c r="N64" s="1628">
        <v>1.0185518330384251</v>
      </c>
      <c r="O64" s="1628">
        <v>1.0185518330384251</v>
      </c>
    </row>
    <row r="65" spans="2:15">
      <c r="B65" s="1506">
        <v>34394</v>
      </c>
      <c r="C65" s="1507">
        <v>22.762782099999999</v>
      </c>
      <c r="D65" s="1507">
        <v>282.95999999999998</v>
      </c>
      <c r="E65" s="1508">
        <v>0</v>
      </c>
      <c r="F65" s="1508">
        <v>1</v>
      </c>
      <c r="K65" s="1625">
        <v>42122</v>
      </c>
      <c r="L65" s="1626" t="s">
        <v>2301</v>
      </c>
      <c r="M65" s="1627">
        <v>4.7350000000000003E-2</v>
      </c>
      <c r="N65" s="1628">
        <v>1.0190341173313688</v>
      </c>
      <c r="O65" s="1628">
        <v>1.0190341173313688</v>
      </c>
    </row>
    <row r="66" spans="2:15">
      <c r="B66" s="1506">
        <v>34425</v>
      </c>
      <c r="C66" s="1507">
        <v>32.074938510000003</v>
      </c>
      <c r="D66" s="1507">
        <v>403.73</v>
      </c>
      <c r="E66" s="1508">
        <v>0</v>
      </c>
      <c r="F66" s="1508">
        <v>1</v>
      </c>
      <c r="K66" s="1625">
        <v>42123</v>
      </c>
      <c r="L66" s="1626" t="s">
        <v>2301</v>
      </c>
      <c r="M66" s="1627">
        <v>4.7350000000000003E-2</v>
      </c>
      <c r="N66" s="1628">
        <v>1.0195166299859253</v>
      </c>
      <c r="O66" s="1628">
        <v>1.0195166299859253</v>
      </c>
    </row>
    <row r="67" spans="2:15">
      <c r="B67" s="1506">
        <v>34455</v>
      </c>
      <c r="C67" s="1507">
        <v>45.731576959999998</v>
      </c>
      <c r="D67" s="1507">
        <v>581.49</v>
      </c>
      <c r="E67" s="1508">
        <v>0</v>
      </c>
      <c r="F67" s="1508">
        <v>1</v>
      </c>
      <c r="K67" s="1625">
        <v>42124</v>
      </c>
      <c r="L67" s="1626" t="s">
        <v>2301</v>
      </c>
      <c r="M67" s="1627">
        <v>4.9036999999999997E-2</v>
      </c>
      <c r="N67" s="1628">
        <v>1.0200165703557715</v>
      </c>
      <c r="O67" s="1628">
        <v>1.0200165703557715</v>
      </c>
    </row>
    <row r="68" spans="2:15">
      <c r="B68" s="1506">
        <v>34486</v>
      </c>
      <c r="C68" s="1507">
        <v>66.408212939999999</v>
      </c>
      <c r="D68" s="1507">
        <v>857.29</v>
      </c>
      <c r="E68" s="1508">
        <v>0</v>
      </c>
      <c r="F68" s="1508">
        <v>1</v>
      </c>
      <c r="K68" s="1625">
        <v>42125</v>
      </c>
      <c r="L68" s="1626"/>
      <c r="M68" s="1627">
        <v>0</v>
      </c>
      <c r="N68" s="1628">
        <v>1.0200165703557715</v>
      </c>
      <c r="O68" s="1628">
        <v>1.0200165703557715</v>
      </c>
    </row>
    <row r="69" spans="2:15">
      <c r="B69" s="1506">
        <v>34516</v>
      </c>
      <c r="C69" s="1507">
        <v>92.968426030000003</v>
      </c>
      <c r="D69" s="1507">
        <v>915.93</v>
      </c>
      <c r="E69" s="1508">
        <v>0</v>
      </c>
      <c r="F69" s="1508">
        <v>1</v>
      </c>
      <c r="K69" s="1625">
        <v>42126</v>
      </c>
      <c r="L69" s="1626"/>
      <c r="M69" s="1627">
        <v>0</v>
      </c>
      <c r="N69" s="1628">
        <v>1.0200165703557715</v>
      </c>
      <c r="O69" s="1628">
        <v>1.0200165703557715</v>
      </c>
    </row>
    <row r="70" spans="2:15">
      <c r="B70" s="1506">
        <v>34547</v>
      </c>
      <c r="C70" s="1507">
        <v>100</v>
      </c>
      <c r="D70" s="1507">
        <v>932.97</v>
      </c>
      <c r="E70" s="1508">
        <v>1.0417031360600404</v>
      </c>
      <c r="F70" s="1508">
        <v>1.0417031360600404</v>
      </c>
      <c r="K70" s="1625">
        <v>42127</v>
      </c>
      <c r="L70" s="1626"/>
      <c r="M70" s="1627">
        <v>0</v>
      </c>
      <c r="N70" s="1628">
        <v>1.0200165703557715</v>
      </c>
      <c r="O70" s="1628">
        <v>1.0200165703557715</v>
      </c>
    </row>
    <row r="71" spans="2:15">
      <c r="B71" s="1506">
        <v>34578</v>
      </c>
      <c r="C71" s="1507">
        <v>101.751</v>
      </c>
      <c r="D71" s="1507">
        <v>947.24</v>
      </c>
      <c r="E71" s="1508">
        <v>1.040191380612066</v>
      </c>
      <c r="F71" s="1508">
        <v>1.0835706232862121</v>
      </c>
      <c r="K71" s="1625">
        <v>42128</v>
      </c>
      <c r="L71" s="1626" t="s">
        <v>2301</v>
      </c>
      <c r="M71" s="1627">
        <v>4.9036999999999997E-2</v>
      </c>
      <c r="N71" s="1628">
        <v>1.020516755881377</v>
      </c>
      <c r="O71" s="1628">
        <v>1.020516755881377</v>
      </c>
    </row>
    <row r="72" spans="2:15">
      <c r="B72" s="1506">
        <v>34608</v>
      </c>
      <c r="C72" s="1507">
        <v>103.602</v>
      </c>
      <c r="D72" s="1507">
        <v>972.06</v>
      </c>
      <c r="E72" s="1508">
        <v>1.0400235119965635</v>
      </c>
      <c r="F72" s="1508">
        <v>1.1269389251264317</v>
      </c>
      <c r="K72" s="1625">
        <v>42129</v>
      </c>
      <c r="L72" s="1626" t="s">
        <v>2301</v>
      </c>
      <c r="M72" s="1627">
        <v>4.9036999999999997E-2</v>
      </c>
      <c r="N72" s="1628">
        <v>1.0210171866829587</v>
      </c>
      <c r="O72" s="1628">
        <v>1.0210171866829587</v>
      </c>
    </row>
    <row r="73" spans="2:15">
      <c r="B73" s="1506">
        <v>34639</v>
      </c>
      <c r="C73" s="1507">
        <v>106.553</v>
      </c>
      <c r="D73" s="1507">
        <v>999.37</v>
      </c>
      <c r="E73" s="1508">
        <v>1.0448704061969656</v>
      </c>
      <c r="F73" s="1508">
        <v>1.1775051324560264</v>
      </c>
      <c r="K73" s="1625">
        <v>42130</v>
      </c>
      <c r="L73" s="1626" t="s">
        <v>2301</v>
      </c>
      <c r="M73" s="1627">
        <v>4.9036999999999997E-2</v>
      </c>
      <c r="N73" s="1628">
        <v>1.0215178628807926</v>
      </c>
      <c r="O73" s="1628">
        <v>1.0215178628807926</v>
      </c>
    </row>
    <row r="74" spans="2:15">
      <c r="B74" s="1506">
        <v>34669</v>
      </c>
      <c r="C74" s="1507">
        <v>107.45</v>
      </c>
      <c r="D74" s="1507">
        <v>1016.46</v>
      </c>
      <c r="E74" s="1508">
        <v>1.0379749903132509</v>
      </c>
      <c r="F74" s="1508">
        <v>1.2222208784548472</v>
      </c>
      <c r="K74" s="1625">
        <v>42131</v>
      </c>
      <c r="L74" s="1626" t="s">
        <v>2301</v>
      </c>
      <c r="M74" s="1627">
        <v>4.9036999999999997E-2</v>
      </c>
      <c r="N74" s="1628">
        <v>1.0220187845952136</v>
      </c>
      <c r="O74" s="1628">
        <v>1.0220187845952136</v>
      </c>
    </row>
    <row r="75" spans="2:15">
      <c r="B75" s="1506">
        <v>34700</v>
      </c>
      <c r="C75" s="1507">
        <v>108.44199999999999</v>
      </c>
      <c r="D75" s="1507">
        <v>1033.74</v>
      </c>
      <c r="E75" s="1508">
        <v>1.033745155557255</v>
      </c>
      <c r="F75" s="1508">
        <v>1.2634649121236308</v>
      </c>
      <c r="K75" s="1625">
        <v>42132</v>
      </c>
      <c r="L75" s="1626" t="s">
        <v>2301</v>
      </c>
      <c r="M75" s="1627">
        <v>4.9036999999999997E-2</v>
      </c>
      <c r="N75" s="1628">
        <v>1.0225199519466155</v>
      </c>
      <c r="O75" s="1628">
        <v>1.0225199519466155</v>
      </c>
    </row>
    <row r="76" spans="2:15">
      <c r="B76" s="1506">
        <v>34731</v>
      </c>
      <c r="C76" s="1507">
        <v>109.9455</v>
      </c>
      <c r="D76" s="1507">
        <v>1044.28</v>
      </c>
      <c r="E76" s="1508">
        <v>1.0361946548110796</v>
      </c>
      <c r="F76" s="1508">
        <v>1.3091955884838566</v>
      </c>
      <c r="K76" s="1625">
        <v>42133</v>
      </c>
      <c r="L76" s="1626"/>
      <c r="M76" s="1627">
        <v>0</v>
      </c>
      <c r="N76" s="1628">
        <v>1.0225199519466155</v>
      </c>
      <c r="O76" s="1628">
        <v>1.0225199519466155</v>
      </c>
    </row>
    <row r="77" spans="2:15">
      <c r="B77" s="1506">
        <v>34759</v>
      </c>
      <c r="C77" s="1507">
        <v>111.178</v>
      </c>
      <c r="D77" s="1507">
        <v>1060.47</v>
      </c>
      <c r="E77" s="1508">
        <v>1.0426211014987152</v>
      </c>
      <c r="F77" s="1508">
        <v>1.3649949465422972</v>
      </c>
      <c r="K77" s="1625">
        <v>42134</v>
      </c>
      <c r="L77" s="1626"/>
      <c r="M77" s="1627">
        <v>0</v>
      </c>
      <c r="N77" s="1628">
        <v>1.0225199519466155</v>
      </c>
      <c r="O77" s="1628">
        <v>1.0225199519466155</v>
      </c>
    </row>
    <row r="78" spans="2:15">
      <c r="B78" s="1506">
        <v>34790</v>
      </c>
      <c r="C78" s="1507">
        <v>113.518</v>
      </c>
      <c r="D78" s="1507">
        <v>1086.24</v>
      </c>
      <c r="E78" s="1508">
        <v>1.0502446731743562</v>
      </c>
      <c r="F78" s="1508">
        <v>1.4335786715159629</v>
      </c>
      <c r="K78" s="1625">
        <v>42135</v>
      </c>
      <c r="L78" s="1626" t="s">
        <v>2301</v>
      </c>
      <c r="M78" s="1627">
        <v>4.9036999999999997E-2</v>
      </c>
      <c r="N78" s="1628">
        <v>1.0230213650554516</v>
      </c>
      <c r="O78" s="1628">
        <v>1.0230213650554516</v>
      </c>
    </row>
    <row r="79" spans="2:15">
      <c r="B79" s="1506">
        <v>34820</v>
      </c>
      <c r="C79" s="1507">
        <v>114.17100000000001</v>
      </c>
      <c r="D79" s="1507">
        <v>1115.24</v>
      </c>
      <c r="E79" s="1508">
        <v>1.0450356278102417</v>
      </c>
      <c r="F79" s="1508">
        <v>1.4981407870030565</v>
      </c>
      <c r="K79" s="1625">
        <v>42136</v>
      </c>
      <c r="L79" s="1626" t="s">
        <v>2301</v>
      </c>
      <c r="M79" s="1627">
        <v>4.9036999999999997E-2</v>
      </c>
      <c r="N79" s="1628">
        <v>1.0235230240422339</v>
      </c>
      <c r="O79" s="1628">
        <v>1.0235230240422339</v>
      </c>
    </row>
    <row r="80" spans="2:15">
      <c r="B80" s="1506">
        <v>34851</v>
      </c>
      <c r="C80" s="1507">
        <v>116.98399999999999</v>
      </c>
      <c r="D80" s="1507">
        <v>1140.44</v>
      </c>
      <c r="E80" s="1508">
        <v>1.0423602226147934</v>
      </c>
      <c r="F80" s="1508">
        <v>1.5616023642488079</v>
      </c>
      <c r="K80" s="1625">
        <v>42137</v>
      </c>
      <c r="L80" s="1626" t="s">
        <v>2301</v>
      </c>
      <c r="M80" s="1627">
        <v>4.9036999999999997E-2</v>
      </c>
      <c r="N80" s="1628">
        <v>1.0240249290275336</v>
      </c>
      <c r="O80" s="1628">
        <v>1.0240249290275336</v>
      </c>
    </row>
    <row r="81" spans="2:15">
      <c r="B81" s="1506">
        <v>34881</v>
      </c>
      <c r="C81" s="1507">
        <v>119.114</v>
      </c>
      <c r="D81" s="1507">
        <v>1167.3499999999999</v>
      </c>
      <c r="E81" s="1508">
        <v>1.0402311780170954</v>
      </c>
      <c r="F81" s="1508">
        <v>1.6244274669568188</v>
      </c>
      <c r="K81" s="1625">
        <v>42138</v>
      </c>
      <c r="L81" s="1626" t="s">
        <v>2301</v>
      </c>
      <c r="M81" s="1627">
        <v>4.9036999999999997E-2</v>
      </c>
      <c r="N81" s="1628">
        <v>1.024527080131981</v>
      </c>
      <c r="O81" s="1628">
        <v>1.024527080131981</v>
      </c>
    </row>
    <row r="82" spans="2:15">
      <c r="B82" s="1506">
        <v>34912</v>
      </c>
      <c r="C82" s="1507">
        <v>121.729</v>
      </c>
      <c r="D82" s="1507">
        <v>1178.9100000000001</v>
      </c>
      <c r="E82" s="1507">
        <v>1.0383979241220025</v>
      </c>
      <c r="F82" s="1507">
        <v>1.6868021095747234</v>
      </c>
      <c r="G82" s="7">
        <v>41036.512291666666</v>
      </c>
      <c r="K82" s="1625">
        <v>42139</v>
      </c>
      <c r="L82" s="1626" t="s">
        <v>2301</v>
      </c>
      <c r="M82" s="1627">
        <v>4.9036999999999997E-2</v>
      </c>
      <c r="N82" s="1628">
        <v>1.0250294774762654</v>
      </c>
      <c r="O82" s="1628">
        <v>1.0250294774762654</v>
      </c>
    </row>
    <row r="83" spans="2:15">
      <c r="B83" s="1506">
        <v>34943</v>
      </c>
      <c r="C83" s="1507">
        <v>120.869</v>
      </c>
      <c r="D83" s="1507">
        <v>1190.58</v>
      </c>
      <c r="E83" s="1507">
        <v>1.0349384575781275</v>
      </c>
      <c r="F83" s="1507">
        <v>1.745736373522796</v>
      </c>
      <c r="K83" s="1625">
        <v>42140</v>
      </c>
      <c r="L83" s="1626"/>
      <c r="M83" s="1627">
        <v>0</v>
      </c>
      <c r="N83" s="1628">
        <v>1.0250294774762654</v>
      </c>
      <c r="O83" s="1628">
        <v>1.0250294774762654</v>
      </c>
    </row>
    <row r="84" spans="2:15">
      <c r="B84" s="1506">
        <v>34973</v>
      </c>
      <c r="C84" s="1507">
        <v>121.503</v>
      </c>
      <c r="D84" s="1507">
        <v>1207.3699999999999</v>
      </c>
      <c r="E84" s="1507">
        <v>1.0324041438440343</v>
      </c>
      <c r="F84" s="1507">
        <v>1.8023054660841915</v>
      </c>
      <c r="K84" s="1625">
        <v>42141</v>
      </c>
      <c r="L84" s="1626"/>
      <c r="M84" s="1627">
        <v>0</v>
      </c>
      <c r="N84" s="1628">
        <v>1.0250294774762654</v>
      </c>
      <c r="O84" s="1628">
        <v>1.0250294774762654</v>
      </c>
    </row>
    <row r="85" spans="2:15">
      <c r="B85" s="1506">
        <v>35004</v>
      </c>
      <c r="C85" s="1507">
        <v>122.955</v>
      </c>
      <c r="D85" s="1507">
        <v>1225.1199999999999</v>
      </c>
      <c r="E85" s="1507">
        <v>1.0316999077357936</v>
      </c>
      <c r="F85" s="1507">
        <v>1.8594383830707768</v>
      </c>
      <c r="K85" s="1625">
        <v>42142</v>
      </c>
      <c r="L85" s="1626" t="s">
        <v>2301</v>
      </c>
      <c r="M85" s="1627">
        <v>4.9036999999999997E-2</v>
      </c>
      <c r="N85" s="1628">
        <v>1.0255321211811355</v>
      </c>
      <c r="O85" s="1628">
        <v>1.0255321211811355</v>
      </c>
    </row>
    <row r="86" spans="2:15">
      <c r="B86" s="1506">
        <v>35034</v>
      </c>
      <c r="C86" s="1507">
        <v>123.833</v>
      </c>
      <c r="D86" s="1507">
        <v>1244.23</v>
      </c>
      <c r="E86" s="1507">
        <v>1.0292086837764389</v>
      </c>
      <c r="F86" s="1507">
        <v>1.913750130803664</v>
      </c>
      <c r="K86" s="1625">
        <v>42143</v>
      </c>
      <c r="L86" s="1626" t="s">
        <v>2301</v>
      </c>
      <c r="M86" s="1627">
        <v>4.9036999999999997E-2</v>
      </c>
      <c r="N86" s="1628">
        <v>1.0260350113673991</v>
      </c>
      <c r="O86" s="1628">
        <v>1.0260350113673991</v>
      </c>
    </row>
    <row r="87" spans="2:15">
      <c r="B87" s="1506">
        <v>35065</v>
      </c>
      <c r="C87" s="1507">
        <v>125.977</v>
      </c>
      <c r="D87" s="1507">
        <v>1260.9000000000001</v>
      </c>
      <c r="E87" s="1507">
        <v>1.0271429062533448</v>
      </c>
      <c r="F87" s="1507">
        <v>1.9656948711963942</v>
      </c>
      <c r="K87" s="1625">
        <v>42144</v>
      </c>
      <c r="L87" s="1626" t="s">
        <v>2301</v>
      </c>
      <c r="M87" s="1627">
        <v>4.9036999999999997E-2</v>
      </c>
      <c r="N87" s="1628">
        <v>1.0265381481559233</v>
      </c>
      <c r="O87" s="1628">
        <v>1.0265381481559233</v>
      </c>
    </row>
    <row r="88" spans="2:15">
      <c r="B88" s="1506">
        <v>35096</v>
      </c>
      <c r="C88" s="1507">
        <v>127.202</v>
      </c>
      <c r="D88" s="1507">
        <v>1273.8900000000001</v>
      </c>
      <c r="E88" s="1507">
        <v>1.026088709032714</v>
      </c>
      <c r="F88" s="1507">
        <v>2.0169773127381352</v>
      </c>
      <c r="K88" s="1625">
        <v>42145</v>
      </c>
      <c r="L88" s="1626" t="s">
        <v>2301</v>
      </c>
      <c r="M88" s="1627">
        <v>4.9036999999999997E-2</v>
      </c>
      <c r="N88" s="1628">
        <v>1.0270415316676345</v>
      </c>
      <c r="O88" s="1628">
        <v>1.0270415316676345</v>
      </c>
    </row>
    <row r="89" spans="2:15">
      <c r="B89" s="1506">
        <v>35125</v>
      </c>
      <c r="C89" s="1507">
        <v>127.715</v>
      </c>
      <c r="D89" s="1507">
        <v>1278.3499999999999</v>
      </c>
      <c r="E89" s="1507">
        <v>1.0222082178682002</v>
      </c>
      <c r="F89" s="1507">
        <v>2.0617707843346404</v>
      </c>
      <c r="K89" s="1625">
        <v>42146</v>
      </c>
      <c r="L89" s="1626" t="s">
        <v>2301</v>
      </c>
      <c r="M89" s="1627">
        <v>4.9036999999999997E-2</v>
      </c>
      <c r="N89" s="1628">
        <v>1.0275451620235183</v>
      </c>
      <c r="O89" s="1628">
        <v>1.0275451620235183</v>
      </c>
    </row>
    <row r="90" spans="2:15">
      <c r="B90" s="1506">
        <v>35156</v>
      </c>
      <c r="C90" s="1507">
        <v>128.13</v>
      </c>
      <c r="D90" s="1507">
        <v>1294.46</v>
      </c>
      <c r="E90" s="1507">
        <v>1.0227569082086725</v>
      </c>
      <c r="F90" s="1507">
        <v>2.1086903128210666</v>
      </c>
      <c r="K90" s="1625">
        <v>42147</v>
      </c>
      <c r="L90" s="1626"/>
      <c r="M90" s="1627">
        <v>0</v>
      </c>
      <c r="N90" s="1628">
        <v>1.0275451620235183</v>
      </c>
      <c r="O90" s="1628">
        <v>1.0275451620235183</v>
      </c>
    </row>
    <row r="91" spans="2:15">
      <c r="B91" s="1506">
        <v>35186</v>
      </c>
      <c r="C91" s="1507">
        <v>130.12100000000001</v>
      </c>
      <c r="D91" s="1507">
        <v>1310.25</v>
      </c>
      <c r="E91" s="1507">
        <v>1.0210626514511167</v>
      </c>
      <c r="F91" s="1507">
        <v>2.1531049218983629</v>
      </c>
      <c r="K91" s="1625">
        <v>42148</v>
      </c>
      <c r="L91" s="1626"/>
      <c r="M91" s="1627">
        <v>0</v>
      </c>
      <c r="N91" s="1628">
        <v>1.0275451620235183</v>
      </c>
      <c r="O91" s="1628">
        <v>1.0275451620235183</v>
      </c>
    </row>
    <row r="92" spans="2:15">
      <c r="B92" s="1506">
        <v>35217</v>
      </c>
      <c r="C92" s="1507">
        <v>131.44499999999999</v>
      </c>
      <c r="D92" s="1507">
        <v>1325.84</v>
      </c>
      <c r="E92" s="1507">
        <v>1.020826552130859</v>
      </c>
      <c r="F92" s="1507">
        <v>2.1979466737974884</v>
      </c>
      <c r="K92" s="1625">
        <v>42149</v>
      </c>
      <c r="L92" s="1626" t="s">
        <v>2301</v>
      </c>
      <c r="M92" s="1627">
        <v>4.9036999999999997E-2</v>
      </c>
      <c r="N92" s="1628">
        <v>1.0280490393446198</v>
      </c>
      <c r="O92" s="1628">
        <v>1.0280490393446198</v>
      </c>
    </row>
    <row r="93" spans="2:15">
      <c r="B93" s="1506">
        <v>35247</v>
      </c>
      <c r="C93" s="1507">
        <v>133.21299999999999</v>
      </c>
      <c r="D93" s="1507">
        <v>1340.56</v>
      </c>
      <c r="E93" s="1507">
        <v>1.0192856968560815</v>
      </c>
      <c r="F93" s="1507">
        <v>2.2403356070541793</v>
      </c>
      <c r="K93" s="1625">
        <v>42150</v>
      </c>
      <c r="L93" s="1626" t="s">
        <v>2301</v>
      </c>
      <c r="M93" s="1627">
        <v>4.9036999999999997E-2</v>
      </c>
      <c r="N93" s="1628">
        <v>1.0285531637520433</v>
      </c>
      <c r="O93" s="1628">
        <v>1.0285531637520433</v>
      </c>
    </row>
    <row r="94" spans="2:15">
      <c r="B94" s="1506">
        <v>35278</v>
      </c>
      <c r="C94" s="1507">
        <v>133.58699999999999</v>
      </c>
      <c r="D94" s="1507">
        <v>1346.46</v>
      </c>
      <c r="E94" s="1507">
        <v>1.0196791435025818</v>
      </c>
      <c r="F94" s="1507">
        <v>2.2844234929593421</v>
      </c>
      <c r="K94" s="1625">
        <v>42151</v>
      </c>
      <c r="L94" s="1626" t="s">
        <v>2301</v>
      </c>
      <c r="M94" s="1627">
        <v>4.9036999999999997E-2</v>
      </c>
      <c r="N94" s="1628">
        <v>1.0290575353669524</v>
      </c>
      <c r="O94" s="1628">
        <v>1.0290575353669524</v>
      </c>
    </row>
    <row r="95" spans="2:15">
      <c r="B95" s="1506">
        <v>35309</v>
      </c>
      <c r="C95" s="1507">
        <v>133.72200000000001</v>
      </c>
      <c r="D95" s="1507">
        <v>1348.48</v>
      </c>
      <c r="E95" s="1507">
        <v>1.0190405257020327</v>
      </c>
      <c r="F95" s="1507">
        <v>2.3279201171913617</v>
      </c>
      <c r="K95" s="1625">
        <v>42152</v>
      </c>
      <c r="L95" s="1626" t="s">
        <v>2301</v>
      </c>
      <c r="M95" s="1627">
        <v>4.9036999999999997E-2</v>
      </c>
      <c r="N95" s="1628">
        <v>1.0295621543105704</v>
      </c>
      <c r="O95" s="1628">
        <v>1.0295621543105704</v>
      </c>
    </row>
    <row r="96" spans="2:15">
      <c r="B96" s="1506">
        <v>35339</v>
      </c>
      <c r="C96" s="1507">
        <v>133.97800000000001</v>
      </c>
      <c r="D96" s="1507">
        <v>1352.53</v>
      </c>
      <c r="E96" s="1507">
        <v>1.0194350405573067</v>
      </c>
      <c r="F96" s="1507">
        <v>2.3731633390831459</v>
      </c>
      <c r="K96" s="1625">
        <v>42153</v>
      </c>
      <c r="L96" s="1626" t="s">
        <v>2301</v>
      </c>
      <c r="M96" s="1627">
        <v>4.9036999999999997E-2</v>
      </c>
      <c r="N96" s="1628">
        <v>1.0300670207041798</v>
      </c>
      <c r="O96" s="1628">
        <v>1.0300670207041798</v>
      </c>
    </row>
    <row r="97" spans="2:15">
      <c r="B97" s="1506">
        <v>35370</v>
      </c>
      <c r="C97" s="1507">
        <v>134.24199999999999</v>
      </c>
      <c r="D97" s="1507">
        <v>1356.86</v>
      </c>
      <c r="E97" s="1507">
        <v>1.018952291397875</v>
      </c>
      <c r="F97" s="1507">
        <v>2.4181402222202037</v>
      </c>
      <c r="K97" s="1625">
        <v>42154</v>
      </c>
      <c r="L97" s="1626"/>
      <c r="M97" s="1627">
        <v>0</v>
      </c>
      <c r="N97" s="1628">
        <v>1.0300670207041798</v>
      </c>
      <c r="O97" s="1628">
        <v>1.0300670207041798</v>
      </c>
    </row>
    <row r="98" spans="2:15">
      <c r="B98" s="1506">
        <v>35400</v>
      </c>
      <c r="C98" s="1507">
        <v>135.22499999999999</v>
      </c>
      <c r="D98" s="1507">
        <v>1363.24</v>
      </c>
      <c r="E98" s="1507">
        <v>1.0189221360623306</v>
      </c>
      <c r="F98" s="1507">
        <v>2.4638966005228489</v>
      </c>
      <c r="K98" s="1625">
        <v>42155</v>
      </c>
      <c r="L98" s="1626"/>
      <c r="M98" s="1627">
        <v>0</v>
      </c>
      <c r="N98" s="1628">
        <v>1.0300670207041798</v>
      </c>
      <c r="O98" s="1628">
        <v>1.0300670207041798</v>
      </c>
    </row>
    <row r="99" spans="2:15">
      <c r="B99" s="1506">
        <v>35431</v>
      </c>
      <c r="C99" s="1507">
        <v>137.613</v>
      </c>
      <c r="D99" s="1507">
        <v>1379.33</v>
      </c>
      <c r="E99" s="1507">
        <v>1.0182168360386268</v>
      </c>
      <c r="F99" s="1507">
        <v>2.5087810009107034</v>
      </c>
      <c r="K99" s="1625">
        <v>42156</v>
      </c>
      <c r="L99" s="1626" t="s">
        <v>2301</v>
      </c>
      <c r="M99" s="1627">
        <v>4.9036999999999997E-2</v>
      </c>
      <c r="N99" s="1628">
        <v>1.0305721346691226</v>
      </c>
      <c r="O99" s="1628">
        <v>1.0305721346691226</v>
      </c>
    </row>
    <row r="100" spans="2:15">
      <c r="B100" s="1506">
        <v>35462</v>
      </c>
      <c r="C100" s="1507">
        <v>138.20400000000001</v>
      </c>
      <c r="D100" s="1507">
        <v>1386.23</v>
      </c>
      <c r="E100" s="1507">
        <v>1.018615977536991</v>
      </c>
      <c r="F100" s="1507">
        <v>2.5554844116688868</v>
      </c>
      <c r="K100" s="1625">
        <v>42157</v>
      </c>
      <c r="L100" s="1626" t="s">
        <v>2301</v>
      </c>
      <c r="M100" s="1627">
        <v>4.9036999999999997E-2</v>
      </c>
      <c r="N100" s="1628">
        <v>1.0310774963268003</v>
      </c>
      <c r="O100" s="1628">
        <v>1.0310774963268003</v>
      </c>
    </row>
    <row r="101" spans="2:15">
      <c r="B101" s="1506">
        <v>35490</v>
      </c>
      <c r="C101" s="1507">
        <v>139.79499999999999</v>
      </c>
      <c r="D101" s="1507">
        <v>1393.3</v>
      </c>
      <c r="E101" s="1507">
        <v>1.0181653196053577</v>
      </c>
      <c r="F101" s="1507">
        <v>2.6019056027533618</v>
      </c>
      <c r="K101" s="1625">
        <v>42158</v>
      </c>
      <c r="L101" s="1626" t="s">
        <v>2301</v>
      </c>
      <c r="M101" s="1627">
        <v>4.9036999999999997E-2</v>
      </c>
      <c r="N101" s="1628">
        <v>1.0315831057986742</v>
      </c>
      <c r="O101" s="1628">
        <v>1.0315831057986742</v>
      </c>
    </row>
    <row r="102" spans="2:15">
      <c r="B102" s="1506">
        <v>35521</v>
      </c>
      <c r="C102" s="1507">
        <v>140.74199999999999</v>
      </c>
      <c r="D102" s="1507">
        <v>1405.56</v>
      </c>
      <c r="E102" s="1507">
        <v>1.0174130782041242</v>
      </c>
      <c r="F102" s="1507">
        <v>2.6472127884938548</v>
      </c>
      <c r="K102" s="1625">
        <v>42159</v>
      </c>
      <c r="L102" s="1626"/>
      <c r="M102" s="1627">
        <v>0</v>
      </c>
      <c r="N102" s="1628">
        <v>1.0315831057986742</v>
      </c>
      <c r="O102" s="1628">
        <v>1.0315831057986742</v>
      </c>
    </row>
    <row r="103" spans="2:15">
      <c r="B103" s="1506">
        <v>35551</v>
      </c>
      <c r="C103" s="1507">
        <v>141.04</v>
      </c>
      <c r="D103" s="1507">
        <v>1411.32</v>
      </c>
      <c r="E103" s="1507">
        <v>1.0173859708262292</v>
      </c>
      <c r="F103" s="1507">
        <v>2.6932371528054295</v>
      </c>
      <c r="K103" s="1625">
        <v>42160</v>
      </c>
      <c r="L103" s="1626" t="s">
        <v>2301</v>
      </c>
      <c r="M103" s="1627">
        <v>5.0788E-2</v>
      </c>
      <c r="N103" s="1628">
        <v>1.0321070262264471</v>
      </c>
      <c r="O103" s="1628">
        <v>1.0321070262264471</v>
      </c>
    </row>
    <row r="104" spans="2:15">
      <c r="B104" s="1506">
        <v>35582</v>
      </c>
      <c r="C104" s="1507">
        <v>142.09</v>
      </c>
      <c r="D104" s="1507">
        <v>1418.94</v>
      </c>
      <c r="E104" s="1507">
        <v>1.0160683269749473</v>
      </c>
      <c r="F104" s="1507">
        <v>2.7365129679977831</v>
      </c>
      <c r="K104" s="1625">
        <v>42161</v>
      </c>
      <c r="L104" s="1626"/>
      <c r="M104" s="1627">
        <v>0</v>
      </c>
      <c r="N104" s="1628">
        <v>1.0321070262264471</v>
      </c>
      <c r="O104" s="1628">
        <v>1.0321070262264471</v>
      </c>
    </row>
    <row r="105" spans="2:15">
      <c r="B105" s="1506">
        <v>35612</v>
      </c>
      <c r="C105" s="1507">
        <v>142.221</v>
      </c>
      <c r="D105" s="1507">
        <v>1422.06</v>
      </c>
      <c r="E105" s="1507">
        <v>1.0160384417373229</v>
      </c>
      <c r="F105" s="1507">
        <v>2.7804023717984441</v>
      </c>
      <c r="K105" s="1625">
        <v>42162</v>
      </c>
      <c r="L105" s="1626"/>
      <c r="M105" s="1627">
        <v>0</v>
      </c>
      <c r="N105" s="1628">
        <v>1.0321070262264471</v>
      </c>
      <c r="O105" s="1628">
        <v>1.0321070262264471</v>
      </c>
    </row>
    <row r="106" spans="2:15">
      <c r="B106" s="1506">
        <v>35643</v>
      </c>
      <c r="C106" s="1507">
        <v>142.35300000000001</v>
      </c>
      <c r="D106" s="1507">
        <v>1421.78</v>
      </c>
      <c r="E106" s="1507">
        <v>1.0158585469231169</v>
      </c>
      <c r="F106" s="1507">
        <v>2.8244955132767555</v>
      </c>
      <c r="K106" s="1625">
        <v>42163</v>
      </c>
      <c r="L106" s="1626" t="s">
        <v>2301</v>
      </c>
      <c r="M106" s="1627">
        <v>5.0788E-2</v>
      </c>
      <c r="N106" s="1628">
        <v>1.0326312127429271</v>
      </c>
      <c r="O106" s="1628">
        <v>1.0326312127429271</v>
      </c>
    </row>
    <row r="107" spans="2:15">
      <c r="B107" s="1506">
        <v>35674</v>
      </c>
      <c r="C107" s="1507">
        <v>143.042</v>
      </c>
      <c r="D107" s="1507">
        <v>1422.63</v>
      </c>
      <c r="E107" s="1507">
        <v>1.0159028051900765</v>
      </c>
      <c r="F107" s="1507">
        <v>2.869412915184641</v>
      </c>
      <c r="K107" s="1625">
        <v>42164</v>
      </c>
      <c r="L107" s="1626" t="s">
        <v>2301</v>
      </c>
      <c r="M107" s="1627">
        <v>5.0788E-2</v>
      </c>
      <c r="N107" s="1628">
        <v>1.033155665483255</v>
      </c>
      <c r="O107" s="1628">
        <v>1.033155665483255</v>
      </c>
    </row>
    <row r="108" spans="2:15">
      <c r="B108" s="1506">
        <v>35704</v>
      </c>
      <c r="C108" s="1507">
        <v>143.56700000000001</v>
      </c>
      <c r="D108" s="1507">
        <v>1425.9</v>
      </c>
      <c r="E108" s="1507">
        <v>1.0167288802763557</v>
      </c>
      <c r="F108" s="1507">
        <v>2.9174149803061935</v>
      </c>
      <c r="K108" s="1625">
        <v>42165</v>
      </c>
      <c r="L108" s="1626" t="s">
        <v>2301</v>
      </c>
      <c r="M108" s="1627">
        <v>5.0788E-2</v>
      </c>
      <c r="N108" s="1628">
        <v>1.0336803845826406</v>
      </c>
      <c r="O108" s="1628">
        <v>1.0336803845826406</v>
      </c>
    </row>
    <row r="109" spans="2:15">
      <c r="B109" s="1506">
        <v>35735</v>
      </c>
      <c r="C109" s="1507">
        <v>144.48099999999999</v>
      </c>
      <c r="D109" s="1507">
        <v>1428.32</v>
      </c>
      <c r="E109" s="1507">
        <v>1.0304347964479648</v>
      </c>
      <c r="F109" s="1507">
        <v>3.0062059113860555</v>
      </c>
      <c r="K109" s="1625">
        <v>42166</v>
      </c>
      <c r="L109" s="1626" t="s">
        <v>2301</v>
      </c>
      <c r="M109" s="1627">
        <v>5.0788E-2</v>
      </c>
      <c r="N109" s="1628">
        <v>1.0342053701763625</v>
      </c>
      <c r="O109" s="1628">
        <v>1.0342053701763625</v>
      </c>
    </row>
    <row r="110" spans="2:15">
      <c r="B110" s="1506">
        <v>35765</v>
      </c>
      <c r="C110" s="1507">
        <v>145.69499999999999</v>
      </c>
      <c r="D110" s="1507">
        <v>1434.46</v>
      </c>
      <c r="E110" s="1507">
        <v>1.0311549813439238</v>
      </c>
      <c r="F110" s="1507">
        <v>3.0998642004712815</v>
      </c>
      <c r="K110" s="1625">
        <v>42167</v>
      </c>
      <c r="L110" s="1626" t="s">
        <v>2301</v>
      </c>
      <c r="M110" s="1627">
        <v>5.0788E-2</v>
      </c>
      <c r="N110" s="1628">
        <v>1.0347306223997677</v>
      </c>
      <c r="O110" s="1628">
        <v>1.0347306223997677</v>
      </c>
    </row>
    <row r="111" spans="2:15">
      <c r="B111" s="1506">
        <v>35796</v>
      </c>
      <c r="C111" s="1507">
        <v>147.09100000000001</v>
      </c>
      <c r="D111" s="1507">
        <v>1444.64</v>
      </c>
      <c r="E111" s="1507">
        <v>1.0280960413836384</v>
      </c>
      <c r="F111" s="1507">
        <v>3.1869581133313818</v>
      </c>
      <c r="K111" s="1625">
        <v>42168</v>
      </c>
      <c r="L111" s="1626"/>
      <c r="M111" s="1627">
        <v>0</v>
      </c>
      <c r="N111" s="1628">
        <v>1.0347306223997677</v>
      </c>
      <c r="O111" s="1628">
        <v>1.0347306223997677</v>
      </c>
    </row>
    <row r="112" spans="2:15">
      <c r="B112" s="1506">
        <v>35827</v>
      </c>
      <c r="C112" s="1507">
        <v>147.35599999999999</v>
      </c>
      <c r="D112" s="1507">
        <v>1451.29</v>
      </c>
      <c r="E112" s="1507">
        <v>1.0236711069024262</v>
      </c>
      <c r="F112" s="1507">
        <v>3.2623969395256034</v>
      </c>
      <c r="K112" s="1625">
        <v>42169</v>
      </c>
      <c r="L112" s="1626"/>
      <c r="M112" s="1627">
        <v>0</v>
      </c>
      <c r="N112" s="1628">
        <v>1.0347306223997677</v>
      </c>
      <c r="O112" s="1628">
        <v>1.0347306223997677</v>
      </c>
    </row>
    <row r="113" spans="2:15">
      <c r="B113" s="1506">
        <v>35855</v>
      </c>
      <c r="C113" s="1507">
        <v>147.63499999999999</v>
      </c>
      <c r="D113" s="1507">
        <v>1456.22</v>
      </c>
      <c r="E113" s="1507">
        <v>1.0220072916308196</v>
      </c>
      <c r="F113" s="1507">
        <v>3.3341934603892365</v>
      </c>
      <c r="K113" s="1625">
        <v>42170</v>
      </c>
      <c r="L113" s="1626" t="s">
        <v>2301</v>
      </c>
      <c r="M113" s="1627">
        <v>5.0788E-2</v>
      </c>
      <c r="N113" s="1628">
        <v>1.0352561413882722</v>
      </c>
      <c r="O113" s="1628">
        <v>1.0352561413882722</v>
      </c>
    </row>
    <row r="114" spans="2:15">
      <c r="B114" s="1506">
        <v>35886</v>
      </c>
      <c r="C114" s="1507">
        <v>147.821</v>
      </c>
      <c r="D114" s="1507">
        <v>1459.71</v>
      </c>
      <c r="E114" s="1507">
        <v>1.0199031041694671</v>
      </c>
      <c r="F114" s="1507">
        <v>3.4005542601525192</v>
      </c>
      <c r="K114" s="1625">
        <v>42171</v>
      </c>
      <c r="L114" s="1626" t="s">
        <v>2301</v>
      </c>
      <c r="M114" s="1627">
        <v>5.0788E-2</v>
      </c>
      <c r="N114" s="1628">
        <v>1.0357819272773605</v>
      </c>
      <c r="O114" s="1628">
        <v>1.0357819272773605</v>
      </c>
    </row>
    <row r="115" spans="2:15">
      <c r="B115" s="1506">
        <v>35916</v>
      </c>
      <c r="C115" s="1507">
        <v>148.02099999999999</v>
      </c>
      <c r="D115" s="1507">
        <v>1467.01</v>
      </c>
      <c r="E115" s="1507">
        <v>1.0171306475499944</v>
      </c>
      <c r="F115" s="1507">
        <v>3.4588079566578238</v>
      </c>
      <c r="K115" s="1625">
        <v>42172</v>
      </c>
      <c r="L115" s="1626" t="s">
        <v>2301</v>
      </c>
      <c r="M115" s="1627">
        <v>5.0788E-2</v>
      </c>
      <c r="N115" s="1628">
        <v>1.0363079802025861</v>
      </c>
      <c r="O115" s="1628">
        <v>1.0363079802025861</v>
      </c>
    </row>
    <row r="116" spans="2:15">
      <c r="B116" s="1506">
        <v>35947</v>
      </c>
      <c r="C116" s="1507">
        <v>148.58799999999999</v>
      </c>
      <c r="D116" s="1507">
        <v>1467.3</v>
      </c>
      <c r="E116" s="1507">
        <v>1.0167959651913006</v>
      </c>
      <c r="F116" s="1507">
        <v>3.5169019747012422</v>
      </c>
      <c r="K116" s="1625">
        <v>42173</v>
      </c>
      <c r="L116" s="1626" t="s">
        <v>2301</v>
      </c>
      <c r="M116" s="1627">
        <v>5.0788E-2</v>
      </c>
      <c r="N116" s="1628">
        <v>1.0368343002995715</v>
      </c>
      <c r="O116" s="1628">
        <v>1.0368343002995715</v>
      </c>
    </row>
    <row r="117" spans="2:15">
      <c r="B117" s="1506">
        <v>35977</v>
      </c>
      <c r="C117" s="1507">
        <v>148.339</v>
      </c>
      <c r="D117" s="1507">
        <v>1465.54</v>
      </c>
      <c r="E117" s="1507">
        <v>1.0170373206405035</v>
      </c>
      <c r="F117" s="1507">
        <v>3.5768205613054471</v>
      </c>
      <c r="K117" s="1625">
        <v>42174</v>
      </c>
      <c r="L117" s="1626" t="s">
        <v>2301</v>
      </c>
      <c r="M117" s="1627">
        <v>5.0788E-2</v>
      </c>
      <c r="N117" s="1628">
        <v>1.0373608877040077</v>
      </c>
      <c r="O117" s="1628">
        <v>1.0373608877040077</v>
      </c>
    </row>
    <row r="118" spans="2:15">
      <c r="B118" s="1506">
        <v>36008</v>
      </c>
      <c r="C118" s="1507">
        <v>148.10900000000001</v>
      </c>
      <c r="D118" s="1507">
        <v>1458.07</v>
      </c>
      <c r="E118" s="1507">
        <v>1.0147631694962493</v>
      </c>
      <c r="F118" s="1507">
        <v>3.6296257695096692</v>
      </c>
      <c r="K118" s="1625">
        <v>42175</v>
      </c>
      <c r="L118" s="1626"/>
      <c r="M118" s="1627">
        <v>0</v>
      </c>
      <c r="N118" s="1628">
        <v>1.0373608877040077</v>
      </c>
      <c r="O118" s="1628">
        <v>1.0373608877040077</v>
      </c>
    </row>
    <row r="119" spans="2:15">
      <c r="B119" s="1506">
        <v>36039</v>
      </c>
      <c r="C119" s="1507">
        <v>147.98400000000001</v>
      </c>
      <c r="D119" s="1507">
        <v>1454.86</v>
      </c>
      <c r="E119" s="1507">
        <v>1.0255896332244516</v>
      </c>
      <c r="F119" s="1507">
        <v>3.7225065616934394</v>
      </c>
      <c r="K119" s="1625">
        <v>42176</v>
      </c>
      <c r="L119" s="1626"/>
      <c r="M119" s="1627">
        <v>0</v>
      </c>
      <c r="N119" s="1628">
        <v>1.0373608877040077</v>
      </c>
      <c r="O119" s="1628">
        <v>1.0373608877040077</v>
      </c>
    </row>
    <row r="120" spans="2:15">
      <c r="B120" s="1506">
        <v>36069</v>
      </c>
      <c r="C120" s="1507">
        <v>148.1</v>
      </c>
      <c r="D120" s="1507">
        <v>1455.15</v>
      </c>
      <c r="E120" s="1507">
        <v>1.0308188720930029</v>
      </c>
      <c r="F120" s="1507">
        <v>3.8372300152836338</v>
      </c>
      <c r="K120" s="1625">
        <v>42177</v>
      </c>
      <c r="L120" s="1626" t="s">
        <v>2301</v>
      </c>
      <c r="M120" s="1627">
        <v>5.0788E-2</v>
      </c>
      <c r="N120" s="1628">
        <v>1.0378877425516548</v>
      </c>
      <c r="O120" s="1628">
        <v>1.0378877425516548</v>
      </c>
    </row>
    <row r="121" spans="2:15">
      <c r="B121" s="1506">
        <v>36100</v>
      </c>
      <c r="C121" s="1507">
        <v>147.62799999999999</v>
      </c>
      <c r="D121" s="1507">
        <v>1453.4</v>
      </c>
      <c r="E121" s="1507">
        <v>1.0277678356785036</v>
      </c>
      <c r="F121" s="1507">
        <v>3.9437815878086515</v>
      </c>
      <c r="K121" s="1625">
        <v>42178</v>
      </c>
      <c r="L121" s="1626" t="s">
        <v>2301</v>
      </c>
      <c r="M121" s="1627">
        <v>5.0788E-2</v>
      </c>
      <c r="N121" s="1628">
        <v>1.038414864978342</v>
      </c>
      <c r="O121" s="1628">
        <v>1.038414864978342</v>
      </c>
    </row>
    <row r="122" spans="2:15">
      <c r="B122" s="1506">
        <v>36130</v>
      </c>
      <c r="C122" s="1507">
        <v>148.291</v>
      </c>
      <c r="D122" s="1507">
        <v>1458.2</v>
      </c>
      <c r="E122" s="1507">
        <v>1.025049538167373</v>
      </c>
      <c r="F122" s="1507">
        <v>4.0425714952162473</v>
      </c>
      <c r="K122" s="1625">
        <v>42179</v>
      </c>
      <c r="L122" s="1626" t="s">
        <v>2301</v>
      </c>
      <c r="M122" s="1627">
        <v>5.0788E-2</v>
      </c>
      <c r="N122" s="1628">
        <v>1.0389422551199672</v>
      </c>
      <c r="O122" s="1628">
        <v>1.0389422551199672</v>
      </c>
    </row>
    <row r="123" spans="2:15">
      <c r="B123" s="1506">
        <v>36161</v>
      </c>
      <c r="C123" s="1507">
        <v>149.53299999999999</v>
      </c>
      <c r="D123" s="1507">
        <v>1468.41</v>
      </c>
      <c r="E123" s="1507">
        <v>1.022811290449001</v>
      </c>
      <c r="F123" s="1507">
        <v>4.1347877677544771</v>
      </c>
      <c r="K123" s="1625">
        <v>42180</v>
      </c>
      <c r="L123" s="1626" t="s">
        <v>2301</v>
      </c>
      <c r="M123" s="1627">
        <v>5.0788E-2</v>
      </c>
      <c r="N123" s="1628">
        <v>1.0394699131124976</v>
      </c>
      <c r="O123" s="1628">
        <v>1.0394699131124976</v>
      </c>
    </row>
    <row r="124" spans="2:15">
      <c r="B124" s="1506">
        <v>36192</v>
      </c>
      <c r="C124" s="1507">
        <v>154.93299999999999</v>
      </c>
      <c r="D124" s="1507">
        <v>1483.83</v>
      </c>
      <c r="E124" s="1507">
        <v>1.0264662861429437</v>
      </c>
      <c r="F124" s="1507">
        <v>4.2442202439562102</v>
      </c>
      <c r="K124" s="1625">
        <v>42181</v>
      </c>
      <c r="L124" s="1626" t="s">
        <v>2301</v>
      </c>
      <c r="M124" s="1627">
        <v>5.0788E-2</v>
      </c>
      <c r="N124" s="1628">
        <v>1.0399978390919691</v>
      </c>
      <c r="O124" s="1628">
        <v>1.0399978390919691</v>
      </c>
    </row>
    <row r="125" spans="2:15">
      <c r="B125" s="1506">
        <v>36220</v>
      </c>
      <c r="C125" s="1507">
        <v>159.32499999999999</v>
      </c>
      <c r="D125" s="1507">
        <v>1500.15</v>
      </c>
      <c r="E125" s="1507">
        <v>1.033345195070198</v>
      </c>
      <c r="F125" s="1507">
        <v>4.3857445959118131</v>
      </c>
      <c r="K125" s="1625">
        <v>42182</v>
      </c>
      <c r="L125" s="1626"/>
      <c r="M125" s="1627">
        <v>0</v>
      </c>
      <c r="N125" s="1628">
        <v>1.0399978390919691</v>
      </c>
      <c r="O125" s="1628">
        <v>1.0399978390919691</v>
      </c>
    </row>
    <row r="126" spans="2:15">
      <c r="B126" s="1506">
        <v>36251</v>
      </c>
      <c r="C126" s="1507">
        <v>160.459</v>
      </c>
      <c r="D126" s="1507">
        <v>1508.55</v>
      </c>
      <c r="E126" s="1507">
        <v>1.027563660965396</v>
      </c>
      <c r="F126" s="1507">
        <v>4.5066317730343437</v>
      </c>
      <c r="K126" s="1625">
        <v>42183</v>
      </c>
      <c r="L126" s="1626"/>
      <c r="M126" s="1627">
        <v>0</v>
      </c>
      <c r="N126" s="1628">
        <v>1.0399978390919691</v>
      </c>
      <c r="O126" s="1628">
        <v>1.0399978390919691</v>
      </c>
    </row>
    <row r="127" spans="2:15">
      <c r="B127" s="1506">
        <v>36281</v>
      </c>
      <c r="C127" s="1507">
        <v>159.99600000000001</v>
      </c>
      <c r="D127" s="1507">
        <v>1513.08</v>
      </c>
      <c r="E127" s="1507">
        <v>1.0201883000304468</v>
      </c>
      <c r="F127" s="1507">
        <v>4.5976130073951058</v>
      </c>
      <c r="K127" s="1625">
        <v>42184</v>
      </c>
      <c r="L127" s="1626" t="s">
        <v>2301</v>
      </c>
      <c r="M127" s="1627">
        <v>5.0788E-2</v>
      </c>
      <c r="N127" s="1628">
        <v>1.0405260331944872</v>
      </c>
      <c r="O127" s="1628">
        <v>1.0405260331944872</v>
      </c>
    </row>
    <row r="128" spans="2:15">
      <c r="B128" s="1506">
        <v>36312</v>
      </c>
      <c r="C128" s="1507">
        <v>160.57300000000001</v>
      </c>
      <c r="D128" s="1507">
        <v>1515.95</v>
      </c>
      <c r="E128" s="1507">
        <v>1.0175637707499077</v>
      </c>
      <c r="F128" s="1507">
        <v>4.6783644282537873</v>
      </c>
      <c r="K128" s="1625">
        <v>42185</v>
      </c>
      <c r="L128" s="1626" t="s">
        <v>2301</v>
      </c>
      <c r="M128" s="1627">
        <v>5.0788E-2</v>
      </c>
      <c r="N128" s="1628">
        <v>1.041054495556226</v>
      </c>
      <c r="O128" s="1628">
        <v>1.041054495556226</v>
      </c>
    </row>
    <row r="129" spans="2:15">
      <c r="B129" s="1506">
        <v>36342</v>
      </c>
      <c r="C129" s="1507">
        <v>163.06</v>
      </c>
      <c r="D129" s="1507">
        <v>1532.47</v>
      </c>
      <c r="E129" s="1507">
        <v>1.0165876375704719</v>
      </c>
      <c r="F129" s="1507">
        <v>4.7559674418122491</v>
      </c>
      <c r="K129" s="1625">
        <v>42186</v>
      </c>
      <c r="L129" s="1626" t="s">
        <v>2301</v>
      </c>
      <c r="M129" s="1627">
        <v>5.0788E-2</v>
      </c>
      <c r="N129" s="1628">
        <v>1.041583226313429</v>
      </c>
      <c r="O129" s="1628">
        <v>1.041583226313429</v>
      </c>
    </row>
    <row r="130" spans="2:15">
      <c r="B130" s="1506">
        <v>36373</v>
      </c>
      <c r="C130" s="1507">
        <v>165.60300000000001</v>
      </c>
      <c r="D130" s="1507">
        <v>1541.05</v>
      </c>
      <c r="E130" s="1507">
        <v>1.0156847483880824</v>
      </c>
      <c r="F130" s="1507">
        <v>4.8305635944789866</v>
      </c>
      <c r="K130" s="1625">
        <v>42187</v>
      </c>
      <c r="L130" s="1626" t="s">
        <v>2301</v>
      </c>
      <c r="M130" s="1627">
        <v>5.0788E-2</v>
      </c>
      <c r="N130" s="1628">
        <v>1.0421122256024091</v>
      </c>
      <c r="O130" s="1628">
        <v>1.0421122256024091</v>
      </c>
    </row>
    <row r="131" spans="2:15">
      <c r="B131" s="1506">
        <v>36404</v>
      </c>
      <c r="C131" s="1507">
        <v>167.99700000000001</v>
      </c>
      <c r="D131" s="1507">
        <v>1545.83</v>
      </c>
      <c r="E131" s="1507">
        <v>1.0155901672784533</v>
      </c>
      <c r="F131" s="1507">
        <v>4.9058728889661207</v>
      </c>
      <c r="K131" s="1625">
        <v>42188</v>
      </c>
      <c r="L131" s="1626" t="s">
        <v>2301</v>
      </c>
      <c r="M131" s="1627">
        <v>5.0788E-2</v>
      </c>
      <c r="N131" s="1628">
        <v>1.042641493559548</v>
      </c>
      <c r="O131" s="1628">
        <v>1.042641493559548</v>
      </c>
    </row>
    <row r="132" spans="2:15">
      <c r="B132" s="1506">
        <v>36434</v>
      </c>
      <c r="C132" s="1507">
        <v>170.86099999999999</v>
      </c>
      <c r="D132" s="1507">
        <v>1564.23</v>
      </c>
      <c r="E132" s="1507">
        <v>1.0145370189540868</v>
      </c>
      <c r="F132" s="1507">
        <v>4.9771896561393616</v>
      </c>
      <c r="K132" s="1625">
        <v>42189</v>
      </c>
      <c r="L132" s="1626"/>
      <c r="M132" s="1627">
        <v>0</v>
      </c>
      <c r="N132" s="1628">
        <v>1.042641493559548</v>
      </c>
      <c r="O132" s="1628">
        <v>1.042641493559548</v>
      </c>
    </row>
    <row r="133" spans="2:15">
      <c r="B133" s="1506">
        <v>36465</v>
      </c>
      <c r="C133" s="1507">
        <v>174.93899999999999</v>
      </c>
      <c r="D133" s="1507">
        <v>1579.09</v>
      </c>
      <c r="E133" s="1507">
        <v>1.0152599173733607</v>
      </c>
      <c r="F133" s="1507">
        <v>5.0531411590435944</v>
      </c>
      <c r="K133" s="1625">
        <v>42190</v>
      </c>
      <c r="L133" s="1626"/>
      <c r="M133" s="1627">
        <v>0</v>
      </c>
      <c r="N133" s="1628">
        <v>1.042641493559548</v>
      </c>
      <c r="O133" s="1628">
        <v>1.042641493559548</v>
      </c>
    </row>
    <row r="134" spans="2:15">
      <c r="B134" s="1506">
        <v>36495</v>
      </c>
      <c r="C134" s="1507">
        <v>178.09899999999999</v>
      </c>
      <c r="D134" s="1507">
        <v>1588.56</v>
      </c>
      <c r="E134" s="1507">
        <v>1.0159962861507461</v>
      </c>
      <c r="F134" s="1507">
        <v>5.1339726509837682</v>
      </c>
      <c r="K134" s="1625">
        <v>42191</v>
      </c>
      <c r="L134" s="1626" t="s">
        <v>2301</v>
      </c>
      <c r="M134" s="1627">
        <v>5.0788E-2</v>
      </c>
      <c r="N134" s="1628">
        <v>1.0431710303212971</v>
      </c>
      <c r="O134" s="1628">
        <v>1.0431710303212971</v>
      </c>
    </row>
    <row r="135" spans="2:15">
      <c r="B135" s="1506">
        <v>36526</v>
      </c>
      <c r="C135" s="1507">
        <v>180.30099999999999</v>
      </c>
      <c r="D135" s="1507">
        <v>1598.41</v>
      </c>
      <c r="E135" s="1507">
        <v>1.0145573263269665</v>
      </c>
      <c r="F135" s="1507">
        <v>5.20870956621786</v>
      </c>
      <c r="K135" s="1625">
        <v>42192</v>
      </c>
      <c r="L135" s="1626" t="s">
        <v>2301</v>
      </c>
      <c r="M135" s="1627">
        <v>5.0788E-2</v>
      </c>
      <c r="N135" s="1628">
        <v>1.0437008360241766</v>
      </c>
      <c r="O135" s="1628">
        <v>1.0437008360241766</v>
      </c>
    </row>
    <row r="136" spans="2:15">
      <c r="B136" s="1506">
        <v>36557</v>
      </c>
      <c r="C136" s="1507">
        <v>180.935</v>
      </c>
      <c r="D136" s="1507">
        <v>1600.49</v>
      </c>
      <c r="E136" s="1507">
        <v>1.0145089461247463</v>
      </c>
      <c r="F136" s="1507">
        <v>5.2842824526935654</v>
      </c>
      <c r="K136" s="1625">
        <v>42193</v>
      </c>
      <c r="L136" s="1626" t="s">
        <v>2301</v>
      </c>
      <c r="M136" s="1627">
        <v>5.0788E-2</v>
      </c>
      <c r="N136" s="1628">
        <v>1.0442309108047767</v>
      </c>
      <c r="O136" s="1628">
        <v>1.0442309108047767</v>
      </c>
    </row>
    <row r="137" spans="2:15">
      <c r="B137" s="1506">
        <v>36586</v>
      </c>
      <c r="C137" s="1507">
        <v>181.214</v>
      </c>
      <c r="D137" s="1507">
        <v>1604.01</v>
      </c>
      <c r="E137" s="1507">
        <v>1.0158860407835757</v>
      </c>
      <c r="F137" s="1507">
        <v>5.3682287792489891</v>
      </c>
      <c r="K137" s="1625">
        <v>42194</v>
      </c>
      <c r="L137" s="1626" t="s">
        <v>2301</v>
      </c>
      <c r="M137" s="1627">
        <v>5.0788E-2</v>
      </c>
      <c r="N137" s="1628">
        <v>1.0447612547997562</v>
      </c>
      <c r="O137" s="1628">
        <v>1.0447612547997562</v>
      </c>
    </row>
    <row r="138" spans="2:15">
      <c r="B138" s="1506">
        <v>36617</v>
      </c>
      <c r="C138" s="1507">
        <v>181.63499999999999</v>
      </c>
      <c r="D138" s="1507">
        <v>1610.75</v>
      </c>
      <c r="E138" s="1507">
        <v>1.0136441914221253</v>
      </c>
      <c r="F138" s="1507">
        <v>5.4414739203108242</v>
      </c>
      <c r="K138" s="1625">
        <v>42195</v>
      </c>
      <c r="L138" s="1626" t="s">
        <v>2301</v>
      </c>
      <c r="M138" s="1627">
        <v>5.0788E-2</v>
      </c>
      <c r="N138" s="1628">
        <v>1.0452918681458438</v>
      </c>
      <c r="O138" s="1628">
        <v>1.0452918681458438</v>
      </c>
    </row>
    <row r="139" spans="2:15">
      <c r="B139" s="1506">
        <v>36647</v>
      </c>
      <c r="C139" s="1507">
        <v>182.18899999999999</v>
      </c>
      <c r="D139" s="1507">
        <v>1610.91</v>
      </c>
      <c r="E139" s="1507">
        <v>1.0156265899953318</v>
      </c>
      <c r="F139" s="1507">
        <v>5.5265056022338124</v>
      </c>
      <c r="K139" s="1625">
        <v>42196</v>
      </c>
      <c r="L139" s="1626"/>
      <c r="M139" s="1627">
        <v>0</v>
      </c>
      <c r="N139" s="1628">
        <v>1.0452918681458438</v>
      </c>
      <c r="O139" s="1628">
        <v>1.0452918681458438</v>
      </c>
    </row>
    <row r="140" spans="2:15">
      <c r="B140" s="1506">
        <v>36678</v>
      </c>
      <c r="C140" s="1507">
        <v>183.745</v>
      </c>
      <c r="D140" s="1507">
        <v>1614.62</v>
      </c>
      <c r="E140" s="1507">
        <v>1.0145668910909638</v>
      </c>
      <c r="F140" s="1507">
        <v>5.6070096074551534</v>
      </c>
      <c r="K140" s="1625">
        <v>42197</v>
      </c>
      <c r="L140" s="1626"/>
      <c r="M140" s="1627">
        <v>0</v>
      </c>
      <c r="N140" s="1628">
        <v>1.0452918681458438</v>
      </c>
      <c r="O140" s="1628">
        <v>1.0452918681458438</v>
      </c>
    </row>
    <row r="141" spans="2:15">
      <c r="B141" s="1506">
        <v>36708</v>
      </c>
      <c r="C141" s="1507">
        <v>186.63399999999999</v>
      </c>
      <c r="D141" s="1507">
        <v>1640.62</v>
      </c>
      <c r="E141" s="1507">
        <v>1.0130599958288005</v>
      </c>
      <c r="F141" s="1507">
        <v>5.6802371295405623</v>
      </c>
      <c r="K141" s="1625">
        <v>42198</v>
      </c>
      <c r="L141" s="1626" t="s">
        <v>2301</v>
      </c>
      <c r="M141" s="1627">
        <v>5.0788E-2</v>
      </c>
      <c r="N141" s="1628">
        <v>1.0458227509798377</v>
      </c>
      <c r="O141" s="1628">
        <v>1.0458227509798377</v>
      </c>
    </row>
    <row r="142" spans="2:15">
      <c r="B142" s="1506">
        <v>36739</v>
      </c>
      <c r="C142" s="1507">
        <v>191.08699999999999</v>
      </c>
      <c r="D142" s="1507">
        <v>1662.11</v>
      </c>
      <c r="E142" s="1507">
        <v>1.0140543715890855</v>
      </c>
      <c r="F142" s="1507">
        <v>5.7600692928732462</v>
      </c>
      <c r="K142" s="1625">
        <v>42199</v>
      </c>
      <c r="L142" s="1626" t="s">
        <v>2301</v>
      </c>
      <c r="M142" s="1627">
        <v>5.0788E-2</v>
      </c>
      <c r="N142" s="1628">
        <v>1.0463539034386053</v>
      </c>
      <c r="O142" s="1628">
        <v>1.0463539034386053</v>
      </c>
    </row>
    <row r="143" spans="2:15">
      <c r="B143" s="1506">
        <v>36770</v>
      </c>
      <c r="C143" s="1507">
        <v>193.297</v>
      </c>
      <c r="D143" s="1507">
        <v>1665.93</v>
      </c>
      <c r="E143" s="1507">
        <v>1.0128508890656427</v>
      </c>
      <c r="F143" s="1507">
        <v>5.8340913043663756</v>
      </c>
      <c r="K143" s="1625">
        <v>42200</v>
      </c>
      <c r="L143" s="1626" t="s">
        <v>2301</v>
      </c>
      <c r="M143" s="1627">
        <v>5.0788E-2</v>
      </c>
      <c r="N143" s="1628">
        <v>1.0468853256590838</v>
      </c>
      <c r="O143" s="1628">
        <v>1.0468853256590838</v>
      </c>
    </row>
    <row r="144" spans="2:15">
      <c r="B144" s="1506">
        <v>36800</v>
      </c>
      <c r="C144" s="1507">
        <v>194.04</v>
      </c>
      <c r="D144" s="1507">
        <v>1668.26</v>
      </c>
      <c r="E144" s="1507">
        <v>1.013495295624836</v>
      </c>
      <c r="F144" s="1507">
        <v>5.9128240912210845</v>
      </c>
      <c r="K144" s="1625">
        <v>42201</v>
      </c>
      <c r="L144" s="1626" t="s">
        <v>2301</v>
      </c>
      <c r="M144" s="1627">
        <v>5.0788E-2</v>
      </c>
      <c r="N144" s="1628">
        <v>1.0474170177782796</v>
      </c>
      <c r="O144" s="1628">
        <v>1.0474170177782796</v>
      </c>
    </row>
    <row r="145" spans="2:15">
      <c r="B145" s="1506">
        <v>36831</v>
      </c>
      <c r="C145" s="1507">
        <v>194.59899999999999</v>
      </c>
      <c r="D145" s="1507">
        <v>1673.6</v>
      </c>
      <c r="E145" s="1507">
        <v>1.013431060777086</v>
      </c>
      <c r="F145" s="1507">
        <v>5.992239590954493</v>
      </c>
      <c r="K145" s="1625">
        <v>42202</v>
      </c>
      <c r="L145" s="1626" t="s">
        <v>2301</v>
      </c>
      <c r="M145" s="1627">
        <v>5.0788E-2</v>
      </c>
      <c r="N145" s="1628">
        <v>1.0479489799332689</v>
      </c>
      <c r="O145" s="1628">
        <v>1.0479489799332689</v>
      </c>
    </row>
    <row r="146" spans="2:15">
      <c r="B146" s="1506">
        <v>36861</v>
      </c>
      <c r="C146" s="1507">
        <v>195.827</v>
      </c>
      <c r="D146" s="1507">
        <v>1683.47</v>
      </c>
      <c r="E146" s="1507">
        <v>1.0125716392096709</v>
      </c>
      <c r="F146" s="1507">
        <v>6.0675718651498789</v>
      </c>
      <c r="K146" s="1625">
        <v>42203</v>
      </c>
      <c r="L146" s="1626"/>
      <c r="M146" s="1627">
        <v>0</v>
      </c>
      <c r="N146" s="1628">
        <v>1.0479489799332689</v>
      </c>
      <c r="O146" s="1628">
        <v>1.0479489799332689</v>
      </c>
    </row>
    <row r="147" spans="2:15">
      <c r="B147" s="1506">
        <v>36892</v>
      </c>
      <c r="C147" s="1507">
        <v>197.04499999999999</v>
      </c>
      <c r="D147" s="1507">
        <v>1693.07</v>
      </c>
      <c r="E147" s="1507">
        <v>1.0126506879847863</v>
      </c>
      <c r="F147" s="1507">
        <v>6.144330823641158</v>
      </c>
      <c r="K147" s="1625">
        <v>42204</v>
      </c>
      <c r="L147" s="1626"/>
      <c r="M147" s="1627">
        <v>0</v>
      </c>
      <c r="N147" s="1628">
        <v>1.0479489799332689</v>
      </c>
      <c r="O147" s="1628">
        <v>1.0479489799332689</v>
      </c>
    </row>
    <row r="148" spans="2:15">
      <c r="B148" s="1506">
        <v>36923</v>
      </c>
      <c r="C148" s="1507">
        <v>197.49100000000001</v>
      </c>
      <c r="D148" s="1507">
        <v>1700.86</v>
      </c>
      <c r="E148" s="1507">
        <v>1.0101583510827936</v>
      </c>
      <c r="F148" s="1507">
        <v>6.206747093316535</v>
      </c>
      <c r="K148" s="1625">
        <v>42205</v>
      </c>
      <c r="L148" s="1626" t="s">
        <v>2301</v>
      </c>
      <c r="M148" s="1627">
        <v>5.0788E-2</v>
      </c>
      <c r="N148" s="1628">
        <v>1.0484812122611973</v>
      </c>
      <c r="O148" s="1628">
        <v>1.0484812122611973</v>
      </c>
    </row>
    <row r="149" spans="2:15">
      <c r="B149" s="1506">
        <v>36951</v>
      </c>
      <c r="C149" s="1507">
        <v>198.60599999999999</v>
      </c>
      <c r="D149" s="1507">
        <v>1707.32</v>
      </c>
      <c r="E149" s="1507">
        <v>1.0125785495836725</v>
      </c>
      <c r="F149" s="1507">
        <v>6.2848189693831324</v>
      </c>
      <c r="K149" s="1625">
        <v>42206</v>
      </c>
      <c r="L149" s="1626" t="s">
        <v>2301</v>
      </c>
      <c r="M149" s="1627">
        <v>5.0788E-2</v>
      </c>
      <c r="N149" s="1628">
        <v>1.0490137148992804</v>
      </c>
      <c r="O149" s="1628">
        <v>1.0490137148992804</v>
      </c>
    </row>
    <row r="150" spans="2:15">
      <c r="B150" s="1506">
        <v>36982</v>
      </c>
      <c r="C150" s="1507">
        <v>200.59100000000001</v>
      </c>
      <c r="D150" s="1507">
        <v>1717.22</v>
      </c>
      <c r="E150" s="1507">
        <v>1.0118637336714187</v>
      </c>
      <c r="F150" s="1507">
        <v>6.3593803878089741</v>
      </c>
      <c r="K150" s="1625">
        <v>42207</v>
      </c>
      <c r="L150" s="1626" t="s">
        <v>2301</v>
      </c>
      <c r="M150" s="1627">
        <v>5.0788E-2</v>
      </c>
      <c r="N150" s="1628">
        <v>1.0495464879848035</v>
      </c>
      <c r="O150" s="1628">
        <v>1.0495464879848035</v>
      </c>
    </row>
    <row r="151" spans="2:15">
      <c r="B151" s="1506">
        <v>37012</v>
      </c>
      <c r="C151" s="1507">
        <v>202.32400000000001</v>
      </c>
      <c r="D151" s="1507">
        <v>1724.26</v>
      </c>
      <c r="E151" s="1507">
        <v>1.0133677002760824</v>
      </c>
      <c r="F151" s="1507">
        <v>6.4443906787748011</v>
      </c>
      <c r="K151" s="1625">
        <v>42208</v>
      </c>
      <c r="L151" s="1626" t="s">
        <v>2301</v>
      </c>
      <c r="M151" s="1627">
        <v>5.0788E-2</v>
      </c>
      <c r="N151" s="1628">
        <v>1.0500795316551212</v>
      </c>
      <c r="O151" s="1628">
        <v>1.0500795316551212</v>
      </c>
    </row>
    <row r="152" spans="2:15">
      <c r="B152" s="1506">
        <v>37043</v>
      </c>
      <c r="C152" s="1507">
        <v>204.31</v>
      </c>
      <c r="D152" s="1507">
        <v>1733.23</v>
      </c>
      <c r="E152" s="1507">
        <v>1.0127331554566117</v>
      </c>
      <c r="F152" s="1507">
        <v>6.5264481071107801</v>
      </c>
      <c r="K152" s="1625">
        <v>42209</v>
      </c>
      <c r="L152" s="1626" t="s">
        <v>2301</v>
      </c>
      <c r="M152" s="1627">
        <v>5.0788E-2</v>
      </c>
      <c r="N152" s="1628">
        <v>1.0506128460476583</v>
      </c>
      <c r="O152" s="1628">
        <v>1.0506128460476583</v>
      </c>
    </row>
    <row r="153" spans="2:15">
      <c r="B153" s="1506">
        <v>37073</v>
      </c>
      <c r="C153" s="1507">
        <v>207.34100000000001</v>
      </c>
      <c r="D153" s="1507">
        <v>1756.28</v>
      </c>
      <c r="E153" s="1507">
        <v>1.014979822756394</v>
      </c>
      <c r="F153" s="1507">
        <v>6.6242131429841029</v>
      </c>
      <c r="K153" s="1625">
        <v>42210</v>
      </c>
      <c r="L153" s="1626"/>
      <c r="M153" s="1627">
        <v>0</v>
      </c>
      <c r="N153" s="1628">
        <v>1.0506128460476583</v>
      </c>
      <c r="O153" s="1628">
        <v>1.0506128460476583</v>
      </c>
    </row>
    <row r="154" spans="2:15">
      <c r="B154" s="1506">
        <v>37104</v>
      </c>
      <c r="C154" s="1507">
        <v>210.21100000000001</v>
      </c>
      <c r="D154" s="1507">
        <v>1768.57</v>
      </c>
      <c r="E154" s="1507">
        <v>1.0160000122718875</v>
      </c>
      <c r="F154" s="1507">
        <v>6.7302006345634471</v>
      </c>
      <c r="K154" s="1625">
        <v>42211</v>
      </c>
      <c r="L154" s="1626"/>
      <c r="M154" s="1627">
        <v>0</v>
      </c>
      <c r="N154" s="1628">
        <v>1.0506128460476583</v>
      </c>
      <c r="O154" s="1628">
        <v>1.0506128460476583</v>
      </c>
    </row>
    <row r="155" spans="2:15">
      <c r="B155" s="1506">
        <v>37135</v>
      </c>
      <c r="C155" s="1507">
        <v>210.85300000000001</v>
      </c>
      <c r="D155" s="1507">
        <v>1773.52</v>
      </c>
      <c r="E155" s="1507">
        <v>1.013243107438228</v>
      </c>
      <c r="F155" s="1507">
        <v>6.8193294046478012</v>
      </c>
      <c r="K155" s="1625">
        <v>42212</v>
      </c>
      <c r="L155" s="1626" t="s">
        <v>2301</v>
      </c>
      <c r="M155" s="1627">
        <v>5.0788E-2</v>
      </c>
      <c r="N155" s="1628">
        <v>1.051146431299909</v>
      </c>
      <c r="O155" s="1628">
        <v>1.051146431299909</v>
      </c>
    </row>
    <row r="156" spans="2:15">
      <c r="B156" s="1506">
        <v>37165</v>
      </c>
      <c r="C156" s="1507">
        <v>213.339</v>
      </c>
      <c r="D156" s="1507">
        <v>1788.24</v>
      </c>
      <c r="E156" s="1507">
        <v>1.0153493751182632</v>
      </c>
      <c r="F156" s="1507">
        <v>6.9240018497347426</v>
      </c>
      <c r="K156" s="1625">
        <v>42213</v>
      </c>
      <c r="L156" s="1626" t="s">
        <v>2301</v>
      </c>
      <c r="M156" s="1627">
        <v>5.0788E-2</v>
      </c>
      <c r="N156" s="1628">
        <v>1.0516802875494375</v>
      </c>
      <c r="O156" s="1628">
        <v>1.0516802875494375</v>
      </c>
    </row>
    <row r="157" spans="2:15">
      <c r="B157" s="1506">
        <v>37196</v>
      </c>
      <c r="C157" s="1507">
        <v>215.685</v>
      </c>
      <c r="D157" s="1507">
        <v>1800.94</v>
      </c>
      <c r="E157" s="1507">
        <v>1.0139343824698488</v>
      </c>
      <c r="F157" s="1507">
        <v>7.0204835397308871</v>
      </c>
      <c r="K157" s="1625">
        <v>42214</v>
      </c>
      <c r="L157" s="1626" t="s">
        <v>2301</v>
      </c>
      <c r="M157" s="1627">
        <v>5.0788E-2</v>
      </c>
      <c r="N157" s="1628">
        <v>1.0522144149338781</v>
      </c>
      <c r="O157" s="1628">
        <v>1.0522144149338781</v>
      </c>
    </row>
    <row r="158" spans="2:15">
      <c r="B158" s="1506">
        <v>37226</v>
      </c>
      <c r="C158" s="1507">
        <v>216.16300000000001</v>
      </c>
      <c r="D158" s="1507">
        <v>1812.65</v>
      </c>
      <c r="E158" s="1507">
        <v>1.0139354159682339</v>
      </c>
      <c r="F158" s="1507">
        <v>7.1183168981551761</v>
      </c>
      <c r="K158" s="1625">
        <v>42215</v>
      </c>
      <c r="L158" s="1626" t="s">
        <v>2301</v>
      </c>
      <c r="M158" s="1627">
        <v>5.2531000000000001E-2</v>
      </c>
      <c r="N158" s="1628">
        <v>1.0527671536881871</v>
      </c>
      <c r="O158" s="1628">
        <v>1.0527671536881871</v>
      </c>
    </row>
    <row r="159" spans="2:15">
      <c r="B159" s="1506">
        <v>37257</v>
      </c>
      <c r="C159" s="1507">
        <v>216.94399999999999</v>
      </c>
      <c r="D159" s="1507">
        <v>1822.08</v>
      </c>
      <c r="E159" s="1507">
        <v>1.0153395939759675</v>
      </c>
      <c r="F159" s="1507">
        <v>7.2275089891651447</v>
      </c>
      <c r="K159" s="1625">
        <v>42216</v>
      </c>
      <c r="L159" s="1626" t="s">
        <v>2301</v>
      </c>
      <c r="M159" s="1627">
        <v>5.2531000000000001E-2</v>
      </c>
      <c r="N159" s="1628">
        <v>1.0533201828016909</v>
      </c>
      <c r="O159" s="1628">
        <v>1.0533201828016909</v>
      </c>
    </row>
    <row r="160" spans="2:15">
      <c r="B160" s="1506">
        <v>37288</v>
      </c>
      <c r="C160" s="1507">
        <v>217.07400000000001</v>
      </c>
      <c r="D160" s="1507">
        <v>1828.64</v>
      </c>
      <c r="E160" s="1507">
        <v>1.012482154231837</v>
      </c>
      <c r="F160" s="1507">
        <v>7.3177238710798918</v>
      </c>
      <c r="K160" s="1625">
        <v>42217</v>
      </c>
      <c r="L160" s="1626"/>
      <c r="M160" s="1627">
        <v>0</v>
      </c>
      <c r="N160" s="1628">
        <v>1.0533201828016909</v>
      </c>
      <c r="O160" s="1628">
        <v>1.0533201828016909</v>
      </c>
    </row>
    <row r="161" spans="2:15">
      <c r="B161" s="1506">
        <v>37316</v>
      </c>
      <c r="C161" s="1507">
        <v>217.27600000000001</v>
      </c>
      <c r="D161" s="1507">
        <v>1839.61</v>
      </c>
      <c r="E161" s="1507">
        <v>1.013713327882185</v>
      </c>
      <c r="F161" s="1507">
        <v>7.4180742178753025</v>
      </c>
      <c r="K161" s="1625">
        <v>42218</v>
      </c>
      <c r="L161" s="1626"/>
      <c r="M161" s="1627">
        <v>0</v>
      </c>
      <c r="N161" s="1628">
        <v>1.0533201828016909</v>
      </c>
      <c r="O161" s="1628">
        <v>1.0533201828016909</v>
      </c>
    </row>
    <row r="162" spans="2:15">
      <c r="B162" s="1506">
        <v>37347</v>
      </c>
      <c r="C162" s="1507">
        <v>218.48599999999999</v>
      </c>
      <c r="D162" s="1507">
        <v>1854.33</v>
      </c>
      <c r="E162" s="1507">
        <v>1.0148356719718208</v>
      </c>
      <c r="F162" s="1507">
        <v>7.5281263336343214</v>
      </c>
      <c r="K162" s="1625">
        <v>42219</v>
      </c>
      <c r="L162" s="1626" t="s">
        <v>2301</v>
      </c>
      <c r="M162" s="1627">
        <v>5.2531000000000001E-2</v>
      </c>
      <c r="N162" s="1628">
        <v>1.0538735024269186</v>
      </c>
      <c r="O162" s="1628">
        <v>1.0538735024269186</v>
      </c>
    </row>
    <row r="163" spans="2:15">
      <c r="B163" s="1506">
        <v>37377</v>
      </c>
      <c r="C163" s="1507">
        <v>220.292</v>
      </c>
      <c r="D163" s="1507">
        <v>1858.22</v>
      </c>
      <c r="E163" s="1507">
        <v>1.0141498936566418</v>
      </c>
      <c r="F163" s="1507">
        <v>7.6346485206890113</v>
      </c>
      <c r="K163" s="1625">
        <v>42220</v>
      </c>
      <c r="L163" s="1626" t="s">
        <v>2301</v>
      </c>
      <c r="M163" s="1627">
        <v>5.2531000000000001E-2</v>
      </c>
      <c r="N163" s="1628">
        <v>1.0544271127164784</v>
      </c>
      <c r="O163" s="1628">
        <v>1.0544271127164784</v>
      </c>
    </row>
    <row r="164" spans="2:15">
      <c r="B164" s="1506">
        <v>37408</v>
      </c>
      <c r="C164" s="1507">
        <v>223.68799999999999</v>
      </c>
      <c r="D164" s="1507">
        <v>1866.02</v>
      </c>
      <c r="E164" s="1507">
        <v>1.0132903281280037</v>
      </c>
      <c r="F164" s="1507">
        <v>7.7361155046709458</v>
      </c>
      <c r="K164" s="1625">
        <v>42221</v>
      </c>
      <c r="L164" s="1626" t="s">
        <v>2301</v>
      </c>
      <c r="M164" s="1627">
        <v>5.2531000000000001E-2</v>
      </c>
      <c r="N164" s="1628">
        <v>1.0549810138230595</v>
      </c>
      <c r="O164" s="1628">
        <v>1.0549810138230595</v>
      </c>
    </row>
    <row r="165" spans="2:15">
      <c r="B165" s="1506">
        <v>37438</v>
      </c>
      <c r="C165" s="1507">
        <v>228.05699999999999</v>
      </c>
      <c r="D165" s="1507">
        <v>1888.23</v>
      </c>
      <c r="E165" s="1507">
        <v>1.0153543455443825</v>
      </c>
      <c r="F165" s="1507">
        <v>7.8548984953009189</v>
      </c>
      <c r="K165" s="1625">
        <v>42222</v>
      </c>
      <c r="L165" s="1626" t="s">
        <v>2301</v>
      </c>
      <c r="M165" s="1627">
        <v>5.2531000000000001E-2</v>
      </c>
      <c r="N165" s="1628">
        <v>1.055535205899431</v>
      </c>
      <c r="O165" s="1628">
        <v>1.055535205899431</v>
      </c>
    </row>
    <row r="166" spans="2:15">
      <c r="B166" s="1506">
        <v>37469</v>
      </c>
      <c r="C166" s="1507">
        <v>233.34800000000001</v>
      </c>
      <c r="D166" s="1507">
        <v>1900.5</v>
      </c>
      <c r="E166" s="1507">
        <v>1.0144340404848073</v>
      </c>
      <c r="F166" s="1507">
        <v>7.9682764181861447</v>
      </c>
      <c r="K166" s="1625">
        <v>42223</v>
      </c>
      <c r="L166" s="1626" t="s">
        <v>2301</v>
      </c>
      <c r="M166" s="1627">
        <v>5.2531000000000001E-2</v>
      </c>
      <c r="N166" s="1628">
        <v>1.0560896890984419</v>
      </c>
      <c r="O166" s="1628">
        <v>1.0560896890984419</v>
      </c>
    </row>
    <row r="167" spans="2:15">
      <c r="B167" s="1506">
        <v>37500</v>
      </c>
      <c r="C167" s="1507">
        <v>238.94300000000001</v>
      </c>
      <c r="D167" s="1507">
        <v>1914.18</v>
      </c>
      <c r="E167" s="1507">
        <v>1.0138126637754254</v>
      </c>
      <c r="F167" s="1507">
        <v>8.0783395412202008</v>
      </c>
      <c r="K167" s="1625">
        <v>42224</v>
      </c>
      <c r="L167" s="1626"/>
      <c r="M167" s="1627">
        <v>0</v>
      </c>
      <c r="N167" s="1628">
        <v>1.0560896890984419</v>
      </c>
      <c r="O167" s="1628">
        <v>1.0560896890984419</v>
      </c>
    </row>
    <row r="168" spans="2:15">
      <c r="B168" s="1506">
        <v>37530</v>
      </c>
      <c r="C168" s="1507">
        <v>248.19900000000001</v>
      </c>
      <c r="D168" s="1507">
        <v>1939.26</v>
      </c>
      <c r="E168" s="1507">
        <v>1.0164592520111337</v>
      </c>
      <c r="F168" s="1507">
        <v>8.2113029675606501</v>
      </c>
      <c r="K168" s="1625">
        <v>42225</v>
      </c>
      <c r="L168" s="1626"/>
      <c r="M168" s="1627">
        <v>0</v>
      </c>
      <c r="N168" s="1628">
        <v>1.0560896890984419</v>
      </c>
      <c r="O168" s="1628">
        <v>1.0560896890984419</v>
      </c>
    </row>
    <row r="169" spans="2:15">
      <c r="B169" s="1506">
        <v>37561</v>
      </c>
      <c r="C169" s="1507">
        <v>261.08</v>
      </c>
      <c r="D169" s="1507">
        <v>1997.83</v>
      </c>
      <c r="E169" s="1507">
        <v>1.0154093077816833</v>
      </c>
      <c r="F169" s="1507">
        <v>8.337833462276441</v>
      </c>
      <c r="K169" s="1625">
        <v>42226</v>
      </c>
      <c r="L169" s="1626" t="s">
        <v>2301</v>
      </c>
      <c r="M169" s="1627">
        <v>5.2531000000000001E-2</v>
      </c>
      <c r="N169" s="1628">
        <v>1.0566444635730223</v>
      </c>
      <c r="O169" s="1628">
        <v>1.0566444635730223</v>
      </c>
    </row>
    <row r="170" spans="2:15">
      <c r="B170" s="1506">
        <v>37591</v>
      </c>
      <c r="C170" s="1507">
        <v>270.86700000000002</v>
      </c>
      <c r="D170" s="1507">
        <v>2039.78</v>
      </c>
      <c r="E170" s="1507">
        <v>1.0174244857414556</v>
      </c>
      <c r="F170" s="1507">
        <v>8.483115922554509</v>
      </c>
      <c r="K170" s="1625">
        <v>42227</v>
      </c>
      <c r="L170" s="1626" t="s">
        <v>2301</v>
      </c>
      <c r="M170" s="1627">
        <v>5.2531000000000001E-2</v>
      </c>
      <c r="N170" s="1628">
        <v>1.0571995294761818</v>
      </c>
      <c r="O170" s="1628">
        <v>1.0571995294761818</v>
      </c>
    </row>
    <row r="171" spans="2:15">
      <c r="B171" s="1506">
        <v>37622</v>
      </c>
      <c r="C171" s="1507">
        <v>277.173</v>
      </c>
      <c r="D171" s="1507">
        <v>2085.6799999999998</v>
      </c>
      <c r="E171" s="1507">
        <v>1.0197126646415859</v>
      </c>
      <c r="F171" s="1507">
        <v>8.6503407418515241</v>
      </c>
      <c r="K171" s="1625">
        <v>42228</v>
      </c>
      <c r="L171" s="1626" t="s">
        <v>2301</v>
      </c>
      <c r="M171" s="1627">
        <v>5.2531000000000001E-2</v>
      </c>
      <c r="N171" s="1628">
        <v>1.0577548869610109</v>
      </c>
      <c r="O171" s="1628">
        <v>1.0577548869610109</v>
      </c>
    </row>
    <row r="172" spans="2:15">
      <c r="B172" s="1506">
        <v>37653</v>
      </c>
      <c r="C172" s="1507">
        <v>283.50599999999997</v>
      </c>
      <c r="D172" s="1507">
        <v>2118.4299999999998</v>
      </c>
      <c r="E172" s="1507">
        <v>1.0183037986307939</v>
      </c>
      <c r="F172" s="1507">
        <v>8.8086748368781276</v>
      </c>
      <c r="K172" s="1625">
        <v>42229</v>
      </c>
      <c r="L172" s="1626" t="s">
        <v>2301</v>
      </c>
      <c r="M172" s="1627">
        <v>5.2531000000000001E-2</v>
      </c>
      <c r="N172" s="1628">
        <v>1.0583105361806804</v>
      </c>
      <c r="O172" s="1628">
        <v>1.0583105361806804</v>
      </c>
    </row>
    <row r="173" spans="2:15">
      <c r="B173" s="1506">
        <v>37681</v>
      </c>
      <c r="C173" s="1507">
        <v>287.85500000000002</v>
      </c>
      <c r="D173" s="1507">
        <v>2144.4899999999998</v>
      </c>
      <c r="E173" s="1507">
        <v>1.0177701866474056</v>
      </c>
      <c r="F173" s="1507">
        <v>8.9652066328457565</v>
      </c>
      <c r="K173" s="1625">
        <v>42230</v>
      </c>
      <c r="L173" s="1626" t="s">
        <v>2301</v>
      </c>
      <c r="M173" s="1627">
        <v>5.2531000000000001E-2</v>
      </c>
      <c r="N173" s="1628">
        <v>1.0588664772884415</v>
      </c>
      <c r="O173" s="1628">
        <v>1.0588664772884415</v>
      </c>
    </row>
    <row r="174" spans="2:15">
      <c r="B174" s="1506">
        <v>37712</v>
      </c>
      <c r="C174" s="1507">
        <v>290.512</v>
      </c>
      <c r="D174" s="1507">
        <v>2165.29</v>
      </c>
      <c r="E174" s="1507">
        <v>1.0187159495984839</v>
      </c>
      <c r="F174" s="1507">
        <v>9.1329989883260918</v>
      </c>
      <c r="K174" s="1625">
        <v>42231</v>
      </c>
      <c r="L174" s="1626"/>
      <c r="M174" s="1627">
        <v>0</v>
      </c>
      <c r="N174" s="1628">
        <v>1.0588664772884415</v>
      </c>
      <c r="O174" s="1628">
        <v>1.0588664772884415</v>
      </c>
    </row>
    <row r="175" spans="2:15">
      <c r="B175" s="1506">
        <v>37742</v>
      </c>
      <c r="C175" s="1507">
        <v>289.74700000000001</v>
      </c>
      <c r="D175" s="1507">
        <v>2178.5</v>
      </c>
      <c r="E175" s="1507">
        <v>1.0196535248447016</v>
      </c>
      <c r="F175" s="1507">
        <v>9.312494610849793</v>
      </c>
      <c r="K175" s="1625">
        <v>42232</v>
      </c>
      <c r="L175" s="1626"/>
      <c r="M175" s="1627">
        <v>0</v>
      </c>
      <c r="N175" s="1628">
        <v>1.0588664772884415</v>
      </c>
      <c r="O175" s="1628">
        <v>1.0588664772884415</v>
      </c>
    </row>
    <row r="176" spans="2:15">
      <c r="B176" s="1506">
        <v>37773</v>
      </c>
      <c r="C176" s="1507">
        <v>286.84300000000002</v>
      </c>
      <c r="D176" s="1507">
        <v>2175.23</v>
      </c>
      <c r="E176" s="1507">
        <v>1.0185667947451373</v>
      </c>
      <c r="F176" s="1507">
        <v>9.4853977868546391</v>
      </c>
      <c r="K176" s="1625">
        <v>42233</v>
      </c>
      <c r="L176" s="1626" t="s">
        <v>2301</v>
      </c>
      <c r="M176" s="1627">
        <v>5.2531000000000001E-2</v>
      </c>
      <c r="N176" s="1628">
        <v>1.0594227104376259</v>
      </c>
      <c r="O176" s="1628">
        <v>1.0594227104376259</v>
      </c>
    </row>
    <row r="177" spans="2:15">
      <c r="B177" s="1506">
        <v>37803</v>
      </c>
      <c r="C177" s="1507">
        <v>285.649</v>
      </c>
      <c r="D177" s="1507">
        <v>2179.58</v>
      </c>
      <c r="E177" s="1507">
        <v>1.0208424747911398</v>
      </c>
      <c r="F177" s="1507">
        <v>9.6830969511110894</v>
      </c>
      <c r="K177" s="1625">
        <v>42234</v>
      </c>
      <c r="L177" s="1626" t="s">
        <v>2301</v>
      </c>
      <c r="M177" s="1627">
        <v>5.2531000000000001E-2</v>
      </c>
      <c r="N177" s="1628">
        <v>1.059979235781646</v>
      </c>
      <c r="O177" s="1628">
        <v>1.059979235781646</v>
      </c>
    </row>
    <row r="178" spans="2:15">
      <c r="B178" s="1506">
        <v>37834</v>
      </c>
      <c r="C178" s="1507">
        <v>286.73500000000001</v>
      </c>
      <c r="D178" s="1507">
        <v>2186.9899999999998</v>
      </c>
      <c r="E178" s="1507">
        <v>1.0177426111342931</v>
      </c>
      <c r="F178" s="1507">
        <v>9.8549003748903132</v>
      </c>
      <c r="K178" s="1625">
        <v>42235</v>
      </c>
      <c r="L178" s="1626" t="s">
        <v>2301</v>
      </c>
      <c r="M178" s="1627">
        <v>5.2531000000000001E-2</v>
      </c>
      <c r="N178" s="1628">
        <v>1.0605360534739945</v>
      </c>
      <c r="O178" s="1628">
        <v>1.0605360534739945</v>
      </c>
    </row>
    <row r="179" spans="2:15">
      <c r="B179" s="1506">
        <v>37865</v>
      </c>
      <c r="C179" s="1507">
        <v>290.12700000000001</v>
      </c>
      <c r="D179" s="1507">
        <v>2204.0500000000002</v>
      </c>
      <c r="E179" s="1507">
        <v>1.0167950902831471</v>
      </c>
      <c r="F179" s="1507">
        <v>10.020414316418016</v>
      </c>
      <c r="K179" s="1625">
        <v>42236</v>
      </c>
      <c r="L179" s="1626" t="s">
        <v>2301</v>
      </c>
      <c r="M179" s="1627">
        <v>5.2531000000000001E-2</v>
      </c>
      <c r="N179" s="1628">
        <v>1.061093163668245</v>
      </c>
      <c r="O179" s="1628">
        <v>1.061093163668245</v>
      </c>
    </row>
    <row r="180" spans="2:15">
      <c r="B180" s="1506">
        <v>37895</v>
      </c>
      <c r="C180" s="1507">
        <v>291.22899999999998</v>
      </c>
      <c r="D180" s="1507">
        <v>2210.44</v>
      </c>
      <c r="E180" s="1507">
        <v>1.0164205992977207</v>
      </c>
      <c r="F180" s="1507">
        <v>10.18495552470506</v>
      </c>
      <c r="K180" s="1625">
        <v>42237</v>
      </c>
      <c r="L180" s="1626" t="s">
        <v>2301</v>
      </c>
      <c r="M180" s="1627">
        <v>5.2531000000000001E-2</v>
      </c>
      <c r="N180" s="1628">
        <v>1.0616505665180516</v>
      </c>
      <c r="O180" s="1628">
        <v>1.0616505665180516</v>
      </c>
    </row>
    <row r="181" spans="2:15">
      <c r="B181" s="1506">
        <v>37926</v>
      </c>
      <c r="C181" s="1507">
        <v>292.65699999999998</v>
      </c>
      <c r="D181" s="1507">
        <v>2217.96</v>
      </c>
      <c r="E181" s="1507">
        <v>1.0134353138584866</v>
      </c>
      <c r="F181" s="1507">
        <v>10.3217935988142</v>
      </c>
      <c r="K181" s="1625">
        <v>42238</v>
      </c>
      <c r="L181" s="1626"/>
      <c r="M181" s="1627">
        <v>0</v>
      </c>
      <c r="N181" s="1628">
        <v>1.0616505665180516</v>
      </c>
      <c r="O181" s="1628">
        <v>1.0616505665180516</v>
      </c>
    </row>
    <row r="182" spans="2:15">
      <c r="B182" s="1506">
        <v>37956</v>
      </c>
      <c r="C182" s="1507">
        <v>294.45499999999998</v>
      </c>
      <c r="D182" s="1507">
        <v>2229.4899999999998</v>
      </c>
      <c r="E182" s="1507">
        <v>1.0137325047762002</v>
      </c>
      <c r="F182" s="1507">
        <v>10.463537678708869</v>
      </c>
      <c r="K182" s="1625">
        <v>42239</v>
      </c>
      <c r="L182" s="1626"/>
      <c r="M182" s="1627">
        <v>0</v>
      </c>
      <c r="N182" s="1628">
        <v>1.0616505665180516</v>
      </c>
      <c r="O182" s="1628">
        <v>1.0616505665180516</v>
      </c>
    </row>
    <row r="183" spans="2:15">
      <c r="B183" s="1506">
        <v>37987</v>
      </c>
      <c r="C183" s="1507">
        <v>297.03899999999999</v>
      </c>
      <c r="D183" s="1507">
        <v>2246.4299999999998</v>
      </c>
      <c r="E183" s="1507">
        <v>1.0126755135884871</v>
      </c>
      <c r="F183" s="1507">
        <v>10.59616839273899</v>
      </c>
      <c r="K183" s="1625">
        <v>42240</v>
      </c>
      <c r="L183" s="1626" t="s">
        <v>2301</v>
      </c>
      <c r="M183" s="1627">
        <v>5.2531000000000001E-2</v>
      </c>
      <c r="N183" s="1628">
        <v>1.0622082621771491</v>
      </c>
      <c r="O183" s="1628">
        <v>1.0622082621771491</v>
      </c>
    </row>
    <row r="184" spans="2:15">
      <c r="B184" s="1506">
        <v>38018</v>
      </c>
      <c r="C184" s="1507">
        <v>299.09699999999998</v>
      </c>
      <c r="D184" s="1507">
        <v>2260.13</v>
      </c>
      <c r="E184" s="1507">
        <v>1.0108439419169848</v>
      </c>
      <c r="F184" s="1507">
        <v>10.711072627332442</v>
      </c>
      <c r="K184" s="1625">
        <v>42241</v>
      </c>
      <c r="L184" s="1626" t="s">
        <v>2301</v>
      </c>
      <c r="M184" s="1627">
        <v>5.2531000000000001E-2</v>
      </c>
      <c r="N184" s="1628">
        <v>1.0627662507993534</v>
      </c>
      <c r="O184" s="1628">
        <v>1.0627662507993534</v>
      </c>
    </row>
    <row r="185" spans="2:15">
      <c r="B185" s="1506">
        <v>38047</v>
      </c>
      <c r="C185" s="1507">
        <v>302.48399999999998</v>
      </c>
      <c r="D185" s="1507">
        <v>2270.75</v>
      </c>
      <c r="E185" s="1507">
        <v>1.0137912342986635</v>
      </c>
      <c r="F185" s="1507">
        <v>10.858791539525985</v>
      </c>
      <c r="K185" s="1625">
        <v>42242</v>
      </c>
      <c r="L185" s="1626" t="s">
        <v>2301</v>
      </c>
      <c r="M185" s="1627">
        <v>5.2531000000000001E-2</v>
      </c>
      <c r="N185" s="1628">
        <v>1.0633245325385607</v>
      </c>
      <c r="O185" s="1628">
        <v>1.0633245325385607</v>
      </c>
    </row>
    <row r="186" spans="2:15">
      <c r="B186" s="1506">
        <v>38078</v>
      </c>
      <c r="C186" s="1507">
        <v>306.15100000000001</v>
      </c>
      <c r="D186" s="1507">
        <v>2279.15</v>
      </c>
      <c r="E186" s="1507">
        <v>1.011818501098614</v>
      </c>
      <c r="F186" s="1507">
        <v>10.987126179265493</v>
      </c>
      <c r="K186" s="1625">
        <v>42243</v>
      </c>
      <c r="L186" s="1626" t="s">
        <v>2301</v>
      </c>
      <c r="M186" s="1627">
        <v>5.2531000000000001E-2</v>
      </c>
      <c r="N186" s="1628">
        <v>1.0638831075487485</v>
      </c>
      <c r="O186" s="1628">
        <v>1.0638831075487485</v>
      </c>
    </row>
    <row r="187" spans="2:15">
      <c r="B187" s="1506">
        <v>38108</v>
      </c>
      <c r="C187" s="1507">
        <v>310.15199999999999</v>
      </c>
      <c r="D187" s="1507">
        <v>2290.77</v>
      </c>
      <c r="E187" s="1507">
        <v>1.0122780474663127</v>
      </c>
      <c r="F187" s="1507">
        <v>11.122026636012881</v>
      </c>
      <c r="K187" s="1625">
        <v>42244</v>
      </c>
      <c r="L187" s="1626" t="s">
        <v>2301</v>
      </c>
      <c r="M187" s="1627">
        <v>5.2531000000000001E-2</v>
      </c>
      <c r="N187" s="1628">
        <v>1.0644419759839749</v>
      </c>
      <c r="O187" s="1628">
        <v>1.0644419759839749</v>
      </c>
    </row>
    <row r="188" spans="2:15">
      <c r="B188" s="1506">
        <v>38139</v>
      </c>
      <c r="C188" s="1507">
        <v>314.41899999999998</v>
      </c>
      <c r="D188" s="1507">
        <v>2307.0300000000002</v>
      </c>
      <c r="E188" s="1507">
        <v>1.0122988884857291</v>
      </c>
      <c r="F188" s="1507">
        <v>11.258815201344513</v>
      </c>
      <c r="K188" s="1625">
        <v>42245</v>
      </c>
      <c r="L188" s="1626"/>
      <c r="M188" s="1627">
        <v>0</v>
      </c>
      <c r="N188" s="1628">
        <v>1.0644419759839749</v>
      </c>
      <c r="O188" s="1628">
        <v>1.0644419759839749</v>
      </c>
    </row>
    <row r="189" spans="2:15">
      <c r="B189" s="1506">
        <v>38169</v>
      </c>
      <c r="C189" s="1507">
        <v>318.53199999999998</v>
      </c>
      <c r="D189" s="1507">
        <v>2328.02</v>
      </c>
      <c r="E189" s="1507">
        <v>1.012868893920805</v>
      </c>
      <c r="F189" s="1507">
        <v>11.403703699844563</v>
      </c>
      <c r="K189" s="1625">
        <v>42246</v>
      </c>
      <c r="L189" s="1626"/>
      <c r="M189" s="1627">
        <v>0</v>
      </c>
      <c r="N189" s="1628">
        <v>1.0644419759839749</v>
      </c>
      <c r="O189" s="1628">
        <v>1.0644419759839749</v>
      </c>
    </row>
    <row r="190" spans="2:15">
      <c r="B190" s="1506">
        <v>38200</v>
      </c>
      <c r="C190" s="1507">
        <v>322.41199999999998</v>
      </c>
      <c r="D190" s="1507">
        <v>2344.08</v>
      </c>
      <c r="E190" s="1507">
        <v>1.0129358583775749</v>
      </c>
      <c r="F190" s="1507">
        <v>11.551220395885579</v>
      </c>
      <c r="K190" s="1625">
        <v>42247</v>
      </c>
      <c r="L190" s="1626" t="s">
        <v>2301</v>
      </c>
      <c r="M190" s="1627">
        <v>5.2531000000000001E-2</v>
      </c>
      <c r="N190" s="1628">
        <v>1.065001137998379</v>
      </c>
      <c r="O190" s="1628">
        <v>1.065001137998379</v>
      </c>
    </row>
    <row r="191" spans="2:15">
      <c r="B191" s="1506">
        <v>38231</v>
      </c>
      <c r="C191" s="1507">
        <v>324.65100000000001</v>
      </c>
      <c r="D191" s="1507">
        <v>2351.8200000000002</v>
      </c>
      <c r="E191" s="1507">
        <v>1.0125132709021758</v>
      </c>
      <c r="F191" s="1507">
        <v>11.695763945950034</v>
      </c>
      <c r="K191" s="1625">
        <v>42248</v>
      </c>
      <c r="L191" s="1626" t="s">
        <v>2301</v>
      </c>
      <c r="M191" s="1627">
        <v>5.2531000000000001E-2</v>
      </c>
      <c r="N191" s="1628">
        <v>1.065560593746181</v>
      </c>
      <c r="O191" s="1628">
        <v>1.065560593746181</v>
      </c>
    </row>
    <row r="192" spans="2:15">
      <c r="B192" s="1506">
        <v>38261</v>
      </c>
      <c r="C192" s="1507">
        <v>325.92500000000001</v>
      </c>
      <c r="D192" s="1507">
        <v>2362.17</v>
      </c>
      <c r="E192" s="1507">
        <v>1.0121322386789289</v>
      </c>
      <c r="F192" s="1507">
        <v>11.837659745674712</v>
      </c>
      <c r="K192" s="1625">
        <v>42249</v>
      </c>
      <c r="L192" s="1626" t="s">
        <v>2301</v>
      </c>
      <c r="M192" s="1627">
        <v>5.2531000000000001E-2</v>
      </c>
      <c r="N192" s="1628">
        <v>1.0661203433816817</v>
      </c>
      <c r="O192" s="1628">
        <v>1.0661203433816817</v>
      </c>
    </row>
    <row r="193" spans="2:15">
      <c r="B193" s="1506">
        <v>38292</v>
      </c>
      <c r="C193" s="1507">
        <v>328.58800000000002</v>
      </c>
      <c r="D193" s="1507">
        <v>2378.4699999999998</v>
      </c>
      <c r="E193" s="1507">
        <v>1.0125098562166484</v>
      </c>
      <c r="F193" s="1507">
        <v>11.985747167034708</v>
      </c>
      <c r="K193" s="1625">
        <v>42250</v>
      </c>
      <c r="L193" s="1626" t="s">
        <v>2301</v>
      </c>
      <c r="M193" s="1627">
        <v>5.2531000000000001E-2</v>
      </c>
      <c r="N193" s="1628">
        <v>1.0666803870592636</v>
      </c>
      <c r="O193" s="1628">
        <v>1.0666803870592636</v>
      </c>
    </row>
    <row r="194" spans="2:15">
      <c r="B194" s="1506">
        <v>38322</v>
      </c>
      <c r="C194" s="1507">
        <v>331.005</v>
      </c>
      <c r="D194" s="1507">
        <v>2398.92</v>
      </c>
      <c r="E194" s="1507">
        <v>1.0148282315457626</v>
      </c>
      <c r="F194" s="1507">
        <v>12.163474601276468</v>
      </c>
      <c r="K194" s="1625">
        <v>42251</v>
      </c>
      <c r="L194" s="1626" t="s">
        <v>2301</v>
      </c>
      <c r="M194" s="1627">
        <v>5.2531000000000001E-2</v>
      </c>
      <c r="N194" s="1628">
        <v>1.0672407249333897</v>
      </c>
      <c r="O194" s="1628">
        <v>1.0672407249333897</v>
      </c>
    </row>
    <row r="195" spans="2:15">
      <c r="B195" s="1506">
        <v>38353</v>
      </c>
      <c r="C195" s="1507">
        <v>332.298</v>
      </c>
      <c r="D195" s="1507">
        <v>2412.83</v>
      </c>
      <c r="E195" s="1507">
        <v>1.0138388229391033</v>
      </c>
      <c r="F195" s="1507">
        <v>12.331802772607814</v>
      </c>
      <c r="K195" s="1625">
        <v>42252</v>
      </c>
      <c r="L195" s="1626"/>
      <c r="M195" s="1627">
        <v>0</v>
      </c>
      <c r="N195" s="1628">
        <v>1.0672407249333897</v>
      </c>
      <c r="O195" s="1628">
        <v>1.0672407249333897</v>
      </c>
    </row>
    <row r="196" spans="2:15">
      <c r="B196" s="1506">
        <v>38384</v>
      </c>
      <c r="C196" s="1507">
        <v>333.28800000000001</v>
      </c>
      <c r="D196" s="1507">
        <v>2427.0700000000002</v>
      </c>
      <c r="E196" s="1507">
        <v>1.0121818576713373</v>
      </c>
      <c r="F196" s="1507">
        <v>12.482027038814724</v>
      </c>
      <c r="K196" s="1625">
        <v>42253</v>
      </c>
      <c r="L196" s="1626"/>
      <c r="M196" s="1627">
        <v>0</v>
      </c>
      <c r="N196" s="1628">
        <v>1.0672407249333897</v>
      </c>
      <c r="O196" s="1628">
        <v>1.0672407249333897</v>
      </c>
    </row>
    <row r="197" spans="2:15">
      <c r="B197" s="1506">
        <v>38412</v>
      </c>
      <c r="C197" s="1507">
        <v>336.12299999999999</v>
      </c>
      <c r="D197" s="1507">
        <v>2441.87</v>
      </c>
      <c r="E197" s="1507">
        <v>1.0152817807540921</v>
      </c>
      <c r="F197" s="1507">
        <v>12.672774639388541</v>
      </c>
      <c r="G197" s="67"/>
      <c r="K197" s="1625">
        <v>42254</v>
      </c>
      <c r="L197" s="1626"/>
      <c r="M197" s="1627">
        <v>0</v>
      </c>
      <c r="N197" s="1628">
        <v>1.0672407249333897</v>
      </c>
      <c r="O197" s="1628">
        <v>1.0672407249333897</v>
      </c>
    </row>
    <row r="198" spans="2:15">
      <c r="B198" s="1506">
        <v>38443</v>
      </c>
      <c r="C198" s="1507">
        <v>339.03</v>
      </c>
      <c r="D198" s="1507">
        <v>2463.11</v>
      </c>
      <c r="E198" s="1507">
        <v>1.0141152901477553</v>
      </c>
      <c r="F198" s="1507">
        <v>12.851654530400625</v>
      </c>
      <c r="K198" s="1625">
        <v>42255</v>
      </c>
      <c r="L198" s="1626" t="s">
        <v>2301</v>
      </c>
      <c r="M198" s="1627">
        <v>5.2531000000000001E-2</v>
      </c>
      <c r="N198" s="1628">
        <v>1.0678013571586045</v>
      </c>
      <c r="O198" s="1628">
        <v>1.0678013571586045</v>
      </c>
    </row>
    <row r="199" spans="2:15">
      <c r="B199" s="1506">
        <v>38473</v>
      </c>
      <c r="C199" s="1507">
        <v>338.29899999999998</v>
      </c>
      <c r="D199" s="1507">
        <v>2475.1799999999998</v>
      </c>
      <c r="E199" s="1507">
        <v>1.0150306502044895</v>
      </c>
      <c r="F199" s="1507">
        <v>13.044823254196018</v>
      </c>
      <c r="K199" s="1625">
        <v>42256</v>
      </c>
      <c r="L199" s="1626" t="s">
        <v>2301</v>
      </c>
      <c r="M199" s="1627">
        <v>5.2531000000000001E-2</v>
      </c>
      <c r="N199" s="1628">
        <v>1.0683622838895335</v>
      </c>
      <c r="O199" s="1628">
        <v>1.0683622838895335</v>
      </c>
    </row>
    <row r="200" spans="2:15">
      <c r="B200" s="1506">
        <v>38504</v>
      </c>
      <c r="C200" s="1507">
        <v>336.80099999999999</v>
      </c>
      <c r="D200" s="1507">
        <v>2474.6799999999998</v>
      </c>
      <c r="E200" s="1507">
        <v>1.0158560276185216</v>
      </c>
      <c r="F200" s="1507">
        <v>13.251662331993282</v>
      </c>
      <c r="K200" s="1625">
        <v>42257</v>
      </c>
      <c r="L200" s="1626" t="s">
        <v>2301</v>
      </c>
      <c r="M200" s="1627">
        <v>5.2531000000000001E-2</v>
      </c>
      <c r="N200" s="1628">
        <v>1.0689235052808834</v>
      </c>
      <c r="O200" s="1628">
        <v>1.0689235052808834</v>
      </c>
    </row>
    <row r="201" spans="2:15">
      <c r="B201" s="1506">
        <v>38534</v>
      </c>
      <c r="C201" s="1507">
        <v>335.66300000000001</v>
      </c>
      <c r="D201" s="1507">
        <v>2480.87</v>
      </c>
      <c r="E201" s="1507">
        <v>1.0151134516871545</v>
      </c>
      <c r="F201" s="1507">
        <v>13.451940690422347</v>
      </c>
      <c r="K201" s="1625">
        <v>42258</v>
      </c>
      <c r="L201" s="1626" t="s">
        <v>2301</v>
      </c>
      <c r="M201" s="1627">
        <v>5.2531000000000001E-2</v>
      </c>
      <c r="N201" s="1628">
        <v>1.0694850214874425</v>
      </c>
      <c r="O201" s="1628">
        <v>1.0694850214874425</v>
      </c>
    </row>
    <row r="202" spans="2:15">
      <c r="B202" s="1506">
        <v>38565</v>
      </c>
      <c r="C202" s="1507">
        <v>333.47399999999999</v>
      </c>
      <c r="D202" s="1507">
        <v>2485.09</v>
      </c>
      <c r="E202" s="1507">
        <v>1.0165848332092207</v>
      </c>
      <c r="F202" s="1507">
        <v>13.675038883113331</v>
      </c>
      <c r="K202" s="1625">
        <v>42259</v>
      </c>
      <c r="L202" s="1626"/>
      <c r="M202" s="1627">
        <v>0</v>
      </c>
      <c r="N202" s="1628">
        <v>1.0694850214874425</v>
      </c>
      <c r="O202" s="1628">
        <v>1.0694850214874425</v>
      </c>
    </row>
    <row r="203" spans="2:15">
      <c r="B203" s="1506">
        <v>38596</v>
      </c>
      <c r="C203" s="1507">
        <v>331.69</v>
      </c>
      <c r="D203" s="1507">
        <v>2493.79</v>
      </c>
      <c r="E203" s="1507">
        <v>1.0150313602253485</v>
      </c>
      <c r="F203" s="1507">
        <v>13.880593318661054</v>
      </c>
      <c r="K203" s="1625">
        <v>42260</v>
      </c>
      <c r="L203" s="1626"/>
      <c r="M203" s="1627">
        <v>0</v>
      </c>
      <c r="N203" s="1628">
        <v>1.0694850214874425</v>
      </c>
      <c r="O203" s="1628">
        <v>1.0694850214874425</v>
      </c>
    </row>
    <row r="204" spans="2:15">
      <c r="B204" s="1506">
        <v>38626</v>
      </c>
      <c r="C204" s="1507">
        <v>333.69400000000002</v>
      </c>
      <c r="D204" s="1507">
        <v>2512.4899999999998</v>
      </c>
      <c r="E204" s="1507">
        <v>1.0140716431638075</v>
      </c>
      <c r="F204" s="1507">
        <v>14.075916074743184</v>
      </c>
      <c r="K204" s="1625">
        <v>42261</v>
      </c>
      <c r="L204" s="1626" t="s">
        <v>2301</v>
      </c>
      <c r="M204" s="1627">
        <v>5.2531000000000001E-2</v>
      </c>
      <c r="N204" s="1628">
        <v>1.0700468326640802</v>
      </c>
      <c r="O204" s="1628">
        <v>1.0700468326640802</v>
      </c>
    </row>
    <row r="205" spans="2:15">
      <c r="B205" s="1506">
        <v>38657</v>
      </c>
      <c r="C205" s="1507">
        <v>335.03300000000002</v>
      </c>
      <c r="D205" s="1507">
        <v>2526.31</v>
      </c>
      <c r="E205" s="1507">
        <v>1.0138104099310956</v>
      </c>
      <c r="F205" s="1507">
        <v>14.270310245891086</v>
      </c>
      <c r="K205" s="1625">
        <v>42262</v>
      </c>
      <c r="L205" s="1626" t="s">
        <v>2301</v>
      </c>
      <c r="M205" s="1627">
        <v>5.2531000000000001E-2</v>
      </c>
      <c r="N205" s="1628">
        <v>1.0706089389657469</v>
      </c>
      <c r="O205" s="1628">
        <v>1.0706089389657469</v>
      </c>
    </row>
    <row r="206" spans="2:15">
      <c r="B206" s="1506">
        <v>38687</v>
      </c>
      <c r="C206" s="1507">
        <v>335.00599999999997</v>
      </c>
      <c r="D206" s="1507">
        <v>2535.4</v>
      </c>
      <c r="E206" s="1507">
        <v>1.0147357208231795</v>
      </c>
      <c r="F206" s="1507">
        <v>14.480593553734694</v>
      </c>
      <c r="K206" s="1625">
        <v>42263</v>
      </c>
      <c r="L206" s="1626" t="s">
        <v>2301</v>
      </c>
      <c r="M206" s="1627">
        <v>5.2531000000000001E-2</v>
      </c>
      <c r="N206" s="1628">
        <v>1.071171340547475</v>
      </c>
      <c r="O206" s="1628">
        <v>1.071171340547475</v>
      </c>
    </row>
    <row r="207" spans="2:15">
      <c r="B207" s="1506">
        <v>38718</v>
      </c>
      <c r="C207" s="1507">
        <v>338.08300000000003</v>
      </c>
      <c r="D207" s="1507">
        <v>2550.36</v>
      </c>
      <c r="E207" s="1507">
        <v>1.0142931741687891</v>
      </c>
      <c r="F207" s="1507">
        <v>14.687567199465668</v>
      </c>
      <c r="K207" s="1625">
        <v>42264</v>
      </c>
      <c r="L207" s="1626" t="s">
        <v>2301</v>
      </c>
      <c r="M207" s="1627">
        <v>5.2531000000000001E-2</v>
      </c>
      <c r="N207" s="1628">
        <v>1.071734037564378</v>
      </c>
      <c r="O207" s="1628">
        <v>1.071734037564378</v>
      </c>
    </row>
    <row r="208" spans="2:15">
      <c r="B208" s="1506">
        <v>38749</v>
      </c>
      <c r="C208" s="1507">
        <v>338.12799999999999</v>
      </c>
      <c r="D208" s="1507">
        <v>2560.8200000000002</v>
      </c>
      <c r="E208" s="1507">
        <v>1.0114506306443078</v>
      </c>
      <c r="F208" s="1507">
        <v>14.855749106530201</v>
      </c>
      <c r="K208" s="1625">
        <v>42265</v>
      </c>
      <c r="L208" s="1626" t="s">
        <v>2301</v>
      </c>
      <c r="M208" s="1627">
        <v>5.2531000000000001E-2</v>
      </c>
      <c r="N208" s="1628">
        <v>1.072297030171651</v>
      </c>
      <c r="O208" s="1628">
        <v>1.072297030171651</v>
      </c>
    </row>
    <row r="209" spans="2:15">
      <c r="B209" s="1506">
        <v>38777</v>
      </c>
      <c r="C209" s="1507">
        <v>337.339</v>
      </c>
      <c r="D209" s="1507">
        <v>2571.83</v>
      </c>
      <c r="E209" s="1507">
        <v>1.0142230199009199</v>
      </c>
      <c r="F209" s="1507">
        <v>15.067042721715453</v>
      </c>
      <c r="K209" s="1625">
        <v>42266</v>
      </c>
      <c r="L209" s="1626"/>
      <c r="M209" s="1627">
        <v>0</v>
      </c>
      <c r="N209" s="1628">
        <v>1.072297030171651</v>
      </c>
      <c r="O209" s="1628">
        <v>1.072297030171651</v>
      </c>
    </row>
    <row r="210" spans="2:15">
      <c r="B210" s="1506">
        <v>38808</v>
      </c>
      <c r="C210" s="1507">
        <v>335.92099999999999</v>
      </c>
      <c r="D210" s="1507">
        <v>2577.23</v>
      </c>
      <c r="E210" s="1507">
        <v>1.0107787821533378</v>
      </c>
      <c r="F210" s="1507">
        <v>15.229447092907858</v>
      </c>
      <c r="K210" s="1625">
        <v>42267</v>
      </c>
      <c r="L210" s="1626"/>
      <c r="M210" s="1627">
        <v>0</v>
      </c>
      <c r="N210" s="1628">
        <v>1.072297030171651</v>
      </c>
      <c r="O210" s="1628">
        <v>1.072297030171651</v>
      </c>
    </row>
    <row r="211" spans="2:15">
      <c r="B211" s="1506">
        <v>38838</v>
      </c>
      <c r="C211" s="1507">
        <v>337.185</v>
      </c>
      <c r="D211" s="1507">
        <v>2579.81</v>
      </c>
      <c r="E211" s="1507">
        <v>1.0128136552027243</v>
      </c>
      <c r="F211" s="1507">
        <v>15.424591976884511</v>
      </c>
      <c r="K211" s="1625">
        <v>42268</v>
      </c>
      <c r="L211" s="1626" t="s">
        <v>2301</v>
      </c>
      <c r="M211" s="1627">
        <v>5.2531000000000001E-2</v>
      </c>
      <c r="N211" s="1628">
        <v>1.0728603185245704</v>
      </c>
      <c r="O211" s="1628">
        <v>1.0728603185245704</v>
      </c>
    </row>
    <row r="212" spans="2:15">
      <c r="B212" s="1506">
        <v>38869</v>
      </c>
      <c r="C212" s="1507">
        <v>339.71199999999999</v>
      </c>
      <c r="D212" s="1507">
        <v>2574.39</v>
      </c>
      <c r="E212" s="1507">
        <v>1.0118439390435949</v>
      </c>
      <c r="F212" s="1507">
        <v>15.607279904031055</v>
      </c>
      <c r="K212" s="1625">
        <v>42269</v>
      </c>
      <c r="L212" s="1626" t="s">
        <v>2301</v>
      </c>
      <c r="M212" s="1627">
        <v>5.2531000000000001E-2</v>
      </c>
      <c r="N212" s="1628">
        <v>1.0734239027784946</v>
      </c>
      <c r="O212" s="1628">
        <v>1.0734239027784946</v>
      </c>
    </row>
    <row r="213" spans="2:15">
      <c r="B213" s="1506">
        <v>38899</v>
      </c>
      <c r="C213" s="1507">
        <v>340.31200000000001</v>
      </c>
      <c r="D213" s="1507">
        <v>2579.2800000000002</v>
      </c>
      <c r="E213" s="1507">
        <v>1.0116996590630269</v>
      </c>
      <c r="F213" s="1507">
        <v>15.78987975780945</v>
      </c>
      <c r="K213" s="1625">
        <v>42270</v>
      </c>
      <c r="L213" s="1626" t="s">
        <v>2301</v>
      </c>
      <c r="M213" s="1627">
        <v>5.2531000000000001E-2</v>
      </c>
      <c r="N213" s="1628">
        <v>1.0739877830888631</v>
      </c>
      <c r="O213" s="1628">
        <v>1.0739877830888631</v>
      </c>
    </row>
    <row r="214" spans="2:15">
      <c r="B214" s="1506">
        <v>38930</v>
      </c>
      <c r="C214" s="1507">
        <v>341.57400000000001</v>
      </c>
      <c r="D214" s="1507">
        <v>2580.5700000000002</v>
      </c>
      <c r="E214" s="1507">
        <v>1.012562646303421</v>
      </c>
      <c r="F214" s="1507">
        <v>15.988242432380357</v>
      </c>
      <c r="K214" s="1625">
        <v>42271</v>
      </c>
      <c r="L214" s="1626" t="s">
        <v>2301</v>
      </c>
      <c r="M214" s="1627">
        <v>5.2531000000000001E-2</v>
      </c>
      <c r="N214" s="1628">
        <v>1.0745519596111974</v>
      </c>
      <c r="O214" s="1628">
        <v>1.0745519596111974</v>
      </c>
    </row>
    <row r="215" spans="2:15" ht="13.5" customHeight="1">
      <c r="B215" s="1506">
        <v>38961</v>
      </c>
      <c r="C215" s="1507">
        <v>342.56099999999998</v>
      </c>
      <c r="D215" s="1507">
        <v>2585.9899999999998</v>
      </c>
      <c r="E215" s="1507">
        <v>1.0105730983323107</v>
      </c>
      <c r="F215" s="1507">
        <v>16.157287691778738</v>
      </c>
      <c r="K215" s="1625">
        <v>42272</v>
      </c>
      <c r="L215" s="1626" t="s">
        <v>2301</v>
      </c>
      <c r="M215" s="1627">
        <v>5.2531000000000001E-2</v>
      </c>
      <c r="N215" s="1628">
        <v>1.0751164325011009</v>
      </c>
      <c r="O215" s="1628">
        <v>1.0751164325011009</v>
      </c>
    </row>
    <row r="216" spans="2:15">
      <c r="B216" s="1506">
        <v>38991</v>
      </c>
      <c r="C216" s="1507">
        <v>344.15499999999997</v>
      </c>
      <c r="D216" s="1507">
        <v>2594.52</v>
      </c>
      <c r="E216" s="1507">
        <v>1.0109424441222723</v>
      </c>
      <c r="F216" s="1507">
        <v>16.334087909513503</v>
      </c>
      <c r="K216" s="1625">
        <v>42273</v>
      </c>
      <c r="L216" s="1626"/>
      <c r="M216" s="1627">
        <v>0</v>
      </c>
      <c r="N216" s="1628">
        <v>1.0751164325011009</v>
      </c>
      <c r="O216" s="1628">
        <v>1.0751164325011009</v>
      </c>
    </row>
    <row r="217" spans="2:15">
      <c r="B217" s="1506">
        <v>39022</v>
      </c>
      <c r="C217" s="1507">
        <v>346.74599999999998</v>
      </c>
      <c r="D217" s="1507">
        <v>2602.56</v>
      </c>
      <c r="E217" s="1507">
        <v>1.0102060517349183</v>
      </c>
      <c r="F217" s="1507">
        <v>16.500794455760701</v>
      </c>
      <c r="K217" s="1625">
        <v>42274</v>
      </c>
      <c r="L217" s="1626"/>
      <c r="M217" s="1627">
        <v>0</v>
      </c>
      <c r="N217" s="1628">
        <v>1.0751164325011009</v>
      </c>
      <c r="O217" s="1628">
        <v>1.0751164325011009</v>
      </c>
    </row>
    <row r="218" spans="2:15">
      <c r="B218" s="1506">
        <v>39052</v>
      </c>
      <c r="C218" s="1507">
        <v>347.84199999999998</v>
      </c>
      <c r="D218" s="1507">
        <v>2615.0500000000002</v>
      </c>
      <c r="E218" s="1507">
        <v>1.0098788606332807</v>
      </c>
      <c r="F218" s="1507">
        <v>16.663803504527571</v>
      </c>
      <c r="K218" s="1625">
        <v>42275</v>
      </c>
      <c r="L218" s="1626" t="s">
        <v>2301</v>
      </c>
      <c r="M218" s="1627">
        <v>5.2531000000000001E-2</v>
      </c>
      <c r="N218" s="1628">
        <v>1.0756812019142581</v>
      </c>
      <c r="O218" s="1628">
        <v>1.0756812019142581</v>
      </c>
    </row>
    <row r="219" spans="2:15">
      <c r="B219" s="1506">
        <v>39083</v>
      </c>
      <c r="C219" s="1507">
        <v>349.59300000000002</v>
      </c>
      <c r="D219" s="1507">
        <v>2626.56</v>
      </c>
      <c r="E219" s="1507">
        <v>1.0108280266006449</v>
      </c>
      <c r="F219" s="1507">
        <v>16.844239612142516</v>
      </c>
      <c r="K219" s="1625">
        <v>42276</v>
      </c>
      <c r="L219" s="1626" t="s">
        <v>2301</v>
      </c>
      <c r="M219" s="1627">
        <v>5.2531000000000001E-2</v>
      </c>
      <c r="N219" s="1628">
        <v>1.0762462680064357</v>
      </c>
      <c r="O219" s="1628">
        <v>1.0762462680064357</v>
      </c>
    </row>
    <row r="220" spans="2:15">
      <c r="B220" s="1506">
        <v>39114</v>
      </c>
      <c r="C220" s="1507">
        <v>350.524</v>
      </c>
      <c r="D220" s="1507">
        <v>2638.12</v>
      </c>
      <c r="E220" s="1507">
        <v>1.008724844950982</v>
      </c>
      <c r="F220" s="1507">
        <v>16.991202991075649</v>
      </c>
      <c r="K220" s="1625">
        <v>42277</v>
      </c>
      <c r="L220" s="1626" t="s">
        <v>2301</v>
      </c>
      <c r="M220" s="1627">
        <v>5.2531000000000001E-2</v>
      </c>
      <c r="N220" s="1628">
        <v>1.0768116309334823</v>
      </c>
      <c r="O220" s="1628">
        <v>1.0768116309334823</v>
      </c>
    </row>
    <row r="221" spans="2:15">
      <c r="B221" s="1506">
        <v>39142</v>
      </c>
      <c r="C221" s="1507">
        <v>351.71699999999998</v>
      </c>
      <c r="D221" s="1507">
        <v>2647.88</v>
      </c>
      <c r="E221" s="1507">
        <v>1.0105222327764332</v>
      </c>
      <c r="F221" s="1507">
        <v>17.169988384099376</v>
      </c>
      <c r="K221" s="1625">
        <v>42278</v>
      </c>
      <c r="L221" s="1626" t="s">
        <v>2301</v>
      </c>
      <c r="M221" s="1627">
        <v>5.2531000000000001E-2</v>
      </c>
      <c r="N221" s="1628">
        <v>1.0773772908513279</v>
      </c>
      <c r="O221" s="1628">
        <v>1.0773772908513279</v>
      </c>
    </row>
    <row r="222" spans="2:15">
      <c r="B222" s="1506">
        <v>39173</v>
      </c>
      <c r="C222" s="1507">
        <v>351.86900000000003</v>
      </c>
      <c r="D222" s="1507">
        <v>2654.5</v>
      </c>
      <c r="E222" s="1507">
        <v>1.0094482340398951</v>
      </c>
      <c r="F222" s="1507">
        <v>17.332214452814629</v>
      </c>
      <c r="K222" s="1625">
        <v>42279</v>
      </c>
      <c r="L222" s="1626" t="s">
        <v>2301</v>
      </c>
      <c r="M222" s="1627">
        <v>5.2531000000000001E-2</v>
      </c>
      <c r="N222" s="1628">
        <v>1.0779432479159849</v>
      </c>
      <c r="O222" s="1628">
        <v>1.0779432479159849</v>
      </c>
    </row>
    <row r="223" spans="2:15">
      <c r="B223" s="1506">
        <v>39203</v>
      </c>
      <c r="C223" s="1507">
        <v>352.02</v>
      </c>
      <c r="D223" s="1507">
        <v>2661.93</v>
      </c>
      <c r="E223" s="1507">
        <v>1.0102807696314628</v>
      </c>
      <c r="F223" s="1507">
        <v>17.510402956807127</v>
      </c>
      <c r="K223" s="1625">
        <v>42280</v>
      </c>
      <c r="L223" s="1626"/>
      <c r="M223" s="1627">
        <v>0</v>
      </c>
      <c r="N223" s="1628">
        <v>1.0779432479159849</v>
      </c>
      <c r="O223" s="1628">
        <v>1.0779432479159849</v>
      </c>
    </row>
    <row r="224" spans="2:15">
      <c r="B224" s="1506">
        <v>39234</v>
      </c>
      <c r="C224" s="1507">
        <v>352.93599999999998</v>
      </c>
      <c r="D224" s="1507">
        <v>2669.38</v>
      </c>
      <c r="E224" s="1507">
        <v>1.0090562894719608</v>
      </c>
      <c r="F224" s="1507">
        <v>17.668982234754651</v>
      </c>
      <c r="K224" s="1625">
        <v>42281</v>
      </c>
      <c r="L224" s="1626"/>
      <c r="M224" s="1627">
        <v>0</v>
      </c>
      <c r="N224" s="1628">
        <v>1.0779432479159849</v>
      </c>
      <c r="O224" s="1628">
        <v>1.0779432479159849</v>
      </c>
    </row>
    <row r="225" spans="2:15">
      <c r="B225" s="1506">
        <v>39264</v>
      </c>
      <c r="C225" s="1507">
        <v>353.92</v>
      </c>
      <c r="D225" s="1507">
        <v>2675.79</v>
      </c>
      <c r="E225" s="1507">
        <v>1.0097263257608722</v>
      </c>
      <c r="F225" s="1507">
        <v>17.840836511832936</v>
      </c>
      <c r="K225" s="1625">
        <v>42282</v>
      </c>
      <c r="L225" s="1626" t="s">
        <v>2301</v>
      </c>
      <c r="M225" s="1627">
        <v>5.2531000000000001E-2</v>
      </c>
      <c r="N225" s="1628">
        <v>1.0785095022835478</v>
      </c>
      <c r="O225" s="1628">
        <v>1.0785095022835478</v>
      </c>
    </row>
    <row r="226" spans="2:15">
      <c r="B226" s="1506">
        <v>39295</v>
      </c>
      <c r="C226" s="1507">
        <v>357.404</v>
      </c>
      <c r="D226" s="1507">
        <v>2688.37</v>
      </c>
      <c r="E226" s="1507">
        <v>1.0099263513682912</v>
      </c>
      <c r="F226" s="1507">
        <v>18.017930923753628</v>
      </c>
      <c r="K226" s="1625">
        <v>42283</v>
      </c>
      <c r="L226" s="1626" t="s">
        <v>2301</v>
      </c>
      <c r="M226" s="1627">
        <v>5.2531000000000001E-2</v>
      </c>
      <c r="N226" s="1628">
        <v>1.0790760541101925</v>
      </c>
      <c r="O226" s="1628">
        <v>1.0790760541101925</v>
      </c>
    </row>
    <row r="227" spans="2:15">
      <c r="B227" s="1506">
        <v>39326</v>
      </c>
      <c r="C227" s="1507">
        <v>361.99700000000001</v>
      </c>
      <c r="D227" s="1507">
        <v>2693.21</v>
      </c>
      <c r="E227" s="1507">
        <v>1.0080496134415582</v>
      </c>
      <c r="F227" s="1507">
        <v>18.162968302706542</v>
      </c>
      <c r="K227" s="1625">
        <v>42284</v>
      </c>
      <c r="L227" s="1626" t="s">
        <v>2301</v>
      </c>
      <c r="M227" s="1627">
        <v>5.2531000000000001E-2</v>
      </c>
      <c r="N227" s="1628">
        <v>1.0796429035521771</v>
      </c>
      <c r="O227" s="1628">
        <v>1.0796429035521771</v>
      </c>
    </row>
    <row r="228" spans="2:15">
      <c r="B228" s="1506">
        <v>39356</v>
      </c>
      <c r="C228" s="1507">
        <v>365.79399999999998</v>
      </c>
      <c r="D228" s="1507">
        <v>2701.29</v>
      </c>
      <c r="E228" s="1507">
        <v>1.0092949262855189</v>
      </c>
      <c r="F228" s="1507">
        <v>18.331791754206414</v>
      </c>
      <c r="K228" s="1625">
        <v>42285</v>
      </c>
      <c r="L228" s="1626" t="s">
        <v>2301</v>
      </c>
      <c r="M228" s="1627">
        <v>5.2531000000000001E-2</v>
      </c>
      <c r="N228" s="1628">
        <v>1.0802100507658421</v>
      </c>
      <c r="O228" s="1628">
        <v>1.0802100507658421</v>
      </c>
    </row>
    <row r="229" spans="2:15">
      <c r="B229" s="1506">
        <v>39387</v>
      </c>
      <c r="C229" s="1507">
        <v>368.334</v>
      </c>
      <c r="D229" s="1507">
        <v>2711.55</v>
      </c>
      <c r="E229" s="1507">
        <v>1.0084467048252397</v>
      </c>
      <c r="F229" s="1507">
        <v>18.486634988071959</v>
      </c>
      <c r="K229" s="1625">
        <v>42286</v>
      </c>
      <c r="L229" s="1626" t="s">
        <v>2301</v>
      </c>
      <c r="M229" s="1627">
        <v>5.2531000000000001E-2</v>
      </c>
      <c r="N229" s="1628">
        <v>1.08077749590761</v>
      </c>
      <c r="O229" s="1628">
        <v>1.08077749590761</v>
      </c>
    </row>
    <row r="230" spans="2:15">
      <c r="B230" s="1506">
        <v>39417</v>
      </c>
      <c r="C230" s="1507">
        <v>374.815</v>
      </c>
      <c r="D230" s="1507">
        <v>2731.62</v>
      </c>
      <c r="E230" s="1507">
        <v>1.0084467048252395</v>
      </c>
      <c r="F230" s="1507">
        <v>18.642786137028146</v>
      </c>
      <c r="K230" s="1625">
        <v>42287</v>
      </c>
      <c r="L230" s="1626"/>
      <c r="M230" s="1627">
        <v>0</v>
      </c>
      <c r="N230" s="1628">
        <v>1.08077749590761</v>
      </c>
      <c r="O230" s="1628">
        <v>1.08077749590761</v>
      </c>
    </row>
    <row r="231" spans="2:15">
      <c r="B231" s="1506">
        <v>39448</v>
      </c>
      <c r="C231" s="1507">
        <v>378.9</v>
      </c>
      <c r="D231" s="1507">
        <v>2746.37</v>
      </c>
      <c r="E231" s="1507">
        <v>1.0092938367057227</v>
      </c>
      <c r="F231" s="1507">
        <v>18.816049147125398</v>
      </c>
      <c r="K231" s="1625">
        <v>42288</v>
      </c>
      <c r="L231" s="1626"/>
      <c r="M231" s="1627">
        <v>0</v>
      </c>
      <c r="N231" s="1628">
        <v>1.08077749590761</v>
      </c>
      <c r="O231" s="1628">
        <v>1.08077749590761</v>
      </c>
    </row>
    <row r="232" spans="2:15">
      <c r="B232" s="1506">
        <v>39479</v>
      </c>
      <c r="C232" s="1507">
        <v>380.90600000000001</v>
      </c>
      <c r="D232" s="1507">
        <v>2759.83</v>
      </c>
      <c r="E232" s="1507">
        <v>1.0080223173492819</v>
      </c>
      <c r="F232" s="1507">
        <v>18.966997464643324</v>
      </c>
      <c r="K232" s="1625">
        <v>42289</v>
      </c>
      <c r="L232" s="1626"/>
      <c r="M232" s="1627">
        <v>0</v>
      </c>
      <c r="N232" s="1628">
        <v>1.08077749590761</v>
      </c>
      <c r="O232" s="1628">
        <v>1.08077749590761</v>
      </c>
    </row>
    <row r="233" spans="2:15">
      <c r="B233" s="1506">
        <v>39508</v>
      </c>
      <c r="C233" s="1507">
        <v>383.73099999999999</v>
      </c>
      <c r="D233" s="1507">
        <v>2773.08</v>
      </c>
      <c r="E233" s="1507">
        <v>1.0084459790490408</v>
      </c>
      <c r="F233" s="1507">
        <v>19.12719232785291</v>
      </c>
      <c r="K233" s="1625">
        <v>42290</v>
      </c>
      <c r="L233" s="1626" t="s">
        <v>2301</v>
      </c>
      <c r="M233" s="1627">
        <v>5.2531000000000001E-2</v>
      </c>
      <c r="N233" s="1628">
        <v>1.0813452391339853</v>
      </c>
      <c r="O233" s="1628">
        <v>1.0813452391339853</v>
      </c>
    </row>
    <row r="234" spans="2:15">
      <c r="B234" s="1506">
        <v>39539</v>
      </c>
      <c r="C234" s="1507">
        <v>386.38</v>
      </c>
      <c r="D234" s="1507">
        <v>2788.33</v>
      </c>
      <c r="E234" s="1507">
        <v>1.0090142575644072</v>
      </c>
      <c r="F234" s="1507">
        <v>19.299609765980129</v>
      </c>
      <c r="K234" s="1625">
        <v>42291</v>
      </c>
      <c r="L234" s="1626" t="s">
        <v>2301</v>
      </c>
      <c r="M234" s="1627">
        <v>5.2531000000000001E-2</v>
      </c>
      <c r="N234" s="1628">
        <v>1.0819132806015548</v>
      </c>
      <c r="O234" s="1628">
        <v>1.0819132806015548</v>
      </c>
    </row>
    <row r="235" spans="2:15">
      <c r="B235" s="1506">
        <v>39569</v>
      </c>
      <c r="C235" s="1507">
        <v>392.59199999999998</v>
      </c>
      <c r="D235" s="1507">
        <v>2810.36</v>
      </c>
      <c r="E235" s="1507">
        <v>1.0087678287685495</v>
      </c>
      <c r="F235" s="1507">
        <v>19.46882543970807</v>
      </c>
      <c r="K235" s="1625">
        <v>42292</v>
      </c>
      <c r="L235" s="1626" t="s">
        <v>2301</v>
      </c>
      <c r="M235" s="1627">
        <v>5.2531000000000001E-2</v>
      </c>
      <c r="N235" s="1628">
        <v>1.0824816204669876</v>
      </c>
      <c r="O235" s="1628">
        <v>1.0824816204669876</v>
      </c>
    </row>
    <row r="236" spans="2:15">
      <c r="B236" s="1506">
        <v>39600</v>
      </c>
      <c r="C236" s="1507">
        <v>400.38200000000001</v>
      </c>
      <c r="D236" s="1507">
        <v>2831.16</v>
      </c>
      <c r="E236" s="1507">
        <v>1.0095559246898425</v>
      </c>
      <c r="F236" s="1507">
        <v>19.654868069409609</v>
      </c>
      <c r="K236" s="1625">
        <v>42293</v>
      </c>
      <c r="L236" s="1626" t="s">
        <v>2301</v>
      </c>
      <c r="M236" s="1627">
        <v>5.2531000000000001E-2</v>
      </c>
      <c r="N236" s="1628">
        <v>1.0830502588870352</v>
      </c>
      <c r="O236" s="1628">
        <v>1.0830502588870352</v>
      </c>
    </row>
    <row r="237" spans="2:15">
      <c r="B237" s="1506">
        <v>39630</v>
      </c>
      <c r="C237" s="1507">
        <v>407.44600000000003</v>
      </c>
      <c r="D237" s="1507">
        <v>2846.16</v>
      </c>
      <c r="E237" s="1507">
        <v>1.0106967121371</v>
      </c>
      <c r="F237" s="1507">
        <v>19.865110535240763</v>
      </c>
      <c r="K237" s="1625">
        <v>42294</v>
      </c>
      <c r="L237" s="1626"/>
      <c r="M237" s="1627">
        <v>0</v>
      </c>
      <c r="N237" s="1628">
        <v>1.0830502588870352</v>
      </c>
      <c r="O237" s="1628">
        <v>1.0830502588870352</v>
      </c>
    </row>
    <row r="238" spans="2:15">
      <c r="B238" s="1506">
        <v>39661</v>
      </c>
      <c r="C238" s="1507">
        <v>406.12700000000001</v>
      </c>
      <c r="D238" s="1507">
        <v>2854.13</v>
      </c>
      <c r="E238" s="1507">
        <v>1.0101765713502602</v>
      </c>
      <c r="F238" s="1507">
        <v>20.067269249983447</v>
      </c>
      <c r="K238" s="1625">
        <v>42295</v>
      </c>
      <c r="L238" s="1626"/>
      <c r="M238" s="1627">
        <v>0</v>
      </c>
      <c r="N238" s="1628">
        <v>1.0830502588870352</v>
      </c>
      <c r="O238" s="1628">
        <v>1.0830502588870352</v>
      </c>
    </row>
    <row r="239" spans="2:15">
      <c r="B239" s="1506">
        <v>39692</v>
      </c>
      <c r="C239" s="1507">
        <v>406.55700000000002</v>
      </c>
      <c r="D239" s="1507">
        <v>2861.55</v>
      </c>
      <c r="E239" s="1507">
        <v>1.011030909274969</v>
      </c>
      <c r="F239" s="1507">
        <v>20.288629476476387</v>
      </c>
      <c r="K239" s="1625">
        <v>42296</v>
      </c>
      <c r="L239" s="1626" t="s">
        <v>2301</v>
      </c>
      <c r="M239" s="1627">
        <v>5.2531000000000001E-2</v>
      </c>
      <c r="N239" s="1628">
        <v>1.0836191960185311</v>
      </c>
      <c r="O239" s="1628">
        <v>1.0836191960185311</v>
      </c>
    </row>
    <row r="240" spans="2:15">
      <c r="B240" s="1506">
        <v>39722</v>
      </c>
      <c r="C240" s="1507">
        <v>410.524</v>
      </c>
      <c r="D240" s="1507">
        <v>2874.43</v>
      </c>
      <c r="E240" s="1507">
        <v>1.0117587656900342</v>
      </c>
      <c r="F240" s="1507">
        <v>20.527198716662195</v>
      </c>
      <c r="K240" s="1625">
        <v>42297</v>
      </c>
      <c r="L240" s="1626" t="s">
        <v>2301</v>
      </c>
      <c r="M240" s="1627">
        <v>5.2531000000000001E-2</v>
      </c>
      <c r="N240" s="1628">
        <v>1.0841884320183917</v>
      </c>
      <c r="O240" s="1628">
        <v>1.0841884320183917</v>
      </c>
    </row>
    <row r="241" spans="2:15">
      <c r="B241" s="1506">
        <v>39753</v>
      </c>
      <c r="C241" s="1507">
        <v>412.10399999999998</v>
      </c>
      <c r="D241" s="1507">
        <v>2884.78</v>
      </c>
      <c r="E241" s="1507">
        <v>1.0101996908301405</v>
      </c>
      <c r="F241" s="1507">
        <v>20.736569797181005</v>
      </c>
      <c r="K241" s="1625">
        <v>42298</v>
      </c>
      <c r="L241" s="1626" t="s">
        <v>2301</v>
      </c>
      <c r="M241" s="1627">
        <v>5.2531000000000001E-2</v>
      </c>
      <c r="N241" s="1628">
        <v>1.0847579670436152</v>
      </c>
      <c r="O241" s="1628">
        <v>1.0847579670436152</v>
      </c>
    </row>
    <row r="242" spans="2:15">
      <c r="B242" s="1506">
        <v>39783</v>
      </c>
      <c r="C242" s="1507">
        <v>411.57499999999999</v>
      </c>
      <c r="D242" s="1507">
        <v>2892.86</v>
      </c>
      <c r="E242" s="1507">
        <v>1.0112409294280835</v>
      </c>
      <c r="F242" s="1507">
        <v>20.969668114851643</v>
      </c>
      <c r="K242" s="1625">
        <v>42299</v>
      </c>
      <c r="L242" s="1626" t="s">
        <v>2301</v>
      </c>
      <c r="M242" s="1627">
        <v>5.2531000000000001E-2</v>
      </c>
      <c r="N242" s="1628">
        <v>1.0853278012512828</v>
      </c>
      <c r="O242" s="1628">
        <v>1.0853278012512828</v>
      </c>
    </row>
    <row r="243" spans="2:15">
      <c r="B243" s="1506">
        <v>39814</v>
      </c>
      <c r="C243" s="1507">
        <v>409.78199999999998</v>
      </c>
      <c r="D243" s="1507">
        <v>2906.74</v>
      </c>
      <c r="E243" s="1507">
        <v>1.0104780743150839</v>
      </c>
      <c r="F243" s="1507">
        <v>21.189389855721704</v>
      </c>
      <c r="K243" s="1625">
        <v>42300</v>
      </c>
      <c r="L243" s="1626" t="s">
        <v>2301</v>
      </c>
      <c r="M243" s="1627">
        <v>5.2531000000000001E-2</v>
      </c>
      <c r="N243" s="1628">
        <v>1.0858979347985582</v>
      </c>
      <c r="O243" s="1628">
        <v>1.0858979347985582</v>
      </c>
    </row>
    <row r="244" spans="2:15">
      <c r="B244" s="1506">
        <v>39845</v>
      </c>
      <c r="C244" s="1507">
        <v>410.84899999999999</v>
      </c>
      <c r="D244" s="1507">
        <v>2922.73</v>
      </c>
      <c r="E244" s="1507">
        <v>1.0085508573858042</v>
      </c>
      <c r="F244" s="1507">
        <v>21.370577306470185</v>
      </c>
      <c r="K244" s="1625">
        <v>42301</v>
      </c>
      <c r="L244" s="1626"/>
      <c r="M244" s="1627">
        <v>0</v>
      </c>
      <c r="N244" s="1628">
        <v>1.0858979347985582</v>
      </c>
      <c r="O244" s="1628">
        <v>1.0858979347985582</v>
      </c>
    </row>
    <row r="245" spans="2:15">
      <c r="B245" s="1506">
        <v>39873</v>
      </c>
      <c r="C245" s="1507">
        <v>407.80799999999999</v>
      </c>
      <c r="D245" s="1507">
        <v>2928.57</v>
      </c>
      <c r="E245" s="1507">
        <v>1.0097088387156097</v>
      </c>
      <c r="F245" s="1507">
        <v>21.578060794798173</v>
      </c>
      <c r="K245" s="1625">
        <v>42302</v>
      </c>
      <c r="L245" s="1626"/>
      <c r="M245" s="1627">
        <v>0</v>
      </c>
      <c r="N245" s="1628">
        <v>1.0858979347985582</v>
      </c>
      <c r="O245" s="1628">
        <v>1.0858979347985582</v>
      </c>
    </row>
    <row r="246" spans="2:15">
      <c r="B246" s="1506">
        <v>39904</v>
      </c>
      <c r="C246" s="1507">
        <v>407.18099999999998</v>
      </c>
      <c r="D246" s="1507">
        <v>2942.63</v>
      </c>
      <c r="E246" s="1507">
        <v>1.008395669248594</v>
      </c>
      <c r="F246" s="1507">
        <v>21.759223056257351</v>
      </c>
      <c r="K246" s="1625">
        <v>42303</v>
      </c>
      <c r="L246" s="1626" t="s">
        <v>2301</v>
      </c>
      <c r="M246" s="1627">
        <v>5.2531000000000001E-2</v>
      </c>
      <c r="N246" s="1628">
        <v>1.0864683678426872</v>
      </c>
      <c r="O246" s="1628">
        <v>1.0864683678426872</v>
      </c>
    </row>
    <row r="247" spans="2:15">
      <c r="B247" s="1506">
        <v>39934</v>
      </c>
      <c r="C247" s="1507">
        <v>406.88499999999999</v>
      </c>
      <c r="D247" s="1507">
        <v>2956.46</v>
      </c>
      <c r="E247" s="1507">
        <v>1.0077089274459567</v>
      </c>
      <c r="F247" s="1507">
        <v>21.926963328078429</v>
      </c>
      <c r="K247" s="1625">
        <v>42304</v>
      </c>
      <c r="L247" s="1626" t="s">
        <v>2301</v>
      </c>
      <c r="M247" s="1627">
        <v>5.2531000000000001E-2</v>
      </c>
      <c r="N247" s="1628">
        <v>1.0870391005409987</v>
      </c>
      <c r="O247" s="1628">
        <v>1.0870391005409987</v>
      </c>
    </row>
    <row r="248" spans="2:15">
      <c r="B248" s="1506">
        <v>39965</v>
      </c>
      <c r="C248" s="1507">
        <v>406.48599999999999</v>
      </c>
      <c r="D248" s="1507">
        <v>2967.1</v>
      </c>
      <c r="E248" s="1507">
        <v>1.0076218232644543</v>
      </c>
      <c r="F248" s="1507">
        <v>22.094086767291213</v>
      </c>
      <c r="K248" s="1625">
        <v>42305</v>
      </c>
      <c r="L248" s="1626" t="s">
        <v>2301</v>
      </c>
      <c r="M248" s="1627">
        <v>5.2531000000000001E-2</v>
      </c>
      <c r="N248" s="1628">
        <v>1.0876101330509038</v>
      </c>
      <c r="O248" s="1628">
        <v>1.0876101330509038</v>
      </c>
    </row>
    <row r="249" spans="2:15">
      <c r="B249" s="1506">
        <v>39995</v>
      </c>
      <c r="C249" s="1507">
        <v>404.71800000000002</v>
      </c>
      <c r="D249" s="1507">
        <v>2974.22</v>
      </c>
      <c r="E249" s="1507">
        <v>1.0079014252372847</v>
      </c>
      <c r="F249" s="1507">
        <v>22.268661542069044</v>
      </c>
      <c r="K249" s="1625">
        <v>42306</v>
      </c>
      <c r="L249" s="1626" t="s">
        <v>2301</v>
      </c>
      <c r="M249" s="1627">
        <v>5.2531000000000001E-2</v>
      </c>
      <c r="N249" s="1628">
        <v>1.0881814655298967</v>
      </c>
      <c r="O249" s="1628">
        <v>1.0881814655298967</v>
      </c>
    </row>
    <row r="250" spans="2:15">
      <c r="B250" s="1506">
        <v>40026</v>
      </c>
      <c r="C250" s="1507">
        <v>403.25299999999999</v>
      </c>
      <c r="D250" s="1507">
        <v>2978.68</v>
      </c>
      <c r="E250" s="1507">
        <v>1.0069374854840563</v>
      </c>
      <c r="F250" s="1507">
        <v>22.423150058266511</v>
      </c>
      <c r="K250" s="1625">
        <v>42307</v>
      </c>
      <c r="L250" s="1626" t="s">
        <v>2301</v>
      </c>
      <c r="M250" s="1627">
        <v>5.2531000000000001E-2</v>
      </c>
      <c r="N250" s="1628">
        <v>1.0887530981355542</v>
      </c>
      <c r="O250" s="1628">
        <v>1.0887530981355542</v>
      </c>
    </row>
    <row r="251" spans="2:15">
      <c r="B251" s="1506">
        <v>40057</v>
      </c>
      <c r="C251" s="1507">
        <v>404.94499999999999</v>
      </c>
      <c r="D251" s="1507">
        <v>2985.83</v>
      </c>
      <c r="E251" s="1507">
        <v>1.0069374854840563</v>
      </c>
      <c r="F251" s="1507">
        <v>22.578710336302549</v>
      </c>
      <c r="K251" s="1625">
        <v>42308</v>
      </c>
      <c r="L251" s="1626"/>
      <c r="M251" s="1627">
        <v>0</v>
      </c>
      <c r="N251" s="1628">
        <v>1.0887530981355542</v>
      </c>
      <c r="O251" s="1628">
        <v>1.0887530981355542</v>
      </c>
    </row>
    <row r="252" spans="2:15">
      <c r="B252" s="1506">
        <v>40087</v>
      </c>
      <c r="C252" s="1507">
        <v>405.12900000000002</v>
      </c>
      <c r="D252" s="1507">
        <v>2994.19</v>
      </c>
      <c r="E252" s="1507">
        <v>1.006937485484056</v>
      </c>
      <c r="F252" s="1507">
        <v>22.735349811509355</v>
      </c>
      <c r="K252" s="1625">
        <v>42309</v>
      </c>
      <c r="L252" s="1626"/>
      <c r="M252" s="1627">
        <v>0</v>
      </c>
      <c r="N252" s="1628">
        <v>1.0887530981355542</v>
      </c>
      <c r="O252" s="1628">
        <v>1.0887530981355542</v>
      </c>
    </row>
    <row r="253" spans="2:15">
      <c r="B253" s="1506">
        <v>40118</v>
      </c>
      <c r="C253" s="1507">
        <v>405.548</v>
      </c>
      <c r="D253" s="1507">
        <v>3006.47</v>
      </c>
      <c r="E253" s="1507">
        <v>1.006606040313162</v>
      </c>
      <c r="F253" s="1507">
        <v>22.885540448898027</v>
      </c>
      <c r="K253" s="1625">
        <v>42310</v>
      </c>
      <c r="L253" s="1626"/>
      <c r="M253" s="1627">
        <v>0</v>
      </c>
      <c r="N253" s="1628">
        <v>1.0887530981355542</v>
      </c>
      <c r="O253" s="1628">
        <v>1.0887530981355542</v>
      </c>
    </row>
    <row r="254" spans="2:15">
      <c r="B254" s="1506">
        <v>40148</v>
      </c>
      <c r="C254" s="1507">
        <v>404.49900000000002</v>
      </c>
      <c r="D254" s="1507">
        <v>3017.59</v>
      </c>
      <c r="E254" s="1507">
        <v>1.0072686672230315</v>
      </c>
      <c r="F254" s="1507">
        <v>23.051887826640293</v>
      </c>
      <c r="K254" s="1625">
        <v>42311</v>
      </c>
      <c r="L254" s="1626" t="s">
        <v>2301</v>
      </c>
      <c r="M254" s="1627">
        <v>5.2531000000000001E-2</v>
      </c>
      <c r="N254" s="1628">
        <v>1.0893250310255358</v>
      </c>
      <c r="O254" s="1628">
        <v>1.0893250310255358</v>
      </c>
    </row>
    <row r="255" spans="2:15">
      <c r="B255" s="1506">
        <v>40179</v>
      </c>
      <c r="C255" s="1507">
        <v>407.04899999999998</v>
      </c>
      <c r="D255" s="1507">
        <v>3040.22</v>
      </c>
      <c r="E255" s="1507">
        <v>1.0066056679915218</v>
      </c>
      <c r="F255" s="1507">
        <v>23.204160944200883</v>
      </c>
      <c r="K255" s="1625">
        <v>42312</v>
      </c>
      <c r="L255" s="1626" t="s">
        <v>2301</v>
      </c>
      <c r="M255" s="1627">
        <v>5.2531000000000001E-2</v>
      </c>
      <c r="N255" s="1628">
        <v>1.0898972643575837</v>
      </c>
      <c r="O255" s="1628">
        <v>1.0898972643575837</v>
      </c>
    </row>
    <row r="256" spans="2:15">
      <c r="B256" s="1506">
        <v>40210</v>
      </c>
      <c r="C256" s="1507">
        <v>411.84300000000002</v>
      </c>
      <c r="D256" s="1507">
        <v>3063.93</v>
      </c>
      <c r="E256" s="1507">
        <v>1.0059434772325486</v>
      </c>
      <c r="F256" s="1507">
        <v>23.342074346473133</v>
      </c>
      <c r="K256" s="1625">
        <v>42313</v>
      </c>
      <c r="L256" s="1626" t="s">
        <v>2301</v>
      </c>
      <c r="M256" s="1627">
        <v>5.2531000000000001E-2</v>
      </c>
      <c r="N256" s="1628">
        <v>1.0904697982895235</v>
      </c>
      <c r="O256" s="1628">
        <v>1.0904697982895235</v>
      </c>
    </row>
    <row r="257" spans="2:15">
      <c r="B257" s="1506">
        <v>40238</v>
      </c>
      <c r="C257" s="1507">
        <v>415.73399999999998</v>
      </c>
      <c r="D257" s="1507">
        <v>3079.86</v>
      </c>
      <c r="E257" s="1507">
        <v>1.0076007032666325</v>
      </c>
      <c r="F257" s="1507">
        <v>23.519490527208351</v>
      </c>
      <c r="K257" s="1625">
        <v>42314</v>
      </c>
      <c r="L257" s="1626" t="s">
        <v>2301</v>
      </c>
      <c r="M257" s="1627">
        <v>5.2531000000000001E-2</v>
      </c>
      <c r="N257" s="1628">
        <v>1.0910426329792631</v>
      </c>
      <c r="O257" s="1628">
        <v>1.0910426329792631</v>
      </c>
    </row>
    <row r="258" spans="2:15">
      <c r="B258" s="1506">
        <v>40269</v>
      </c>
      <c r="C258" s="1507">
        <v>418.91699999999997</v>
      </c>
      <c r="D258" s="1507">
        <v>3097.42</v>
      </c>
      <c r="E258" s="1507">
        <v>1.0066591320264642</v>
      </c>
      <c r="F258" s="1507">
        <v>23.676109919824206</v>
      </c>
      <c r="K258" s="1625">
        <v>42315</v>
      </c>
      <c r="L258" s="1626"/>
      <c r="M258" s="1627">
        <v>0</v>
      </c>
      <c r="N258" s="1628">
        <v>1.0910426329792631</v>
      </c>
      <c r="O258" s="1628">
        <v>1.0910426329792631</v>
      </c>
    </row>
    <row r="259" spans="2:15">
      <c r="B259" s="1506">
        <v>40299</v>
      </c>
      <c r="C259" s="1507">
        <v>423.88499999999999</v>
      </c>
      <c r="D259" s="1507">
        <v>3110.74</v>
      </c>
      <c r="E259" s="1507">
        <v>1.0075136425194853</v>
      </c>
      <c r="F259" s="1507">
        <v>23.854003746013806</v>
      </c>
      <c r="K259" s="1625">
        <v>42316</v>
      </c>
      <c r="L259" s="1626"/>
      <c r="M259" s="1627">
        <v>0</v>
      </c>
      <c r="N259" s="1628">
        <v>1.0910426329792631</v>
      </c>
      <c r="O259" s="1628">
        <v>1.0910426329792631</v>
      </c>
    </row>
    <row r="260" spans="2:15">
      <c r="B260" s="1506">
        <v>40330</v>
      </c>
      <c r="C260" s="1507">
        <v>427.48899999999998</v>
      </c>
      <c r="D260" s="1507">
        <v>3110.74</v>
      </c>
      <c r="E260" s="1507">
        <v>1.0079257581819461</v>
      </c>
      <c r="F260" s="1507">
        <v>24.043064811375949</v>
      </c>
      <c r="K260" s="1625">
        <v>42317</v>
      </c>
      <c r="L260" s="1626" t="s">
        <v>2301</v>
      </c>
      <c r="M260" s="1627">
        <v>5.2531000000000001E-2</v>
      </c>
      <c r="N260" s="1628">
        <v>1.0916157685847934</v>
      </c>
      <c r="O260" s="1628">
        <v>1.0916157685847934</v>
      </c>
    </row>
    <row r="261" spans="2:15">
      <c r="B261" s="1506">
        <v>40360</v>
      </c>
      <c r="C261" s="1507">
        <v>428.15</v>
      </c>
      <c r="D261" s="1507">
        <v>3111.05</v>
      </c>
      <c r="E261" s="1507">
        <v>1.0086102956499179</v>
      </c>
      <c r="F261" s="1507">
        <v>24.250082707732034</v>
      </c>
      <c r="K261" s="1625">
        <v>42318</v>
      </c>
      <c r="L261" s="1626" t="s">
        <v>2301</v>
      </c>
      <c r="M261" s="1627">
        <v>5.2531000000000001E-2</v>
      </c>
      <c r="N261" s="1628">
        <v>1.0921892052641886</v>
      </c>
      <c r="O261" s="1628">
        <v>1.0921892052641886</v>
      </c>
    </row>
    <row r="262" spans="2:15">
      <c r="B262" s="1506">
        <v>40391</v>
      </c>
      <c r="C262" s="1507">
        <v>431.44499999999999</v>
      </c>
      <c r="D262" s="1507">
        <v>3112.29</v>
      </c>
      <c r="E262" s="1507">
        <v>1.0088820963555043</v>
      </c>
      <c r="F262" s="1507">
        <v>24.465474278971058</v>
      </c>
      <c r="K262" s="1625">
        <v>42319</v>
      </c>
      <c r="L262" s="1626" t="s">
        <v>2301</v>
      </c>
      <c r="M262" s="1627">
        <v>5.2531000000000001E-2</v>
      </c>
      <c r="N262" s="1628">
        <v>1.0927629431756058</v>
      </c>
      <c r="O262" s="1628">
        <v>1.0927629431756058</v>
      </c>
    </row>
    <row r="263" spans="2:15">
      <c r="B263" s="1506">
        <v>40422</v>
      </c>
      <c r="C263" s="1507">
        <v>436.423</v>
      </c>
      <c r="D263" s="1507">
        <v>3126.29</v>
      </c>
      <c r="E263" s="1507">
        <v>1.0084766584844942</v>
      </c>
      <c r="F263" s="1507">
        <v>24.672859749095071</v>
      </c>
      <c r="K263" s="1625">
        <v>42320</v>
      </c>
      <c r="L263" s="1626" t="s">
        <v>2301</v>
      </c>
      <c r="M263" s="1627">
        <v>5.2531000000000001E-2</v>
      </c>
      <c r="N263" s="1628">
        <v>1.0933369824772854</v>
      </c>
      <c r="O263" s="1628">
        <v>1.0933369824772854</v>
      </c>
    </row>
    <row r="264" spans="2:15">
      <c r="B264" s="1506">
        <v>40452</v>
      </c>
      <c r="C264" s="1507">
        <v>440.82900000000001</v>
      </c>
      <c r="D264" s="1507">
        <v>3149.74</v>
      </c>
      <c r="E264" s="1507">
        <v>1.0080713835461668</v>
      </c>
      <c r="F264" s="1507">
        <v>24.872003863310798</v>
      </c>
      <c r="K264" s="1625">
        <v>42321</v>
      </c>
      <c r="L264" s="1626" t="s">
        <v>2301</v>
      </c>
      <c r="M264" s="1627">
        <v>5.2531000000000001E-2</v>
      </c>
      <c r="N264" s="1628">
        <v>1.0939113233275506</v>
      </c>
      <c r="O264" s="1628">
        <v>1.0939113233275506</v>
      </c>
    </row>
    <row r="265" spans="2:15">
      <c r="B265" s="1506">
        <v>40483</v>
      </c>
      <c r="C265" s="1507">
        <v>447.20600000000002</v>
      </c>
      <c r="D265" s="1507">
        <v>3175.88</v>
      </c>
      <c r="E265" s="1507">
        <v>1.008071383546167</v>
      </c>
      <c r="F265" s="1507">
        <v>25.072755346053327</v>
      </c>
      <c r="K265" s="1625">
        <v>42322</v>
      </c>
      <c r="L265" s="1626"/>
      <c r="M265" s="1627">
        <v>0</v>
      </c>
      <c r="N265" s="1628">
        <v>1.0939113233275506</v>
      </c>
      <c r="O265" s="1628">
        <v>1.0939113233275506</v>
      </c>
    </row>
    <row r="266" spans="2:15">
      <c r="B266" s="1506">
        <v>40513</v>
      </c>
      <c r="C266" s="1507">
        <v>450.30099999999999</v>
      </c>
      <c r="D266" s="1507">
        <v>3195.89</v>
      </c>
      <c r="E266" s="1507">
        <v>1.0092887868177591</v>
      </c>
      <c r="F266" s="1507">
        <v>25.305650825396647</v>
      </c>
      <c r="K266" s="1625">
        <v>42323</v>
      </c>
      <c r="L266" s="1626"/>
      <c r="M266" s="1627">
        <v>0</v>
      </c>
      <c r="N266" s="1628">
        <v>1.0939113233275506</v>
      </c>
      <c r="O266" s="1628">
        <v>1.0939113233275506</v>
      </c>
    </row>
    <row r="267" spans="2:15">
      <c r="B267" s="1506">
        <v>40544</v>
      </c>
      <c r="C267" s="1507">
        <v>453.875</v>
      </c>
      <c r="D267" s="1507">
        <v>3222.42</v>
      </c>
      <c r="E267" s="1507">
        <v>1.0086232010755674</v>
      </c>
      <c r="F267" s="1507">
        <v>25.52386654081214</v>
      </c>
      <c r="K267" s="1625">
        <v>42324</v>
      </c>
      <c r="L267" s="1626" t="s">
        <v>2301</v>
      </c>
      <c r="M267" s="1627">
        <v>5.2531000000000001E-2</v>
      </c>
      <c r="N267" s="1628">
        <v>1.0944859658848078</v>
      </c>
      <c r="O267" s="1628">
        <v>1.0944859658848078</v>
      </c>
    </row>
    <row r="268" spans="2:15">
      <c r="B268" s="1506">
        <v>40575</v>
      </c>
      <c r="C268" s="1507">
        <v>458.39699999999999</v>
      </c>
      <c r="D268" s="1507">
        <v>3248.2</v>
      </c>
      <c r="E268" s="1507">
        <v>1.0084390842010735</v>
      </c>
      <c r="F268" s="1507">
        <v>25.739264599687019</v>
      </c>
      <c r="K268" s="1625">
        <v>42325</v>
      </c>
      <c r="L268" s="1626" t="s">
        <v>2301</v>
      </c>
      <c r="M268" s="1627">
        <v>5.2531000000000001E-2</v>
      </c>
      <c r="N268" s="1628">
        <v>1.0950609103075468</v>
      </c>
      <c r="O268" s="1628">
        <v>1.0950609103075468</v>
      </c>
    </row>
    <row r="269" spans="2:15">
      <c r="B269" s="1506">
        <v>40603</v>
      </c>
      <c r="C269" s="1507">
        <v>461.24900000000002</v>
      </c>
      <c r="D269" s="1507">
        <v>3273.86</v>
      </c>
      <c r="E269" s="1507">
        <v>1.0092045846073012</v>
      </c>
      <c r="F269" s="1507">
        <v>25.97618383842455</v>
      </c>
      <c r="K269" s="1625">
        <v>42326</v>
      </c>
      <c r="L269" s="1626" t="s">
        <v>2301</v>
      </c>
      <c r="M269" s="1627">
        <v>5.2531000000000001E-2</v>
      </c>
      <c r="N269" s="1628">
        <v>1.0956361567543405</v>
      </c>
      <c r="O269" s="1628">
        <v>1.0956361567543405</v>
      </c>
    </row>
    <row r="270" spans="2:15">
      <c r="B270" s="1506">
        <v>40634</v>
      </c>
      <c r="C270" s="1507">
        <v>463.31099999999998</v>
      </c>
      <c r="D270" s="1507">
        <v>3299.07</v>
      </c>
      <c r="E270" s="1507">
        <v>1.0084015541577225</v>
      </c>
      <c r="F270" s="1507">
        <v>26.194424153754028</v>
      </c>
      <c r="K270" s="1625">
        <v>42327</v>
      </c>
      <c r="L270" s="1626" t="s">
        <v>2301</v>
      </c>
      <c r="M270" s="1627">
        <v>5.2531000000000001E-2</v>
      </c>
      <c r="N270" s="1628">
        <v>1.0962117053838452</v>
      </c>
      <c r="O270" s="1628">
        <v>1.0962117053838452</v>
      </c>
    </row>
    <row r="271" spans="2:15">
      <c r="B271" s="1506">
        <v>40664</v>
      </c>
      <c r="C271" s="1507">
        <v>465.31099999999998</v>
      </c>
      <c r="D271" s="1507">
        <v>3314.58</v>
      </c>
      <c r="E271" s="1507">
        <v>1.0098798495673293</v>
      </c>
      <c r="F271" s="1507">
        <v>26.453221123895936</v>
      </c>
      <c r="K271" s="1625">
        <v>42328</v>
      </c>
      <c r="L271" s="1626" t="s">
        <v>2301</v>
      </c>
      <c r="M271" s="1627">
        <v>5.2531000000000001E-2</v>
      </c>
      <c r="N271" s="1628">
        <v>1.0967875563548004</v>
      </c>
      <c r="O271" s="1628">
        <v>1.0967875563548004</v>
      </c>
    </row>
    <row r="272" spans="2:15">
      <c r="B272" s="1506">
        <v>40695</v>
      </c>
      <c r="C272" s="1507">
        <v>464.46300000000002</v>
      </c>
      <c r="D272" s="1507">
        <v>3319.55</v>
      </c>
      <c r="E272" s="1507">
        <v>1.0095627565914342</v>
      </c>
      <c r="F272" s="1507">
        <v>26.706186838563141</v>
      </c>
      <c r="K272" s="1625">
        <v>42329</v>
      </c>
      <c r="L272" s="1626"/>
      <c r="M272" s="1627">
        <v>0</v>
      </c>
      <c r="N272" s="1628">
        <v>1.0967875563548004</v>
      </c>
      <c r="O272" s="1628">
        <v>1.0967875563548004</v>
      </c>
    </row>
    <row r="273" spans="2:15">
      <c r="B273" s="1506">
        <v>40725</v>
      </c>
      <c r="C273" s="1507">
        <v>463.92700000000002</v>
      </c>
      <c r="D273" s="1507">
        <v>3324.86</v>
      </c>
      <c r="E273" s="1507">
        <v>1.0096788504099796</v>
      </c>
      <c r="F273" s="1507">
        <v>26.96467202599456</v>
      </c>
      <c r="K273" s="1625">
        <v>42330</v>
      </c>
      <c r="L273" s="1626"/>
      <c r="M273" s="1627">
        <v>0</v>
      </c>
      <c r="N273" s="1628">
        <v>1.0967875563548004</v>
      </c>
      <c r="O273" s="1628">
        <v>1.0967875563548004</v>
      </c>
    </row>
    <row r="274" spans="2:15">
      <c r="B274" s="1506">
        <v>40756</v>
      </c>
      <c r="C274" s="1507">
        <v>465.96800000000002</v>
      </c>
      <c r="D274" s="1507">
        <v>3337.16</v>
      </c>
      <c r="E274" s="1507">
        <v>1.0107406292787873</v>
      </c>
      <c r="F274" s="1507">
        <v>27.254289571849853</v>
      </c>
      <c r="K274" s="1625">
        <v>42331</v>
      </c>
      <c r="L274" s="1626" t="s">
        <v>2301</v>
      </c>
      <c r="M274" s="1627">
        <v>5.2531000000000001E-2</v>
      </c>
      <c r="N274" s="1628">
        <v>1.0973637098260292</v>
      </c>
      <c r="O274" s="1628">
        <v>1.0973637098260292</v>
      </c>
    </row>
    <row r="275" spans="2:15">
      <c r="B275" s="1506">
        <v>40787</v>
      </c>
      <c r="C275" s="1507">
        <v>468.97500000000002</v>
      </c>
      <c r="D275" s="1507">
        <v>3354.85</v>
      </c>
      <c r="E275" s="1507">
        <v>1.00941760689889</v>
      </c>
      <c r="F275" s="1507">
        <v>27.510959757346054</v>
      </c>
      <c r="K275" s="1625">
        <v>42332</v>
      </c>
      <c r="L275" s="1626" t="s">
        <v>2301</v>
      </c>
      <c r="M275" s="1627">
        <v>5.2531000000000001E-2</v>
      </c>
      <c r="N275" s="1628">
        <v>1.0979401659564378</v>
      </c>
      <c r="O275" s="1628">
        <v>1.0979401659564378</v>
      </c>
    </row>
    <row r="276" spans="2:15">
      <c r="B276" s="1506">
        <v>40817</v>
      </c>
      <c r="C276" s="1507">
        <v>471.46600000000001</v>
      </c>
      <c r="D276" s="1507">
        <v>3369.28</v>
      </c>
      <c r="E276" s="1507">
        <v>1.0088195463919019</v>
      </c>
      <c r="F276" s="1507">
        <v>27.753593943211712</v>
      </c>
      <c r="K276" s="1625">
        <v>42333</v>
      </c>
      <c r="L276" s="1626" t="s">
        <v>2301</v>
      </c>
      <c r="M276" s="1627">
        <v>5.2531000000000001E-2</v>
      </c>
      <c r="N276" s="1628">
        <v>1.0985169249050164</v>
      </c>
      <c r="O276" s="1628">
        <v>1.0985169249050164</v>
      </c>
    </row>
    <row r="277" spans="2:15">
      <c r="B277" s="1506">
        <v>40848</v>
      </c>
      <c r="C277" s="1507">
        <v>473.80799999999999</v>
      </c>
      <c r="D277" s="1507">
        <v>3386.8</v>
      </c>
      <c r="E277" s="1507">
        <v>1.0086047745492386</v>
      </c>
      <c r="F277" s="1507">
        <v>27.992407362024164</v>
      </c>
      <c r="K277" s="1625">
        <v>42334</v>
      </c>
      <c r="L277" s="1626" t="s">
        <v>2301</v>
      </c>
      <c r="M277" s="1627">
        <v>5.2531000000000001E-2</v>
      </c>
      <c r="N277" s="1628">
        <v>1.0990939868308383</v>
      </c>
      <c r="O277" s="1628">
        <v>1.0990939868308383</v>
      </c>
    </row>
    <row r="278" spans="2:15">
      <c r="B278" s="1506">
        <v>40878</v>
      </c>
      <c r="C278" s="1507">
        <v>473.25200000000001</v>
      </c>
      <c r="D278" s="1507">
        <v>3403.73</v>
      </c>
      <c r="E278" s="1507">
        <v>1.0090732804800764</v>
      </c>
      <c r="F278" s="1507">
        <v>28.246390325332364</v>
      </c>
      <c r="K278" s="1625">
        <v>42335</v>
      </c>
      <c r="L278" s="1626" t="s">
        <v>2301</v>
      </c>
      <c r="M278" s="1627">
        <v>5.2531000000000001E-2</v>
      </c>
      <c r="N278" s="1628">
        <v>1.0996713518930603</v>
      </c>
      <c r="O278" s="1628">
        <v>1.0996713518930603</v>
      </c>
    </row>
    <row r="279" spans="2:15">
      <c r="B279" s="1506">
        <v>40909</v>
      </c>
      <c r="C279" s="1507">
        <v>474.42899999999997</v>
      </c>
      <c r="D279" s="1507">
        <v>3422.79</v>
      </c>
      <c r="E279" s="1507">
        <v>1.0089101617717657</v>
      </c>
      <c r="F279" s="1507">
        <v>28.498070232599513</v>
      </c>
      <c r="K279" s="1625">
        <v>42336</v>
      </c>
      <c r="L279" s="1626"/>
      <c r="M279" s="1627">
        <v>0</v>
      </c>
      <c r="N279" s="1628">
        <v>1.0996713518930603</v>
      </c>
      <c r="O279" s="1628">
        <v>1.0996713518930603</v>
      </c>
    </row>
    <row r="280" spans="2:15">
      <c r="B280" s="1506">
        <v>40940</v>
      </c>
      <c r="C280" s="1507">
        <v>474.13799999999998</v>
      </c>
      <c r="D280" s="1507">
        <v>3438.19</v>
      </c>
      <c r="E280" s="1507">
        <v>1.0074877292470876</v>
      </c>
      <c r="F280" s="1507">
        <v>28.711456066565706</v>
      </c>
      <c r="K280" s="1625">
        <v>42337</v>
      </c>
      <c r="L280" s="1626"/>
      <c r="M280" s="1627">
        <v>0</v>
      </c>
      <c r="N280" s="1628">
        <v>1.0996713518930603</v>
      </c>
      <c r="O280" s="1628">
        <v>1.0996713518930603</v>
      </c>
    </row>
    <row r="281" spans="2:15">
      <c r="B281" s="1506">
        <v>40969</v>
      </c>
      <c r="C281" s="1507">
        <v>476.166</v>
      </c>
      <c r="D281" s="1507">
        <v>3445.41</v>
      </c>
      <c r="E281" s="1507">
        <v>1.0082113884808406</v>
      </c>
      <c r="F281" s="1507">
        <v>28.947216986178862</v>
      </c>
      <c r="K281" s="1625">
        <v>42338</v>
      </c>
      <c r="L281" s="1626" t="s">
        <v>2301</v>
      </c>
      <c r="M281" s="1627">
        <v>5.2531000000000001E-2</v>
      </c>
      <c r="N281" s="1628">
        <v>1.1002490202509232</v>
      </c>
      <c r="O281" s="1628">
        <v>1.1002490202509232</v>
      </c>
    </row>
    <row r="282" spans="2:15">
      <c r="B282" s="1506">
        <v>41000</v>
      </c>
      <c r="C282" s="1507">
        <v>480.22899999999998</v>
      </c>
      <c r="D282" s="1507">
        <v>3467.46</v>
      </c>
      <c r="E282" s="1507">
        <v>1.0071187588624242</v>
      </c>
      <c r="F282" s="1507">
        <v>29.15328524364174</v>
      </c>
      <c r="K282" s="1625">
        <v>42339</v>
      </c>
      <c r="L282" s="1626" t="s">
        <v>2301</v>
      </c>
      <c r="M282" s="1627">
        <v>5.2531000000000001E-2</v>
      </c>
      <c r="N282" s="1628">
        <v>1.1008269920637512</v>
      </c>
      <c r="O282" s="1628">
        <v>1.1008269920637512</v>
      </c>
    </row>
    <row r="283" spans="2:15">
      <c r="B283" s="1506">
        <v>41030</v>
      </c>
      <c r="C283" s="1507">
        <v>485.14</v>
      </c>
      <c r="D283" s="1507">
        <v>3479.94</v>
      </c>
      <c r="E283" s="1507">
        <v>1.007447242329657</v>
      </c>
      <c r="F283" s="1507">
        <v>29.370396823556753</v>
      </c>
      <c r="G283" s="11"/>
      <c r="K283" s="1625">
        <v>42340</v>
      </c>
      <c r="L283" s="1626" t="s">
        <v>2301</v>
      </c>
      <c r="M283" s="1627">
        <v>5.2531000000000001E-2</v>
      </c>
      <c r="N283" s="1628">
        <v>1.1014052674909522</v>
      </c>
      <c r="O283" s="1628">
        <v>1.1014052674909522</v>
      </c>
    </row>
    <row r="284" spans="2:15">
      <c r="B284" s="1506">
        <v>41061</v>
      </c>
      <c r="C284" s="1507">
        <v>488.34199999999998</v>
      </c>
      <c r="D284" s="1507">
        <v>3482.72</v>
      </c>
      <c r="E284" s="1507">
        <v>1.0064150263426446</v>
      </c>
      <c r="F284" s="1507">
        <v>29.558808692873793</v>
      </c>
      <c r="K284" s="1625">
        <v>42341</v>
      </c>
      <c r="L284" s="1626" t="s">
        <v>2301</v>
      </c>
      <c r="M284" s="1627">
        <v>5.2531000000000001E-2</v>
      </c>
      <c r="N284" s="1628">
        <v>1.101983846692018</v>
      </c>
      <c r="O284" s="1628">
        <v>1.101983846692018</v>
      </c>
    </row>
    <row r="285" spans="2:15">
      <c r="B285" s="1506">
        <v>41091</v>
      </c>
      <c r="C285" s="1507">
        <v>494.89100000000002</v>
      </c>
      <c r="D285" s="1507">
        <v>3497.7</v>
      </c>
      <c r="E285" s="1507">
        <v>1.0067996486835762</v>
      </c>
      <c r="F285" s="1507">
        <v>29.759798207490373</v>
      </c>
      <c r="K285" s="1625">
        <v>42342</v>
      </c>
      <c r="L285" s="1626" t="s">
        <v>2301</v>
      </c>
      <c r="M285" s="1627">
        <v>5.2531000000000001E-2</v>
      </c>
      <c r="N285" s="1628">
        <v>1.1025627298265237</v>
      </c>
      <c r="O285" s="1628">
        <v>1.1025627298265237</v>
      </c>
    </row>
    <row r="286" spans="2:15">
      <c r="B286" s="1506">
        <v>41122</v>
      </c>
      <c r="C286" s="1507">
        <v>501.95699999999999</v>
      </c>
      <c r="D286" s="1507">
        <v>3512.04</v>
      </c>
      <c r="E286" s="1507">
        <v>1.0069181066014252</v>
      </c>
      <c r="F286" s="1507">
        <v>29.965679663926696</v>
      </c>
      <c r="K286" s="1625">
        <v>42343</v>
      </c>
      <c r="L286" s="1626"/>
      <c r="M286" s="1627">
        <v>0</v>
      </c>
      <c r="N286" s="1628">
        <v>1.1025627298265237</v>
      </c>
      <c r="O286" s="1628">
        <v>1.1025627298265237</v>
      </c>
    </row>
    <row r="287" spans="2:15">
      <c r="B287" s="1506">
        <v>41153</v>
      </c>
      <c r="C287" s="1507">
        <v>506.80399999999997</v>
      </c>
      <c r="D287" s="1507">
        <v>3532.06</v>
      </c>
      <c r="E287" s="1507">
        <v>1.0053899533259578</v>
      </c>
      <c r="F287" s="1507">
        <v>30.127193278695866</v>
      </c>
      <c r="K287" s="1625">
        <v>42344</v>
      </c>
      <c r="L287" s="1626"/>
      <c r="M287" s="1627">
        <v>0</v>
      </c>
      <c r="N287" s="1628">
        <v>1.1025627298265237</v>
      </c>
      <c r="O287" s="1628">
        <v>1.1025627298265237</v>
      </c>
    </row>
    <row r="288" spans="2:15">
      <c r="B288" s="1506">
        <v>41183</v>
      </c>
      <c r="C288" s="1507">
        <v>506.92599999999999</v>
      </c>
      <c r="D288" s="1507">
        <v>3552.9</v>
      </c>
      <c r="E288" s="1507">
        <v>1.0061133864051108</v>
      </c>
      <c r="F288" s="1507">
        <v>30.311372452509993</v>
      </c>
      <c r="K288" s="1625">
        <v>42345</v>
      </c>
      <c r="L288" s="1626" t="s">
        <v>2301</v>
      </c>
      <c r="M288" s="1627">
        <v>5.2531000000000001E-2</v>
      </c>
      <c r="N288" s="1628">
        <v>1.1031419170541288</v>
      </c>
      <c r="O288" s="1628">
        <v>1.1031419170541288</v>
      </c>
    </row>
    <row r="289" spans="2:15">
      <c r="B289" s="1506">
        <v>41214</v>
      </c>
      <c r="C289" s="1507">
        <v>506.79500000000002</v>
      </c>
      <c r="D289" s="1507">
        <v>3574.22</v>
      </c>
      <c r="E289" s="1507">
        <v>1.0054884576647556</v>
      </c>
      <c r="F289" s="1507">
        <v>30.477735136976232</v>
      </c>
      <c r="K289" s="1625">
        <v>42346</v>
      </c>
      <c r="L289" s="1626" t="s">
        <v>2301</v>
      </c>
      <c r="M289" s="1627">
        <v>5.2531000000000001E-2</v>
      </c>
      <c r="N289" s="1628">
        <v>1.1037214085345766</v>
      </c>
      <c r="O289" s="1628">
        <v>1.1037214085345766</v>
      </c>
    </row>
    <row r="290" spans="2:15">
      <c r="B290" s="1506">
        <v>41244</v>
      </c>
      <c r="C290" s="1507">
        <v>510.25200000000001</v>
      </c>
      <c r="D290" s="1507">
        <v>3602.46</v>
      </c>
      <c r="E290" s="1507">
        <v>1.0055015154231364</v>
      </c>
      <c r="F290" s="1507">
        <v>30.645408866894574</v>
      </c>
      <c r="K290" s="1625">
        <v>42347</v>
      </c>
      <c r="L290" s="1626" t="s">
        <v>2301</v>
      </c>
      <c r="M290" s="1627">
        <v>5.2531000000000001E-2</v>
      </c>
      <c r="N290" s="1628">
        <v>1.1043012044276939</v>
      </c>
      <c r="O290" s="1628">
        <v>1.1043012044276939</v>
      </c>
    </row>
    <row r="291" spans="2:15">
      <c r="B291" s="1506">
        <v>41275</v>
      </c>
      <c r="C291" s="1507">
        <v>511.97699999999998</v>
      </c>
      <c r="D291" s="1507">
        <v>3633.44</v>
      </c>
      <c r="E291" s="1507">
        <v>1.0060143970219473</v>
      </c>
      <c r="F291" s="1507">
        <v>30.82972252271998</v>
      </c>
      <c r="K291" s="1625">
        <v>42348</v>
      </c>
      <c r="L291" s="1626" t="s">
        <v>2301</v>
      </c>
      <c r="M291" s="1627">
        <v>5.2531000000000001E-2</v>
      </c>
      <c r="N291" s="1628">
        <v>1.1048813048933919</v>
      </c>
      <c r="O291" s="1628">
        <v>1.1048813048933919</v>
      </c>
    </row>
    <row r="292" spans="2:15">
      <c r="B292" s="1506">
        <v>41306</v>
      </c>
      <c r="C292" s="1507">
        <v>513.46699999999998</v>
      </c>
      <c r="D292" s="1507">
        <v>3655.24</v>
      </c>
      <c r="E292" s="1507">
        <v>1.0049274991744226</v>
      </c>
      <c r="F292" s="1507">
        <v>30.98163595499836</v>
      </c>
      <c r="K292" s="1625">
        <v>42349</v>
      </c>
      <c r="L292" s="1626" t="s">
        <v>2301</v>
      </c>
      <c r="M292" s="1627">
        <v>5.2531000000000001E-2</v>
      </c>
      <c r="N292" s="1628">
        <v>1.1054617100916655</v>
      </c>
      <c r="O292" s="1628">
        <v>1.1054617100916655</v>
      </c>
    </row>
    <row r="293" spans="2:15">
      <c r="B293" s="1506">
        <v>41334</v>
      </c>
      <c r="C293" s="1507">
        <v>514.52599999999995</v>
      </c>
      <c r="D293" s="1507">
        <v>3672.42</v>
      </c>
      <c r="E293" s="1507">
        <v>1.0054940366101026</v>
      </c>
      <c r="F293" s="1507">
        <v>31.151850197175992</v>
      </c>
      <c r="K293" s="1625">
        <v>42350</v>
      </c>
      <c r="L293" s="1626"/>
      <c r="M293" s="1627">
        <v>0</v>
      </c>
      <c r="N293" s="1628">
        <v>1.1054617100916655</v>
      </c>
      <c r="O293" s="1628">
        <v>1.1054617100916655</v>
      </c>
    </row>
    <row r="294" spans="2:15">
      <c r="B294" s="1506">
        <v>41365</v>
      </c>
      <c r="C294" s="1507">
        <v>515.27599999999995</v>
      </c>
      <c r="D294" s="1507">
        <v>3692.62</v>
      </c>
      <c r="E294" s="1507">
        <v>1.0061364605097283</v>
      </c>
      <c r="F294" s="1507">
        <v>31.343012295715933</v>
      </c>
      <c r="K294" s="1625">
        <v>42351</v>
      </c>
      <c r="L294" s="1626"/>
      <c r="M294" s="1627">
        <v>0</v>
      </c>
      <c r="N294" s="1628">
        <v>1.1054617100916655</v>
      </c>
      <c r="O294" s="1628">
        <v>1.1054617100916655</v>
      </c>
    </row>
    <row r="295" spans="2:15">
      <c r="B295" s="1506">
        <v>41395</v>
      </c>
      <c r="C295" s="1507">
        <v>515.29899999999998</v>
      </c>
      <c r="D295" s="1507">
        <v>3706.28</v>
      </c>
      <c r="E295" s="1507">
        <v>1.0059853629993882</v>
      </c>
      <c r="F295" s="1507">
        <v>31.530611601800082</v>
      </c>
      <c r="K295" s="1625">
        <v>42352</v>
      </c>
      <c r="L295" s="1626" t="s">
        <v>2301</v>
      </c>
      <c r="M295" s="1627">
        <v>5.2531000000000001E-2</v>
      </c>
      <c r="N295" s="1628">
        <v>1.1060424201825938</v>
      </c>
      <c r="O295" s="1628">
        <v>1.1060424201825938</v>
      </c>
    </row>
    <row r="296" spans="2:15">
      <c r="B296" s="1506">
        <v>41426</v>
      </c>
      <c r="C296" s="1507">
        <v>519.15300000000002</v>
      </c>
      <c r="D296" s="1507">
        <v>3715.92</v>
      </c>
      <c r="E296" s="1507">
        <v>1.0060527337434972</v>
      </c>
      <c r="F296" s="1507">
        <v>31.721457998595405</v>
      </c>
      <c r="G296" s="66"/>
      <c r="K296" s="1625">
        <v>42353</v>
      </c>
      <c r="L296" s="1626" t="s">
        <v>2301</v>
      </c>
      <c r="M296" s="1627">
        <v>5.2531000000000001E-2</v>
      </c>
      <c r="N296" s="1628">
        <v>1.10662343532634</v>
      </c>
      <c r="O296" s="1628">
        <v>1.10662343532634</v>
      </c>
    </row>
    <row r="297" spans="2:15">
      <c r="B297" s="1506">
        <v>41456</v>
      </c>
      <c r="C297" s="1507">
        <v>520.50800000000004</v>
      </c>
      <c r="D297" s="1507">
        <v>3717.03</v>
      </c>
      <c r="E297" s="1507">
        <v>1.0072409169740031</v>
      </c>
      <c r="F297" s="1507">
        <v>31.951150442257561</v>
      </c>
      <c r="K297" s="1625">
        <v>42354</v>
      </c>
      <c r="L297" s="1626" t="s">
        <v>2301</v>
      </c>
      <c r="M297" s="1627">
        <v>5.2531000000000001E-2</v>
      </c>
      <c r="N297" s="1628">
        <v>1.1072047556831512</v>
      </c>
      <c r="O297" s="1628">
        <v>1.1072047556831512</v>
      </c>
    </row>
    <row r="298" spans="2:15">
      <c r="B298" s="1506">
        <v>41487</v>
      </c>
      <c r="C298" s="1507">
        <v>521.27</v>
      </c>
      <c r="D298" s="1507">
        <v>3725.95</v>
      </c>
      <c r="E298" s="1507">
        <v>1.0071031495053051</v>
      </c>
      <c r="F298" s="1507">
        <v>32.178104240715413</v>
      </c>
      <c r="K298" s="1625">
        <v>42355</v>
      </c>
      <c r="L298" s="1626" t="s">
        <v>2301</v>
      </c>
      <c r="M298" s="1627">
        <v>5.2531000000000001E-2</v>
      </c>
      <c r="N298" s="1628">
        <v>1.1077863814133591</v>
      </c>
      <c r="O298" s="1628">
        <v>1.1077863814133591</v>
      </c>
    </row>
    <row r="299" spans="2:15">
      <c r="B299" s="1506">
        <v>41518</v>
      </c>
      <c r="C299" s="1507">
        <v>529.08500000000004</v>
      </c>
      <c r="D299" s="1507">
        <v>3738.99</v>
      </c>
      <c r="E299" s="1507">
        <v>1.0071302882501354</v>
      </c>
      <c r="F299" s="1507">
        <v>32.407543399294617</v>
      </c>
      <c r="K299" s="1625">
        <v>42356</v>
      </c>
      <c r="L299" s="1626" t="s">
        <v>2301</v>
      </c>
      <c r="M299" s="1627">
        <v>5.2531000000000001E-2</v>
      </c>
      <c r="N299" s="1628">
        <v>1.1083683126773793</v>
      </c>
      <c r="O299" s="1628">
        <v>1.1083683126773793</v>
      </c>
    </row>
    <row r="300" spans="2:15">
      <c r="B300" s="1506">
        <v>41548</v>
      </c>
      <c r="C300" s="1507">
        <v>533.62099999999998</v>
      </c>
      <c r="D300" s="1507">
        <v>3760.3</v>
      </c>
      <c r="E300" s="1507">
        <v>1.0081051023495244</v>
      </c>
      <c r="F300" s="1507">
        <v>32.670209855442558</v>
      </c>
      <c r="G300" s="67"/>
      <c r="K300" s="1625">
        <v>42357</v>
      </c>
      <c r="L300" s="1626"/>
      <c r="M300" s="1627">
        <v>0</v>
      </c>
      <c r="N300" s="1628">
        <v>1.1083683126773793</v>
      </c>
      <c r="O300" s="1628">
        <v>1.1083683126773793</v>
      </c>
    </row>
    <row r="301" spans="2:15">
      <c r="B301" s="1506">
        <v>41579</v>
      </c>
      <c r="C301" s="1507">
        <v>535.16800000000001</v>
      </c>
      <c r="D301" s="1507">
        <v>3780.61</v>
      </c>
      <c r="E301" s="1507">
        <v>1.0071920752752215</v>
      </c>
      <c r="F301" s="1507">
        <v>32.905176463980183</v>
      </c>
      <c r="G301" s="67"/>
      <c r="K301" s="1625">
        <v>42358</v>
      </c>
      <c r="L301" s="1626"/>
      <c r="M301" s="1627">
        <v>0</v>
      </c>
      <c r="N301" s="1628">
        <v>1.1083683126773793</v>
      </c>
      <c r="O301" s="1628">
        <v>1.1083683126773793</v>
      </c>
    </row>
    <row r="302" spans="2:15">
      <c r="B302" s="1506">
        <v>41609</v>
      </c>
      <c r="C302" s="1507">
        <v>538.37</v>
      </c>
      <c r="D302" s="1507">
        <v>3815.39</v>
      </c>
      <c r="E302" s="1507">
        <v>1.0078974581644051</v>
      </c>
      <c r="F302" s="1507">
        <v>33.165043718496833</v>
      </c>
      <c r="G302" s="66"/>
      <c r="K302" s="1625">
        <v>42359</v>
      </c>
      <c r="L302" s="1626" t="s">
        <v>2301</v>
      </c>
      <c r="M302" s="1627">
        <v>5.2531000000000001E-2</v>
      </c>
      <c r="N302" s="1628">
        <v>1.1089505496357119</v>
      </c>
      <c r="O302" s="1628">
        <v>1.1089505496357119</v>
      </c>
    </row>
    <row r="303" spans="2:15">
      <c r="B303" s="1506">
        <v>41640</v>
      </c>
      <c r="C303" s="1507">
        <v>540.95899999999995</v>
      </c>
      <c r="D303" s="1507">
        <v>3836.38</v>
      </c>
      <c r="E303" s="1507">
        <v>1.0084934395272054</v>
      </c>
      <c r="F303" s="1507">
        <v>33.446729011737006</v>
      </c>
      <c r="K303" s="1625">
        <v>42360</v>
      </c>
      <c r="L303" s="1626" t="s">
        <v>2301</v>
      </c>
      <c r="M303" s="1627">
        <v>5.2531000000000001E-2</v>
      </c>
      <c r="N303" s="1628">
        <v>1.109533092448941</v>
      </c>
      <c r="O303" s="1628">
        <v>1.109533092448941</v>
      </c>
    </row>
    <row r="304" spans="2:15">
      <c r="B304" s="1506">
        <v>41671</v>
      </c>
      <c r="C304" s="1507">
        <v>543.03800000000001</v>
      </c>
      <c r="D304" s="1507">
        <v>3862.84</v>
      </c>
      <c r="E304" s="1507">
        <v>1.007901464239193</v>
      </c>
      <c r="F304" s="1507">
        <v>33.711007144941227</v>
      </c>
      <c r="K304" s="1625">
        <v>42361</v>
      </c>
      <c r="L304" s="1626" t="s">
        <v>2301</v>
      </c>
      <c r="M304" s="1627">
        <v>5.2531000000000001E-2</v>
      </c>
      <c r="N304" s="1628">
        <v>1.1101159412777355</v>
      </c>
      <c r="O304" s="1628">
        <v>1.1101159412777355</v>
      </c>
    </row>
    <row r="305" spans="2:15">
      <c r="B305" s="1506">
        <v>41699</v>
      </c>
      <c r="C305" s="1507">
        <v>552.08699999999999</v>
      </c>
      <c r="D305" s="1507">
        <v>3898.38</v>
      </c>
      <c r="E305" s="1507">
        <v>1.0076595732083427</v>
      </c>
      <c r="F305" s="1507">
        <v>33.969219072094866</v>
      </c>
      <c r="K305" s="1625">
        <v>42362</v>
      </c>
      <c r="L305" s="1626" t="s">
        <v>2301</v>
      </c>
      <c r="M305" s="1627">
        <v>5.2531000000000001E-2</v>
      </c>
      <c r="N305" s="1628">
        <v>1.110699096282848</v>
      </c>
      <c r="O305" s="1628">
        <v>1.110699096282848</v>
      </c>
    </row>
    <row r="306" spans="2:15">
      <c r="B306" s="1506">
        <v>41730</v>
      </c>
      <c r="C306" s="1507">
        <v>556.41999999999996</v>
      </c>
      <c r="D306" s="1507">
        <v>3924.5</v>
      </c>
      <c r="E306" s="1507">
        <v>1.0082266762081393</v>
      </c>
      <c r="F306" s="1507">
        <v>34.248672838444342</v>
      </c>
      <c r="K306" s="1625">
        <v>42363</v>
      </c>
      <c r="L306" s="1626"/>
      <c r="M306" s="1627">
        <v>0</v>
      </c>
      <c r="N306" s="1628">
        <v>1.110699096282848</v>
      </c>
      <c r="O306" s="1628">
        <v>1.110699096282848</v>
      </c>
    </row>
    <row r="307" spans="2:15">
      <c r="B307" s="1506">
        <v>41760</v>
      </c>
      <c r="C307" s="1507">
        <v>555.67899999999997</v>
      </c>
      <c r="D307" s="1507">
        <v>3942.55</v>
      </c>
      <c r="E307" s="1507">
        <v>1.0086587318278823</v>
      </c>
      <c r="F307" s="1507">
        <v>34.545222912013308</v>
      </c>
      <c r="K307" s="1625">
        <v>42364</v>
      </c>
      <c r="L307" s="1626"/>
      <c r="M307" s="1627">
        <v>0</v>
      </c>
      <c r="N307" s="1628">
        <v>1.110699096282848</v>
      </c>
      <c r="O307" s="1628">
        <v>1.110699096282848</v>
      </c>
    </row>
    <row r="308" spans="2:15">
      <c r="B308" s="1506">
        <v>41791</v>
      </c>
      <c r="C308" s="1507">
        <v>551.55399999999997</v>
      </c>
      <c r="D308" s="1507">
        <v>3958.32</v>
      </c>
      <c r="E308" s="1507">
        <v>1.0082447163000285</v>
      </c>
      <c r="F308" s="1507">
        <v>34.830038474444102</v>
      </c>
      <c r="K308" s="1625">
        <v>42365</v>
      </c>
      <c r="L308" s="1626"/>
      <c r="M308" s="1627">
        <v>0</v>
      </c>
      <c r="N308" s="1628">
        <v>1.110699096282848</v>
      </c>
      <c r="O308" s="1628">
        <v>1.110699096282848</v>
      </c>
    </row>
    <row r="309" spans="2:15">
      <c r="B309" s="1506">
        <v>41821</v>
      </c>
      <c r="C309" s="1507">
        <v>548.202</v>
      </c>
      <c r="D309" s="1507">
        <v>3958.72</v>
      </c>
      <c r="E309" s="1507">
        <v>1.0094872729749897</v>
      </c>
      <c r="F309" s="1507">
        <v>35.160480557180549</v>
      </c>
      <c r="K309" s="1625">
        <v>42366</v>
      </c>
      <c r="L309" s="1626" t="s">
        <v>2301</v>
      </c>
      <c r="M309" s="1627">
        <v>5.2531000000000001E-2</v>
      </c>
      <c r="N309" s="1628">
        <v>1.1112825576251164</v>
      </c>
      <c r="O309" s="1628">
        <v>1.1112825576251164</v>
      </c>
    </row>
    <row r="310" spans="2:15">
      <c r="B310" s="1506">
        <v>41852</v>
      </c>
      <c r="C310" s="1507">
        <v>546.745</v>
      </c>
      <c r="D310" s="1507">
        <v>3968.62</v>
      </c>
      <c r="E310" s="1507">
        <v>1.0086598207325679</v>
      </c>
      <c r="F310" s="1507">
        <v>35.464964015676671</v>
      </c>
      <c r="K310" s="1625">
        <v>42367</v>
      </c>
      <c r="L310" s="1626" t="s">
        <v>2301</v>
      </c>
      <c r="M310" s="1627">
        <v>5.2531000000000001E-2</v>
      </c>
      <c r="N310" s="1628">
        <v>1.1118663254654624</v>
      </c>
      <c r="O310" s="1628">
        <v>1.1118663254654624</v>
      </c>
    </row>
    <row r="311" spans="2:15">
      <c r="B311" s="1506">
        <v>41883</v>
      </c>
      <c r="C311" s="1507">
        <v>547.83900000000006</v>
      </c>
      <c r="D311" s="1507">
        <v>3991.24</v>
      </c>
      <c r="E311" s="1507">
        <v>1.0090729173629331</v>
      </c>
      <c r="F311" s="1507">
        <v>35.786734703470302</v>
      </c>
      <c r="K311" s="1625">
        <v>42368</v>
      </c>
      <c r="L311" s="1626" t="s">
        <v>2301</v>
      </c>
      <c r="M311" s="1627">
        <v>5.2531000000000001E-2</v>
      </c>
      <c r="N311" s="1628">
        <v>1.1124503999648927</v>
      </c>
      <c r="O311" s="1628">
        <v>1.1124503999648927</v>
      </c>
    </row>
    <row r="312" spans="2:15">
      <c r="B312" s="1506">
        <v>41913</v>
      </c>
      <c r="C312" s="1507">
        <v>549.39599999999996</v>
      </c>
      <c r="D312" s="1507">
        <v>4008</v>
      </c>
      <c r="E312" s="1507">
        <v>1.009505315279368</v>
      </c>
      <c r="F312" s="1507">
        <v>36.126898899645887</v>
      </c>
      <c r="K312" s="1625">
        <v>42369</v>
      </c>
      <c r="L312" s="1626" t="s">
        <v>2301</v>
      </c>
      <c r="M312" s="1627">
        <v>5.2531000000000001E-2</v>
      </c>
      <c r="N312" s="1628">
        <v>1.1130347812844983</v>
      </c>
      <c r="O312" s="1628">
        <v>1.1130347812844983</v>
      </c>
    </row>
    <row r="313" spans="2:15">
      <c r="B313" s="1506">
        <v>41944</v>
      </c>
      <c r="C313" s="1507">
        <v>554.76900000000001</v>
      </c>
      <c r="D313" s="1507">
        <v>4028.44</v>
      </c>
      <c r="E313" s="1507">
        <v>1.0084249317586502</v>
      </c>
      <c r="F313" s="1507">
        <v>36.431265557527063</v>
      </c>
      <c r="K313" s="1625">
        <v>42370</v>
      </c>
      <c r="L313" s="1626"/>
      <c r="M313" s="1627">
        <v>0</v>
      </c>
      <c r="N313" s="1628">
        <v>1.1130347812844983</v>
      </c>
      <c r="O313" s="1628">
        <v>1.1130347812844983</v>
      </c>
    </row>
    <row r="314" spans="2:15">
      <c r="B314" s="1506">
        <v>41974</v>
      </c>
      <c r="C314" s="1507">
        <v>558.21299999999997</v>
      </c>
      <c r="D314" s="1507">
        <v>4059.86</v>
      </c>
      <c r="E314" s="1507">
        <v>1.0096129495106978</v>
      </c>
      <c r="F314" s="1507">
        <v>36.781477473942395</v>
      </c>
      <c r="K314" s="1625">
        <v>42371</v>
      </c>
      <c r="L314" s="1626"/>
      <c r="M314" s="1627">
        <v>0</v>
      </c>
      <c r="N314" s="1628">
        <v>1.1130347812844983</v>
      </c>
      <c r="O314" s="1628">
        <v>1.1130347812844983</v>
      </c>
    </row>
    <row r="315" spans="2:15">
      <c r="B315" s="1506">
        <v>42005</v>
      </c>
      <c r="C315" s="1507">
        <v>562.48199999999997</v>
      </c>
      <c r="D315" s="1507">
        <v>4110.2</v>
      </c>
      <c r="E315" s="1507">
        <v>1.0093507541041149</v>
      </c>
      <c r="F315" s="1507">
        <v>37.12541202538727</v>
      </c>
      <c r="K315" s="1625">
        <v>42372</v>
      </c>
      <c r="L315" s="1626"/>
      <c r="M315" s="1627">
        <v>0</v>
      </c>
      <c r="N315" s="1628">
        <v>1.1130347812844983</v>
      </c>
      <c r="O315" s="1628">
        <v>1.1130347812844983</v>
      </c>
    </row>
    <row r="316" spans="2:15">
      <c r="B316" s="1506">
        <v>42036</v>
      </c>
      <c r="C316" s="1507">
        <v>564.00400000000002</v>
      </c>
      <c r="D316" s="1507">
        <v>4160.34</v>
      </c>
      <c r="E316" s="1507">
        <v>1.0082241099890967</v>
      </c>
      <c r="F316" s="1507">
        <v>37.43073549727459</v>
      </c>
      <c r="K316" s="1625">
        <v>42373</v>
      </c>
      <c r="L316" s="1626" t="s">
        <v>2301</v>
      </c>
      <c r="M316" s="1627">
        <v>5.2531000000000001E-2</v>
      </c>
      <c r="N316" s="1628">
        <v>1.1136194695854549</v>
      </c>
      <c r="O316" s="1628">
        <v>1.1136194695854549</v>
      </c>
    </row>
    <row r="317" spans="2:15">
      <c r="B317" s="1506">
        <v>42064</v>
      </c>
      <c r="C317" s="1507">
        <v>569.53599999999994</v>
      </c>
      <c r="D317" s="1507">
        <v>4215.26</v>
      </c>
      <c r="E317" s="1507">
        <v>1.0103996710699541</v>
      </c>
      <c r="F317" s="1507">
        <v>37.820002834352699</v>
      </c>
      <c r="K317" s="1625">
        <v>42374</v>
      </c>
      <c r="L317" s="1626" t="s">
        <v>2301</v>
      </c>
      <c r="M317" s="1627">
        <v>5.2531000000000001E-2</v>
      </c>
      <c r="N317" s="1628">
        <v>1.1142044650290228</v>
      </c>
      <c r="O317" s="1628">
        <v>1.1142044650290228</v>
      </c>
    </row>
    <row r="318" spans="2:15">
      <c r="B318" s="1506">
        <v>42095</v>
      </c>
      <c r="C318" s="1507">
        <v>576.17499999999995</v>
      </c>
      <c r="D318" s="1507">
        <v>4245.1899999999996</v>
      </c>
      <c r="E318" s="1507">
        <v>1.0095179160892187</v>
      </c>
      <c r="F318" s="1507">
        <v>38.179970447824083</v>
      </c>
      <c r="K318" s="1625">
        <v>42375</v>
      </c>
      <c r="L318" s="1626" t="s">
        <v>2301</v>
      </c>
      <c r="M318" s="1627">
        <v>5.2531000000000001E-2</v>
      </c>
      <c r="N318" s="1628">
        <v>1.1147897677765473</v>
      </c>
      <c r="O318" s="1628">
        <v>1.1147897677765473</v>
      </c>
    </row>
    <row r="319" spans="2:15">
      <c r="B319" s="1506">
        <v>42125</v>
      </c>
      <c r="C319" s="1507">
        <v>578.51599999999996</v>
      </c>
      <c r="D319" s="1507">
        <v>4276.6000000000004</v>
      </c>
      <c r="E319" s="1507">
        <v>1.0098532226245138</v>
      </c>
      <c r="F319" s="1507">
        <v>38.556166196443854</v>
      </c>
      <c r="K319" s="1625">
        <v>42376</v>
      </c>
      <c r="L319" s="1626" t="s">
        <v>2301</v>
      </c>
      <c r="M319" s="1627">
        <v>5.2531000000000001E-2</v>
      </c>
      <c r="N319" s="1628">
        <v>1.115375377989458</v>
      </c>
      <c r="O319" s="1628">
        <v>1.115375377989458</v>
      </c>
    </row>
    <row r="320" spans="2:15">
      <c r="B320" s="1506">
        <v>42156</v>
      </c>
      <c r="C320" s="1507">
        <v>582.40099999999995</v>
      </c>
      <c r="D320" s="1507">
        <v>4310.3900000000003</v>
      </c>
      <c r="E320" s="1507">
        <v>1.0106667572412273</v>
      </c>
      <c r="F320" s="1507">
        <v>38.967435461413736</v>
      </c>
      <c r="K320" s="1625">
        <v>42377</v>
      </c>
      <c r="L320" s="1626" t="s">
        <v>2301</v>
      </c>
      <c r="M320" s="1627">
        <v>5.2531000000000001E-2</v>
      </c>
      <c r="N320" s="1628">
        <v>1.1159612958292695</v>
      </c>
      <c r="O320" s="1628">
        <v>1.1159612958292695</v>
      </c>
    </row>
    <row r="321" spans="2:15">
      <c r="B321" s="1506">
        <v>42186</v>
      </c>
      <c r="C321" s="1507">
        <v>586.42600000000004</v>
      </c>
      <c r="D321" s="1507">
        <v>4337.1099999999997</v>
      </c>
      <c r="E321" s="1507">
        <v>1.0117819838421735</v>
      </c>
      <c r="F321" s="1507">
        <v>39.426549156391054</v>
      </c>
      <c r="K321" s="1625">
        <v>42378</v>
      </c>
      <c r="L321" s="1626"/>
      <c r="M321" s="1627">
        <v>0</v>
      </c>
      <c r="N321" s="1628">
        <v>1.1159612958292695</v>
      </c>
      <c r="O321" s="1628">
        <v>1.1159612958292695</v>
      </c>
    </row>
    <row r="322" spans="2:15">
      <c r="B322" s="1506">
        <v>42217</v>
      </c>
      <c r="C322" s="1507">
        <v>588.04200000000003</v>
      </c>
      <c r="D322" s="1507">
        <v>4346.6499999999996</v>
      </c>
      <c r="E322" s="1507">
        <v>1.0110896528780247</v>
      </c>
      <c r="F322" s="1507">
        <v>39.863775900713804</v>
      </c>
      <c r="K322" s="1625">
        <v>42379</v>
      </c>
      <c r="L322" s="1626"/>
      <c r="M322" s="1627">
        <v>0</v>
      </c>
      <c r="N322" s="1628">
        <v>1.1159612958292695</v>
      </c>
      <c r="O322" s="1628">
        <v>1.1159612958292695</v>
      </c>
    </row>
    <row r="323" spans="2:15">
      <c r="B323" s="1506">
        <v>42248</v>
      </c>
      <c r="C323" s="1507">
        <v>593.60599999999999</v>
      </c>
      <c r="D323" s="1507">
        <v>4370.12</v>
      </c>
      <c r="E323" s="1507">
        <v>1.0110896528780244</v>
      </c>
      <c r="F323" s="1507">
        <v>40.305851337860076</v>
      </c>
      <c r="K323" s="1625">
        <v>42380</v>
      </c>
      <c r="L323" s="1626" t="s">
        <v>2301</v>
      </c>
      <c r="M323" s="1627">
        <v>5.2531000000000001E-2</v>
      </c>
      <c r="N323" s="1628">
        <v>1.1165475214575815</v>
      </c>
      <c r="O323" s="1628">
        <v>1.1165475214575815</v>
      </c>
    </row>
    <row r="324" spans="2:15">
      <c r="B324" s="1506">
        <v>42278</v>
      </c>
      <c r="C324" s="1507">
        <v>604.83199999999999</v>
      </c>
      <c r="D324" s="1507">
        <v>4405.95</v>
      </c>
      <c r="E324" s="1507">
        <v>1.0110896528780242</v>
      </c>
      <c r="F324" s="1507">
        <v>40.752829238150191</v>
      </c>
      <c r="K324" s="1625">
        <v>42381</v>
      </c>
      <c r="L324" s="1626" t="s">
        <v>2301</v>
      </c>
      <c r="M324" s="1627">
        <v>5.2531000000000001E-2</v>
      </c>
      <c r="N324" s="1628">
        <v>1.1171340550360784</v>
      </c>
      <c r="O324" s="1628">
        <v>1.1171340550360784</v>
      </c>
    </row>
    <row r="325" spans="2:15">
      <c r="B325" s="1506">
        <v>42309</v>
      </c>
      <c r="C325" s="1507">
        <v>614.05100000000004</v>
      </c>
      <c r="D325" s="1507">
        <v>4450.45</v>
      </c>
      <c r="E325" s="1507">
        <v>1.0105587962367735</v>
      </c>
      <c r="F325" s="1507">
        <v>41.183130058147846</v>
      </c>
      <c r="K325" s="1625">
        <v>42382</v>
      </c>
      <c r="L325" s="1626" t="s">
        <v>2301</v>
      </c>
      <c r="M325" s="1627">
        <v>5.2531000000000001E-2</v>
      </c>
      <c r="N325" s="1628">
        <v>1.1177208967265295</v>
      </c>
      <c r="O325" s="1628">
        <v>1.1177208967265295</v>
      </c>
    </row>
    <row r="326" spans="2:15">
      <c r="B326" s="1506">
        <v>42339</v>
      </c>
      <c r="C326" s="1507">
        <v>617.04399999999998</v>
      </c>
      <c r="D326" s="1507">
        <v>4493.17</v>
      </c>
      <c r="E326" s="1507">
        <v>1.0116207883835777</v>
      </c>
      <c r="F326" s="1507">
        <v>41.66171049752694</v>
      </c>
      <c r="K326" s="1625">
        <v>42383</v>
      </c>
      <c r="L326" s="1626" t="s">
        <v>2301</v>
      </c>
      <c r="M326" s="1627">
        <v>5.2531000000000001E-2</v>
      </c>
      <c r="N326" s="1628">
        <v>1.1183080466907889</v>
      </c>
      <c r="O326" s="1628">
        <v>1.1183080466907889</v>
      </c>
    </row>
    <row r="327" spans="2:15">
      <c r="B327" s="1506">
        <v>42370</v>
      </c>
      <c r="C327" s="1507">
        <v>624.05999999999995</v>
      </c>
      <c r="D327" s="1507">
        <v>4550.2299999999996</v>
      </c>
      <c r="E327" s="1507">
        <v>1.0105587962367735</v>
      </c>
      <c r="F327" s="1507">
        <v>42.101608009545771</v>
      </c>
      <c r="K327" s="1625">
        <v>42384</v>
      </c>
      <c r="L327" s="1626" t="s">
        <v>2301</v>
      </c>
      <c r="M327" s="1627">
        <v>5.2531000000000001E-2</v>
      </c>
      <c r="N327" s="1628">
        <v>1.118895505090796</v>
      </c>
      <c r="O327" s="1628">
        <v>1.118895505090796</v>
      </c>
    </row>
    <row r="328" spans="2:15">
      <c r="B328" s="1506">
        <v>42401</v>
      </c>
      <c r="C328" s="1507">
        <v>632.11400000000003</v>
      </c>
      <c r="D328" s="1507">
        <v>4591.18</v>
      </c>
      <c r="E328" s="1507">
        <v>1.0100282183134115</v>
      </c>
      <c r="F328" s="1507">
        <v>42.523812126011173</v>
      </c>
      <c r="K328" s="1625">
        <v>42385</v>
      </c>
      <c r="L328" s="1626"/>
      <c r="M328" s="1627">
        <v>0</v>
      </c>
      <c r="N328" s="1628">
        <v>1.118895505090796</v>
      </c>
      <c r="O328" s="1628">
        <v>1.118895505090796</v>
      </c>
    </row>
    <row r="329" spans="2:15">
      <c r="B329" s="1506">
        <v>42430</v>
      </c>
      <c r="C329" s="1507">
        <v>635.34900000000005</v>
      </c>
      <c r="D329" s="1507">
        <v>4610.92</v>
      </c>
      <c r="E329" s="1507">
        <v>1.0116207883835779</v>
      </c>
      <c r="F329" s="1507">
        <v>43.017972347990572</v>
      </c>
      <c r="K329" s="1625">
        <v>42386</v>
      </c>
      <c r="L329" s="1626"/>
      <c r="M329" s="1627">
        <v>0</v>
      </c>
      <c r="N329" s="1628">
        <v>1.118895505090796</v>
      </c>
      <c r="O329" s="1628">
        <v>1.118895505090796</v>
      </c>
    </row>
    <row r="330" spans="2:15">
      <c r="B330" s="1506">
        <v>42461</v>
      </c>
      <c r="C330" s="1507">
        <v>637.43399999999997</v>
      </c>
      <c r="D330" s="1507">
        <v>4639.05</v>
      </c>
      <c r="E330" s="1507">
        <v>1.0105587962367735</v>
      </c>
      <c r="F330" s="1507">
        <v>43.472190352532159</v>
      </c>
      <c r="K330" s="1625">
        <v>42387</v>
      </c>
      <c r="L330" s="1626" t="s">
        <v>2301</v>
      </c>
      <c r="M330" s="1627">
        <v>5.2531000000000001E-2</v>
      </c>
      <c r="N330" s="1628">
        <v>1.1194832720885752</v>
      </c>
      <c r="O330" s="1628">
        <v>1.1194832720885752</v>
      </c>
    </row>
    <row r="331" spans="2:15">
      <c r="B331" s="1506">
        <v>42491</v>
      </c>
      <c r="C331" s="1507">
        <v>642.65099999999995</v>
      </c>
      <c r="D331" s="1507">
        <v>4675.2299999999996</v>
      </c>
      <c r="E331" s="1507">
        <v>1.0110896528780244</v>
      </c>
      <c r="F331" s="1507">
        <v>43.954281853389141</v>
      </c>
      <c r="K331" s="1625">
        <v>42388</v>
      </c>
      <c r="L331" s="1626" t="s">
        <v>2301</v>
      </c>
      <c r="M331" s="1627">
        <v>5.2531000000000001E-2</v>
      </c>
      <c r="N331" s="1628">
        <v>1.1200713478462361</v>
      </c>
      <c r="O331" s="1628">
        <v>1.1200713478462361</v>
      </c>
    </row>
    <row r="332" spans="2:15">
      <c r="B332" s="1506">
        <v>42522</v>
      </c>
      <c r="C332" s="1507">
        <v>653.49599999999998</v>
      </c>
      <c r="D332" s="1507">
        <v>4691.59</v>
      </c>
      <c r="E332" s="1507">
        <v>1.0116207883835777</v>
      </c>
      <c r="F332" s="1507">
        <v>44.465065261359506</v>
      </c>
      <c r="K332" s="1625">
        <v>42389</v>
      </c>
      <c r="L332" s="1626" t="s">
        <v>2301</v>
      </c>
      <c r="M332" s="1627">
        <v>5.2531000000000001E-2</v>
      </c>
      <c r="N332" s="1628">
        <v>1.1206597325259733</v>
      </c>
      <c r="O332" s="1628">
        <v>1.1206597325259733</v>
      </c>
    </row>
    <row r="333" spans="2:15">
      <c r="B333" s="1506">
        <v>42552</v>
      </c>
      <c r="C333" s="1507">
        <v>654.64099999999996</v>
      </c>
      <c r="D333" s="1507">
        <v>4715.99</v>
      </c>
      <c r="E333" s="1507">
        <v>1.0110896528780242</v>
      </c>
      <c r="F333" s="1507">
        <v>44.958167400306678</v>
      </c>
      <c r="K333" s="1625">
        <v>42390</v>
      </c>
      <c r="L333" s="1626" t="s">
        <v>2301</v>
      </c>
      <c r="M333" s="1627">
        <v>5.2531000000000001E-2</v>
      </c>
      <c r="N333" s="1628">
        <v>1.1212484262900666</v>
      </c>
      <c r="O333" s="1628">
        <v>1.1212484262900666</v>
      </c>
    </row>
    <row r="334" spans="2:15">
      <c r="B334" s="1506">
        <v>42583</v>
      </c>
      <c r="C334" s="1507">
        <v>655.60199999999998</v>
      </c>
      <c r="D334" s="1507">
        <v>4736.74</v>
      </c>
      <c r="E334" s="1507">
        <v>1.0121522028999232</v>
      </c>
      <c r="F334" s="1507">
        <v>45.504508172563916</v>
      </c>
      <c r="K334" s="1625">
        <v>42391</v>
      </c>
      <c r="L334" s="1626" t="s">
        <v>2301</v>
      </c>
      <c r="M334" s="1627">
        <v>5.2531000000000001E-2</v>
      </c>
      <c r="N334" s="1628">
        <v>1.121837429300881</v>
      </c>
      <c r="O334" s="1628">
        <v>1.121837429300881</v>
      </c>
    </row>
    <row r="335" spans="2:15">
      <c r="B335" s="1506">
        <v>42614</v>
      </c>
      <c r="C335" s="1507">
        <v>656.89400000000001</v>
      </c>
      <c r="D335" s="1507">
        <v>4740.53</v>
      </c>
      <c r="E335" s="1507">
        <v>1.0110896528780247</v>
      </c>
      <c r="F335" s="1507">
        <v>46.009137372582884</v>
      </c>
      <c r="K335" s="1625">
        <v>42392</v>
      </c>
      <c r="L335" s="1626"/>
      <c r="M335" s="1627">
        <v>0</v>
      </c>
      <c r="N335" s="1628">
        <v>1.121837429300881</v>
      </c>
      <c r="O335" s="1628">
        <v>1.121837429300881</v>
      </c>
    </row>
    <row r="336" spans="2:15">
      <c r="B336" s="1506">
        <v>42644</v>
      </c>
      <c r="C336" s="1507">
        <v>657.92700000000002</v>
      </c>
      <c r="D336" s="1507">
        <v>4752.8599999999997</v>
      </c>
      <c r="E336" s="1507">
        <v>1.0104884196148551</v>
      </c>
      <c r="F336" s="1507">
        <v>46.491700511464046</v>
      </c>
      <c r="K336" s="1625">
        <v>42393</v>
      </c>
      <c r="L336" s="1626"/>
      <c r="M336" s="1627">
        <v>0</v>
      </c>
      <c r="N336" s="1628">
        <v>1.121837429300881</v>
      </c>
      <c r="O336" s="1628">
        <v>1.121837429300881</v>
      </c>
    </row>
    <row r="337" spans="2:15">
      <c r="B337" s="1506">
        <v>42675</v>
      </c>
      <c r="C337" s="1507">
        <v>657.75199999999995</v>
      </c>
      <c r="D337" s="1507">
        <v>4761.42</v>
      </c>
      <c r="E337" s="1507">
        <v>1.0103828638714687</v>
      </c>
      <c r="F337" s="1507">
        <v>46.974417509027667</v>
      </c>
      <c r="K337" s="1625">
        <v>42394</v>
      </c>
      <c r="L337" s="1626" t="s">
        <v>2301</v>
      </c>
      <c r="M337" s="1627">
        <v>5.2531000000000001E-2</v>
      </c>
      <c r="N337" s="1628">
        <v>1.1224267417208671</v>
      </c>
      <c r="O337" s="1628">
        <v>1.1224267417208671</v>
      </c>
    </row>
    <row r="338" spans="2:15">
      <c r="B338" s="1506">
        <v>42705</v>
      </c>
      <c r="C338" s="1507">
        <v>661.30399999999997</v>
      </c>
      <c r="D338" s="1507">
        <v>4775.7</v>
      </c>
      <c r="E338" s="1507">
        <v>1.0112331468569866</v>
      </c>
      <c r="F338" s="1507">
        <v>47.502088039427981</v>
      </c>
      <c r="K338" s="1625">
        <v>42395</v>
      </c>
      <c r="L338" s="1626" t="s">
        <v>2301</v>
      </c>
      <c r="M338" s="1627">
        <v>5.2531000000000001E-2</v>
      </c>
      <c r="N338" s="1628">
        <v>1.1230163637125605</v>
      </c>
      <c r="O338" s="1628">
        <v>1.1230163637125605</v>
      </c>
    </row>
    <row r="339" spans="2:15">
      <c r="B339" s="1506">
        <v>42736</v>
      </c>
      <c r="C339" s="1507">
        <v>665.54200000000003</v>
      </c>
      <c r="D339" s="1507">
        <v>4793.8500000000004</v>
      </c>
      <c r="E339" s="1507">
        <v>1.0108612048503447</v>
      </c>
      <c r="F339" s="1507">
        <v>48.018017948443315</v>
      </c>
      <c r="K339" s="1625">
        <v>42396</v>
      </c>
      <c r="L339" s="1626" t="s">
        <v>2301</v>
      </c>
      <c r="M339" s="1627">
        <v>5.2531000000000001E-2</v>
      </c>
      <c r="N339" s="1628">
        <v>1.1236062954385824</v>
      </c>
      <c r="O339" s="1628">
        <v>1.1236062954385824</v>
      </c>
    </row>
    <row r="340" spans="2:15">
      <c r="B340" s="1506">
        <v>42767</v>
      </c>
      <c r="C340" s="1507">
        <v>666.09900000000005</v>
      </c>
      <c r="D340" s="1507">
        <v>4809.67</v>
      </c>
      <c r="E340" s="1507">
        <v>1.0086508422083289</v>
      </c>
      <c r="F340" s="1507">
        <v>48.433414244872004</v>
      </c>
      <c r="K340" s="1625">
        <v>42397</v>
      </c>
      <c r="L340" s="1626" t="s">
        <v>2301</v>
      </c>
      <c r="M340" s="1627">
        <v>5.2531000000000001E-2</v>
      </c>
      <c r="N340" s="1628">
        <v>1.1241965370616391</v>
      </c>
      <c r="O340" s="1628">
        <v>1.1241965370616391</v>
      </c>
    </row>
    <row r="341" spans="2:15">
      <c r="B341" s="1506">
        <v>42795</v>
      </c>
      <c r="C341" s="1507">
        <v>666.197</v>
      </c>
      <c r="D341" s="1507">
        <v>4821.6899999999996</v>
      </c>
      <c r="E341" s="1507">
        <v>1.0105205646045978</v>
      </c>
      <c r="F341" s="1507">
        <v>48.94296110845643</v>
      </c>
      <c r="K341" s="1625">
        <v>42398</v>
      </c>
      <c r="L341" s="1626" t="s">
        <v>2301</v>
      </c>
      <c r="M341" s="1627">
        <v>5.2531000000000001E-2</v>
      </c>
      <c r="N341" s="1628">
        <v>1.124787088744523</v>
      </c>
      <c r="O341" s="1628">
        <v>1.124787088744523</v>
      </c>
    </row>
    <row r="342" spans="2:15">
      <c r="B342" s="1506">
        <v>42826</v>
      </c>
      <c r="C342" s="1507">
        <v>658.89800000000002</v>
      </c>
      <c r="D342" s="1507">
        <v>4828.4399999999996</v>
      </c>
      <c r="E342" s="1507">
        <v>1.0078658059100756</v>
      </c>
      <c r="F342" s="1507">
        <v>49.327936941199923</v>
      </c>
      <c r="K342" s="1625">
        <v>42399</v>
      </c>
      <c r="L342" s="1626"/>
      <c r="M342" s="1627">
        <v>0</v>
      </c>
      <c r="N342" s="1628">
        <v>1.124787088744523</v>
      </c>
      <c r="O342" s="1628">
        <v>1.124787088744523</v>
      </c>
    </row>
    <row r="343" spans="2:15">
      <c r="B343" s="1506">
        <v>42856</v>
      </c>
      <c r="C343" s="1507">
        <v>652.75800000000004</v>
      </c>
      <c r="D343" s="1507">
        <v>4843.41</v>
      </c>
      <c r="E343" s="1507">
        <v>1.0092713189779878</v>
      </c>
      <c r="F343" s="1507">
        <v>49.785271979107854</v>
      </c>
      <c r="K343" s="1625">
        <v>42400</v>
      </c>
      <c r="L343" s="1626"/>
      <c r="M343" s="1627">
        <v>0</v>
      </c>
      <c r="N343" s="1628">
        <v>1.124787088744523</v>
      </c>
      <c r="O343" s="1628">
        <v>1.124787088744523</v>
      </c>
    </row>
    <row r="344" spans="2:15">
      <c r="B344" s="1506">
        <v>42887</v>
      </c>
      <c r="C344" s="1507">
        <v>648.40899999999999</v>
      </c>
      <c r="D344" s="1507">
        <v>4832.2700000000004</v>
      </c>
      <c r="E344" s="1507">
        <v>1.0080886926571575</v>
      </c>
      <c r="F344" s="1507">
        <v>50.187969742999854</v>
      </c>
      <c r="K344" s="1625">
        <v>42401</v>
      </c>
      <c r="L344" s="1626" t="s">
        <v>2301</v>
      </c>
      <c r="M344" s="1627">
        <v>5.2531000000000001E-2</v>
      </c>
      <c r="N344" s="1628">
        <v>1.1253779506501114</v>
      </c>
      <c r="O344" s="1628">
        <v>1.1253779506501114</v>
      </c>
    </row>
    <row r="345" spans="2:15">
      <c r="B345" s="1506">
        <v>42917</v>
      </c>
      <c r="C345" s="1507">
        <v>643.76599999999996</v>
      </c>
      <c r="D345" s="1507">
        <v>4843.87</v>
      </c>
      <c r="E345" s="1507">
        <v>1.0079792299470567</v>
      </c>
      <c r="F345" s="1507">
        <v>50.588431094155176</v>
      </c>
      <c r="K345" s="1625">
        <v>42402</v>
      </c>
      <c r="L345" s="1626" t="s">
        <v>2301</v>
      </c>
      <c r="M345" s="1627">
        <v>5.2531000000000001E-2</v>
      </c>
      <c r="N345" s="1628">
        <v>1.1259691229413673</v>
      </c>
      <c r="O345" s="1628">
        <v>1.1259691229413673</v>
      </c>
    </row>
    <row r="346" spans="2:15">
      <c r="B346" s="1506">
        <v>42948</v>
      </c>
      <c r="C346" s="1507">
        <v>644.38300000000004</v>
      </c>
      <c r="D346" s="1507">
        <v>4853.07</v>
      </c>
      <c r="E346" s="1507">
        <v>1.0080228940119034</v>
      </c>
      <c r="F346" s="1507">
        <v>50.994296715052059</v>
      </c>
      <c r="K346" s="1625">
        <v>42403</v>
      </c>
      <c r="L346" s="1626" t="s">
        <v>2301</v>
      </c>
      <c r="M346" s="1627">
        <v>5.2531000000000001E-2</v>
      </c>
      <c r="N346" s="1628">
        <v>1.1265606057813395</v>
      </c>
      <c r="O346" s="1628">
        <v>1.1265606057813395</v>
      </c>
    </row>
    <row r="347" spans="2:15">
      <c r="B347" s="1506">
        <v>42979</v>
      </c>
      <c r="C347" s="1507">
        <v>647.4</v>
      </c>
      <c r="D347" s="1507">
        <v>4860.83</v>
      </c>
      <c r="E347" s="1507">
        <v>1.0063846003708505</v>
      </c>
      <c r="F347" s="1507">
        <v>51.319874920770239</v>
      </c>
      <c r="K347" s="1625">
        <v>42404</v>
      </c>
      <c r="L347" s="1626" t="s">
        <v>2301</v>
      </c>
      <c r="M347" s="1627">
        <v>5.2531000000000001E-2</v>
      </c>
      <c r="N347" s="1628">
        <v>1.1271523993331625</v>
      </c>
      <c r="O347" s="1628">
        <v>1.1271523993331625</v>
      </c>
    </row>
    <row r="348" spans="2:15">
      <c r="B348" s="1506">
        <v>43009</v>
      </c>
      <c r="C348" s="1507">
        <v>648.67200000000003</v>
      </c>
      <c r="D348" s="1507">
        <v>4881.25</v>
      </c>
      <c r="E348" s="1507">
        <v>1.0064393014601032</v>
      </c>
      <c r="F348" s="1507">
        <v>51.650339066279869</v>
      </c>
      <c r="K348" s="1625">
        <v>42405</v>
      </c>
      <c r="L348" s="1626" t="s">
        <v>2301</v>
      </c>
      <c r="M348" s="1627">
        <v>5.2531000000000001E-2</v>
      </c>
      <c r="N348" s="1628">
        <v>1.1277445037600562</v>
      </c>
      <c r="O348" s="1628">
        <v>1.1277445037600562</v>
      </c>
    </row>
    <row r="349" spans="2:15">
      <c r="B349" s="1506">
        <v>43040</v>
      </c>
      <c r="C349" s="1507">
        <v>652.07299999999998</v>
      </c>
      <c r="D349" s="1507">
        <v>4894.92</v>
      </c>
      <c r="E349" s="1507">
        <v>1.0056818783789492</v>
      </c>
      <c r="F349" s="1507">
        <v>51.943810011085958</v>
      </c>
      <c r="K349" s="1625">
        <v>42406</v>
      </c>
      <c r="L349" s="1626"/>
      <c r="M349" s="1627">
        <v>0</v>
      </c>
      <c r="N349" s="1628">
        <v>1.1277445037600562</v>
      </c>
      <c r="O349" s="1628">
        <v>1.1277445037600562</v>
      </c>
    </row>
    <row r="350" spans="2:15">
      <c r="B350" s="1506">
        <v>43070</v>
      </c>
      <c r="C350" s="1507">
        <v>657.85900000000004</v>
      </c>
      <c r="D350" s="1507">
        <v>4916.46</v>
      </c>
      <c r="E350" s="1507">
        <v>1.0053840004998948</v>
      </c>
      <c r="F350" s="1507">
        <v>52.223475510152085</v>
      </c>
      <c r="K350" s="1625">
        <v>42407</v>
      </c>
      <c r="L350" s="1626"/>
      <c r="M350" s="1627">
        <v>0</v>
      </c>
      <c r="N350" s="1628">
        <v>1.1277445037600562</v>
      </c>
      <c r="O350" s="1628">
        <v>1.1277445037600562</v>
      </c>
    </row>
    <row r="351" spans="2:15">
      <c r="B351" s="1506">
        <v>43101</v>
      </c>
      <c r="C351" s="1507">
        <v>662.82600000000002</v>
      </c>
      <c r="D351" s="1507">
        <v>4930.72</v>
      </c>
      <c r="E351" s="1507">
        <v>1.0058420473548675</v>
      </c>
      <c r="F351" s="1507">
        <v>52.528567527118156</v>
      </c>
      <c r="K351" s="1625">
        <v>42408</v>
      </c>
      <c r="L351" s="1626"/>
      <c r="M351" s="1627">
        <v>0</v>
      </c>
      <c r="N351" s="1628">
        <v>1.1277445037600562</v>
      </c>
      <c r="O351" s="1628">
        <v>1.1277445037600562</v>
      </c>
    </row>
    <row r="352" spans="2:15">
      <c r="B352" s="1506">
        <v>43132</v>
      </c>
      <c r="C352" s="1507">
        <v>663.31100000000004</v>
      </c>
      <c r="D352" s="1507">
        <v>4946.5</v>
      </c>
      <c r="E352" s="1507">
        <v>1.0046560161193037</v>
      </c>
      <c r="F352" s="1507">
        <v>52.773141384248348</v>
      </c>
      <c r="K352" s="1625">
        <v>42409</v>
      </c>
      <c r="L352" s="1626"/>
      <c r="M352" s="1627">
        <v>0</v>
      </c>
      <c r="N352" s="1628">
        <v>1.1277445037600562</v>
      </c>
      <c r="O352" s="1628">
        <v>1.1277445037600562</v>
      </c>
    </row>
    <row r="353" spans="2:15">
      <c r="B353" s="1506">
        <v>43160</v>
      </c>
      <c r="C353" s="1507">
        <v>667.524</v>
      </c>
      <c r="D353" s="1507">
        <v>4950.95</v>
      </c>
      <c r="E353" s="1507">
        <v>1.0053234480536677</v>
      </c>
      <c r="F353" s="1507">
        <v>53.054076461036253</v>
      </c>
      <c r="K353" s="1625">
        <v>42410</v>
      </c>
      <c r="L353" s="1626" t="s">
        <v>2301</v>
      </c>
      <c r="M353" s="1627">
        <v>5.2531000000000001E-2</v>
      </c>
      <c r="N353" s="1628">
        <v>1.1283369192253263</v>
      </c>
      <c r="O353" s="1628">
        <v>1.1283369192253263</v>
      </c>
    </row>
    <row r="354" spans="2:15">
      <c r="B354" s="1506">
        <v>43191</v>
      </c>
      <c r="C354" s="1507">
        <v>671.327</v>
      </c>
      <c r="D354" s="1507">
        <v>4961.84</v>
      </c>
      <c r="E354" s="1507">
        <v>1.0051829489023658</v>
      </c>
      <c r="F354" s="1507">
        <v>53.329053028396011</v>
      </c>
      <c r="K354" s="1625">
        <v>42411</v>
      </c>
      <c r="L354" s="1626" t="s">
        <v>2301</v>
      </c>
      <c r="M354" s="1627">
        <v>5.2531000000000001E-2</v>
      </c>
      <c r="N354" s="1628">
        <v>1.1289296458923646</v>
      </c>
      <c r="O354" s="1628">
        <v>1.1289296458923646</v>
      </c>
    </row>
    <row r="355" spans="2:15">
      <c r="B355" s="1506">
        <v>43221</v>
      </c>
      <c r="C355" s="1507">
        <v>680.57899999999995</v>
      </c>
      <c r="D355" s="1507">
        <v>4981.6899999999996</v>
      </c>
      <c r="E355" s="1507">
        <v>1.0051829489023656</v>
      </c>
      <c r="F355" s="1507">
        <v>53.605454785253734</v>
      </c>
      <c r="G355" s="503"/>
      <c r="K355" s="1625">
        <v>42412</v>
      </c>
      <c r="L355" s="1626" t="s">
        <v>2301</v>
      </c>
      <c r="M355" s="1627">
        <v>5.2531000000000001E-2</v>
      </c>
      <c r="N355" s="1628">
        <v>1.1295226839246482</v>
      </c>
      <c r="O355" s="1628">
        <v>1.1295226839246482</v>
      </c>
    </row>
    <row r="356" spans="2:15">
      <c r="B356" s="1506">
        <v>43252</v>
      </c>
      <c r="C356" s="1507">
        <v>693.28700000000003</v>
      </c>
      <c r="D356" s="1507">
        <v>5044.46</v>
      </c>
      <c r="E356" s="1507">
        <v>1.0051829489023654</v>
      </c>
      <c r="F356" s="1507">
        <v>53.88328911829376</v>
      </c>
      <c r="G356" s="10"/>
      <c r="I356" s="10"/>
      <c r="K356" s="1625">
        <v>42413</v>
      </c>
      <c r="L356" s="1626"/>
      <c r="M356" s="1627">
        <v>0</v>
      </c>
      <c r="N356" s="1628">
        <v>1.1295226839246482</v>
      </c>
      <c r="O356" s="1628">
        <v>1.1295226839246482</v>
      </c>
    </row>
    <row r="357" spans="2:15">
      <c r="B357" s="1506">
        <v>43282</v>
      </c>
      <c r="C357" s="1507">
        <v>696.8</v>
      </c>
      <c r="D357" s="1507">
        <v>5061.1099999999997</v>
      </c>
      <c r="E357" s="1507">
        <v>1.0054304249443857</v>
      </c>
      <c r="F357" s="1507">
        <v>54.175898275607288</v>
      </c>
      <c r="G357" s="10"/>
      <c r="K357" s="1625">
        <v>42414</v>
      </c>
      <c r="L357" s="1626"/>
      <c r="M357" s="1627">
        <v>0</v>
      </c>
      <c r="N357" s="1628">
        <v>1.1295226839246482</v>
      </c>
      <c r="O357" s="1628">
        <v>1.1295226839246482</v>
      </c>
    </row>
    <row r="358" spans="2:15">
      <c r="B358" s="1506">
        <v>43313</v>
      </c>
      <c r="C358" s="1507">
        <v>701.67700000000002</v>
      </c>
      <c r="D358" s="1507">
        <v>5056.5600000000004</v>
      </c>
      <c r="E358" s="1507">
        <v>1.0056779619150069</v>
      </c>
      <c r="F358" s="1507">
        <v>54.483506962727475</v>
      </c>
      <c r="K358" s="1625">
        <v>42415</v>
      </c>
      <c r="L358" s="1626" t="s">
        <v>2301</v>
      </c>
      <c r="M358" s="1627">
        <v>5.2531000000000001E-2</v>
      </c>
      <c r="N358" s="1628">
        <v>1.1301160334857405</v>
      </c>
      <c r="O358" s="1628">
        <v>1.1301160334857405</v>
      </c>
    </row>
    <row r="359" spans="2:15">
      <c r="B359" s="1506">
        <v>43344</v>
      </c>
      <c r="C359" s="1507">
        <v>712.37300000000005</v>
      </c>
      <c r="D359" s="1507">
        <v>5080.83</v>
      </c>
      <c r="E359" s="1507">
        <v>1.0046881795441467</v>
      </c>
      <c r="F359" s="1507">
        <v>54.738935425563504</v>
      </c>
      <c r="K359" s="1625">
        <v>42416</v>
      </c>
      <c r="L359" s="1626" t="s">
        <v>2301</v>
      </c>
      <c r="M359" s="1627">
        <v>5.2531000000000001E-2</v>
      </c>
      <c r="N359" s="1628">
        <v>1.1307096947392909</v>
      </c>
      <c r="O359" s="1628">
        <v>1.1307096947392909</v>
      </c>
    </row>
    <row r="360" spans="2:15">
      <c r="B360" s="1506">
        <v>43374</v>
      </c>
      <c r="C360" s="1507">
        <v>718.68399999999997</v>
      </c>
      <c r="D360" s="1507">
        <v>5103.6899999999996</v>
      </c>
      <c r="E360" s="1507">
        <v>1.0054304249443855</v>
      </c>
      <c r="F360" s="1507">
        <v>55.036191105927593</v>
      </c>
      <c r="K360" s="1625">
        <v>42417</v>
      </c>
      <c r="L360" s="1626" t="s">
        <v>2301</v>
      </c>
      <c r="M360" s="1627">
        <v>5.2531000000000001E-2</v>
      </c>
      <c r="N360" s="1628">
        <v>1.1313036678490345</v>
      </c>
      <c r="O360" s="1628">
        <v>1.1313036678490345</v>
      </c>
    </row>
    <row r="361" spans="2:15">
      <c r="B361" s="1506">
        <v>43405</v>
      </c>
      <c r="C361" s="1507">
        <v>715.16600000000005</v>
      </c>
      <c r="D361" s="1507">
        <v>5092.97</v>
      </c>
      <c r="E361" s="1507">
        <v>1.0049355337739507</v>
      </c>
      <c r="F361" s="1507">
        <v>55.307824085920508</v>
      </c>
      <c r="K361" s="1625">
        <v>42418</v>
      </c>
      <c r="L361" s="1626" t="s">
        <v>2301</v>
      </c>
      <c r="M361" s="1627">
        <v>5.2531000000000001E-2</v>
      </c>
      <c r="N361" s="1628">
        <v>1.1318979529787923</v>
      </c>
      <c r="O361" s="1628">
        <v>1.1318979529787923</v>
      </c>
    </row>
    <row r="362" spans="2:15">
      <c r="B362" s="1506">
        <v>43435</v>
      </c>
      <c r="C362" s="1507">
        <v>707.44100000000003</v>
      </c>
      <c r="D362" s="1507">
        <v>5100.6099999999997</v>
      </c>
      <c r="E362" s="1507">
        <v>1.0049355337739507</v>
      </c>
      <c r="F362" s="1507">
        <v>55.580797719660296</v>
      </c>
      <c r="K362" s="1625">
        <v>42419</v>
      </c>
      <c r="L362" s="1626" t="s">
        <v>2301</v>
      </c>
      <c r="M362" s="1627">
        <v>5.2531000000000001E-2</v>
      </c>
      <c r="N362" s="1628">
        <v>1.1324925502924716</v>
      </c>
      <c r="O362" s="1628">
        <v>1.1324925502924716</v>
      </c>
    </row>
    <row r="363" spans="2:15">
      <c r="B363" s="1506">
        <v>43466</v>
      </c>
      <c r="C363" s="1507">
        <v>707.48800000000006</v>
      </c>
      <c r="D363" s="1507">
        <v>5116.93</v>
      </c>
      <c r="E363" s="1507">
        <v>1.0054304249443855</v>
      </c>
      <c r="F363" s="1507">
        <v>55.882625070025988</v>
      </c>
      <c r="K363" s="1625">
        <v>42420</v>
      </c>
      <c r="L363" s="1626"/>
      <c r="M363" s="1627">
        <v>0</v>
      </c>
      <c r="N363" s="1628">
        <v>1.1324925502924716</v>
      </c>
      <c r="O363" s="1628">
        <v>1.1324925502924716</v>
      </c>
    </row>
    <row r="364" spans="2:15">
      <c r="B364" s="1506">
        <v>43497</v>
      </c>
      <c r="C364" s="1507">
        <v>713.74699999999996</v>
      </c>
      <c r="D364" s="1507">
        <v>5138.93</v>
      </c>
      <c r="E364" s="1507">
        <v>1.0049355337739507</v>
      </c>
      <c r="F364" s="1507">
        <v>56.158435653436129</v>
      </c>
      <c r="K364" s="1625">
        <v>42421</v>
      </c>
      <c r="L364" s="1626"/>
      <c r="M364" s="1627">
        <v>0</v>
      </c>
      <c r="N364" s="1628">
        <v>1.1324925502924716</v>
      </c>
      <c r="O364" s="1628">
        <v>1.1324925502924716</v>
      </c>
    </row>
    <row r="365" spans="2:15">
      <c r="B365" s="1506">
        <v>43525</v>
      </c>
      <c r="C365" s="1507">
        <v>722.70699999999999</v>
      </c>
      <c r="D365" s="1507">
        <v>5177.47</v>
      </c>
      <c r="E365" s="1507">
        <v>1.0046881795441467</v>
      </c>
      <c r="F365" s="1507">
        <v>56.421716482697846</v>
      </c>
      <c r="K365" s="1625">
        <v>42422</v>
      </c>
      <c r="L365" s="1626" t="s">
        <v>2301</v>
      </c>
      <c r="M365" s="1627">
        <v>5.2531000000000001E-2</v>
      </c>
      <c r="N365" s="1628">
        <v>1.1330874599540657</v>
      </c>
      <c r="O365" s="1628">
        <v>1.1330874599540657</v>
      </c>
    </row>
    <row r="366" spans="2:15">
      <c r="B366" s="1506">
        <v>43556</v>
      </c>
      <c r="C366" s="1507">
        <v>729.346</v>
      </c>
      <c r="D366" s="1507">
        <v>5206.9799999999996</v>
      </c>
      <c r="E366" s="1507">
        <v>1.0051829489023654</v>
      </c>
      <c r="F366" s="1507">
        <v>56.714147356211413</v>
      </c>
      <c r="K366" s="1625">
        <v>42423</v>
      </c>
      <c r="L366" s="1626" t="s">
        <v>2301</v>
      </c>
      <c r="M366" s="1627">
        <v>5.2531000000000001E-2</v>
      </c>
      <c r="N366" s="1628">
        <v>1.1336826821276542</v>
      </c>
      <c r="O366" s="1628">
        <v>1.1336826821276542</v>
      </c>
    </row>
    <row r="367" spans="2:15">
      <c r="B367" s="1506">
        <v>43586</v>
      </c>
      <c r="C367" s="1507">
        <v>732.59500000000003</v>
      </c>
      <c r="D367" s="1507">
        <v>5213.75</v>
      </c>
      <c r="E367" s="1507">
        <v>1.0054304249443855</v>
      </c>
      <c r="F367" s="1507">
        <v>57.022129276714139</v>
      </c>
      <c r="K367" s="1625">
        <v>42424</v>
      </c>
      <c r="L367" s="1626" t="s">
        <v>2301</v>
      </c>
      <c r="M367" s="1627">
        <v>5.2531000000000001E-2</v>
      </c>
      <c r="N367" s="1628">
        <v>1.1342782169774026</v>
      </c>
      <c r="O367" s="1628">
        <v>1.1342782169774026</v>
      </c>
    </row>
    <row r="368" spans="2:15">
      <c r="B368" s="1506">
        <v>43617</v>
      </c>
      <c r="C368" s="1507">
        <v>738.42100000000005</v>
      </c>
      <c r="D368" s="1507">
        <v>5214.2700000000004</v>
      </c>
      <c r="E368" s="1507">
        <v>1.0046881795441465</v>
      </c>
      <c r="F368" s="1507">
        <v>57.289459256752906</v>
      </c>
      <c r="K368" s="1625">
        <v>42425</v>
      </c>
      <c r="L368" s="1626" t="s">
        <v>2301</v>
      </c>
      <c r="M368" s="1627">
        <v>5.2531000000000001E-2</v>
      </c>
      <c r="N368" s="1628">
        <v>1.134874064667563</v>
      </c>
      <c r="O368" s="1628">
        <v>1.134874064667563</v>
      </c>
    </row>
    <row r="369" spans="2:15">
      <c r="B369" s="1506">
        <v>43647</v>
      </c>
      <c r="C369" s="1507">
        <v>741.346</v>
      </c>
      <c r="D369" s="1507">
        <v>5224.18</v>
      </c>
      <c r="E369" s="1507">
        <v>1.0056779619150069</v>
      </c>
      <c r="F369" s="1507">
        <v>57.61474662454409</v>
      </c>
      <c r="K369" s="1625">
        <v>42426</v>
      </c>
      <c r="L369" s="1626" t="s">
        <v>2301</v>
      </c>
      <c r="M369" s="1627">
        <v>5.2531000000000001E-2</v>
      </c>
      <c r="N369" s="1628">
        <v>1.1354702253624736</v>
      </c>
      <c r="O369" s="1628">
        <v>1.1354702253624736</v>
      </c>
    </row>
    <row r="370" spans="2:15">
      <c r="B370" s="1506">
        <v>43678</v>
      </c>
      <c r="C370" s="1507">
        <v>736.40200000000004</v>
      </c>
      <c r="D370" s="1507">
        <v>5229.93</v>
      </c>
      <c r="E370" s="1507">
        <v>1.0050171948996307</v>
      </c>
      <c r="F370" s="1507">
        <v>57.903811037452265</v>
      </c>
      <c r="K370" s="1625">
        <v>42427</v>
      </c>
      <c r="L370" s="1626"/>
      <c r="M370" s="1627">
        <v>0</v>
      </c>
      <c r="N370" s="1628">
        <v>1.1354702253624736</v>
      </c>
      <c r="O370" s="1628">
        <v>1.1354702253624736</v>
      </c>
    </row>
    <row r="371" spans="2:15">
      <c r="B371" s="1506">
        <v>43709</v>
      </c>
      <c r="C371" s="1507">
        <v>736.36199999999997</v>
      </c>
      <c r="D371" s="1507">
        <v>5227.84</v>
      </c>
      <c r="E371" s="1507">
        <v>1.0046375999081099</v>
      </c>
      <c r="F371" s="1507">
        <v>58.172345746198765</v>
      </c>
      <c r="K371" s="1625">
        <v>42428</v>
      </c>
      <c r="L371" s="1626"/>
      <c r="M371" s="1627">
        <v>0</v>
      </c>
      <c r="N371" s="1628">
        <v>1.1354702253624736</v>
      </c>
      <c r="O371" s="1628">
        <v>1.1354702253624736</v>
      </c>
    </row>
    <row r="372" spans="2:15">
      <c r="B372" s="1506">
        <v>43739</v>
      </c>
      <c r="C372" s="1507">
        <v>741.33299999999997</v>
      </c>
      <c r="D372" s="1507">
        <v>5233.07</v>
      </c>
      <c r="E372" s="1507">
        <v>1.0047926409835022</v>
      </c>
      <c r="F372" s="1507">
        <v>58.451144914528456</v>
      </c>
      <c r="K372" s="1625">
        <v>42429</v>
      </c>
      <c r="L372" s="1626" t="s">
        <v>2301</v>
      </c>
      <c r="M372" s="1627">
        <v>5.2531000000000001E-2</v>
      </c>
      <c r="N372" s="1628">
        <v>1.1360666992265587</v>
      </c>
      <c r="O372" s="1628">
        <v>1.1360666992265587</v>
      </c>
    </row>
    <row r="373" spans="2:15">
      <c r="B373" s="1506">
        <v>43770</v>
      </c>
      <c r="C373" s="1507">
        <v>743.55799999999999</v>
      </c>
      <c r="D373" s="1507">
        <v>5259.76</v>
      </c>
      <c r="E373" s="1507">
        <v>1.0038038559813272</v>
      </c>
      <c r="F373" s="1507">
        <v>58.673484651727009</v>
      </c>
      <c r="K373" s="1625">
        <v>42430</v>
      </c>
      <c r="L373" s="1626" t="s">
        <v>2301</v>
      </c>
      <c r="M373" s="1627">
        <v>5.2531000000000001E-2</v>
      </c>
      <c r="N373" s="1628">
        <v>1.1366634864243295</v>
      </c>
      <c r="O373" s="1628">
        <v>1.1366634864243295</v>
      </c>
    </row>
    <row r="374" spans="2:15">
      <c r="B374" s="1506">
        <v>43800</v>
      </c>
      <c r="C374" s="1507">
        <v>759.11199999999997</v>
      </c>
      <c r="D374" s="1507">
        <v>5320.25</v>
      </c>
      <c r="E374" s="1507">
        <v>1.0037470387078873</v>
      </c>
      <c r="F374" s="1507">
        <v>58.893336469843661</v>
      </c>
      <c r="K374" s="1625">
        <v>42431</v>
      </c>
      <c r="L374" s="1626" t="s">
        <v>2301</v>
      </c>
      <c r="M374" s="1627">
        <v>5.2531000000000001E-2</v>
      </c>
      <c r="N374" s="1628">
        <v>1.1372605871203831</v>
      </c>
      <c r="O374" s="1628">
        <v>1.1372605871203831</v>
      </c>
    </row>
    <row r="375" spans="2:15">
      <c r="B375" s="1506">
        <v>43831</v>
      </c>
      <c r="C375" s="1507">
        <v>762.73299999999995</v>
      </c>
      <c r="D375" s="1507">
        <v>5331.42</v>
      </c>
      <c r="E375" s="1507">
        <v>1.00376633367529</v>
      </c>
      <c r="F375" s="1507">
        <v>59.115148426240218</v>
      </c>
      <c r="K375" s="1625">
        <v>42432</v>
      </c>
      <c r="L375" s="1626" t="s">
        <v>2301</v>
      </c>
      <c r="M375" s="1627">
        <v>5.2531000000000001E-2</v>
      </c>
      <c r="N375" s="1628">
        <v>1.1378580014794033</v>
      </c>
      <c r="O375" s="1628">
        <v>1.1378580014794033</v>
      </c>
    </row>
    <row r="376" spans="2:15">
      <c r="B376" s="1506">
        <v>43862</v>
      </c>
      <c r="C376" s="1507">
        <v>762.423</v>
      </c>
      <c r="D376" s="1507">
        <v>5344.75</v>
      </c>
      <c r="E376" s="1507">
        <v>1.0029372863155552</v>
      </c>
      <c r="F376" s="1507">
        <v>59.288786542754629</v>
      </c>
      <c r="K376" s="1625">
        <v>42433</v>
      </c>
      <c r="L376" s="1626" t="s">
        <v>2301</v>
      </c>
      <c r="M376" s="1627">
        <v>5.2531000000000001E-2</v>
      </c>
      <c r="N376" s="1628">
        <v>1.1384557296661604</v>
      </c>
      <c r="O376" s="1628">
        <v>1.1384557296661604</v>
      </c>
    </row>
    <row r="377" spans="2:15">
      <c r="B377" s="1506">
        <v>43891</v>
      </c>
      <c r="C377" s="1507">
        <v>771.90800000000002</v>
      </c>
      <c r="D377" s="1507">
        <v>5348.49</v>
      </c>
      <c r="E377" s="1507">
        <v>1.0033836914846632</v>
      </c>
      <c r="F377" s="1507">
        <v>59.489401504915364</v>
      </c>
      <c r="K377" s="1625">
        <v>42434</v>
      </c>
      <c r="L377" s="1626"/>
      <c r="M377" s="1627">
        <v>0</v>
      </c>
      <c r="N377" s="1628">
        <v>1.1384557296661604</v>
      </c>
      <c r="O377" s="1628">
        <v>1.1384557296661604</v>
      </c>
    </row>
    <row r="378" spans="2:15">
      <c r="B378" s="1506">
        <v>43922</v>
      </c>
      <c r="C378" s="1507">
        <v>778.101</v>
      </c>
      <c r="D378" s="1507">
        <v>5331.91</v>
      </c>
      <c r="E378" s="1507">
        <v>1.0028492490278405</v>
      </c>
      <c r="F378" s="1507">
        <v>59.658901624320052</v>
      </c>
      <c r="K378" s="1625">
        <v>42435</v>
      </c>
      <c r="L378" s="1626"/>
      <c r="M378" s="1627">
        <v>0</v>
      </c>
      <c r="N378" s="1628">
        <v>1.1384557296661604</v>
      </c>
      <c r="O378" s="1628">
        <v>1.1384557296661604</v>
      </c>
    </row>
    <row r="379" spans="2:15">
      <c r="B379" s="1506">
        <v>43952</v>
      </c>
      <c r="C379" s="1507">
        <v>780.28</v>
      </c>
      <c r="D379" s="1507">
        <v>5311.65</v>
      </c>
      <c r="E379" s="1507">
        <v>1.0023580961930716</v>
      </c>
      <c r="F379" s="1507">
        <v>59.799583053123193</v>
      </c>
      <c r="K379" s="1625">
        <v>42436</v>
      </c>
      <c r="L379" s="1626" t="s">
        <v>2301</v>
      </c>
      <c r="M379" s="1627">
        <v>5.2531000000000001E-2</v>
      </c>
      <c r="N379" s="1628">
        <v>1.1390537718455114</v>
      </c>
      <c r="O379" s="1628">
        <v>1.1390537718455114</v>
      </c>
    </row>
    <row r="380" spans="2:15">
      <c r="B380" s="1506">
        <v>43983</v>
      </c>
      <c r="C380" s="1507">
        <v>792.42899999999997</v>
      </c>
      <c r="D380" s="1507">
        <v>5325.46</v>
      </c>
      <c r="E380" s="1507">
        <v>1.0021233217736718</v>
      </c>
      <c r="F380" s="1507">
        <v>59.926556809876388</v>
      </c>
      <c r="K380" s="1625">
        <v>42437</v>
      </c>
      <c r="L380" s="1626" t="s">
        <v>2301</v>
      </c>
      <c r="M380" s="1627">
        <v>5.2531000000000001E-2</v>
      </c>
      <c r="N380" s="1628">
        <v>1.1396521281823995</v>
      </c>
      <c r="O380" s="1628">
        <v>1.1396521281823995</v>
      </c>
    </row>
    <row r="381" spans="2:15">
      <c r="B381" s="1506">
        <v>44013</v>
      </c>
      <c r="C381" s="1507">
        <v>810.08299999999997</v>
      </c>
      <c r="D381" s="1507">
        <v>5344.63</v>
      </c>
      <c r="E381" s="1507">
        <v>1.0019434641302636</v>
      </c>
      <c r="F381" s="1507">
        <v>60.043021923486585</v>
      </c>
      <c r="K381" s="1625">
        <v>42438</v>
      </c>
      <c r="L381" s="1626" t="s">
        <v>2301</v>
      </c>
      <c r="M381" s="1627">
        <v>5.2531000000000001E-2</v>
      </c>
      <c r="N381" s="1628">
        <v>1.1402507988418549</v>
      </c>
      <c r="O381" s="1628">
        <v>1.1402507988418549</v>
      </c>
    </row>
    <row r="382" spans="2:15">
      <c r="B382" s="1506">
        <v>44044</v>
      </c>
      <c r="C382" s="1507">
        <v>832.31299999999999</v>
      </c>
      <c r="D382" s="1507">
        <v>5357.46</v>
      </c>
      <c r="E382" s="1507">
        <v>1.0015988959789295</v>
      </c>
      <c r="F382" s="1507">
        <v>60.13902446980282</v>
      </c>
      <c r="K382" s="1625">
        <v>42439</v>
      </c>
      <c r="L382" s="1626" t="s">
        <v>2301</v>
      </c>
      <c r="M382" s="1627">
        <v>5.2531000000000001E-2</v>
      </c>
      <c r="N382" s="1628">
        <v>1.1408497839889944</v>
      </c>
      <c r="O382" s="1628">
        <v>1.1408497839889944</v>
      </c>
    </row>
    <row r="383" spans="2:15">
      <c r="B383" s="1506">
        <v>44075</v>
      </c>
      <c r="C383" s="1507">
        <v>868.44200000000001</v>
      </c>
      <c r="D383" s="1507">
        <v>5391.75</v>
      </c>
      <c r="E383" s="1507">
        <v>1.0015696620595307</v>
      </c>
      <c r="F383" s="1507">
        <v>60.233422414810256</v>
      </c>
      <c r="K383" s="1625">
        <v>42440</v>
      </c>
      <c r="L383" s="1626" t="s">
        <v>2301</v>
      </c>
      <c r="M383" s="1627">
        <v>5.2531000000000001E-2</v>
      </c>
      <c r="N383" s="1628">
        <v>1.1414490837890217</v>
      </c>
      <c r="O383" s="1628">
        <v>1.1414490837890217</v>
      </c>
    </row>
    <row r="384" spans="2:15">
      <c r="B384" s="1506">
        <v>44105</v>
      </c>
      <c r="C384" s="1507">
        <v>896.505</v>
      </c>
      <c r="D384" s="1507">
        <v>5438.12</v>
      </c>
      <c r="E384" s="1507">
        <v>1.00156966205953</v>
      </c>
      <c r="F384" s="1507">
        <v>60.327968532690427</v>
      </c>
      <c r="K384" s="1625">
        <v>42441</v>
      </c>
      <c r="L384" s="1626"/>
      <c r="M384" s="1627">
        <v>0</v>
      </c>
      <c r="N384" s="1628">
        <v>1.1414490837890217</v>
      </c>
      <c r="O384" s="1628">
        <v>1.1414490837890217</v>
      </c>
    </row>
    <row r="385" spans="2:15">
      <c r="B385" s="1506">
        <v>44136</v>
      </c>
      <c r="C385" s="1507">
        <v>925.88699999999994</v>
      </c>
      <c r="D385" s="1507">
        <v>5486.52</v>
      </c>
      <c r="E385" s="1507">
        <v>1.0014948604084073</v>
      </c>
      <c r="F385" s="1507">
        <v>60.418150424369585</v>
      </c>
      <c r="K385" s="1625">
        <v>42442</v>
      </c>
      <c r="L385" s="1626"/>
      <c r="M385" s="1627">
        <v>0</v>
      </c>
      <c r="N385" s="1628">
        <v>1.1414490837890217</v>
      </c>
      <c r="O385" s="1628">
        <v>1.1414490837890217</v>
      </c>
    </row>
    <row r="386" spans="2:15">
      <c r="B386" s="1506">
        <v>44166</v>
      </c>
      <c r="C386" s="1507">
        <v>934.75800000000004</v>
      </c>
      <c r="D386" s="1507">
        <v>5560.59</v>
      </c>
      <c r="E386" s="1507">
        <v>1.0016444692975899</v>
      </c>
      <c r="F386" s="1507">
        <v>60.517506217759632</v>
      </c>
      <c r="K386" s="1625">
        <v>42443</v>
      </c>
      <c r="L386" s="1626" t="s">
        <v>2301</v>
      </c>
      <c r="M386" s="1627">
        <v>5.2531000000000001E-2</v>
      </c>
      <c r="N386" s="1628">
        <v>1.1420486984072269</v>
      </c>
      <c r="O386" s="1628">
        <v>1.1420486984072269</v>
      </c>
    </row>
    <row r="387" spans="2:15">
      <c r="B387" s="1506">
        <v>44197</v>
      </c>
      <c r="C387" s="1507">
        <v>958.84400000000005</v>
      </c>
      <c r="D387" s="1507">
        <v>5574.49</v>
      </c>
      <c r="E387" s="1507">
        <v>1.0014948604084077</v>
      </c>
      <c r="F387" s="1507">
        <v>60.607971441820126</v>
      </c>
      <c r="K387" s="1625">
        <v>42444</v>
      </c>
      <c r="L387" s="1626" t="s">
        <v>2301</v>
      </c>
      <c r="M387" s="1627">
        <v>5.2531000000000001E-2</v>
      </c>
      <c r="N387" s="1628">
        <v>1.1426486280089871</v>
      </c>
      <c r="O387" s="1628">
        <v>1.1426486280089871</v>
      </c>
    </row>
    <row r="388" spans="2:15">
      <c r="B388" s="1506">
        <v>44228</v>
      </c>
      <c r="C388" s="1507">
        <v>983.06299999999999</v>
      </c>
      <c r="D388" s="1507">
        <v>5622.43</v>
      </c>
      <c r="E388" s="1507">
        <v>1.0013452738652961</v>
      </c>
      <c r="F388" s="1507">
        <v>60.689505761829423</v>
      </c>
      <c r="K388" s="1625">
        <v>42445</v>
      </c>
      <c r="L388" s="1626" t="s">
        <v>2301</v>
      </c>
      <c r="M388" s="1627">
        <v>5.2531000000000001E-2</v>
      </c>
      <c r="N388" s="1628">
        <v>1.1432488727597665</v>
      </c>
      <c r="O388" s="1628">
        <v>1.1432488727597665</v>
      </c>
    </row>
    <row r="389" spans="2:15">
      <c r="B389" s="1506">
        <v>44256</v>
      </c>
      <c r="C389" s="1507">
        <v>1011.948</v>
      </c>
      <c r="D389" s="1507">
        <v>5674.72</v>
      </c>
      <c r="E389" s="1507">
        <v>1.0020107988327946</v>
      </c>
      <c r="F389" s="1507">
        <v>60.811540149178192</v>
      </c>
      <c r="K389" s="1625">
        <v>42446</v>
      </c>
      <c r="L389" s="1626" t="s">
        <v>2301</v>
      </c>
      <c r="M389" s="1627">
        <v>5.2531000000000001E-2</v>
      </c>
      <c r="N389" s="1628">
        <v>1.1438494328251159</v>
      </c>
      <c r="O389" s="1628">
        <v>1.1438494328251159</v>
      </c>
    </row>
    <row r="390" spans="2:15">
      <c r="B390" s="1506">
        <v>44287</v>
      </c>
      <c r="C390" s="1507">
        <v>1027.211</v>
      </c>
      <c r="D390" s="1507">
        <v>5692.31</v>
      </c>
      <c r="E390" s="1507">
        <v>1.0020778480243349</v>
      </c>
      <c r="F390" s="1507">
        <v>60.937897287733925</v>
      </c>
      <c r="K390" s="1625">
        <v>42447</v>
      </c>
      <c r="L390" s="1626" t="s">
        <v>2301</v>
      </c>
      <c r="M390" s="1627">
        <v>5.2531000000000001E-2</v>
      </c>
      <c r="N390" s="1628">
        <v>1.1444503083706732</v>
      </c>
      <c r="O390" s="1628">
        <v>1.1444503083706732</v>
      </c>
    </row>
    <row r="391" spans="2:15">
      <c r="B391" s="1506">
        <v>44317</v>
      </c>
      <c r="C391" s="1507">
        <v>1069.289</v>
      </c>
      <c r="D391" s="1507">
        <v>5739.56</v>
      </c>
      <c r="E391" s="1507">
        <v>1.0027032626398216</v>
      </c>
      <c r="F391" s="1507">
        <v>61.102628428821141</v>
      </c>
      <c r="K391" s="1625">
        <v>42448</v>
      </c>
      <c r="L391" s="1626"/>
      <c r="M391" s="1627">
        <v>0</v>
      </c>
      <c r="N391" s="1628">
        <v>1.1444503083706732</v>
      </c>
      <c r="O391" s="1628">
        <v>1.1444503083706732</v>
      </c>
    </row>
    <row r="392" spans="2:15">
      <c r="B392" s="1506">
        <v>44348</v>
      </c>
      <c r="C392" s="1507">
        <v>1075.7329999999999</v>
      </c>
      <c r="D392" s="1507">
        <v>5769.98</v>
      </c>
      <c r="E392" s="1507">
        <v>1.0030777896833167</v>
      </c>
      <c r="F392" s="1507">
        <v>61.290689468222901</v>
      </c>
      <c r="K392" s="1625">
        <v>42449</v>
      </c>
      <c r="L392" s="1626"/>
      <c r="M392" s="1627">
        <v>0</v>
      </c>
      <c r="N392" s="1628">
        <v>1.1444503083706732</v>
      </c>
      <c r="O392" s="1628">
        <v>1.1444503083706732</v>
      </c>
    </row>
    <row r="393" spans="2:15">
      <c r="B393" s="1506">
        <v>44378</v>
      </c>
      <c r="C393" s="1507">
        <v>1084.095</v>
      </c>
      <c r="D393" s="1507">
        <v>5825.37</v>
      </c>
      <c r="E393" s="1507">
        <v>1.003556161780192</v>
      </c>
      <c r="F393" s="1507">
        <v>61.508649075591414</v>
      </c>
      <c r="K393" s="1625">
        <v>42450</v>
      </c>
      <c r="L393" s="1626" t="s">
        <v>2301</v>
      </c>
      <c r="M393" s="1627">
        <v>5.2531000000000001E-2</v>
      </c>
      <c r="N393" s="1628">
        <v>1.1450514995621635</v>
      </c>
      <c r="O393" s="1628">
        <v>1.1450514995621635</v>
      </c>
    </row>
    <row r="394" spans="2:15">
      <c r="B394" s="1506">
        <v>44409</v>
      </c>
      <c r="C394" s="1507">
        <v>1091.29</v>
      </c>
      <c r="D394" s="1507">
        <v>5876.05</v>
      </c>
      <c r="E394" s="1507">
        <v>1.0042795247734253</v>
      </c>
      <c r="F394" s="1507">
        <v>61.771876863090334</v>
      </c>
      <c r="K394" s="1625">
        <v>42451</v>
      </c>
      <c r="L394" s="1626" t="s">
        <v>2301</v>
      </c>
      <c r="M394" s="1627">
        <v>5.2531000000000001E-2</v>
      </c>
      <c r="N394" s="1628">
        <v>1.1456530065653985</v>
      </c>
      <c r="O394" s="1628">
        <v>1.1456530065653985</v>
      </c>
    </row>
    <row r="395" spans="2:15">
      <c r="B395" s="1506">
        <v>44440</v>
      </c>
      <c r="C395" s="1507">
        <v>1084.3119999999999</v>
      </c>
      <c r="D395" s="1507">
        <v>5944.21</v>
      </c>
      <c r="E395" s="1507">
        <v>1.0044199933223523</v>
      </c>
      <c r="F395" s="1507">
        <v>62.044908146334365</v>
      </c>
      <c r="K395" s="1625">
        <v>42452</v>
      </c>
      <c r="L395" s="1626" t="s">
        <v>2301</v>
      </c>
      <c r="M395" s="1627">
        <v>5.2531000000000001E-2</v>
      </c>
      <c r="N395" s="1628">
        <v>1.1462548295462773</v>
      </c>
      <c r="O395" s="1628">
        <v>1.1462548295462773</v>
      </c>
    </row>
    <row r="396" spans="2:15">
      <c r="B396" s="1506">
        <v>44470</v>
      </c>
      <c r="C396" s="1507">
        <v>1091.2829999999999</v>
      </c>
      <c r="D396" s="1507">
        <v>6018.51</v>
      </c>
      <c r="E396" s="1507">
        <v>1.0048599610251685</v>
      </c>
      <c r="F396" s="1507">
        <v>62.34644398173571</v>
      </c>
      <c r="K396" s="1625">
        <v>42453</v>
      </c>
      <c r="L396" s="1626" t="s">
        <v>2301</v>
      </c>
      <c r="M396" s="1627">
        <v>5.2531000000000001E-2</v>
      </c>
      <c r="N396" s="1628">
        <v>1.1468569686707863</v>
      </c>
      <c r="O396" s="1628">
        <v>1.1468569686707863</v>
      </c>
    </row>
    <row r="397" spans="2:15">
      <c r="B397" s="1506">
        <v>44501</v>
      </c>
      <c r="C397" s="1507">
        <v>1091.4829999999999</v>
      </c>
      <c r="D397" s="1507">
        <v>6075.69</v>
      </c>
      <c r="E397" s="1507">
        <v>1.0058674909390046</v>
      </c>
      <c r="F397" s="1507">
        <v>62.712261176877703</v>
      </c>
      <c r="K397" s="1625">
        <v>42454</v>
      </c>
      <c r="L397" s="1626"/>
      <c r="M397" s="1627">
        <v>0</v>
      </c>
      <c r="N397" s="1628">
        <v>1.1468569686707863</v>
      </c>
      <c r="O397" s="1628">
        <v>1.1468569686707863</v>
      </c>
    </row>
    <row r="398" spans="2:15">
      <c r="B398" s="1506">
        <v>44531</v>
      </c>
      <c r="C398" s="1507">
        <v>1100.9880000000001</v>
      </c>
      <c r="D398" s="1507">
        <v>6120.04</v>
      </c>
      <c r="E398" s="1507">
        <v>1.0076908308186336</v>
      </c>
      <c r="F398" s="1507">
        <v>63.194570567843037</v>
      </c>
      <c r="K398" s="1625">
        <v>42455</v>
      </c>
      <c r="L398" s="1626"/>
      <c r="M398" s="1627">
        <v>0</v>
      </c>
      <c r="N398" s="1628">
        <v>1.1468569686707863</v>
      </c>
      <c r="O398" s="1628">
        <v>1.1468569686707863</v>
      </c>
    </row>
    <row r="399" spans="2:15">
      <c r="B399" s="1506">
        <v>44562</v>
      </c>
      <c r="C399" s="1507">
        <v>1120.999</v>
      </c>
      <c r="D399" s="1507">
        <v>6153.09</v>
      </c>
      <c r="E399" s="1507">
        <v>1.0073227032460901</v>
      </c>
      <c r="F399" s="1507">
        <v>63.65732565487545</v>
      </c>
      <c r="K399" s="1625">
        <v>42456</v>
      </c>
      <c r="L399" s="1626"/>
      <c r="M399" s="1627">
        <v>0</v>
      </c>
      <c r="N399" s="1628">
        <v>1.1468569686707863</v>
      </c>
      <c r="O399" s="1628">
        <v>1.1468569686707863</v>
      </c>
    </row>
    <row r="400" spans="2:15">
      <c r="B400" s="1506">
        <v>44593</v>
      </c>
      <c r="C400" s="1507">
        <v>1141.546</v>
      </c>
      <c r="D400" s="1507">
        <v>6215.24</v>
      </c>
      <c r="E400" s="1507">
        <v>1.0075504098703885</v>
      </c>
      <c r="F400" s="1507">
        <v>64.13796455482256</v>
      </c>
      <c r="K400" s="1625">
        <v>42457</v>
      </c>
      <c r="L400" s="1626" t="s">
        <v>2301</v>
      </c>
      <c r="M400" s="1627">
        <v>5.2531000000000001E-2</v>
      </c>
      <c r="N400" s="1628">
        <v>1.1474594241049989</v>
      </c>
      <c r="O400" s="1628">
        <v>1.1474594241049989</v>
      </c>
    </row>
    <row r="401" spans="2:15">
      <c r="B401" s="1506">
        <v>44621</v>
      </c>
      <c r="C401" s="1507">
        <v>1161.4179999999999</v>
      </c>
      <c r="D401" s="1507">
        <v>6315.93</v>
      </c>
      <c r="E401" s="1507">
        <v>1.0092705386289318</v>
      </c>
      <c r="F401" s="1507">
        <v>64.732558032809095</v>
      </c>
      <c r="K401" s="1625">
        <v>42458</v>
      </c>
      <c r="L401" s="1626" t="s">
        <v>2301</v>
      </c>
      <c r="M401" s="1627">
        <v>5.2531000000000001E-2</v>
      </c>
      <c r="N401" s="1628">
        <v>1.1480621960150754</v>
      </c>
      <c r="O401" s="1628">
        <v>1.1480621960150754</v>
      </c>
    </row>
    <row r="402" spans="2:15">
      <c r="B402" s="1506">
        <v>44652</v>
      </c>
      <c r="C402" s="1507">
        <v>1177.809</v>
      </c>
      <c r="D402" s="1507">
        <v>6382.88</v>
      </c>
      <c r="E402" s="1507">
        <v>1.0083432052372134</v>
      </c>
      <c r="F402" s="1507">
        <v>65.272635050006656</v>
      </c>
      <c r="K402" s="1625">
        <v>42459</v>
      </c>
      <c r="L402" s="1626" t="s">
        <v>2301</v>
      </c>
      <c r="M402" s="1627">
        <v>5.2531000000000001E-2</v>
      </c>
      <c r="N402" s="1628">
        <v>1.148665284567264</v>
      </c>
      <c r="O402" s="1628">
        <v>1.148665284567264</v>
      </c>
    </row>
    <row r="403" spans="2:15">
      <c r="B403" s="1506">
        <v>44682</v>
      </c>
      <c r="C403" s="1507">
        <v>1183.953</v>
      </c>
      <c r="D403" s="1507">
        <v>6412.88</v>
      </c>
      <c r="E403" s="1507">
        <v>1.0103459230153136</v>
      </c>
      <c r="F403" s="1507">
        <v>65.947940707240676</v>
      </c>
      <c r="K403" s="1625">
        <v>42460</v>
      </c>
      <c r="L403" s="1626" t="s">
        <v>2301</v>
      </c>
      <c r="M403" s="1627">
        <v>5.2531000000000001E-2</v>
      </c>
      <c r="N403" s="1628">
        <v>1.1492686899279001</v>
      </c>
      <c r="O403" s="1628">
        <v>1.1492686899279001</v>
      </c>
    </row>
    <row r="404" spans="2:15">
      <c r="B404" s="1506">
        <v>44713</v>
      </c>
      <c r="C404" s="1507">
        <v>1190.8820000000001</v>
      </c>
      <c r="D404" s="1507">
        <v>6455.85</v>
      </c>
      <c r="E404" s="1507">
        <v>1.0101531560893695</v>
      </c>
      <c r="F404" s="1507">
        <v>66.617520443013774</v>
      </c>
      <c r="K404" s="1625">
        <v>42461</v>
      </c>
      <c r="L404" s="1626" t="s">
        <v>2301</v>
      </c>
      <c r="M404" s="1627">
        <v>5.2531000000000001E-2</v>
      </c>
      <c r="N404" s="1628">
        <v>1.1498724122634061</v>
      </c>
      <c r="O404" s="1628">
        <v>1.1498724122634061</v>
      </c>
    </row>
    <row r="405" spans="2:15">
      <c r="B405" s="1506">
        <v>44743</v>
      </c>
      <c r="C405" s="1507">
        <v>1197.0638684620001</v>
      </c>
      <c r="D405" s="1507">
        <v>6491.3184399000011</v>
      </c>
      <c r="E405" s="1507">
        <v>1.0103484243492924</v>
      </c>
      <c r="F405" s="1507">
        <v>67.306906813655743</v>
      </c>
      <c r="K405" s="1625">
        <v>42462</v>
      </c>
      <c r="L405" s="1626"/>
      <c r="M405" s="1627">
        <v>0</v>
      </c>
      <c r="N405" s="1628">
        <v>1.1498724122634061</v>
      </c>
      <c r="O405" s="1628">
        <v>1.1498724122634061</v>
      </c>
    </row>
    <row r="406" spans="2:15">
      <c r="B406" s="1506">
        <v>44774</v>
      </c>
      <c r="C406" s="1507">
        <v>1203.249097470343</v>
      </c>
      <c r="D406" s="1507">
        <v>6514.7391168311606</v>
      </c>
      <c r="E406" s="1507">
        <v>1.0113395564141356</v>
      </c>
      <c r="F406" s="1507">
        <v>68.070137280530162</v>
      </c>
      <c r="K406" s="1625">
        <v>42463</v>
      </c>
      <c r="L406" s="1626"/>
      <c r="M406" s="1627">
        <v>0</v>
      </c>
      <c r="N406" s="1628">
        <v>1.1498724122634061</v>
      </c>
      <c r="O406" s="1628">
        <v>1.1498724122634061</v>
      </c>
    </row>
    <row r="407" spans="2:15">
      <c r="B407" s="1506">
        <v>44805</v>
      </c>
      <c r="C407" s="1507">
        <v>1210.3554866400029</v>
      </c>
      <c r="D407" s="1507">
        <v>6541.5407535578033</v>
      </c>
      <c r="E407" s="1507">
        <v>1.0103484243492922</v>
      </c>
      <c r="F407" s="1507">
        <v>68.774555946623664</v>
      </c>
      <c r="K407" s="1625">
        <v>42464</v>
      </c>
      <c r="L407" s="1626" t="s">
        <v>2301</v>
      </c>
      <c r="M407" s="1627">
        <v>5.2531000000000001E-2</v>
      </c>
      <c r="N407" s="1628">
        <v>1.1504764517402921</v>
      </c>
      <c r="O407" s="1628">
        <v>1.1504764517402921</v>
      </c>
    </row>
    <row r="408" spans="2:15">
      <c r="B408" s="1506">
        <v>44835</v>
      </c>
      <c r="C408" s="1507">
        <v>1217.5885710281636</v>
      </c>
      <c r="D408" s="1507">
        <v>6571.7430472169799</v>
      </c>
      <c r="E408" s="1507">
        <v>1.0098532226245143</v>
      </c>
      <c r="F408" s="1507">
        <v>69.452206957267862</v>
      </c>
      <c r="K408" s="1625">
        <v>42465</v>
      </c>
      <c r="L408" s="1626" t="s">
        <v>2301</v>
      </c>
      <c r="M408" s="1627">
        <v>5.2531000000000001E-2</v>
      </c>
      <c r="N408" s="1628">
        <v>1.1510808085251558</v>
      </c>
      <c r="O408" s="1628">
        <v>1.1510808085251558</v>
      </c>
    </row>
    <row r="409" spans="2:15">
      <c r="B409" s="1506">
        <v>44866</v>
      </c>
      <c r="C409" s="1507">
        <v>1224.992727128586</v>
      </c>
      <c r="D409" s="1507">
        <v>6602.2359349560666</v>
      </c>
      <c r="E409" s="1507">
        <v>1.0098532226245134</v>
      </c>
      <c r="F409" s="1507">
        <v>70.136535014181604</v>
      </c>
      <c r="K409" s="1625">
        <v>42466</v>
      </c>
      <c r="L409" s="1626" t="s">
        <v>2301</v>
      </c>
      <c r="M409" s="1627">
        <v>5.2531000000000001E-2</v>
      </c>
      <c r="N409" s="1628">
        <v>1.1516854827846821</v>
      </c>
      <c r="O409" s="1628">
        <v>1.1516854827846821</v>
      </c>
    </row>
    <row r="410" spans="2:15">
      <c r="B410" s="1506">
        <v>44896</v>
      </c>
      <c r="C410" s="1507">
        <v>1232.3194086295421</v>
      </c>
      <c r="D410" s="1507">
        <v>6643.9422593571835</v>
      </c>
      <c r="E410" s="1507">
        <v>1.0108438689061403</v>
      </c>
      <c r="F410" s="1507">
        <v>70.897086405406313</v>
      </c>
      <c r="K410" s="1625">
        <v>42467</v>
      </c>
      <c r="L410" s="1626" t="s">
        <v>2301</v>
      </c>
      <c r="M410" s="1627">
        <v>5.2531000000000001E-2</v>
      </c>
      <c r="N410" s="1628">
        <v>1.1522904746856437</v>
      </c>
      <c r="O410" s="1628">
        <v>1.1522904746856437</v>
      </c>
    </row>
    <row r="411" spans="2:15">
      <c r="B411" s="1506">
        <v>44927</v>
      </c>
      <c r="C411" s="1507">
        <v>1238.1470471129512</v>
      </c>
      <c r="D411" s="1507">
        <v>6675.3880380707214</v>
      </c>
      <c r="E411" s="1507">
        <v>1.0108438689061405</v>
      </c>
      <c r="F411" s="1507">
        <v>71.665885116213857</v>
      </c>
      <c r="K411" s="1625">
        <v>42468</v>
      </c>
      <c r="L411" s="1626" t="s">
        <v>2301</v>
      </c>
      <c r="M411" s="1627">
        <v>5.2531000000000001E-2</v>
      </c>
      <c r="N411" s="1628">
        <v>1.1528957843949008</v>
      </c>
      <c r="O411" s="1628">
        <v>1.1528957843949008</v>
      </c>
    </row>
    <row r="412" spans="2:15">
      <c r="B412" s="1506">
        <v>44958</v>
      </c>
      <c r="C412" s="1507">
        <v>1242.8891503033938</v>
      </c>
      <c r="D412" s="1507">
        <v>6708.8651090816456</v>
      </c>
      <c r="E412" s="1507">
        <v>1.0088635471951473</v>
      </c>
      <c r="F412" s="1507">
        <v>72.301099071223419</v>
      </c>
      <c r="K412" s="1625">
        <v>42469</v>
      </c>
      <c r="L412" s="1626"/>
      <c r="M412" s="1627">
        <v>0</v>
      </c>
      <c r="N412" s="1628">
        <v>1.1528957843949008</v>
      </c>
      <c r="O412" s="1628">
        <v>1.1528957843949008</v>
      </c>
    </row>
    <row r="413" spans="2:15">
      <c r="B413" s="1506">
        <v>44986</v>
      </c>
      <c r="C413" s="1507">
        <v>1247.4530392633078</v>
      </c>
      <c r="D413" s="1507">
        <v>6733.7617075014477</v>
      </c>
      <c r="E413" s="1507">
        <v>1.0113395564141363</v>
      </c>
      <c r="F413" s="1507">
        <v>73.120961462945615</v>
      </c>
      <c r="K413" s="1625">
        <v>42470</v>
      </c>
      <c r="L413" s="1626"/>
      <c r="M413" s="1627">
        <v>0</v>
      </c>
      <c r="N413" s="1628">
        <v>1.1528957843949008</v>
      </c>
      <c r="O413" s="1628">
        <v>1.1528957843949008</v>
      </c>
    </row>
    <row r="414" spans="2:15">
      <c r="B414" s="1506">
        <v>45017</v>
      </c>
      <c r="C414" s="1507">
        <v>1251.4698380497357</v>
      </c>
      <c r="D414" s="1507">
        <v>6758.8113010533525</v>
      </c>
      <c r="E414" s="1507">
        <v>1.0088635471951479</v>
      </c>
      <c r="F414" s="1507">
        <v>73.769072555827023</v>
      </c>
      <c r="K414" s="1625">
        <v>42471</v>
      </c>
      <c r="L414" s="1626" t="s">
        <v>2301</v>
      </c>
      <c r="M414" s="1627">
        <v>5.2531000000000001E-2</v>
      </c>
      <c r="N414" s="1628">
        <v>1.1535014120794014</v>
      </c>
      <c r="O414" s="1628">
        <v>1.1535014120794014</v>
      </c>
    </row>
    <row r="415" spans="2:15">
      <c r="B415" s="1506">
        <v>45047</v>
      </c>
      <c r="C415" s="1507">
        <v>1255.0803285325092</v>
      </c>
      <c r="D415" s="1507">
        <v>6776.8505684158645</v>
      </c>
      <c r="E415" s="1507">
        <v>1.0108438689061405</v>
      </c>
      <c r="F415" s="1507">
        <v>74.569014707949975</v>
      </c>
      <c r="K415" s="1625">
        <v>42472</v>
      </c>
      <c r="L415" s="1626" t="s">
        <v>2301</v>
      </c>
      <c r="M415" s="1627">
        <v>5.2531000000000001E-2</v>
      </c>
      <c r="N415" s="1628">
        <v>1.1541073579061809</v>
      </c>
      <c r="O415" s="1628">
        <v>1.1541073579061809</v>
      </c>
    </row>
    <row r="416" spans="2:15">
      <c r="B416" s="1506">
        <v>45078</v>
      </c>
      <c r="C416" s="1507">
        <v>1259.3250102036061</v>
      </c>
      <c r="D416" s="1507">
        <v>6793.2031088374515</v>
      </c>
      <c r="E416" s="1507">
        <v>1.010348424349292</v>
      </c>
      <c r="F416" s="1507">
        <v>75.34068651545644</v>
      </c>
      <c r="K416" s="1625">
        <v>42473</v>
      </c>
      <c r="L416" s="1626" t="s">
        <v>2301</v>
      </c>
      <c r="M416" s="1627">
        <v>5.2531000000000001E-2</v>
      </c>
      <c r="N416" s="1628">
        <v>1.1547136220423626</v>
      </c>
      <c r="O416" s="1628">
        <v>1.1547136220423626</v>
      </c>
    </row>
    <row r="417" spans="2:15">
      <c r="B417" s="1506">
        <v>45108</v>
      </c>
      <c r="C417" s="1507" t="e">
        <v>#N/A</v>
      </c>
      <c r="D417" s="1507" t="e">
        <v>#N/A</v>
      </c>
      <c r="E417" s="1507" t="e">
        <v>#N/A</v>
      </c>
      <c r="F417" s="1507" t="e">
        <f t="shared" ref="F417:F419" si="0">F416*E417</f>
        <v>#N/A</v>
      </c>
      <c r="K417" s="1625">
        <v>42474</v>
      </c>
      <c r="L417" s="1626" t="s">
        <v>2301</v>
      </c>
      <c r="M417" s="1627">
        <v>5.2531000000000001E-2</v>
      </c>
      <c r="N417" s="1628">
        <v>1.1553202046551576</v>
      </c>
      <c r="O417" s="1628">
        <v>1.1553202046551576</v>
      </c>
    </row>
    <row r="418" spans="2:15">
      <c r="B418" s="1506">
        <v>45139</v>
      </c>
      <c r="C418" s="1507" t="e">
        <v>#N/A</v>
      </c>
      <c r="D418" s="1507" t="e">
        <v>#N/A</v>
      </c>
      <c r="E418" s="1507" t="e">
        <v>#N/A</v>
      </c>
      <c r="F418" s="1507" t="e">
        <f t="shared" si="0"/>
        <v>#N/A</v>
      </c>
      <c r="K418" s="1625">
        <v>42475</v>
      </c>
      <c r="L418" s="1626" t="s">
        <v>2301</v>
      </c>
      <c r="M418" s="1627">
        <v>5.2531000000000001E-2</v>
      </c>
      <c r="N418" s="1628">
        <v>1.155927105911865</v>
      </c>
      <c r="O418" s="1628">
        <v>1.155927105911865</v>
      </c>
    </row>
    <row r="419" spans="2:15">
      <c r="B419" s="1506">
        <v>45170</v>
      </c>
      <c r="C419" s="1507" t="e">
        <v>#N/A</v>
      </c>
      <c r="D419" s="1507" t="e">
        <v>#N/A</v>
      </c>
      <c r="E419" s="1507" t="e">
        <v>#N/A</v>
      </c>
      <c r="F419" s="1507" t="e">
        <f t="shared" si="0"/>
        <v>#N/A</v>
      </c>
      <c r="K419" s="1625">
        <v>42476</v>
      </c>
      <c r="L419" s="1626"/>
      <c r="M419" s="1627">
        <v>0</v>
      </c>
      <c r="N419" s="1628">
        <v>1.155927105911865</v>
      </c>
      <c r="O419" s="1628">
        <v>1.155927105911865</v>
      </c>
    </row>
    <row r="420" spans="2:15">
      <c r="B420" s="1506">
        <v>45200</v>
      </c>
      <c r="C420" s="1507" t="e">
        <v>#N/A</v>
      </c>
      <c r="D420" s="1507" t="e">
        <v>#N/A</v>
      </c>
      <c r="E420" s="1507" t="e">
        <v>#N/A</v>
      </c>
      <c r="F420" s="1507" t="e">
        <f t="shared" ref="F420:F483" si="1">F419*E420</f>
        <v>#N/A</v>
      </c>
      <c r="K420" s="1625">
        <v>42477</v>
      </c>
      <c r="L420" s="1626"/>
      <c r="M420" s="1627">
        <v>0</v>
      </c>
      <c r="N420" s="1628">
        <v>1.155927105911865</v>
      </c>
      <c r="O420" s="1628">
        <v>1.155927105911865</v>
      </c>
    </row>
    <row r="421" spans="2:15">
      <c r="B421" s="1506">
        <v>45231</v>
      </c>
      <c r="C421" s="1507" t="e">
        <v>#N/A</v>
      </c>
      <c r="D421" s="1507" t="e">
        <v>#N/A</v>
      </c>
      <c r="E421" s="1507" t="e">
        <v>#N/A</v>
      </c>
      <c r="F421" s="1507" t="e">
        <f t="shared" si="1"/>
        <v>#N/A</v>
      </c>
      <c r="K421" s="1625">
        <v>42478</v>
      </c>
      <c r="L421" s="1626" t="s">
        <v>2301</v>
      </c>
      <c r="M421" s="1627">
        <v>5.2531000000000001E-2</v>
      </c>
      <c r="N421" s="1628">
        <v>1.1565343259798715</v>
      </c>
      <c r="O421" s="1628">
        <v>1.1565343259798715</v>
      </c>
    </row>
    <row r="422" spans="2:15">
      <c r="B422" s="1506">
        <v>45261</v>
      </c>
      <c r="C422" s="1507" t="e">
        <v>#N/A</v>
      </c>
      <c r="D422" s="1507" t="e">
        <v>#N/A</v>
      </c>
      <c r="E422" s="1507" t="e">
        <v>#N/A</v>
      </c>
      <c r="F422" s="1507" t="e">
        <f t="shared" si="1"/>
        <v>#N/A</v>
      </c>
      <c r="K422" s="1625">
        <v>42479</v>
      </c>
      <c r="L422" s="1626" t="s">
        <v>2301</v>
      </c>
      <c r="M422" s="1627">
        <v>5.2531000000000001E-2</v>
      </c>
      <c r="N422" s="1628">
        <v>1.1571418650266521</v>
      </c>
      <c r="O422" s="1628">
        <v>1.1571418650266521</v>
      </c>
    </row>
    <row r="423" spans="2:15">
      <c r="B423" s="1506">
        <v>45292</v>
      </c>
      <c r="C423" s="1507" t="e">
        <v>#N/A</v>
      </c>
      <c r="D423" s="1507" t="e">
        <v>#N/A</v>
      </c>
      <c r="E423" s="1507" t="e">
        <v>#N/A</v>
      </c>
      <c r="F423" s="1507" t="e">
        <f t="shared" si="1"/>
        <v>#N/A</v>
      </c>
      <c r="K423" s="1625">
        <v>42480</v>
      </c>
      <c r="L423" s="1626" t="s">
        <v>2301</v>
      </c>
      <c r="M423" s="1627">
        <v>5.2531000000000001E-2</v>
      </c>
      <c r="N423" s="1628">
        <v>1.1577497232197693</v>
      </c>
      <c r="O423" s="1628">
        <v>1.1577497232197693</v>
      </c>
    </row>
    <row r="424" spans="2:15">
      <c r="B424" s="1506">
        <v>45323</v>
      </c>
      <c r="C424" s="1507" t="e">
        <v>#N/A</v>
      </c>
      <c r="D424" s="1507" t="e">
        <v>#N/A</v>
      </c>
      <c r="E424" s="1507" t="e">
        <v>#N/A</v>
      </c>
      <c r="F424" s="1507" t="e">
        <f t="shared" si="1"/>
        <v>#N/A</v>
      </c>
      <c r="K424" s="1625">
        <v>42481</v>
      </c>
      <c r="L424" s="1626"/>
      <c r="M424" s="1627">
        <v>0</v>
      </c>
      <c r="N424" s="1628">
        <v>1.1577497232197693</v>
      </c>
      <c r="O424" s="1628">
        <v>1.1577497232197693</v>
      </c>
    </row>
    <row r="425" spans="2:15">
      <c r="B425" s="1506">
        <v>45352</v>
      </c>
      <c r="C425" s="1507" t="e">
        <v>#N/A</v>
      </c>
      <c r="D425" s="1507" t="e">
        <v>#N/A</v>
      </c>
      <c r="E425" s="1507" t="e">
        <v>#N/A</v>
      </c>
      <c r="F425" s="1507" t="e">
        <f t="shared" si="1"/>
        <v>#N/A</v>
      </c>
      <c r="K425" s="1625">
        <v>42482</v>
      </c>
      <c r="L425" s="1626" t="s">
        <v>2301</v>
      </c>
      <c r="M425" s="1627">
        <v>5.2531000000000001E-2</v>
      </c>
      <c r="N425" s="1628">
        <v>1.1583579007268738</v>
      </c>
      <c r="O425" s="1628">
        <v>1.1583579007268738</v>
      </c>
    </row>
    <row r="426" spans="2:15">
      <c r="B426" s="1506">
        <v>45383</v>
      </c>
      <c r="C426" s="1507" t="e">
        <v>#N/A</v>
      </c>
      <c r="D426" s="1507" t="e">
        <v>#N/A</v>
      </c>
      <c r="E426" s="1507" t="e">
        <v>#N/A</v>
      </c>
      <c r="F426" s="1507" t="e">
        <f t="shared" si="1"/>
        <v>#N/A</v>
      </c>
      <c r="K426" s="1625">
        <v>42483</v>
      </c>
      <c r="L426" s="1626"/>
      <c r="M426" s="1627">
        <v>0</v>
      </c>
      <c r="N426" s="1628">
        <v>1.1583579007268738</v>
      </c>
      <c r="O426" s="1628">
        <v>1.1583579007268738</v>
      </c>
    </row>
    <row r="427" spans="2:15">
      <c r="B427" s="1506">
        <v>45413</v>
      </c>
      <c r="C427" s="1507" t="e">
        <v>#N/A</v>
      </c>
      <c r="D427" s="1507" t="e">
        <v>#N/A</v>
      </c>
      <c r="E427" s="1507" t="e">
        <v>#N/A</v>
      </c>
      <c r="F427" s="1507" t="e">
        <f t="shared" si="1"/>
        <v>#N/A</v>
      </c>
      <c r="K427" s="1625">
        <v>42484</v>
      </c>
      <c r="L427" s="1626"/>
      <c r="M427" s="1627">
        <v>0</v>
      </c>
      <c r="N427" s="1628">
        <v>1.1583579007268738</v>
      </c>
      <c r="O427" s="1628">
        <v>1.1583579007268738</v>
      </c>
    </row>
    <row r="428" spans="2:15">
      <c r="B428" s="1506">
        <v>45444</v>
      </c>
      <c r="C428" s="1507" t="e">
        <v>#N/A</v>
      </c>
      <c r="D428" s="1507" t="e">
        <v>#N/A</v>
      </c>
      <c r="E428" s="1507" t="e">
        <v>#N/A</v>
      </c>
      <c r="F428" s="1507" t="e">
        <f t="shared" si="1"/>
        <v>#N/A</v>
      </c>
      <c r="K428" s="1625">
        <v>42485</v>
      </c>
      <c r="L428" s="1626" t="s">
        <v>2301</v>
      </c>
      <c r="M428" s="1627">
        <v>5.2531000000000001E-2</v>
      </c>
      <c r="N428" s="1628">
        <v>1.1589663977157048</v>
      </c>
      <c r="O428" s="1628">
        <v>1.1589663977157048</v>
      </c>
    </row>
    <row r="429" spans="2:15">
      <c r="B429" s="1506">
        <v>45474</v>
      </c>
      <c r="C429" s="1507" t="e">
        <v>#N/A</v>
      </c>
      <c r="D429" s="1507" t="e">
        <v>#N/A</v>
      </c>
      <c r="E429" s="1507" t="e">
        <v>#N/A</v>
      </c>
      <c r="F429" s="1507" t="e">
        <f t="shared" si="1"/>
        <v>#N/A</v>
      </c>
      <c r="K429" s="1625">
        <v>42486</v>
      </c>
      <c r="L429" s="1626" t="s">
        <v>2301</v>
      </c>
      <c r="M429" s="1627">
        <v>5.2531000000000001E-2</v>
      </c>
      <c r="N429" s="1628">
        <v>1.1595752143540887</v>
      </c>
      <c r="O429" s="1628">
        <v>1.1595752143540887</v>
      </c>
    </row>
    <row r="430" spans="2:15">
      <c r="B430" s="1506">
        <v>45505</v>
      </c>
      <c r="C430" s="1507" t="e">
        <v>#N/A</v>
      </c>
      <c r="D430" s="1507" t="e">
        <v>#N/A</v>
      </c>
      <c r="E430" s="1507" t="e">
        <v>#N/A</v>
      </c>
      <c r="F430" s="1507" t="e">
        <f t="shared" si="1"/>
        <v>#N/A</v>
      </c>
      <c r="K430" s="1625">
        <v>42487</v>
      </c>
      <c r="L430" s="1626" t="s">
        <v>2301</v>
      </c>
      <c r="M430" s="1627">
        <v>5.2531000000000001E-2</v>
      </c>
      <c r="N430" s="1628">
        <v>1.160184350809941</v>
      </c>
      <c r="O430" s="1628">
        <v>1.160184350809941</v>
      </c>
    </row>
    <row r="431" spans="2:15">
      <c r="B431" s="1506">
        <v>45536</v>
      </c>
      <c r="C431" s="1507" t="e">
        <v>#N/A</v>
      </c>
      <c r="D431" s="1507" t="e">
        <v>#N/A</v>
      </c>
      <c r="E431" s="1507" t="e">
        <v>#N/A</v>
      </c>
      <c r="F431" s="1507" t="e">
        <f t="shared" si="1"/>
        <v>#N/A</v>
      </c>
      <c r="K431" s="1625">
        <v>42488</v>
      </c>
      <c r="L431" s="1626" t="s">
        <v>2301</v>
      </c>
      <c r="M431" s="1627">
        <v>5.2531000000000001E-2</v>
      </c>
      <c r="N431" s="1628">
        <v>1.1607938072512649</v>
      </c>
      <c r="O431" s="1628">
        <v>1.1607938072512649</v>
      </c>
    </row>
    <row r="432" spans="2:15">
      <c r="B432" s="1506">
        <v>45566</v>
      </c>
      <c r="C432" s="1507" t="e">
        <v>#N/A</v>
      </c>
      <c r="D432" s="1507" t="e">
        <v>#N/A</v>
      </c>
      <c r="E432" s="1507" t="e">
        <v>#N/A</v>
      </c>
      <c r="F432" s="1507" t="e">
        <f t="shared" si="1"/>
        <v>#N/A</v>
      </c>
      <c r="K432" s="1625">
        <v>42489</v>
      </c>
      <c r="L432" s="1626" t="s">
        <v>2301</v>
      </c>
      <c r="M432" s="1627">
        <v>5.2531000000000001E-2</v>
      </c>
      <c r="N432" s="1628">
        <v>1.1614035838461521</v>
      </c>
      <c r="O432" s="1628">
        <v>1.1614035838461521</v>
      </c>
    </row>
    <row r="433" spans="2:15">
      <c r="B433" s="1506">
        <v>45597</v>
      </c>
      <c r="C433" s="1507" t="e">
        <v>#N/A</v>
      </c>
      <c r="D433" s="1507" t="e">
        <v>#N/A</v>
      </c>
      <c r="E433" s="1507" t="e">
        <v>#N/A</v>
      </c>
      <c r="F433" s="1507" t="e">
        <f t="shared" si="1"/>
        <v>#N/A</v>
      </c>
      <c r="K433" s="1625">
        <v>42490</v>
      </c>
      <c r="L433" s="1626"/>
      <c r="M433" s="1627">
        <v>0</v>
      </c>
      <c r="N433" s="1628">
        <v>1.1614035838461521</v>
      </c>
      <c r="O433" s="1628">
        <v>1.1614035838461521</v>
      </c>
    </row>
    <row r="434" spans="2:15">
      <c r="B434" s="1506">
        <v>45627</v>
      </c>
      <c r="C434" s="1507" t="e">
        <v>#N/A</v>
      </c>
      <c r="D434" s="1507" t="e">
        <v>#N/A</v>
      </c>
      <c r="E434" s="1507" t="e">
        <v>#N/A</v>
      </c>
      <c r="F434" s="1507" t="e">
        <f t="shared" si="1"/>
        <v>#N/A</v>
      </c>
      <c r="K434" s="1625">
        <v>42491</v>
      </c>
      <c r="L434" s="1626"/>
      <c r="M434" s="1627">
        <v>0</v>
      </c>
      <c r="N434" s="1628">
        <v>1.1614035838461521</v>
      </c>
      <c r="O434" s="1628">
        <v>1.1614035838461521</v>
      </c>
    </row>
    <row r="435" spans="2:15">
      <c r="B435" s="1506">
        <v>45658</v>
      </c>
      <c r="C435" s="1507" t="e">
        <v>#N/A</v>
      </c>
      <c r="D435" s="1507" t="e">
        <v>#N/A</v>
      </c>
      <c r="E435" s="1507" t="e">
        <v>#N/A</v>
      </c>
      <c r="F435" s="1507" t="e">
        <f t="shared" si="1"/>
        <v>#N/A</v>
      </c>
      <c r="K435" s="1625">
        <v>42492</v>
      </c>
      <c r="L435" s="1626" t="s">
        <v>2301</v>
      </c>
      <c r="M435" s="1627">
        <v>5.2531000000000001E-2</v>
      </c>
      <c r="N435" s="1628">
        <v>1.1620136807627823</v>
      </c>
      <c r="O435" s="1628">
        <v>1.1620136807627823</v>
      </c>
    </row>
    <row r="436" spans="2:15">
      <c r="B436" s="1506">
        <v>45689</v>
      </c>
      <c r="C436" s="1507" t="e">
        <v>#N/A</v>
      </c>
      <c r="D436" s="1507" t="e">
        <v>#N/A</v>
      </c>
      <c r="E436" s="1507" t="e">
        <v>#N/A</v>
      </c>
      <c r="F436" s="1507" t="e">
        <f t="shared" si="1"/>
        <v>#N/A</v>
      </c>
      <c r="K436" s="1625">
        <v>42493</v>
      </c>
      <c r="L436" s="1626" t="s">
        <v>2301</v>
      </c>
      <c r="M436" s="1627">
        <v>5.2531000000000001E-2</v>
      </c>
      <c r="N436" s="1628">
        <v>1.1626240981694238</v>
      </c>
      <c r="O436" s="1628">
        <v>1.1626240981694238</v>
      </c>
    </row>
    <row r="437" spans="2:15">
      <c r="B437" s="1506">
        <v>45717</v>
      </c>
      <c r="C437" s="1507" t="e">
        <v>#N/A</v>
      </c>
      <c r="D437" s="1507" t="e">
        <v>#N/A</v>
      </c>
      <c r="E437" s="1507" t="e">
        <v>#N/A</v>
      </c>
      <c r="F437" s="1507" t="e">
        <f t="shared" si="1"/>
        <v>#N/A</v>
      </c>
      <c r="K437" s="1625">
        <v>42494</v>
      </c>
      <c r="L437" s="1626" t="s">
        <v>2301</v>
      </c>
      <c r="M437" s="1627">
        <v>5.2531000000000001E-2</v>
      </c>
      <c r="N437" s="1628">
        <v>1.1632348362344331</v>
      </c>
      <c r="O437" s="1628">
        <v>1.1632348362344331</v>
      </c>
    </row>
    <row r="438" spans="2:15">
      <c r="B438" s="1506">
        <v>45748</v>
      </c>
      <c r="C438" s="1507" t="e">
        <v>#N/A</v>
      </c>
      <c r="D438" s="1507" t="e">
        <v>#N/A</v>
      </c>
      <c r="E438" s="1507" t="e">
        <v>#N/A</v>
      </c>
      <c r="F438" s="1507" t="e">
        <f t="shared" si="1"/>
        <v>#N/A</v>
      </c>
      <c r="K438" s="1625">
        <v>42495</v>
      </c>
      <c r="L438" s="1626" t="s">
        <v>2301</v>
      </c>
      <c r="M438" s="1627">
        <v>5.2531000000000001E-2</v>
      </c>
      <c r="N438" s="1628">
        <v>1.1638458951262554</v>
      </c>
      <c r="O438" s="1628">
        <v>1.1638458951262554</v>
      </c>
    </row>
    <row r="439" spans="2:15">
      <c r="B439" s="1506">
        <v>45778</v>
      </c>
      <c r="C439" s="1507" t="e">
        <v>#N/A</v>
      </c>
      <c r="D439" s="1507" t="e">
        <v>#N/A</v>
      </c>
      <c r="E439" s="1507" t="e">
        <v>#N/A</v>
      </c>
      <c r="F439" s="1507" t="e">
        <f t="shared" si="1"/>
        <v>#N/A</v>
      </c>
      <c r="K439" s="1625">
        <v>42496</v>
      </c>
      <c r="L439" s="1626" t="s">
        <v>2301</v>
      </c>
      <c r="M439" s="1627">
        <v>5.2531000000000001E-2</v>
      </c>
      <c r="N439" s="1628">
        <v>1.1644572750134241</v>
      </c>
      <c r="O439" s="1628">
        <v>1.1644572750134241</v>
      </c>
    </row>
    <row r="440" spans="2:15">
      <c r="B440" s="1506">
        <v>45809</v>
      </c>
      <c r="C440" s="1507" t="e">
        <v>#N/A</v>
      </c>
      <c r="D440" s="1507" t="e">
        <v>#N/A</v>
      </c>
      <c r="E440" s="1507" t="e">
        <v>#N/A</v>
      </c>
      <c r="F440" s="1507" t="e">
        <f t="shared" si="1"/>
        <v>#N/A</v>
      </c>
      <c r="K440" s="1625">
        <v>42497</v>
      </c>
      <c r="L440" s="1626"/>
      <c r="M440" s="1627">
        <v>0</v>
      </c>
      <c r="N440" s="1628">
        <v>1.1644572750134241</v>
      </c>
      <c r="O440" s="1628">
        <v>1.1644572750134241</v>
      </c>
    </row>
    <row r="441" spans="2:15">
      <c r="B441" s="1506">
        <v>45839</v>
      </c>
      <c r="C441" s="1507" t="e">
        <v>#N/A</v>
      </c>
      <c r="D441" s="1507" t="e">
        <v>#N/A</v>
      </c>
      <c r="E441" s="1507" t="e">
        <v>#N/A</v>
      </c>
      <c r="F441" s="1507" t="e">
        <f t="shared" si="1"/>
        <v>#N/A</v>
      </c>
      <c r="K441" s="1625">
        <v>42498</v>
      </c>
      <c r="L441" s="1626"/>
      <c r="M441" s="1627">
        <v>0</v>
      </c>
      <c r="N441" s="1628">
        <v>1.1644572750134241</v>
      </c>
      <c r="O441" s="1628">
        <v>1.1644572750134241</v>
      </c>
    </row>
    <row r="442" spans="2:15">
      <c r="B442" s="1506">
        <v>45870</v>
      </c>
      <c r="C442" s="1507" t="e">
        <v>#N/A</v>
      </c>
      <c r="D442" s="1507" t="e">
        <v>#N/A</v>
      </c>
      <c r="E442" s="1507" t="e">
        <v>#N/A</v>
      </c>
      <c r="F442" s="1507" t="e">
        <f t="shared" si="1"/>
        <v>#N/A</v>
      </c>
      <c r="K442" s="1625">
        <v>42499</v>
      </c>
      <c r="L442" s="1626" t="s">
        <v>2301</v>
      </c>
      <c r="M442" s="1627">
        <v>5.2531000000000001E-2</v>
      </c>
      <c r="N442" s="1628">
        <v>1.1650689760645614</v>
      </c>
      <c r="O442" s="1628">
        <v>1.1650689760645614</v>
      </c>
    </row>
    <row r="443" spans="2:15">
      <c r="B443" s="1506">
        <v>45901</v>
      </c>
      <c r="C443" s="1507" t="e">
        <v>#N/A</v>
      </c>
      <c r="D443" s="1507" t="e">
        <v>#N/A</v>
      </c>
      <c r="E443" s="1507" t="e">
        <v>#N/A</v>
      </c>
      <c r="F443" s="1507" t="e">
        <f t="shared" si="1"/>
        <v>#N/A</v>
      </c>
      <c r="K443" s="1625">
        <v>42500</v>
      </c>
      <c r="L443" s="1626" t="s">
        <v>2301</v>
      </c>
      <c r="M443" s="1627">
        <v>5.2531000000000001E-2</v>
      </c>
      <c r="N443" s="1628">
        <v>1.1656809984483778</v>
      </c>
      <c r="O443" s="1628">
        <v>1.1656809984483778</v>
      </c>
    </row>
    <row r="444" spans="2:15">
      <c r="B444" s="1506">
        <v>45931</v>
      </c>
      <c r="C444" s="1507" t="e">
        <v>#N/A</v>
      </c>
      <c r="D444" s="1507" t="e">
        <v>#N/A</v>
      </c>
      <c r="E444" s="1507" t="e">
        <v>#N/A</v>
      </c>
      <c r="F444" s="1507" t="e">
        <f t="shared" si="1"/>
        <v>#N/A</v>
      </c>
      <c r="K444" s="1625">
        <v>42501</v>
      </c>
      <c r="L444" s="1626" t="s">
        <v>2301</v>
      </c>
      <c r="M444" s="1627">
        <v>5.2531000000000001E-2</v>
      </c>
      <c r="N444" s="1628">
        <v>1.1662933423336728</v>
      </c>
      <c r="O444" s="1628">
        <v>1.1662933423336728</v>
      </c>
    </row>
    <row r="445" spans="2:15">
      <c r="B445" s="1506">
        <v>45962</v>
      </c>
      <c r="C445" s="1507" t="e">
        <v>#N/A</v>
      </c>
      <c r="D445" s="1507" t="e">
        <v>#N/A</v>
      </c>
      <c r="E445" s="1507" t="e">
        <v>#N/A</v>
      </c>
      <c r="F445" s="1507" t="e">
        <f t="shared" si="1"/>
        <v>#N/A</v>
      </c>
      <c r="K445" s="1625">
        <v>42502</v>
      </c>
      <c r="L445" s="1626" t="s">
        <v>2301</v>
      </c>
      <c r="M445" s="1627">
        <v>5.2531000000000001E-2</v>
      </c>
      <c r="N445" s="1628">
        <v>1.1669060078893341</v>
      </c>
      <c r="O445" s="1628">
        <v>1.1669060078893341</v>
      </c>
    </row>
    <row r="446" spans="2:15">
      <c r="B446" s="1506">
        <v>45992</v>
      </c>
      <c r="C446" s="1507" t="e">
        <v>#N/A</v>
      </c>
      <c r="D446" s="1507" t="e">
        <v>#N/A</v>
      </c>
      <c r="E446" s="1507" t="e">
        <v>#N/A</v>
      </c>
      <c r="F446" s="1507" t="e">
        <f t="shared" si="1"/>
        <v>#N/A</v>
      </c>
      <c r="K446" s="1625">
        <v>42503</v>
      </c>
      <c r="L446" s="1626" t="s">
        <v>2301</v>
      </c>
      <c r="M446" s="1627">
        <v>5.2531000000000001E-2</v>
      </c>
      <c r="N446" s="1628">
        <v>1.1675189952843383</v>
      </c>
      <c r="O446" s="1628">
        <v>1.1675189952843383</v>
      </c>
    </row>
    <row r="447" spans="2:15">
      <c r="B447" s="1506">
        <v>46023</v>
      </c>
      <c r="C447" s="1507" t="e">
        <v>#N/A</v>
      </c>
      <c r="D447" s="1507" t="e">
        <v>#N/A</v>
      </c>
      <c r="E447" s="1507" t="e">
        <v>#N/A</v>
      </c>
      <c r="F447" s="1507" t="e">
        <f t="shared" si="1"/>
        <v>#N/A</v>
      </c>
      <c r="K447" s="1625">
        <v>42504</v>
      </c>
      <c r="L447" s="1626"/>
      <c r="M447" s="1627">
        <v>0</v>
      </c>
      <c r="N447" s="1628">
        <v>1.1675189952843383</v>
      </c>
      <c r="O447" s="1628">
        <v>1.1675189952843383</v>
      </c>
    </row>
    <row r="448" spans="2:15">
      <c r="B448" s="1506">
        <v>46054</v>
      </c>
      <c r="C448" s="1507" t="e">
        <v>#N/A</v>
      </c>
      <c r="D448" s="1507" t="e">
        <v>#N/A</v>
      </c>
      <c r="E448" s="1507" t="e">
        <v>#N/A</v>
      </c>
      <c r="F448" s="1507" t="e">
        <f t="shared" si="1"/>
        <v>#N/A</v>
      </c>
      <c r="K448" s="1625">
        <v>42505</v>
      </c>
      <c r="L448" s="1626"/>
      <c r="M448" s="1627">
        <v>0</v>
      </c>
      <c r="N448" s="1628">
        <v>1.1675189952843383</v>
      </c>
      <c r="O448" s="1628">
        <v>1.1675189952843383</v>
      </c>
    </row>
    <row r="449" spans="2:15">
      <c r="B449" s="1506">
        <v>46082</v>
      </c>
      <c r="C449" s="1507" t="e">
        <v>#N/A</v>
      </c>
      <c r="D449" s="1507" t="e">
        <v>#N/A</v>
      </c>
      <c r="E449" s="1507" t="e">
        <v>#N/A</v>
      </c>
      <c r="F449" s="1507" t="e">
        <f t="shared" si="1"/>
        <v>#N/A</v>
      </c>
      <c r="K449" s="1625">
        <v>42506</v>
      </c>
      <c r="L449" s="1626" t="s">
        <v>2301</v>
      </c>
      <c r="M449" s="1627">
        <v>5.2531000000000001E-2</v>
      </c>
      <c r="N449" s="1628">
        <v>1.1681323046877512</v>
      </c>
      <c r="O449" s="1628">
        <v>1.1681323046877512</v>
      </c>
    </row>
    <row r="450" spans="2:15">
      <c r="B450" s="1506">
        <v>46113</v>
      </c>
      <c r="C450" s="1507" t="e">
        <v>#N/A</v>
      </c>
      <c r="D450" s="1507" t="e">
        <v>#N/A</v>
      </c>
      <c r="E450" s="1507" t="e">
        <v>#N/A</v>
      </c>
      <c r="F450" s="1507" t="e">
        <f t="shared" si="1"/>
        <v>#N/A</v>
      </c>
      <c r="K450" s="1625">
        <v>42507</v>
      </c>
      <c r="L450" s="1626" t="s">
        <v>2301</v>
      </c>
      <c r="M450" s="1627">
        <v>5.2531000000000001E-2</v>
      </c>
      <c r="N450" s="1628">
        <v>1.1687459362687267</v>
      </c>
      <c r="O450" s="1628">
        <v>1.1687459362687267</v>
      </c>
    </row>
    <row r="451" spans="2:15">
      <c r="B451" s="1506">
        <v>46143</v>
      </c>
      <c r="C451" s="1507" t="e">
        <v>#N/A</v>
      </c>
      <c r="D451" s="1507" t="e">
        <v>#N/A</v>
      </c>
      <c r="E451" s="1507" t="e">
        <v>#N/A</v>
      </c>
      <c r="F451" s="1507" t="e">
        <f t="shared" si="1"/>
        <v>#N/A</v>
      </c>
      <c r="K451" s="1625">
        <v>42508</v>
      </c>
      <c r="L451" s="1626" t="s">
        <v>2301</v>
      </c>
      <c r="M451" s="1627">
        <v>5.2531000000000001E-2</v>
      </c>
      <c r="N451" s="1628">
        <v>1.1693598901965081</v>
      </c>
      <c r="O451" s="1628">
        <v>1.1693598901965081</v>
      </c>
    </row>
    <row r="452" spans="2:15">
      <c r="B452" s="1506">
        <v>46174</v>
      </c>
      <c r="C452" s="1507" t="e">
        <v>#N/A</v>
      </c>
      <c r="D452" s="1507" t="e">
        <v>#N/A</v>
      </c>
      <c r="E452" s="1507" t="e">
        <v>#N/A</v>
      </c>
      <c r="F452" s="1507" t="e">
        <f t="shared" si="1"/>
        <v>#N/A</v>
      </c>
      <c r="K452" s="1625">
        <v>42509</v>
      </c>
      <c r="L452" s="1626" t="s">
        <v>2301</v>
      </c>
      <c r="M452" s="1627">
        <v>5.2531000000000001E-2</v>
      </c>
      <c r="N452" s="1628">
        <v>1.1699741666404273</v>
      </c>
      <c r="O452" s="1628">
        <v>1.1699741666404273</v>
      </c>
    </row>
    <row r="453" spans="2:15">
      <c r="B453" s="1506">
        <v>46204</v>
      </c>
      <c r="C453" s="1507" t="e">
        <v>#N/A</v>
      </c>
      <c r="D453" s="1507" t="e">
        <v>#N/A</v>
      </c>
      <c r="E453" s="1507" t="e">
        <v>#N/A</v>
      </c>
      <c r="F453" s="1507" t="e">
        <f t="shared" si="1"/>
        <v>#N/A</v>
      </c>
      <c r="K453" s="1625">
        <v>42510</v>
      </c>
      <c r="L453" s="1626" t="s">
        <v>2301</v>
      </c>
      <c r="M453" s="1627">
        <v>5.2531000000000001E-2</v>
      </c>
      <c r="N453" s="1628">
        <v>1.1705887657699052</v>
      </c>
      <c r="O453" s="1628">
        <v>1.1705887657699052</v>
      </c>
    </row>
    <row r="454" spans="2:15">
      <c r="B454" s="1506">
        <v>46235</v>
      </c>
      <c r="C454" s="1507" t="e">
        <v>#N/A</v>
      </c>
      <c r="D454" s="1507" t="e">
        <v>#N/A</v>
      </c>
      <c r="E454" s="1507" t="e">
        <v>#N/A</v>
      </c>
      <c r="F454" s="1507" t="e">
        <f t="shared" si="1"/>
        <v>#N/A</v>
      </c>
      <c r="K454" s="1625">
        <v>42511</v>
      </c>
      <c r="L454" s="1626"/>
      <c r="M454" s="1627">
        <v>0</v>
      </c>
      <c r="N454" s="1628">
        <v>1.1705887657699052</v>
      </c>
      <c r="O454" s="1628">
        <v>1.1705887657699052</v>
      </c>
    </row>
    <row r="455" spans="2:15">
      <c r="B455" s="1506">
        <v>46266</v>
      </c>
      <c r="C455" s="1507" t="e">
        <v>#N/A</v>
      </c>
      <c r="D455" s="1507" t="e">
        <v>#N/A</v>
      </c>
      <c r="E455" s="1507" t="e">
        <v>#N/A</v>
      </c>
      <c r="F455" s="1507" t="e">
        <f t="shared" si="1"/>
        <v>#N/A</v>
      </c>
      <c r="K455" s="1625">
        <v>42512</v>
      </c>
      <c r="L455" s="1626"/>
      <c r="M455" s="1627">
        <v>0</v>
      </c>
      <c r="N455" s="1628">
        <v>1.1705887657699052</v>
      </c>
      <c r="O455" s="1628">
        <v>1.1705887657699052</v>
      </c>
    </row>
    <row r="456" spans="2:15">
      <c r="B456" s="1506">
        <v>46296</v>
      </c>
      <c r="C456" s="1507" t="e">
        <v>#N/A</v>
      </c>
      <c r="D456" s="1507" t="e">
        <v>#N/A</v>
      </c>
      <c r="E456" s="1507" t="e">
        <v>#N/A</v>
      </c>
      <c r="F456" s="1507" t="e">
        <f t="shared" si="1"/>
        <v>#N/A</v>
      </c>
      <c r="K456" s="1625">
        <v>42513</v>
      </c>
      <c r="L456" s="1626" t="s">
        <v>2301</v>
      </c>
      <c r="M456" s="1627">
        <v>5.2531000000000001E-2</v>
      </c>
      <c r="N456" s="1628">
        <v>1.1712036877544518</v>
      </c>
      <c r="O456" s="1628">
        <v>1.1712036877544518</v>
      </c>
    </row>
    <row r="457" spans="2:15">
      <c r="B457" s="1506">
        <v>46327</v>
      </c>
      <c r="C457" s="1507" t="e">
        <v>#N/A</v>
      </c>
      <c r="D457" s="1507" t="e">
        <v>#N/A</v>
      </c>
      <c r="E457" s="1507" t="e">
        <v>#N/A</v>
      </c>
      <c r="F457" s="1507" t="e">
        <f t="shared" si="1"/>
        <v>#N/A</v>
      </c>
      <c r="K457" s="1625">
        <v>42514</v>
      </c>
      <c r="L457" s="1626" t="s">
        <v>2301</v>
      </c>
      <c r="M457" s="1627">
        <v>5.2531000000000001E-2</v>
      </c>
      <c r="N457" s="1628">
        <v>1.1718189327636661</v>
      </c>
      <c r="O457" s="1628">
        <v>1.1718189327636661</v>
      </c>
    </row>
    <row r="458" spans="2:15">
      <c r="B458" s="1506">
        <v>46357</v>
      </c>
      <c r="C458" s="1507" t="e">
        <v>#N/A</v>
      </c>
      <c r="D458" s="1507" t="e">
        <v>#N/A</v>
      </c>
      <c r="E458" s="1507" t="e">
        <v>#N/A</v>
      </c>
      <c r="F458" s="1507" t="e">
        <f t="shared" si="1"/>
        <v>#N/A</v>
      </c>
      <c r="K458" s="1625">
        <v>42515</v>
      </c>
      <c r="L458" s="1626" t="s">
        <v>2301</v>
      </c>
      <c r="M458" s="1627">
        <v>5.2531000000000001E-2</v>
      </c>
      <c r="N458" s="1628">
        <v>1.1724345009672361</v>
      </c>
      <c r="O458" s="1628">
        <v>1.1724345009672361</v>
      </c>
    </row>
    <row r="459" spans="2:15">
      <c r="B459" s="1506">
        <v>46388</v>
      </c>
      <c r="C459" s="1507" t="e">
        <v>#N/A</v>
      </c>
      <c r="D459" s="1507" t="e">
        <v>#N/A</v>
      </c>
      <c r="E459" s="1507" t="e">
        <v>#N/A</v>
      </c>
      <c r="F459" s="1507" t="e">
        <f t="shared" si="1"/>
        <v>#N/A</v>
      </c>
      <c r="K459" s="1625">
        <v>42516</v>
      </c>
      <c r="L459" s="1626"/>
      <c r="M459" s="1627">
        <v>0</v>
      </c>
      <c r="N459" s="1628">
        <v>1.1724345009672361</v>
      </c>
      <c r="O459" s="1628">
        <v>1.1724345009672361</v>
      </c>
    </row>
    <row r="460" spans="2:15">
      <c r="B460" s="1506">
        <v>46419</v>
      </c>
      <c r="C460" s="1507" t="e">
        <v>#N/A</v>
      </c>
      <c r="D460" s="1507" t="e">
        <v>#N/A</v>
      </c>
      <c r="E460" s="1507" t="e">
        <v>#N/A</v>
      </c>
      <c r="F460" s="1507" t="e">
        <f t="shared" si="1"/>
        <v>#N/A</v>
      </c>
      <c r="K460" s="1625">
        <v>42517</v>
      </c>
      <c r="L460" s="1626" t="s">
        <v>2301</v>
      </c>
      <c r="M460" s="1627">
        <v>5.2531000000000001E-2</v>
      </c>
      <c r="N460" s="1628">
        <v>1.1730503925349391</v>
      </c>
      <c r="O460" s="1628">
        <v>1.1730503925349391</v>
      </c>
    </row>
    <row r="461" spans="2:15">
      <c r="B461" s="1506">
        <v>46447</v>
      </c>
      <c r="C461" s="1507" t="e">
        <v>#N/A</v>
      </c>
      <c r="D461" s="1507" t="e">
        <v>#N/A</v>
      </c>
      <c r="E461" s="1507" t="e">
        <v>#N/A</v>
      </c>
      <c r="F461" s="1507" t="e">
        <f t="shared" si="1"/>
        <v>#N/A</v>
      </c>
      <c r="K461" s="1625">
        <v>42518</v>
      </c>
      <c r="L461" s="1626"/>
      <c r="M461" s="1627">
        <v>0</v>
      </c>
      <c r="N461" s="1628">
        <v>1.1730503925349391</v>
      </c>
      <c r="O461" s="1628">
        <v>1.1730503925349391</v>
      </c>
    </row>
    <row r="462" spans="2:15">
      <c r="B462" s="1506">
        <v>46478</v>
      </c>
      <c r="C462" s="1507" t="e">
        <v>#N/A</v>
      </c>
      <c r="D462" s="1507" t="e">
        <v>#N/A</v>
      </c>
      <c r="E462" s="1507" t="e">
        <v>#N/A</v>
      </c>
      <c r="F462" s="1507" t="e">
        <f t="shared" si="1"/>
        <v>#N/A</v>
      </c>
      <c r="K462" s="1625">
        <v>42519</v>
      </c>
      <c r="L462" s="1626"/>
      <c r="M462" s="1627">
        <v>0</v>
      </c>
      <c r="N462" s="1628">
        <v>1.1730503925349391</v>
      </c>
      <c r="O462" s="1628">
        <v>1.1730503925349391</v>
      </c>
    </row>
    <row r="463" spans="2:15">
      <c r="B463" s="1506">
        <v>46508</v>
      </c>
      <c r="C463" s="1507" t="e">
        <v>#N/A</v>
      </c>
      <c r="D463" s="1507" t="e">
        <v>#N/A</v>
      </c>
      <c r="E463" s="1507" t="e">
        <v>#N/A</v>
      </c>
      <c r="F463" s="1507" t="e">
        <f t="shared" si="1"/>
        <v>#N/A</v>
      </c>
      <c r="K463" s="1625">
        <v>42520</v>
      </c>
      <c r="L463" s="1626" t="s">
        <v>2301</v>
      </c>
      <c r="M463" s="1627">
        <v>5.2531000000000001E-2</v>
      </c>
      <c r="N463" s="1628">
        <v>1.1736666076366418</v>
      </c>
      <c r="O463" s="1628">
        <v>1.1736666076366418</v>
      </c>
    </row>
    <row r="464" spans="2:15">
      <c r="B464" s="1506">
        <v>46539</v>
      </c>
      <c r="C464" s="1507" t="e">
        <v>#N/A</v>
      </c>
      <c r="D464" s="1507" t="e">
        <v>#N/A</v>
      </c>
      <c r="E464" s="1507" t="e">
        <v>#N/A</v>
      </c>
      <c r="F464" s="1507" t="e">
        <f t="shared" si="1"/>
        <v>#N/A</v>
      </c>
      <c r="K464" s="1625">
        <v>42521</v>
      </c>
      <c r="L464" s="1626" t="s">
        <v>2301</v>
      </c>
      <c r="M464" s="1627">
        <v>5.2531000000000001E-2</v>
      </c>
      <c r="N464" s="1628">
        <v>1.1742831464422994</v>
      </c>
      <c r="O464" s="1628">
        <v>1.1742831464422994</v>
      </c>
    </row>
    <row r="465" spans="2:15">
      <c r="B465" s="1506">
        <v>46569</v>
      </c>
      <c r="C465" s="1507" t="e">
        <v>#N/A</v>
      </c>
      <c r="D465" s="1507" t="e">
        <v>#N/A</v>
      </c>
      <c r="E465" s="1507" t="e">
        <v>#N/A</v>
      </c>
      <c r="F465" s="1507" t="e">
        <f t="shared" si="1"/>
        <v>#N/A</v>
      </c>
      <c r="K465" s="1625">
        <v>42522</v>
      </c>
      <c r="L465" s="1626" t="s">
        <v>2301</v>
      </c>
      <c r="M465" s="1627">
        <v>5.2531000000000001E-2</v>
      </c>
      <c r="N465" s="1628">
        <v>1.174900009121957</v>
      </c>
      <c r="O465" s="1628">
        <v>1.174900009121957</v>
      </c>
    </row>
    <row r="466" spans="2:15">
      <c r="B466" s="1506">
        <v>46600</v>
      </c>
      <c r="C466" s="1507" t="e">
        <v>#N/A</v>
      </c>
      <c r="D466" s="1507" t="e">
        <v>#N/A</v>
      </c>
      <c r="E466" s="1507" t="e">
        <v>#N/A</v>
      </c>
      <c r="F466" s="1507" t="e">
        <f t="shared" si="1"/>
        <v>#N/A</v>
      </c>
      <c r="K466" s="1625">
        <v>42523</v>
      </c>
      <c r="L466" s="1626" t="s">
        <v>2301</v>
      </c>
      <c r="M466" s="1627">
        <v>5.2531000000000001E-2</v>
      </c>
      <c r="N466" s="1628">
        <v>1.1755171958457489</v>
      </c>
      <c r="O466" s="1628">
        <v>1.1755171958457489</v>
      </c>
    </row>
    <row r="467" spans="2:15">
      <c r="B467" s="1506">
        <v>46631</v>
      </c>
      <c r="C467" s="1507" t="e">
        <v>#N/A</v>
      </c>
      <c r="D467" s="1507" t="e">
        <v>#N/A</v>
      </c>
      <c r="E467" s="1507" t="e">
        <v>#N/A</v>
      </c>
      <c r="F467" s="1507" t="e">
        <f t="shared" si="1"/>
        <v>#N/A</v>
      </c>
      <c r="K467" s="1625">
        <v>42524</v>
      </c>
      <c r="L467" s="1626" t="s">
        <v>2301</v>
      </c>
      <c r="M467" s="1627">
        <v>5.2531000000000001E-2</v>
      </c>
      <c r="N467" s="1628">
        <v>1.1761347067838985</v>
      </c>
      <c r="O467" s="1628">
        <v>1.1761347067838985</v>
      </c>
    </row>
    <row r="468" spans="2:15">
      <c r="B468" s="1506">
        <v>46661</v>
      </c>
      <c r="C468" s="1507" t="e">
        <v>#N/A</v>
      </c>
      <c r="D468" s="1507" t="e">
        <v>#N/A</v>
      </c>
      <c r="E468" s="1507" t="e">
        <v>#N/A</v>
      </c>
      <c r="F468" s="1507" t="e">
        <f t="shared" si="1"/>
        <v>#N/A</v>
      </c>
      <c r="K468" s="1625">
        <v>42525</v>
      </c>
      <c r="L468" s="1626"/>
      <c r="M468" s="1627">
        <v>0</v>
      </c>
      <c r="N468" s="1628">
        <v>1.1761347067838985</v>
      </c>
      <c r="O468" s="1628">
        <v>1.1761347067838985</v>
      </c>
    </row>
    <row r="469" spans="2:15">
      <c r="B469" s="1506">
        <v>46692</v>
      </c>
      <c r="C469" s="1507" t="e">
        <v>#N/A</v>
      </c>
      <c r="D469" s="1507" t="e">
        <v>#N/A</v>
      </c>
      <c r="E469" s="1507" t="e">
        <v>#N/A</v>
      </c>
      <c r="F469" s="1507" t="e">
        <f t="shared" si="1"/>
        <v>#N/A</v>
      </c>
      <c r="K469" s="1625">
        <v>42526</v>
      </c>
      <c r="L469" s="1626"/>
      <c r="M469" s="1627">
        <v>0</v>
      </c>
      <c r="N469" s="1628">
        <v>1.1761347067838985</v>
      </c>
      <c r="O469" s="1628">
        <v>1.1761347067838985</v>
      </c>
    </row>
    <row r="470" spans="2:15">
      <c r="B470" s="1506">
        <v>46722</v>
      </c>
      <c r="C470" s="1507" t="e">
        <v>#N/A</v>
      </c>
      <c r="D470" s="1507" t="e">
        <v>#N/A</v>
      </c>
      <c r="E470" s="1507" t="e">
        <v>#N/A</v>
      </c>
      <c r="F470" s="1507" t="e">
        <f t="shared" si="1"/>
        <v>#N/A</v>
      </c>
      <c r="K470" s="1625">
        <v>42527</v>
      </c>
      <c r="L470" s="1626" t="s">
        <v>2301</v>
      </c>
      <c r="M470" s="1627">
        <v>5.2531000000000001E-2</v>
      </c>
      <c r="N470" s="1628">
        <v>1.1767525421067191</v>
      </c>
      <c r="O470" s="1628">
        <v>1.1767525421067191</v>
      </c>
    </row>
    <row r="471" spans="2:15">
      <c r="B471" s="1506">
        <v>46753</v>
      </c>
      <c r="C471" s="1507" t="e">
        <v>#N/A</v>
      </c>
      <c r="D471" s="1507" t="e">
        <v>#N/A</v>
      </c>
      <c r="E471" s="1507" t="e">
        <v>#N/A</v>
      </c>
      <c r="F471" s="1507" t="e">
        <f t="shared" si="1"/>
        <v>#N/A</v>
      </c>
      <c r="K471" s="1625">
        <v>42528</v>
      </c>
      <c r="L471" s="1626" t="s">
        <v>2301</v>
      </c>
      <c r="M471" s="1627">
        <v>5.2531000000000001E-2</v>
      </c>
      <c r="N471" s="1628">
        <v>1.1773707019846131</v>
      </c>
      <c r="O471" s="1628">
        <v>1.1773707019846131</v>
      </c>
    </row>
    <row r="472" spans="2:15">
      <c r="B472" s="1506">
        <v>46784</v>
      </c>
      <c r="C472" s="1507" t="e">
        <v>#N/A</v>
      </c>
      <c r="D472" s="1507" t="e">
        <v>#N/A</v>
      </c>
      <c r="E472" s="1507" t="e">
        <v>#N/A</v>
      </c>
      <c r="F472" s="1507" t="e">
        <f t="shared" si="1"/>
        <v>#N/A</v>
      </c>
      <c r="K472" s="1625">
        <v>42529</v>
      </c>
      <c r="L472" s="1626" t="s">
        <v>2301</v>
      </c>
      <c r="M472" s="1627">
        <v>5.2531000000000001E-2</v>
      </c>
      <c r="N472" s="1628">
        <v>1.1779891865880727</v>
      </c>
      <c r="O472" s="1628">
        <v>1.1779891865880727</v>
      </c>
    </row>
    <row r="473" spans="2:15">
      <c r="B473" s="1506">
        <v>46813</v>
      </c>
      <c r="C473" s="1507" t="e">
        <v>#N/A</v>
      </c>
      <c r="D473" s="1507" t="e">
        <v>#N/A</v>
      </c>
      <c r="E473" s="1507" t="e">
        <v>#N/A</v>
      </c>
      <c r="F473" s="1507" t="e">
        <f t="shared" si="1"/>
        <v>#N/A</v>
      </c>
      <c r="K473" s="1625">
        <v>42530</v>
      </c>
      <c r="L473" s="1626" t="s">
        <v>2301</v>
      </c>
      <c r="M473" s="1627">
        <v>5.2531000000000001E-2</v>
      </c>
      <c r="N473" s="1628">
        <v>1.1786079960876794</v>
      </c>
      <c r="O473" s="1628">
        <v>1.1786079960876794</v>
      </c>
    </row>
    <row r="474" spans="2:15">
      <c r="B474" s="1506">
        <v>46844</v>
      </c>
      <c r="C474" s="1507" t="e">
        <v>#N/A</v>
      </c>
      <c r="D474" s="1507" t="e">
        <v>#N/A</v>
      </c>
      <c r="E474" s="1507" t="e">
        <v>#N/A</v>
      </c>
      <c r="F474" s="1507" t="e">
        <f t="shared" si="1"/>
        <v>#N/A</v>
      </c>
      <c r="K474" s="1625">
        <v>42531</v>
      </c>
      <c r="L474" s="1626" t="s">
        <v>2301</v>
      </c>
      <c r="M474" s="1627">
        <v>5.2531000000000001E-2</v>
      </c>
      <c r="N474" s="1628">
        <v>1.1792271306541042</v>
      </c>
      <c r="O474" s="1628">
        <v>1.1792271306541042</v>
      </c>
    </row>
    <row r="475" spans="2:15">
      <c r="B475" s="1506">
        <v>46874</v>
      </c>
      <c r="C475" s="1507" t="e">
        <v>#N/A</v>
      </c>
      <c r="D475" s="1507" t="e">
        <v>#N/A</v>
      </c>
      <c r="E475" s="1507" t="e">
        <v>#N/A</v>
      </c>
      <c r="F475" s="1507" t="e">
        <f t="shared" si="1"/>
        <v>#N/A</v>
      </c>
      <c r="K475" s="1625">
        <v>42532</v>
      </c>
      <c r="L475" s="1626"/>
      <c r="M475" s="1627">
        <v>0</v>
      </c>
      <c r="N475" s="1628">
        <v>1.1792271306541042</v>
      </c>
      <c r="O475" s="1628">
        <v>1.1792271306541042</v>
      </c>
    </row>
    <row r="476" spans="2:15">
      <c r="B476" s="1506">
        <v>46905</v>
      </c>
      <c r="C476" s="1507" t="e">
        <v>#N/A</v>
      </c>
      <c r="D476" s="1507" t="e">
        <v>#N/A</v>
      </c>
      <c r="E476" s="1507" t="e">
        <v>#N/A</v>
      </c>
      <c r="F476" s="1507" t="e">
        <f t="shared" si="1"/>
        <v>#N/A</v>
      </c>
      <c r="K476" s="1625">
        <v>42533</v>
      </c>
      <c r="L476" s="1626"/>
      <c r="M476" s="1627">
        <v>0</v>
      </c>
      <c r="N476" s="1628">
        <v>1.1792271306541042</v>
      </c>
      <c r="O476" s="1628">
        <v>1.1792271306541042</v>
      </c>
    </row>
    <row r="477" spans="2:15">
      <c r="B477" s="1506">
        <v>46935</v>
      </c>
      <c r="C477" s="1507" t="e">
        <v>#N/A</v>
      </c>
      <c r="D477" s="1507" t="e">
        <v>#N/A</v>
      </c>
      <c r="E477" s="1507" t="e">
        <v>#N/A</v>
      </c>
      <c r="F477" s="1507" t="e">
        <f t="shared" si="1"/>
        <v>#N/A</v>
      </c>
      <c r="K477" s="1625">
        <v>42534</v>
      </c>
      <c r="L477" s="1626" t="s">
        <v>2301</v>
      </c>
      <c r="M477" s="1627">
        <v>5.2531000000000001E-2</v>
      </c>
      <c r="N477" s="1628">
        <v>1.1798465904581081</v>
      </c>
      <c r="O477" s="1628">
        <v>1.1798465904581081</v>
      </c>
    </row>
    <row r="478" spans="2:15">
      <c r="B478" s="1506">
        <v>46966</v>
      </c>
      <c r="C478" s="1507" t="e">
        <v>#N/A</v>
      </c>
      <c r="D478" s="1507" t="e">
        <v>#N/A</v>
      </c>
      <c r="E478" s="1507" t="e">
        <v>#N/A</v>
      </c>
      <c r="F478" s="1507" t="e">
        <f t="shared" si="1"/>
        <v>#N/A</v>
      </c>
      <c r="K478" s="1625">
        <v>42535</v>
      </c>
      <c r="L478" s="1626" t="s">
        <v>2301</v>
      </c>
      <c r="M478" s="1627">
        <v>5.2531000000000001E-2</v>
      </c>
      <c r="N478" s="1628">
        <v>1.1804663756705416</v>
      </c>
      <c r="O478" s="1628">
        <v>1.1804663756705416</v>
      </c>
    </row>
    <row r="479" spans="2:15">
      <c r="B479" s="1506">
        <v>46997</v>
      </c>
      <c r="C479" s="1507" t="e">
        <v>#N/A</v>
      </c>
      <c r="D479" s="1507" t="e">
        <v>#N/A</v>
      </c>
      <c r="E479" s="1507" t="e">
        <v>#N/A</v>
      </c>
      <c r="F479" s="1507" t="e">
        <f t="shared" si="1"/>
        <v>#N/A</v>
      </c>
      <c r="K479" s="1625">
        <v>42536</v>
      </c>
      <c r="L479" s="1626" t="s">
        <v>2301</v>
      </c>
      <c r="M479" s="1627">
        <v>5.2531000000000001E-2</v>
      </c>
      <c r="N479" s="1628">
        <v>1.1810864864623452</v>
      </c>
      <c r="O479" s="1628">
        <v>1.1810864864623452</v>
      </c>
    </row>
    <row r="480" spans="2:15">
      <c r="B480" s="1506">
        <v>47027</v>
      </c>
      <c r="C480" s="1507" t="e">
        <v>#N/A</v>
      </c>
      <c r="D480" s="1507" t="e">
        <v>#N/A</v>
      </c>
      <c r="E480" s="1507" t="e">
        <v>#N/A</v>
      </c>
      <c r="F480" s="1507" t="e">
        <f t="shared" si="1"/>
        <v>#N/A</v>
      </c>
      <c r="K480" s="1625">
        <v>42537</v>
      </c>
      <c r="L480" s="1626" t="s">
        <v>2301</v>
      </c>
      <c r="M480" s="1627">
        <v>5.2531000000000001E-2</v>
      </c>
      <c r="N480" s="1628">
        <v>1.1817069230045487</v>
      </c>
      <c r="O480" s="1628">
        <v>1.1817069230045487</v>
      </c>
    </row>
    <row r="481" spans="2:15">
      <c r="B481" s="1506">
        <v>47058</v>
      </c>
      <c r="C481" s="1507" t="e">
        <v>#N/A</v>
      </c>
      <c r="D481" s="1507" t="e">
        <v>#N/A</v>
      </c>
      <c r="E481" s="1507" t="e">
        <v>#N/A</v>
      </c>
      <c r="F481" s="1507" t="e">
        <f t="shared" si="1"/>
        <v>#N/A</v>
      </c>
      <c r="K481" s="1625">
        <v>42538</v>
      </c>
      <c r="L481" s="1626" t="s">
        <v>2301</v>
      </c>
      <c r="M481" s="1627">
        <v>5.2531000000000001E-2</v>
      </c>
      <c r="N481" s="1628">
        <v>1.1823276854682723</v>
      </c>
      <c r="O481" s="1628">
        <v>1.1823276854682723</v>
      </c>
    </row>
    <row r="482" spans="2:15">
      <c r="B482" s="1506">
        <v>47088</v>
      </c>
      <c r="C482" s="1507" t="e">
        <v>#N/A</v>
      </c>
      <c r="D482" s="1507" t="e">
        <v>#N/A</v>
      </c>
      <c r="E482" s="1507" t="e">
        <v>#N/A</v>
      </c>
      <c r="F482" s="1507" t="e">
        <f t="shared" si="1"/>
        <v>#N/A</v>
      </c>
      <c r="K482" s="1625">
        <v>42539</v>
      </c>
      <c r="L482" s="1626"/>
      <c r="M482" s="1627">
        <v>0</v>
      </c>
      <c r="N482" s="1628">
        <v>1.1823276854682723</v>
      </c>
      <c r="O482" s="1628">
        <v>1.1823276854682723</v>
      </c>
    </row>
    <row r="483" spans="2:15">
      <c r="B483" s="1506">
        <v>47119</v>
      </c>
      <c r="C483" s="1507" t="e">
        <v>#N/A</v>
      </c>
      <c r="D483" s="1507" t="e">
        <v>#N/A</v>
      </c>
      <c r="E483" s="1507" t="e">
        <v>#N/A</v>
      </c>
      <c r="F483" s="1507" t="e">
        <f t="shared" si="1"/>
        <v>#N/A</v>
      </c>
      <c r="K483" s="1625">
        <v>42540</v>
      </c>
      <c r="L483" s="1626"/>
      <c r="M483" s="1627">
        <v>0</v>
      </c>
      <c r="N483" s="1628">
        <v>1.1823276854682723</v>
      </c>
      <c r="O483" s="1628">
        <v>1.1823276854682723</v>
      </c>
    </row>
    <row r="484" spans="2:15">
      <c r="B484" s="1506">
        <v>47150</v>
      </c>
      <c r="C484" s="1507" t="e">
        <v>#N/A</v>
      </c>
      <c r="D484" s="1507" t="e">
        <v>#N/A</v>
      </c>
      <c r="E484" s="1507" t="e">
        <v>#N/A</v>
      </c>
      <c r="F484" s="1507" t="e">
        <f t="shared" ref="F484:F500" si="2">F483*E484</f>
        <v>#N/A</v>
      </c>
      <c r="K484" s="1625">
        <v>42541</v>
      </c>
      <c r="L484" s="1626" t="s">
        <v>2301</v>
      </c>
      <c r="M484" s="1627">
        <v>5.2531000000000001E-2</v>
      </c>
      <c r="N484" s="1628">
        <v>1.1829487740247255</v>
      </c>
      <c r="O484" s="1628">
        <v>1.1829487740247255</v>
      </c>
    </row>
    <row r="485" spans="2:15">
      <c r="B485" s="1506">
        <v>47178</v>
      </c>
      <c r="C485" s="1507" t="e">
        <v>#N/A</v>
      </c>
      <c r="D485" s="1507" t="e">
        <v>#N/A</v>
      </c>
      <c r="E485" s="1507" t="e">
        <v>#N/A</v>
      </c>
      <c r="F485" s="1507" t="e">
        <f t="shared" si="2"/>
        <v>#N/A</v>
      </c>
      <c r="K485" s="1625">
        <v>42542</v>
      </c>
      <c r="L485" s="1626" t="s">
        <v>2301</v>
      </c>
      <c r="M485" s="1627">
        <v>5.2531000000000001E-2</v>
      </c>
      <c r="N485" s="1628">
        <v>1.1835701888452084</v>
      </c>
      <c r="O485" s="1628">
        <v>1.1835701888452084</v>
      </c>
    </row>
    <row r="486" spans="2:15">
      <c r="B486" s="1506">
        <v>47209</v>
      </c>
      <c r="C486" s="1507" t="e">
        <v>#N/A</v>
      </c>
      <c r="D486" s="1507" t="e">
        <v>#N/A</v>
      </c>
      <c r="E486" s="1507" t="e">
        <v>#N/A</v>
      </c>
      <c r="F486" s="1507" t="e">
        <f t="shared" si="2"/>
        <v>#N/A</v>
      </c>
      <c r="K486" s="1625">
        <v>42543</v>
      </c>
      <c r="L486" s="1626" t="s">
        <v>2301</v>
      </c>
      <c r="M486" s="1627">
        <v>5.2531000000000001E-2</v>
      </c>
      <c r="N486" s="1628">
        <v>1.1841919301011106</v>
      </c>
      <c r="O486" s="1628">
        <v>1.1841919301011106</v>
      </c>
    </row>
    <row r="487" spans="2:15">
      <c r="B487" s="1506">
        <v>47239</v>
      </c>
      <c r="C487" s="1507" t="e">
        <v>#N/A</v>
      </c>
      <c r="D487" s="1507" t="e">
        <v>#N/A</v>
      </c>
      <c r="E487" s="1507" t="e">
        <v>#N/A</v>
      </c>
      <c r="F487" s="1507" t="e">
        <f t="shared" si="2"/>
        <v>#N/A</v>
      </c>
      <c r="K487" s="1625">
        <v>42544</v>
      </c>
      <c r="L487" s="1626" t="s">
        <v>2301</v>
      </c>
      <c r="M487" s="1627">
        <v>5.2531000000000001E-2</v>
      </c>
      <c r="N487" s="1628">
        <v>1.1848139979639121</v>
      </c>
      <c r="O487" s="1628">
        <v>1.1848139979639121</v>
      </c>
    </row>
    <row r="488" spans="2:15">
      <c r="B488" s="1506">
        <v>47270</v>
      </c>
      <c r="C488" s="1507" t="e">
        <v>#N/A</v>
      </c>
      <c r="D488" s="1507" t="e">
        <v>#N/A</v>
      </c>
      <c r="E488" s="1507" t="e">
        <v>#N/A</v>
      </c>
      <c r="F488" s="1507" t="e">
        <f t="shared" si="2"/>
        <v>#N/A</v>
      </c>
      <c r="K488" s="1625">
        <v>42545</v>
      </c>
      <c r="L488" s="1626" t="s">
        <v>2301</v>
      </c>
      <c r="M488" s="1627">
        <v>5.2531000000000001E-2</v>
      </c>
      <c r="N488" s="1628">
        <v>1.1854363926051825</v>
      </c>
      <c r="O488" s="1628">
        <v>1.1854363926051825</v>
      </c>
    </row>
    <row r="489" spans="2:15">
      <c r="B489" s="1506">
        <v>47300</v>
      </c>
      <c r="C489" s="1507" t="e">
        <v>#N/A</v>
      </c>
      <c r="D489" s="1507" t="e">
        <v>#N/A</v>
      </c>
      <c r="E489" s="1507" t="e">
        <v>#N/A</v>
      </c>
      <c r="F489" s="1507" t="e">
        <f t="shared" si="2"/>
        <v>#N/A</v>
      </c>
      <c r="K489" s="1625">
        <v>42546</v>
      </c>
      <c r="L489" s="1626"/>
      <c r="M489" s="1627">
        <v>0</v>
      </c>
      <c r="N489" s="1628">
        <v>1.1854363926051825</v>
      </c>
      <c r="O489" s="1628">
        <v>1.1854363926051825</v>
      </c>
    </row>
    <row r="490" spans="2:15">
      <c r="B490" s="1506">
        <v>47331</v>
      </c>
      <c r="C490" s="1507" t="e">
        <v>#N/A</v>
      </c>
      <c r="D490" s="1507" t="e">
        <v>#N/A</v>
      </c>
      <c r="E490" s="1507" t="e">
        <v>#N/A</v>
      </c>
      <c r="F490" s="1507" t="e">
        <f t="shared" si="2"/>
        <v>#N/A</v>
      </c>
      <c r="K490" s="1625">
        <v>42547</v>
      </c>
      <c r="L490" s="1626"/>
      <c r="M490" s="1627">
        <v>0</v>
      </c>
      <c r="N490" s="1628">
        <v>1.1854363926051825</v>
      </c>
      <c r="O490" s="1628">
        <v>1.1854363926051825</v>
      </c>
    </row>
    <row r="491" spans="2:15">
      <c r="B491" s="1506">
        <v>47362</v>
      </c>
      <c r="C491" s="1507" t="e">
        <v>#N/A</v>
      </c>
      <c r="D491" s="1507" t="e">
        <v>#N/A</v>
      </c>
      <c r="E491" s="1507" t="e">
        <v>#N/A</v>
      </c>
      <c r="F491" s="1507" t="e">
        <f t="shared" si="2"/>
        <v>#N/A</v>
      </c>
      <c r="K491" s="1625">
        <v>42548</v>
      </c>
      <c r="L491" s="1626" t="s">
        <v>2301</v>
      </c>
      <c r="M491" s="1627">
        <v>5.2531000000000001E-2</v>
      </c>
      <c r="N491" s="1628">
        <v>1.1860591141965819</v>
      </c>
      <c r="O491" s="1628">
        <v>1.1860591141965819</v>
      </c>
    </row>
    <row r="492" spans="2:15">
      <c r="B492" s="1506">
        <v>47392</v>
      </c>
      <c r="C492" s="1507" t="e">
        <v>#N/A</v>
      </c>
      <c r="D492" s="1507" t="e">
        <v>#N/A</v>
      </c>
      <c r="E492" s="1507" t="e">
        <v>#N/A</v>
      </c>
      <c r="F492" s="1507" t="e">
        <f t="shared" si="2"/>
        <v>#N/A</v>
      </c>
      <c r="K492" s="1625">
        <v>42549</v>
      </c>
      <c r="L492" s="1626" t="s">
        <v>2301</v>
      </c>
      <c r="M492" s="1627">
        <v>5.2531000000000001E-2</v>
      </c>
      <c r="N492" s="1628">
        <v>1.1866821629098605</v>
      </c>
      <c r="O492" s="1628">
        <v>1.1866821629098605</v>
      </c>
    </row>
    <row r="493" spans="2:15">
      <c r="B493" s="1506">
        <v>47423</v>
      </c>
      <c r="C493" s="1507" t="e">
        <v>#N/A</v>
      </c>
      <c r="D493" s="1507" t="e">
        <v>#N/A</v>
      </c>
      <c r="E493" s="1507" t="e">
        <v>#N/A</v>
      </c>
      <c r="F493" s="1507" t="e">
        <f t="shared" si="2"/>
        <v>#N/A</v>
      </c>
      <c r="K493" s="1625">
        <v>42550</v>
      </c>
      <c r="L493" s="1626" t="s">
        <v>2301</v>
      </c>
      <c r="M493" s="1627">
        <v>5.2531000000000001E-2</v>
      </c>
      <c r="N493" s="1628">
        <v>1.1873055389168587</v>
      </c>
      <c r="O493" s="1628">
        <v>1.1873055389168587</v>
      </c>
    </row>
    <row r="494" spans="2:15">
      <c r="B494" s="1506">
        <v>47453</v>
      </c>
      <c r="C494" s="1507" t="e">
        <v>#N/A</v>
      </c>
      <c r="D494" s="1507" t="e">
        <v>#N/A</v>
      </c>
      <c r="E494" s="1507" t="e">
        <v>#N/A</v>
      </c>
      <c r="F494" s="1507" t="e">
        <f t="shared" si="2"/>
        <v>#N/A</v>
      </c>
      <c r="K494" s="1625">
        <v>42551</v>
      </c>
      <c r="L494" s="1626" t="s">
        <v>2301</v>
      </c>
      <c r="M494" s="1627">
        <v>5.2531000000000001E-2</v>
      </c>
      <c r="N494" s="1628">
        <v>1.1879292423895071</v>
      </c>
      <c r="O494" s="1628">
        <v>1.1879292423895071</v>
      </c>
    </row>
    <row r="495" spans="2:15">
      <c r="B495" s="1506">
        <v>47484</v>
      </c>
      <c r="C495" s="1507" t="e">
        <v>#N/A</v>
      </c>
      <c r="D495" s="1507" t="e">
        <v>#N/A</v>
      </c>
      <c r="E495" s="1507" t="e">
        <v>#N/A</v>
      </c>
      <c r="F495" s="1507" t="e">
        <f t="shared" si="2"/>
        <v>#N/A</v>
      </c>
      <c r="K495" s="1625">
        <v>42552</v>
      </c>
      <c r="L495" s="1626" t="s">
        <v>2301</v>
      </c>
      <c r="M495" s="1627">
        <v>5.2531000000000001E-2</v>
      </c>
      <c r="N495" s="1628">
        <v>1.1885532734998268</v>
      </c>
      <c r="O495" s="1628">
        <v>1.1885532734998268</v>
      </c>
    </row>
    <row r="496" spans="2:15">
      <c r="B496" s="1506">
        <v>47515</v>
      </c>
      <c r="C496" s="1507" t="e">
        <v>#N/A</v>
      </c>
      <c r="D496" s="1507" t="e">
        <v>#N/A</v>
      </c>
      <c r="E496" s="1507" t="e">
        <v>#N/A</v>
      </c>
      <c r="F496" s="1507" t="e">
        <f t="shared" si="2"/>
        <v>#N/A</v>
      </c>
      <c r="K496" s="1625">
        <v>42553</v>
      </c>
      <c r="L496" s="1626"/>
      <c r="M496" s="1627">
        <v>0</v>
      </c>
      <c r="N496" s="1628">
        <v>1.1885532734998268</v>
      </c>
      <c r="O496" s="1628">
        <v>1.1885532734998268</v>
      </c>
    </row>
    <row r="497" spans="2:15">
      <c r="B497" s="1506">
        <v>47543</v>
      </c>
      <c r="C497" s="1507" t="e">
        <v>#N/A</v>
      </c>
      <c r="D497" s="1507" t="e">
        <v>#N/A</v>
      </c>
      <c r="E497" s="1507" t="e">
        <v>#N/A</v>
      </c>
      <c r="F497" s="1507" t="e">
        <f t="shared" si="2"/>
        <v>#N/A</v>
      </c>
      <c r="K497" s="1625">
        <v>42554</v>
      </c>
      <c r="L497" s="1626"/>
      <c r="M497" s="1627">
        <v>0</v>
      </c>
      <c r="N497" s="1628">
        <v>1.1885532734998268</v>
      </c>
      <c r="O497" s="1628">
        <v>1.1885532734998268</v>
      </c>
    </row>
    <row r="498" spans="2:15">
      <c r="B498" s="1506">
        <v>47574</v>
      </c>
      <c r="C498" s="1507" t="e">
        <v>#N/A</v>
      </c>
      <c r="D498" s="1507" t="e">
        <v>#N/A</v>
      </c>
      <c r="E498" s="1507" t="e">
        <v>#N/A</v>
      </c>
      <c r="F498" s="1507" t="e">
        <f t="shared" si="2"/>
        <v>#N/A</v>
      </c>
      <c r="K498" s="1625">
        <v>42555</v>
      </c>
      <c r="L498" s="1626" t="s">
        <v>2301</v>
      </c>
      <c r="M498" s="1627">
        <v>5.2531000000000001E-2</v>
      </c>
      <c r="N498" s="1628">
        <v>1.189177632419929</v>
      </c>
      <c r="O498" s="1628">
        <v>1.189177632419929</v>
      </c>
    </row>
    <row r="499" spans="2:15">
      <c r="B499" s="1506">
        <v>47604</v>
      </c>
      <c r="C499" s="1507" t="e">
        <v>#N/A</v>
      </c>
      <c r="D499" s="1507" t="e">
        <v>#N/A</v>
      </c>
      <c r="E499" s="1507" t="e">
        <v>#N/A</v>
      </c>
      <c r="F499" s="1507" t="e">
        <f t="shared" si="2"/>
        <v>#N/A</v>
      </c>
      <c r="K499" s="1625">
        <v>42556</v>
      </c>
      <c r="L499" s="1626" t="s">
        <v>2301</v>
      </c>
      <c r="M499" s="1627">
        <v>5.2531000000000001E-2</v>
      </c>
      <c r="N499" s="1628">
        <v>1.1898023193220155</v>
      </c>
      <c r="O499" s="1628">
        <v>1.1898023193220155</v>
      </c>
    </row>
    <row r="500" spans="2:15">
      <c r="B500" s="1506">
        <v>47635</v>
      </c>
      <c r="C500" s="1507" t="e">
        <v>#N/A</v>
      </c>
      <c r="D500" s="1507" t="e">
        <v>#N/A</v>
      </c>
      <c r="E500" s="1507" t="e">
        <v>#N/A</v>
      </c>
      <c r="F500" s="1507" t="e">
        <f t="shared" si="2"/>
        <v>#N/A</v>
      </c>
      <c r="K500" s="1625">
        <v>42557</v>
      </c>
      <c r="L500" s="1626" t="s">
        <v>2301</v>
      </c>
      <c r="M500" s="1627">
        <v>5.2531000000000001E-2</v>
      </c>
      <c r="N500" s="1628">
        <v>1.1904273343783787</v>
      </c>
      <c r="O500" s="1628">
        <v>1.1904273343783787</v>
      </c>
    </row>
    <row r="501" spans="2:15">
      <c r="K501" s="1625">
        <v>42558</v>
      </c>
      <c r="L501" s="1626" t="s">
        <v>2301</v>
      </c>
      <c r="M501" s="1627">
        <v>5.2531000000000001E-2</v>
      </c>
      <c r="N501" s="1628">
        <v>1.191052677761401</v>
      </c>
      <c r="O501" s="1628">
        <v>1.191052677761401</v>
      </c>
    </row>
    <row r="502" spans="2:15">
      <c r="K502" s="1625">
        <v>42559</v>
      </c>
      <c r="L502" s="1626" t="s">
        <v>2301</v>
      </c>
      <c r="M502" s="1627">
        <v>5.2531000000000001E-2</v>
      </c>
      <c r="N502" s="1628">
        <v>1.1916783496435559</v>
      </c>
      <c r="O502" s="1628">
        <v>1.1916783496435559</v>
      </c>
    </row>
    <row r="503" spans="2:15">
      <c r="K503" s="1625">
        <v>42560</v>
      </c>
      <c r="L503" s="1626"/>
      <c r="M503" s="1627">
        <v>0</v>
      </c>
      <c r="N503" s="1628">
        <v>1.1916783496435559</v>
      </c>
      <c r="O503" s="1628">
        <v>1.1916783496435559</v>
      </c>
    </row>
    <row r="504" spans="2:15">
      <c r="K504" s="1625">
        <v>42561</v>
      </c>
      <c r="L504" s="1626"/>
      <c r="M504" s="1627">
        <v>0</v>
      </c>
      <c r="N504" s="1628">
        <v>1.1916783496435559</v>
      </c>
      <c r="O504" s="1628">
        <v>1.1916783496435559</v>
      </c>
    </row>
    <row r="505" spans="2:15">
      <c r="K505" s="1625">
        <v>42562</v>
      </c>
      <c r="L505" s="1626" t="s">
        <v>2301</v>
      </c>
      <c r="M505" s="1627">
        <v>5.2531000000000001E-2</v>
      </c>
      <c r="N505" s="1628">
        <v>1.1923043501974071</v>
      </c>
      <c r="O505" s="1628">
        <v>1.1923043501974071</v>
      </c>
    </row>
    <row r="506" spans="2:15">
      <c r="K506" s="1625">
        <v>42563</v>
      </c>
      <c r="L506" s="1626" t="s">
        <v>2301</v>
      </c>
      <c r="M506" s="1627">
        <v>5.2531000000000001E-2</v>
      </c>
      <c r="N506" s="1628">
        <v>1.1929306795956094</v>
      </c>
      <c r="O506" s="1628">
        <v>1.1929306795956094</v>
      </c>
    </row>
    <row r="507" spans="2:15">
      <c r="K507" s="1625">
        <v>42564</v>
      </c>
      <c r="L507" s="1626" t="s">
        <v>2301</v>
      </c>
      <c r="M507" s="1627">
        <v>5.2531000000000001E-2</v>
      </c>
      <c r="N507" s="1628">
        <v>1.1935573380109077</v>
      </c>
      <c r="O507" s="1628">
        <v>1.1935573380109077</v>
      </c>
    </row>
    <row r="508" spans="2:15">
      <c r="K508" s="1625">
        <v>42565</v>
      </c>
      <c r="L508" s="1626" t="s">
        <v>2301</v>
      </c>
      <c r="M508" s="1627">
        <v>5.2531000000000001E-2</v>
      </c>
      <c r="N508" s="1628">
        <v>1.1941843256161382</v>
      </c>
      <c r="O508" s="1628">
        <v>1.1941843256161382</v>
      </c>
    </row>
    <row r="509" spans="2:15">
      <c r="K509" s="1625">
        <v>42566</v>
      </c>
      <c r="L509" s="1626" t="s">
        <v>2301</v>
      </c>
      <c r="M509" s="1627">
        <v>5.2531000000000001E-2</v>
      </c>
      <c r="N509" s="1628">
        <v>1.1948116425842277</v>
      </c>
      <c r="O509" s="1628">
        <v>1.1948116425842277</v>
      </c>
    </row>
    <row r="510" spans="2:15">
      <c r="K510" s="1625">
        <v>42567</v>
      </c>
      <c r="L510" s="1626"/>
      <c r="M510" s="1627">
        <v>0</v>
      </c>
      <c r="N510" s="1628">
        <v>1.1948116425842277</v>
      </c>
      <c r="O510" s="1628">
        <v>1.1948116425842277</v>
      </c>
    </row>
    <row r="511" spans="2:15">
      <c r="K511" s="1625">
        <v>42568</v>
      </c>
      <c r="L511" s="1626"/>
      <c r="M511" s="1627">
        <v>0</v>
      </c>
      <c r="N511" s="1628">
        <v>1.1948116425842277</v>
      </c>
      <c r="O511" s="1628">
        <v>1.1948116425842277</v>
      </c>
    </row>
    <row r="512" spans="2:15">
      <c r="K512" s="1625">
        <v>42569</v>
      </c>
      <c r="L512" s="1626" t="s">
        <v>2301</v>
      </c>
      <c r="M512" s="1627">
        <v>5.2531000000000001E-2</v>
      </c>
      <c r="N512" s="1628">
        <v>1.1954392890881935</v>
      </c>
      <c r="O512" s="1628">
        <v>1.1954392890881935</v>
      </c>
    </row>
    <row r="513" spans="11:15">
      <c r="K513" s="1625">
        <v>42570</v>
      </c>
      <c r="L513" s="1626" t="s">
        <v>2301</v>
      </c>
      <c r="M513" s="1627">
        <v>5.2531000000000001E-2</v>
      </c>
      <c r="N513" s="1628">
        <v>1.1960672653011444</v>
      </c>
      <c r="O513" s="1628">
        <v>1.1960672653011444</v>
      </c>
    </row>
    <row r="514" spans="11:15">
      <c r="K514" s="1625">
        <v>42571</v>
      </c>
      <c r="L514" s="1626" t="s">
        <v>2301</v>
      </c>
      <c r="M514" s="1627">
        <v>5.2531000000000001E-2</v>
      </c>
      <c r="N514" s="1628">
        <v>1.1966955713962797</v>
      </c>
      <c r="O514" s="1628">
        <v>1.1966955713962797</v>
      </c>
    </row>
    <row r="515" spans="11:15">
      <c r="K515" s="1625">
        <v>42572</v>
      </c>
      <c r="L515" s="1626" t="s">
        <v>2301</v>
      </c>
      <c r="M515" s="1627">
        <v>5.2531000000000001E-2</v>
      </c>
      <c r="N515" s="1628">
        <v>1.19732420754689</v>
      </c>
      <c r="O515" s="1628">
        <v>1.19732420754689</v>
      </c>
    </row>
    <row r="516" spans="11:15">
      <c r="K516" s="1625">
        <v>42573</v>
      </c>
      <c r="L516" s="1626" t="s">
        <v>2301</v>
      </c>
      <c r="M516" s="1627">
        <v>5.2531000000000001E-2</v>
      </c>
      <c r="N516" s="1628">
        <v>1.1979531739263565</v>
      </c>
      <c r="O516" s="1628">
        <v>1.1979531739263565</v>
      </c>
    </row>
    <row r="517" spans="11:15">
      <c r="K517" s="1625">
        <v>42574</v>
      </c>
      <c r="L517" s="1626"/>
      <c r="M517" s="1627">
        <v>0</v>
      </c>
      <c r="N517" s="1628">
        <v>1.1979531739263565</v>
      </c>
      <c r="O517" s="1628">
        <v>1.1979531739263565</v>
      </c>
    </row>
    <row r="518" spans="11:15">
      <c r="K518" s="1625">
        <v>42575</v>
      </c>
      <c r="L518" s="1626"/>
      <c r="M518" s="1627">
        <v>0</v>
      </c>
      <c r="N518" s="1628">
        <v>1.1979531739263565</v>
      </c>
      <c r="O518" s="1628">
        <v>1.1979531739263565</v>
      </c>
    </row>
    <row r="519" spans="11:15">
      <c r="K519" s="1625">
        <v>42576</v>
      </c>
      <c r="L519" s="1626" t="s">
        <v>2301</v>
      </c>
      <c r="M519" s="1627">
        <v>5.2531000000000001E-2</v>
      </c>
      <c r="N519" s="1628">
        <v>1.1985824707081518</v>
      </c>
      <c r="O519" s="1628">
        <v>1.1985824707081518</v>
      </c>
    </row>
    <row r="520" spans="11:15">
      <c r="K520" s="1625">
        <v>42577</v>
      </c>
      <c r="L520" s="1626" t="s">
        <v>2301</v>
      </c>
      <c r="M520" s="1627">
        <v>5.2531000000000001E-2</v>
      </c>
      <c r="N520" s="1628">
        <v>1.1992120980658396</v>
      </c>
      <c r="O520" s="1628">
        <v>1.1992120980658396</v>
      </c>
    </row>
    <row r="521" spans="11:15">
      <c r="K521" s="1625">
        <v>42578</v>
      </c>
      <c r="L521" s="1626" t="s">
        <v>2301</v>
      </c>
      <c r="M521" s="1627">
        <v>5.2531000000000001E-2</v>
      </c>
      <c r="N521" s="1628">
        <v>1.1998420561730745</v>
      </c>
      <c r="O521" s="1628">
        <v>1.1998420561730745</v>
      </c>
    </row>
    <row r="522" spans="11:15">
      <c r="K522" s="1625">
        <v>42579</v>
      </c>
      <c r="L522" s="1626" t="s">
        <v>2301</v>
      </c>
      <c r="M522" s="1627">
        <v>5.2531000000000001E-2</v>
      </c>
      <c r="N522" s="1628">
        <v>1.2004723452036028</v>
      </c>
      <c r="O522" s="1628">
        <v>1.2004723452036028</v>
      </c>
    </row>
    <row r="523" spans="11:15">
      <c r="K523" s="1625">
        <v>42580</v>
      </c>
      <c r="L523" s="1626" t="s">
        <v>2301</v>
      </c>
      <c r="M523" s="1627">
        <v>5.2531000000000001E-2</v>
      </c>
      <c r="N523" s="1628">
        <v>1.2011029653312617</v>
      </c>
      <c r="O523" s="1628">
        <v>1.2011029653312617</v>
      </c>
    </row>
    <row r="524" spans="11:15">
      <c r="K524" s="1625">
        <v>42581</v>
      </c>
      <c r="L524" s="1626"/>
      <c r="M524" s="1627">
        <v>0</v>
      </c>
      <c r="N524" s="1628">
        <v>1.2011029653312617</v>
      </c>
      <c r="O524" s="1628">
        <v>1.2011029653312617</v>
      </c>
    </row>
    <row r="525" spans="11:15">
      <c r="K525" s="1625">
        <v>42582</v>
      </c>
      <c r="L525" s="1626"/>
      <c r="M525" s="1627">
        <v>0</v>
      </c>
      <c r="N525" s="1628">
        <v>1.2011029653312617</v>
      </c>
      <c r="O525" s="1628">
        <v>1.2011029653312617</v>
      </c>
    </row>
    <row r="526" spans="11:15">
      <c r="K526" s="1625">
        <v>42583</v>
      </c>
      <c r="L526" s="1626" t="s">
        <v>2301</v>
      </c>
      <c r="M526" s="1627">
        <v>5.2531000000000001E-2</v>
      </c>
      <c r="N526" s="1628">
        <v>1.2017339167299799</v>
      </c>
      <c r="O526" s="1628">
        <v>1.2017339167299799</v>
      </c>
    </row>
    <row r="527" spans="11:15">
      <c r="K527" s="1625">
        <v>42584</v>
      </c>
      <c r="L527" s="1626" t="s">
        <v>2301</v>
      </c>
      <c r="M527" s="1627">
        <v>5.2531000000000001E-2</v>
      </c>
      <c r="N527" s="1628">
        <v>1.2023651995737772</v>
      </c>
      <c r="O527" s="1628">
        <v>1.2023651995737772</v>
      </c>
    </row>
    <row r="528" spans="11:15">
      <c r="K528" s="1625">
        <v>42585</v>
      </c>
      <c r="L528" s="1626" t="s">
        <v>2301</v>
      </c>
      <c r="M528" s="1627">
        <v>5.2531000000000001E-2</v>
      </c>
      <c r="N528" s="1628">
        <v>1.2029968140367653</v>
      </c>
      <c r="O528" s="1628">
        <v>1.2029968140367653</v>
      </c>
    </row>
    <row r="529" spans="11:15">
      <c r="K529" s="1625">
        <v>42586</v>
      </c>
      <c r="L529" s="1626" t="s">
        <v>2301</v>
      </c>
      <c r="M529" s="1627">
        <v>5.2531000000000001E-2</v>
      </c>
      <c r="N529" s="1628">
        <v>1.203628760293147</v>
      </c>
      <c r="O529" s="1628">
        <v>1.203628760293147</v>
      </c>
    </row>
    <row r="530" spans="11:15">
      <c r="K530" s="1625">
        <v>42587</v>
      </c>
      <c r="L530" s="1626" t="s">
        <v>2301</v>
      </c>
      <c r="M530" s="1627">
        <v>5.2531000000000001E-2</v>
      </c>
      <c r="N530" s="1628">
        <v>1.2042610385172166</v>
      </c>
      <c r="O530" s="1628">
        <v>1.2042610385172166</v>
      </c>
    </row>
    <row r="531" spans="11:15">
      <c r="K531" s="1625">
        <v>42588</v>
      </c>
      <c r="L531" s="1626"/>
      <c r="M531" s="1627">
        <v>0</v>
      </c>
      <c r="N531" s="1628">
        <v>1.2042610385172166</v>
      </c>
      <c r="O531" s="1628">
        <v>1.2042610385172166</v>
      </c>
    </row>
    <row r="532" spans="11:15">
      <c r="K532" s="1625">
        <v>42589</v>
      </c>
      <c r="L532" s="1626"/>
      <c r="M532" s="1627">
        <v>0</v>
      </c>
      <c r="N532" s="1628">
        <v>1.2042610385172166</v>
      </c>
      <c r="O532" s="1628">
        <v>1.2042610385172166</v>
      </c>
    </row>
    <row r="533" spans="11:15">
      <c r="K533" s="1625">
        <v>42590</v>
      </c>
      <c r="L533" s="1626" t="s">
        <v>2301</v>
      </c>
      <c r="M533" s="1627">
        <v>5.2531000000000001E-2</v>
      </c>
      <c r="N533" s="1628">
        <v>1.2048936488833599</v>
      </c>
      <c r="O533" s="1628">
        <v>1.2048936488833599</v>
      </c>
    </row>
    <row r="534" spans="11:15">
      <c r="K534" s="1625">
        <v>42591</v>
      </c>
      <c r="L534" s="1626" t="s">
        <v>2301</v>
      </c>
      <c r="M534" s="1627">
        <v>5.2531000000000001E-2</v>
      </c>
      <c r="N534" s="1628">
        <v>1.2055265915660549</v>
      </c>
      <c r="O534" s="1628">
        <v>1.2055265915660549</v>
      </c>
    </row>
    <row r="535" spans="11:15">
      <c r="K535" s="1625">
        <v>42592</v>
      </c>
      <c r="L535" s="1626" t="s">
        <v>2301</v>
      </c>
      <c r="M535" s="1627">
        <v>5.2531000000000001E-2</v>
      </c>
      <c r="N535" s="1628">
        <v>1.2061598667398705</v>
      </c>
      <c r="O535" s="1628">
        <v>1.2061598667398705</v>
      </c>
    </row>
    <row r="536" spans="11:15">
      <c r="K536" s="1625">
        <v>42593</v>
      </c>
      <c r="L536" s="1626" t="s">
        <v>2301</v>
      </c>
      <c r="M536" s="1627">
        <v>5.2531000000000001E-2</v>
      </c>
      <c r="N536" s="1628">
        <v>1.2067934745794677</v>
      </c>
      <c r="O536" s="1628">
        <v>1.2067934745794677</v>
      </c>
    </row>
    <row r="537" spans="11:15">
      <c r="K537" s="1625">
        <v>42594</v>
      </c>
      <c r="L537" s="1626" t="s">
        <v>2301</v>
      </c>
      <c r="M537" s="1627">
        <v>5.2531000000000001E-2</v>
      </c>
      <c r="N537" s="1628">
        <v>1.2074274152595992</v>
      </c>
      <c r="O537" s="1628">
        <v>1.2074274152595992</v>
      </c>
    </row>
    <row r="538" spans="11:15">
      <c r="K538" s="1625">
        <v>42595</v>
      </c>
      <c r="L538" s="1626"/>
      <c r="M538" s="1627">
        <v>0</v>
      </c>
      <c r="N538" s="1628">
        <v>1.2074274152595992</v>
      </c>
      <c r="O538" s="1628">
        <v>1.2074274152595992</v>
      </c>
    </row>
    <row r="539" spans="11:15">
      <c r="K539" s="1625">
        <v>42596</v>
      </c>
      <c r="L539" s="1626"/>
      <c r="M539" s="1627">
        <v>0</v>
      </c>
      <c r="N539" s="1628">
        <v>1.2074274152595992</v>
      </c>
      <c r="O539" s="1628">
        <v>1.2074274152595992</v>
      </c>
    </row>
    <row r="540" spans="11:15">
      <c r="K540" s="1625">
        <v>42597</v>
      </c>
      <c r="L540" s="1626" t="s">
        <v>2301</v>
      </c>
      <c r="M540" s="1627">
        <v>5.2531000000000001E-2</v>
      </c>
      <c r="N540" s="1628">
        <v>1.2080616889551092</v>
      </c>
      <c r="O540" s="1628">
        <v>1.2080616889551092</v>
      </c>
    </row>
    <row r="541" spans="11:15">
      <c r="K541" s="1625">
        <v>42598</v>
      </c>
      <c r="L541" s="1626" t="s">
        <v>2301</v>
      </c>
      <c r="M541" s="1627">
        <v>5.2531000000000001E-2</v>
      </c>
      <c r="N541" s="1628">
        <v>1.2086962958409342</v>
      </c>
      <c r="O541" s="1628">
        <v>1.2086962958409342</v>
      </c>
    </row>
    <row r="542" spans="11:15">
      <c r="K542" s="1625">
        <v>42599</v>
      </c>
      <c r="L542" s="1626" t="s">
        <v>2301</v>
      </c>
      <c r="M542" s="1627">
        <v>5.2531000000000001E-2</v>
      </c>
      <c r="N542" s="1628">
        <v>1.2093312360921025</v>
      </c>
      <c r="O542" s="1628">
        <v>1.2093312360921025</v>
      </c>
    </row>
    <row r="543" spans="11:15">
      <c r="K543" s="1625">
        <v>42600</v>
      </c>
      <c r="L543" s="1626" t="s">
        <v>2301</v>
      </c>
      <c r="M543" s="1627">
        <v>5.2531000000000001E-2</v>
      </c>
      <c r="N543" s="1628">
        <v>1.209966509883734</v>
      </c>
      <c r="O543" s="1628">
        <v>1.209966509883734</v>
      </c>
    </row>
    <row r="544" spans="11:15">
      <c r="K544" s="1625">
        <v>42601</v>
      </c>
      <c r="L544" s="1626" t="s">
        <v>2301</v>
      </c>
      <c r="M544" s="1627">
        <v>5.2531000000000001E-2</v>
      </c>
      <c r="N544" s="1628">
        <v>1.2106021173910411</v>
      </c>
      <c r="O544" s="1628">
        <v>1.2106021173910411</v>
      </c>
    </row>
    <row r="545" spans="11:15">
      <c r="K545" s="1625">
        <v>42602</v>
      </c>
      <c r="L545" s="1626"/>
      <c r="M545" s="1627">
        <v>0</v>
      </c>
      <c r="N545" s="1628">
        <v>1.2106021173910411</v>
      </c>
      <c r="O545" s="1628">
        <v>1.2106021173910411</v>
      </c>
    </row>
    <row r="546" spans="11:15">
      <c r="K546" s="1625">
        <v>42603</v>
      </c>
      <c r="L546" s="1626"/>
      <c r="M546" s="1627">
        <v>0</v>
      </c>
      <c r="N546" s="1628">
        <v>1.2106021173910411</v>
      </c>
      <c r="O546" s="1628">
        <v>1.2106021173910411</v>
      </c>
    </row>
    <row r="547" spans="11:15">
      <c r="K547" s="1625">
        <v>42604</v>
      </c>
      <c r="L547" s="1626" t="s">
        <v>2301</v>
      </c>
      <c r="M547" s="1627">
        <v>5.2531000000000001E-2</v>
      </c>
      <c r="N547" s="1628">
        <v>1.2112380587893277</v>
      </c>
      <c r="O547" s="1628">
        <v>1.2112380587893277</v>
      </c>
    </row>
    <row r="548" spans="11:15">
      <c r="K548" s="1625">
        <v>42605</v>
      </c>
      <c r="L548" s="1626" t="s">
        <v>2301</v>
      </c>
      <c r="M548" s="1627">
        <v>5.2531000000000001E-2</v>
      </c>
      <c r="N548" s="1628">
        <v>1.2118743342539904</v>
      </c>
      <c r="O548" s="1628">
        <v>1.2118743342539904</v>
      </c>
    </row>
    <row r="549" spans="11:15">
      <c r="K549" s="1625">
        <v>42606</v>
      </c>
      <c r="L549" s="1626" t="s">
        <v>2301</v>
      </c>
      <c r="M549" s="1627">
        <v>5.2531000000000001E-2</v>
      </c>
      <c r="N549" s="1628">
        <v>1.2125109439605173</v>
      </c>
      <c r="O549" s="1628">
        <v>1.2125109439605173</v>
      </c>
    </row>
    <row r="550" spans="11:15">
      <c r="K550" s="1625">
        <v>42607</v>
      </c>
      <c r="L550" s="1626" t="s">
        <v>2301</v>
      </c>
      <c r="M550" s="1627">
        <v>5.2531000000000001E-2</v>
      </c>
      <c r="N550" s="1628">
        <v>1.2131478880844893</v>
      </c>
      <c r="O550" s="1628">
        <v>1.2131478880844893</v>
      </c>
    </row>
    <row r="551" spans="11:15">
      <c r="K551" s="1625">
        <v>42608</v>
      </c>
      <c r="L551" s="1626" t="s">
        <v>2301</v>
      </c>
      <c r="M551" s="1627">
        <v>5.2531000000000001E-2</v>
      </c>
      <c r="N551" s="1628">
        <v>1.2137851668015789</v>
      </c>
      <c r="O551" s="1628">
        <v>1.2137851668015789</v>
      </c>
    </row>
    <row r="552" spans="11:15">
      <c r="K552" s="1625">
        <v>42609</v>
      </c>
      <c r="L552" s="1626"/>
      <c r="M552" s="1627">
        <v>0</v>
      </c>
      <c r="N552" s="1628">
        <v>1.2137851668015789</v>
      </c>
      <c r="O552" s="1628">
        <v>1.2137851668015789</v>
      </c>
    </row>
    <row r="553" spans="11:15">
      <c r="K553" s="1625">
        <v>42610</v>
      </c>
      <c r="L553" s="1626"/>
      <c r="M553" s="1627">
        <v>0</v>
      </c>
      <c r="N553" s="1628">
        <v>1.2137851668015789</v>
      </c>
      <c r="O553" s="1628">
        <v>1.2137851668015789</v>
      </c>
    </row>
    <row r="554" spans="11:15">
      <c r="K554" s="1625">
        <v>42611</v>
      </c>
      <c r="L554" s="1626" t="s">
        <v>2301</v>
      </c>
      <c r="M554" s="1627">
        <v>5.2531000000000001E-2</v>
      </c>
      <c r="N554" s="1628">
        <v>1.2144227802875514</v>
      </c>
      <c r="O554" s="1628">
        <v>1.2144227802875514</v>
      </c>
    </row>
    <row r="555" spans="11:15">
      <c r="K555" s="1625">
        <v>42612</v>
      </c>
      <c r="L555" s="1626" t="s">
        <v>2301</v>
      </c>
      <c r="M555" s="1627">
        <v>5.2531000000000001E-2</v>
      </c>
      <c r="N555" s="1628">
        <v>1.2150607287182642</v>
      </c>
      <c r="O555" s="1628">
        <v>1.2150607287182642</v>
      </c>
    </row>
    <row r="556" spans="11:15">
      <c r="K556" s="1625">
        <v>42613</v>
      </c>
      <c r="L556" s="1626" t="s">
        <v>2301</v>
      </c>
      <c r="M556" s="1627">
        <v>5.2531000000000001E-2</v>
      </c>
      <c r="N556" s="1628">
        <v>1.2156990122696671</v>
      </c>
      <c r="O556" s="1628">
        <v>1.2156990122696671</v>
      </c>
    </row>
    <row r="557" spans="11:15">
      <c r="K557" s="1625">
        <v>42614</v>
      </c>
      <c r="L557" s="1626" t="s">
        <v>2301</v>
      </c>
      <c r="M557" s="1627">
        <v>5.2531000000000001E-2</v>
      </c>
      <c r="N557" s="1628">
        <v>1.2163376311178025</v>
      </c>
      <c r="O557" s="1628">
        <v>1.2163376311178025</v>
      </c>
    </row>
    <row r="558" spans="11:15">
      <c r="K558" s="1625">
        <v>42615</v>
      </c>
      <c r="L558" s="1626" t="s">
        <v>2301</v>
      </c>
      <c r="M558" s="1627">
        <v>5.2531000000000001E-2</v>
      </c>
      <c r="N558" s="1628">
        <v>1.216976585438805</v>
      </c>
      <c r="O558" s="1628">
        <v>1.216976585438805</v>
      </c>
    </row>
    <row r="559" spans="11:15">
      <c r="K559" s="1625">
        <v>42616</v>
      </c>
      <c r="L559" s="1626"/>
      <c r="M559" s="1627">
        <v>0</v>
      </c>
      <c r="N559" s="1628">
        <v>1.216976585438805</v>
      </c>
      <c r="O559" s="1628">
        <v>1.216976585438805</v>
      </c>
    </row>
    <row r="560" spans="11:15">
      <c r="K560" s="1625">
        <v>42617</v>
      </c>
      <c r="L560" s="1626"/>
      <c r="M560" s="1627">
        <v>0</v>
      </c>
      <c r="N560" s="1628">
        <v>1.216976585438805</v>
      </c>
      <c r="O560" s="1628">
        <v>1.216976585438805</v>
      </c>
    </row>
    <row r="561" spans="11:15">
      <c r="K561" s="1625">
        <v>42618</v>
      </c>
      <c r="L561" s="1626" t="s">
        <v>2301</v>
      </c>
      <c r="M561" s="1627">
        <v>5.2531000000000001E-2</v>
      </c>
      <c r="N561" s="1628">
        <v>1.2176158754089019</v>
      </c>
      <c r="O561" s="1628">
        <v>1.2176158754089019</v>
      </c>
    </row>
    <row r="562" spans="11:15">
      <c r="K562" s="1625">
        <v>42619</v>
      </c>
      <c r="L562" s="1626" t="s">
        <v>2301</v>
      </c>
      <c r="M562" s="1627">
        <v>5.2531000000000001E-2</v>
      </c>
      <c r="N562" s="1628">
        <v>1.2182555012044129</v>
      </c>
      <c r="O562" s="1628">
        <v>1.2182555012044129</v>
      </c>
    </row>
    <row r="563" spans="11:15">
      <c r="K563" s="1625">
        <v>42620</v>
      </c>
      <c r="L563" s="1626"/>
      <c r="M563" s="1627">
        <v>0</v>
      </c>
      <c r="N563" s="1628">
        <v>1.2182555012044129</v>
      </c>
      <c r="O563" s="1628">
        <v>1.2182555012044129</v>
      </c>
    </row>
    <row r="564" spans="11:15">
      <c r="K564" s="1625">
        <v>42621</v>
      </c>
      <c r="L564" s="1626" t="s">
        <v>2301</v>
      </c>
      <c r="M564" s="1627">
        <v>5.2531000000000001E-2</v>
      </c>
      <c r="N564" s="1628">
        <v>1.2188954630017506</v>
      </c>
      <c r="O564" s="1628">
        <v>1.2188954630017506</v>
      </c>
    </row>
    <row r="565" spans="11:15">
      <c r="K565" s="1625">
        <v>42622</v>
      </c>
      <c r="L565" s="1626" t="s">
        <v>2301</v>
      </c>
      <c r="M565" s="1627">
        <v>5.2531000000000001E-2</v>
      </c>
      <c r="N565" s="1628">
        <v>1.21953576097742</v>
      </c>
      <c r="O565" s="1628">
        <v>1.21953576097742</v>
      </c>
    </row>
    <row r="566" spans="11:15">
      <c r="K566" s="1625">
        <v>42623</v>
      </c>
      <c r="L566" s="1626"/>
      <c r="M566" s="1627">
        <v>0</v>
      </c>
      <c r="N566" s="1628">
        <v>1.21953576097742</v>
      </c>
      <c r="O566" s="1628">
        <v>1.21953576097742</v>
      </c>
    </row>
    <row r="567" spans="11:15">
      <c r="K567" s="1625">
        <v>42624</v>
      </c>
      <c r="L567" s="1626"/>
      <c r="M567" s="1627">
        <v>0</v>
      </c>
      <c r="N567" s="1628">
        <v>1.21953576097742</v>
      </c>
      <c r="O567" s="1628">
        <v>1.21953576097742</v>
      </c>
    </row>
    <row r="568" spans="11:15">
      <c r="K568" s="1625">
        <v>42625</v>
      </c>
      <c r="L568" s="1626" t="s">
        <v>2301</v>
      </c>
      <c r="M568" s="1627">
        <v>5.2531000000000001E-2</v>
      </c>
      <c r="N568" s="1628">
        <v>1.2201763953080191</v>
      </c>
      <c r="O568" s="1628">
        <v>1.2201763953080191</v>
      </c>
    </row>
    <row r="569" spans="11:15">
      <c r="K569" s="1625">
        <v>42626</v>
      </c>
      <c r="L569" s="1626" t="s">
        <v>2301</v>
      </c>
      <c r="M569" s="1627">
        <v>5.2531000000000001E-2</v>
      </c>
      <c r="N569" s="1628">
        <v>1.2208173661702384</v>
      </c>
      <c r="O569" s="1628">
        <v>1.2208173661702384</v>
      </c>
    </row>
    <row r="570" spans="11:15">
      <c r="K570" s="1625">
        <v>42627</v>
      </c>
      <c r="L570" s="1626" t="s">
        <v>2301</v>
      </c>
      <c r="M570" s="1627">
        <v>5.2531000000000001E-2</v>
      </c>
      <c r="N570" s="1628">
        <v>1.2214586737408613</v>
      </c>
      <c r="O570" s="1628">
        <v>1.2214586737408613</v>
      </c>
    </row>
    <row r="571" spans="11:15">
      <c r="K571" s="1625">
        <v>42628</v>
      </c>
      <c r="L571" s="1626" t="s">
        <v>2301</v>
      </c>
      <c r="M571" s="1627">
        <v>5.2531000000000001E-2</v>
      </c>
      <c r="N571" s="1628">
        <v>1.222100318196764</v>
      </c>
      <c r="O571" s="1628">
        <v>1.222100318196764</v>
      </c>
    </row>
    <row r="572" spans="11:15">
      <c r="K572" s="1625">
        <v>42629</v>
      </c>
      <c r="L572" s="1626" t="s">
        <v>2301</v>
      </c>
      <c r="M572" s="1627">
        <v>5.2531000000000001E-2</v>
      </c>
      <c r="N572" s="1628">
        <v>1.222742299714916</v>
      </c>
      <c r="O572" s="1628">
        <v>1.222742299714916</v>
      </c>
    </row>
    <row r="573" spans="11:15">
      <c r="K573" s="1625">
        <v>42630</v>
      </c>
      <c r="L573" s="1626"/>
      <c r="M573" s="1627">
        <v>0</v>
      </c>
      <c r="N573" s="1628">
        <v>1.222742299714916</v>
      </c>
      <c r="O573" s="1628">
        <v>1.222742299714916</v>
      </c>
    </row>
    <row r="574" spans="11:15">
      <c r="K574" s="1625">
        <v>42631</v>
      </c>
      <c r="L574" s="1626"/>
      <c r="M574" s="1627">
        <v>0</v>
      </c>
      <c r="N574" s="1628">
        <v>1.222742299714916</v>
      </c>
      <c r="O574" s="1628">
        <v>1.222742299714916</v>
      </c>
    </row>
    <row r="575" spans="11:15">
      <c r="K575" s="1625">
        <v>42632</v>
      </c>
      <c r="L575" s="1626" t="s">
        <v>2301</v>
      </c>
      <c r="M575" s="1627">
        <v>5.2531000000000001E-2</v>
      </c>
      <c r="N575" s="1628">
        <v>1.2233846184723793</v>
      </c>
      <c r="O575" s="1628">
        <v>1.2233846184723793</v>
      </c>
    </row>
    <row r="576" spans="11:15">
      <c r="K576" s="1625">
        <v>42633</v>
      </c>
      <c r="L576" s="1626" t="s">
        <v>2301</v>
      </c>
      <c r="M576" s="1627">
        <v>5.2531000000000001E-2</v>
      </c>
      <c r="N576" s="1628">
        <v>1.224027274646309</v>
      </c>
      <c r="O576" s="1628">
        <v>1.224027274646309</v>
      </c>
    </row>
    <row r="577" spans="11:15">
      <c r="K577" s="1625">
        <v>42634</v>
      </c>
      <c r="L577" s="1626" t="s">
        <v>2301</v>
      </c>
      <c r="M577" s="1627">
        <v>5.2531000000000001E-2</v>
      </c>
      <c r="N577" s="1628">
        <v>1.2246702684139534</v>
      </c>
      <c r="O577" s="1628">
        <v>1.2246702684139534</v>
      </c>
    </row>
    <row r="578" spans="11:15">
      <c r="K578" s="1625">
        <v>42635</v>
      </c>
      <c r="L578" s="1626" t="s">
        <v>2301</v>
      </c>
      <c r="M578" s="1627">
        <v>5.2531000000000001E-2</v>
      </c>
      <c r="N578" s="1628">
        <v>1.2253135999526539</v>
      </c>
      <c r="O578" s="1628">
        <v>1.2253135999526539</v>
      </c>
    </row>
    <row r="579" spans="11:15">
      <c r="K579" s="1625">
        <v>42636</v>
      </c>
      <c r="L579" s="1626" t="s">
        <v>2301</v>
      </c>
      <c r="M579" s="1627">
        <v>5.2531000000000001E-2</v>
      </c>
      <c r="N579" s="1628">
        <v>1.2259572694398451</v>
      </c>
      <c r="O579" s="1628">
        <v>1.2259572694398451</v>
      </c>
    </row>
    <row r="580" spans="11:15">
      <c r="K580" s="1625">
        <v>42637</v>
      </c>
      <c r="L580" s="1626"/>
      <c r="M580" s="1627">
        <v>0</v>
      </c>
      <c r="N580" s="1628">
        <v>1.2259572694398451</v>
      </c>
      <c r="O580" s="1628">
        <v>1.2259572694398451</v>
      </c>
    </row>
    <row r="581" spans="11:15">
      <c r="K581" s="1625">
        <v>42638</v>
      </c>
      <c r="L581" s="1626"/>
      <c r="M581" s="1627">
        <v>0</v>
      </c>
      <c r="N581" s="1628">
        <v>1.2259572694398451</v>
      </c>
      <c r="O581" s="1628">
        <v>1.2259572694398451</v>
      </c>
    </row>
    <row r="582" spans="11:15">
      <c r="K582" s="1625">
        <v>42639</v>
      </c>
      <c r="L582" s="1626" t="s">
        <v>2301</v>
      </c>
      <c r="M582" s="1627">
        <v>5.2531000000000001E-2</v>
      </c>
      <c r="N582" s="1628">
        <v>1.2266012770530546</v>
      </c>
      <c r="O582" s="1628">
        <v>1.2266012770530546</v>
      </c>
    </row>
    <row r="583" spans="11:15">
      <c r="K583" s="1625">
        <v>42640</v>
      </c>
      <c r="L583" s="1626" t="s">
        <v>2301</v>
      </c>
      <c r="M583" s="1627">
        <v>5.2531000000000001E-2</v>
      </c>
      <c r="N583" s="1628">
        <v>1.2272456229699034</v>
      </c>
      <c r="O583" s="1628">
        <v>1.2272456229699034</v>
      </c>
    </row>
    <row r="584" spans="11:15">
      <c r="K584" s="1625">
        <v>42641</v>
      </c>
      <c r="L584" s="1626" t="s">
        <v>2301</v>
      </c>
      <c r="M584" s="1627">
        <v>5.2531000000000001E-2</v>
      </c>
      <c r="N584" s="1628">
        <v>1.2278903073681058</v>
      </c>
      <c r="O584" s="1628">
        <v>1.2278903073681058</v>
      </c>
    </row>
    <row r="585" spans="11:15">
      <c r="K585" s="1625">
        <v>42642</v>
      </c>
      <c r="L585" s="1626" t="s">
        <v>2301</v>
      </c>
      <c r="M585" s="1627">
        <v>5.2531000000000001E-2</v>
      </c>
      <c r="N585" s="1628">
        <v>1.2285353304254694</v>
      </c>
      <c r="O585" s="1628">
        <v>1.2285353304254694</v>
      </c>
    </row>
    <row r="586" spans="11:15">
      <c r="K586" s="1625">
        <v>42643</v>
      </c>
      <c r="L586" s="1626" t="s">
        <v>2301</v>
      </c>
      <c r="M586" s="1627">
        <v>5.2531000000000001E-2</v>
      </c>
      <c r="N586" s="1628">
        <v>1.2291806923198951</v>
      </c>
      <c r="O586" s="1628">
        <v>1.2291806923198951</v>
      </c>
    </row>
    <row r="587" spans="11:15">
      <c r="K587" s="1625">
        <v>42644</v>
      </c>
      <c r="L587" s="1626"/>
      <c r="M587" s="1627">
        <v>0</v>
      </c>
      <c r="N587" s="1628">
        <v>1.2291806923198951</v>
      </c>
      <c r="O587" s="1628">
        <v>1.2291806923198951</v>
      </c>
    </row>
    <row r="588" spans="11:15">
      <c r="K588" s="1625">
        <v>42645</v>
      </c>
      <c r="L588" s="1626"/>
      <c r="M588" s="1627">
        <v>0</v>
      </c>
      <c r="N588" s="1628">
        <v>1.2291806923198951</v>
      </c>
      <c r="O588" s="1628">
        <v>1.2291806923198951</v>
      </c>
    </row>
    <row r="589" spans="11:15">
      <c r="K589" s="1625">
        <v>42646</v>
      </c>
      <c r="L589" s="1626" t="s">
        <v>2301</v>
      </c>
      <c r="M589" s="1627">
        <v>5.2531000000000001E-2</v>
      </c>
      <c r="N589" s="1628">
        <v>1.2298263932293776</v>
      </c>
      <c r="O589" s="1628">
        <v>1.2298263932293776</v>
      </c>
    </row>
    <row r="590" spans="11:15">
      <c r="K590" s="1625">
        <v>42647</v>
      </c>
      <c r="L590" s="1626" t="s">
        <v>2301</v>
      </c>
      <c r="M590" s="1627">
        <v>5.2531000000000001E-2</v>
      </c>
      <c r="N590" s="1628">
        <v>1.230472433332005</v>
      </c>
      <c r="O590" s="1628">
        <v>1.230472433332005</v>
      </c>
    </row>
    <row r="591" spans="11:15">
      <c r="K591" s="1625">
        <v>42648</v>
      </c>
      <c r="L591" s="1626" t="s">
        <v>2301</v>
      </c>
      <c r="M591" s="1627">
        <v>5.2531000000000001E-2</v>
      </c>
      <c r="N591" s="1628">
        <v>1.2311188128059587</v>
      </c>
      <c r="O591" s="1628">
        <v>1.2311188128059587</v>
      </c>
    </row>
    <row r="592" spans="11:15">
      <c r="K592" s="1625">
        <v>42649</v>
      </c>
      <c r="L592" s="1626" t="s">
        <v>2301</v>
      </c>
      <c r="M592" s="1627">
        <v>5.2531000000000001E-2</v>
      </c>
      <c r="N592" s="1628">
        <v>1.2317655318295138</v>
      </c>
      <c r="O592" s="1628">
        <v>1.2317655318295138</v>
      </c>
    </row>
    <row r="593" spans="11:15">
      <c r="K593" s="1625">
        <v>42650</v>
      </c>
      <c r="L593" s="1626" t="s">
        <v>2301</v>
      </c>
      <c r="M593" s="1627">
        <v>5.2531000000000001E-2</v>
      </c>
      <c r="N593" s="1628">
        <v>1.232412590581039</v>
      </c>
      <c r="O593" s="1628">
        <v>1.232412590581039</v>
      </c>
    </row>
    <row r="594" spans="11:15">
      <c r="K594" s="1625">
        <v>42651</v>
      </c>
      <c r="L594" s="1626"/>
      <c r="M594" s="1627">
        <v>0</v>
      </c>
      <c r="N594" s="1628">
        <v>1.232412590581039</v>
      </c>
      <c r="O594" s="1628">
        <v>1.232412590581039</v>
      </c>
    </row>
    <row r="595" spans="11:15">
      <c r="K595" s="1625">
        <v>42652</v>
      </c>
      <c r="L595" s="1626"/>
      <c r="M595" s="1627">
        <v>0</v>
      </c>
      <c r="N595" s="1628">
        <v>1.232412590581039</v>
      </c>
      <c r="O595" s="1628">
        <v>1.232412590581039</v>
      </c>
    </row>
    <row r="596" spans="11:15">
      <c r="K596" s="1625">
        <v>42653</v>
      </c>
      <c r="L596" s="1626" t="s">
        <v>2301</v>
      </c>
      <c r="M596" s="1627">
        <v>5.2531000000000001E-2</v>
      </c>
      <c r="N596" s="1628">
        <v>1.2330599892389971</v>
      </c>
      <c r="O596" s="1628">
        <v>1.2330599892389971</v>
      </c>
    </row>
    <row r="597" spans="11:15">
      <c r="K597" s="1625">
        <v>42654</v>
      </c>
      <c r="L597" s="1626" t="s">
        <v>2301</v>
      </c>
      <c r="M597" s="1627">
        <v>5.2531000000000001E-2</v>
      </c>
      <c r="N597" s="1628">
        <v>1.2337077279819442</v>
      </c>
      <c r="O597" s="1628">
        <v>1.2337077279819442</v>
      </c>
    </row>
    <row r="598" spans="11:15">
      <c r="K598" s="1625">
        <v>42655</v>
      </c>
      <c r="L598" s="1626"/>
      <c r="M598" s="1627">
        <v>0</v>
      </c>
      <c r="N598" s="1628">
        <v>1.2337077279819442</v>
      </c>
      <c r="O598" s="1628">
        <v>1.2337077279819442</v>
      </c>
    </row>
    <row r="599" spans="11:15">
      <c r="K599" s="1625">
        <v>42656</v>
      </c>
      <c r="L599" s="1626" t="s">
        <v>2301</v>
      </c>
      <c r="M599" s="1627">
        <v>5.2531000000000001E-2</v>
      </c>
      <c r="N599" s="1628">
        <v>1.2343558069885303</v>
      </c>
      <c r="O599" s="1628">
        <v>1.2343558069885303</v>
      </c>
    </row>
    <row r="600" spans="11:15">
      <c r="K600" s="1625">
        <v>42657</v>
      </c>
      <c r="L600" s="1626" t="s">
        <v>2301</v>
      </c>
      <c r="M600" s="1627">
        <v>5.2531000000000001E-2</v>
      </c>
      <c r="N600" s="1628">
        <v>1.2350042264374994</v>
      </c>
      <c r="O600" s="1628">
        <v>1.2350042264374994</v>
      </c>
    </row>
    <row r="601" spans="11:15">
      <c r="K601" s="1625">
        <v>42658</v>
      </c>
      <c r="L601" s="1626"/>
      <c r="M601" s="1627">
        <v>0</v>
      </c>
      <c r="N601" s="1628">
        <v>1.2350042264374994</v>
      </c>
      <c r="O601" s="1628">
        <v>1.2350042264374994</v>
      </c>
    </row>
    <row r="602" spans="11:15">
      <c r="K602" s="1625">
        <v>42659</v>
      </c>
      <c r="L602" s="1626"/>
      <c r="M602" s="1627">
        <v>0</v>
      </c>
      <c r="N602" s="1628">
        <v>1.2350042264374994</v>
      </c>
      <c r="O602" s="1628">
        <v>1.2350042264374994</v>
      </c>
    </row>
    <row r="603" spans="11:15">
      <c r="K603" s="1625">
        <v>42660</v>
      </c>
      <c r="L603" s="1626" t="s">
        <v>2301</v>
      </c>
      <c r="M603" s="1627">
        <v>5.2531000000000001E-2</v>
      </c>
      <c r="N603" s="1628">
        <v>1.2356529865076893</v>
      </c>
      <c r="O603" s="1628">
        <v>1.2356529865076893</v>
      </c>
    </row>
    <row r="604" spans="11:15">
      <c r="K604" s="1625">
        <v>42661</v>
      </c>
      <c r="L604" s="1626" t="s">
        <v>2301</v>
      </c>
      <c r="M604" s="1627">
        <v>5.2531000000000001E-2</v>
      </c>
      <c r="N604" s="1628">
        <v>1.2363020873780317</v>
      </c>
      <c r="O604" s="1628">
        <v>1.2363020873780317</v>
      </c>
    </row>
    <row r="605" spans="11:15">
      <c r="K605" s="1625">
        <v>42662</v>
      </c>
      <c r="L605" s="1626" t="s">
        <v>2301</v>
      </c>
      <c r="M605" s="1627">
        <v>5.2531000000000001E-2</v>
      </c>
      <c r="N605" s="1628">
        <v>1.2369515292275524</v>
      </c>
      <c r="O605" s="1628">
        <v>1.2369515292275524</v>
      </c>
    </row>
    <row r="606" spans="11:15">
      <c r="K606" s="1625">
        <v>42663</v>
      </c>
      <c r="L606" s="1626" t="s">
        <v>2301</v>
      </c>
      <c r="M606" s="1627">
        <v>5.1659999999999998E-2</v>
      </c>
      <c r="N606" s="1628">
        <v>1.2375905383875514</v>
      </c>
      <c r="O606" s="1628">
        <v>1.2376013122353708</v>
      </c>
    </row>
    <row r="607" spans="11:15">
      <c r="K607" s="1625">
        <v>42664</v>
      </c>
      <c r="L607" s="1626" t="s">
        <v>2301</v>
      </c>
      <c r="M607" s="1627">
        <v>5.1659999999999998E-2</v>
      </c>
      <c r="N607" s="1628">
        <v>1.2382298776596825</v>
      </c>
      <c r="O607" s="1628">
        <v>1.2382514365807011</v>
      </c>
    </row>
    <row r="608" spans="11:15">
      <c r="K608" s="1625">
        <v>42665</v>
      </c>
      <c r="L608" s="1626"/>
      <c r="M608" s="1627">
        <v>0</v>
      </c>
      <c r="N608" s="1628">
        <v>1.2382298776596825</v>
      </c>
      <c r="O608" s="1628">
        <v>1.2382514365807011</v>
      </c>
    </row>
    <row r="609" spans="11:15">
      <c r="K609" s="1625">
        <v>42666</v>
      </c>
      <c r="L609" s="1626"/>
      <c r="M609" s="1627">
        <v>0</v>
      </c>
      <c r="N609" s="1628">
        <v>1.2382298776596825</v>
      </c>
      <c r="O609" s="1628">
        <v>1.2382514365807011</v>
      </c>
    </row>
    <row r="610" spans="11:15">
      <c r="K610" s="1625">
        <v>42667</v>
      </c>
      <c r="L610" s="1626" t="s">
        <v>2301</v>
      </c>
      <c r="M610" s="1627">
        <v>5.1659999999999998E-2</v>
      </c>
      <c r="N610" s="1628">
        <v>1.2388695472144815</v>
      </c>
      <c r="O610" s="1628">
        <v>1.2389019024428514</v>
      </c>
    </row>
    <row r="611" spans="11:15">
      <c r="K611" s="1625">
        <v>42668</v>
      </c>
      <c r="L611" s="1626" t="s">
        <v>2301</v>
      </c>
      <c r="M611" s="1627">
        <v>5.1659999999999998E-2</v>
      </c>
      <c r="N611" s="1628">
        <v>1.2395095472225726</v>
      </c>
      <c r="O611" s="1628">
        <v>1.2395527100012236</v>
      </c>
    </row>
    <row r="612" spans="11:15">
      <c r="K612" s="1625">
        <v>42669</v>
      </c>
      <c r="L612" s="1626" t="s">
        <v>2301</v>
      </c>
      <c r="M612" s="1627">
        <v>5.1659999999999998E-2</v>
      </c>
      <c r="N612" s="1628">
        <v>1.2401498778546678</v>
      </c>
      <c r="O612" s="1628">
        <v>1.2402038594353144</v>
      </c>
    </row>
    <row r="613" spans="11:15">
      <c r="K613" s="1625">
        <v>42670</v>
      </c>
      <c r="L613" s="1626" t="s">
        <v>2301</v>
      </c>
      <c r="M613" s="1627">
        <v>5.1659999999999998E-2</v>
      </c>
      <c r="N613" s="1628">
        <v>1.2407905392815677</v>
      </c>
      <c r="O613" s="1628">
        <v>1.2408553509247144</v>
      </c>
    </row>
    <row r="614" spans="11:15">
      <c r="K614" s="1625">
        <v>42671</v>
      </c>
      <c r="L614" s="1626" t="s">
        <v>2301</v>
      </c>
      <c r="M614" s="1627">
        <v>5.1659999999999998E-2</v>
      </c>
      <c r="N614" s="1628">
        <v>1.2414315316741606</v>
      </c>
      <c r="O614" s="1628">
        <v>1.2415071846491088</v>
      </c>
    </row>
    <row r="615" spans="11:15">
      <c r="K615" s="1625">
        <v>42672</v>
      </c>
      <c r="L615" s="1626"/>
      <c r="M615" s="1627">
        <v>0</v>
      </c>
      <c r="N615" s="1628">
        <v>1.2414315316741606</v>
      </c>
      <c r="O615" s="1628">
        <v>1.2415071846491088</v>
      </c>
    </row>
    <row r="616" spans="11:15">
      <c r="K616" s="1625">
        <v>42673</v>
      </c>
      <c r="L616" s="1626"/>
      <c r="M616" s="1627">
        <v>0</v>
      </c>
      <c r="N616" s="1628">
        <v>1.2414315316741606</v>
      </c>
      <c r="O616" s="1628">
        <v>1.2415071846491088</v>
      </c>
    </row>
    <row r="617" spans="11:15">
      <c r="K617" s="1625">
        <v>42674</v>
      </c>
      <c r="L617" s="1626" t="s">
        <v>2301</v>
      </c>
      <c r="M617" s="1627">
        <v>5.1659999999999998E-2</v>
      </c>
      <c r="N617" s="1628">
        <v>1.2420728552034237</v>
      </c>
      <c r="O617" s="1628">
        <v>1.2421593607882768</v>
      </c>
    </row>
    <row r="618" spans="11:15">
      <c r="K618" s="1625">
        <v>42675</v>
      </c>
      <c r="L618" s="1626" t="s">
        <v>2301</v>
      </c>
      <c r="M618" s="1627">
        <v>5.1659999999999998E-2</v>
      </c>
      <c r="N618" s="1628">
        <v>1.242714510040422</v>
      </c>
      <c r="O618" s="1628">
        <v>1.2428118795220926</v>
      </c>
    </row>
    <row r="619" spans="11:15">
      <c r="K619" s="1625">
        <v>42676</v>
      </c>
      <c r="L619" s="1626"/>
      <c r="M619" s="1627">
        <v>0</v>
      </c>
      <c r="N619" s="1628">
        <v>1.242714510040422</v>
      </c>
      <c r="O619" s="1628">
        <v>1.2428118795220926</v>
      </c>
    </row>
    <row r="620" spans="11:15">
      <c r="K620" s="1625">
        <v>42677</v>
      </c>
      <c r="L620" s="1626" t="s">
        <v>2301</v>
      </c>
      <c r="M620" s="1627">
        <v>5.1659999999999998E-2</v>
      </c>
      <c r="N620" s="1628">
        <v>1.2433564963563091</v>
      </c>
      <c r="O620" s="1628">
        <v>1.2434647410305244</v>
      </c>
    </row>
    <row r="621" spans="11:15">
      <c r="K621" s="1625">
        <v>42678</v>
      </c>
      <c r="L621" s="1626" t="s">
        <v>2301</v>
      </c>
      <c r="M621" s="1627">
        <v>5.1659999999999998E-2</v>
      </c>
      <c r="N621" s="1628">
        <v>1.2439988143223268</v>
      </c>
      <c r="O621" s="1628">
        <v>1.2441179454936351</v>
      </c>
    </row>
    <row r="622" spans="11:15">
      <c r="K622" s="1625">
        <v>42679</v>
      </c>
      <c r="L622" s="1626"/>
      <c r="M622" s="1627">
        <v>0</v>
      </c>
      <c r="N622" s="1628">
        <v>1.2439988143223268</v>
      </c>
      <c r="O622" s="1628">
        <v>1.2441179454936351</v>
      </c>
    </row>
    <row r="623" spans="11:15">
      <c r="K623" s="1625">
        <v>42680</v>
      </c>
      <c r="L623" s="1626"/>
      <c r="M623" s="1627">
        <v>0</v>
      </c>
      <c r="N623" s="1628">
        <v>1.2439988143223268</v>
      </c>
      <c r="O623" s="1628">
        <v>1.2441179454936351</v>
      </c>
    </row>
    <row r="624" spans="11:15">
      <c r="K624" s="1625">
        <v>42681</v>
      </c>
      <c r="L624" s="1626" t="s">
        <v>2301</v>
      </c>
      <c r="M624" s="1627">
        <v>5.1659999999999998E-2</v>
      </c>
      <c r="N624" s="1628">
        <v>1.2446414641098058</v>
      </c>
      <c r="O624" s="1628">
        <v>1.2447714930915823</v>
      </c>
    </row>
    <row r="625" spans="11:15">
      <c r="K625" s="1625">
        <v>42682</v>
      </c>
      <c r="L625" s="1626" t="s">
        <v>2301</v>
      </c>
      <c r="M625" s="1627">
        <v>5.1659999999999998E-2</v>
      </c>
      <c r="N625" s="1628">
        <v>1.2452844458901651</v>
      </c>
      <c r="O625" s="1628">
        <v>1.2454253840046183</v>
      </c>
    </row>
    <row r="626" spans="11:15">
      <c r="K626" s="1625">
        <v>42683</v>
      </c>
      <c r="L626" s="1626" t="s">
        <v>2301</v>
      </c>
      <c r="M626" s="1627">
        <v>5.1659999999999998E-2</v>
      </c>
      <c r="N626" s="1628">
        <v>1.2459277598349121</v>
      </c>
      <c r="O626" s="1628">
        <v>1.2460796184130898</v>
      </c>
    </row>
    <row r="627" spans="11:15">
      <c r="K627" s="1625">
        <v>42684</v>
      </c>
      <c r="L627" s="1626" t="s">
        <v>2301</v>
      </c>
      <c r="M627" s="1627">
        <v>5.1659999999999998E-2</v>
      </c>
      <c r="N627" s="1628">
        <v>1.246571406115643</v>
      </c>
      <c r="O627" s="1628">
        <v>1.2467341964974383</v>
      </c>
    </row>
    <row r="628" spans="11:15">
      <c r="K628" s="1625">
        <v>42685</v>
      </c>
      <c r="L628" s="1626" t="s">
        <v>2301</v>
      </c>
      <c r="M628" s="1627">
        <v>5.1659999999999998E-2</v>
      </c>
      <c r="N628" s="1628">
        <v>1.2472153849040424</v>
      </c>
      <c r="O628" s="1628">
        <v>1.2473891184382004</v>
      </c>
    </row>
    <row r="629" spans="11:15">
      <c r="K629" s="1625">
        <v>42686</v>
      </c>
      <c r="L629" s="1626"/>
      <c r="M629" s="1627">
        <v>0</v>
      </c>
      <c r="N629" s="1628">
        <v>1.2472153849040424</v>
      </c>
      <c r="O629" s="1628">
        <v>1.2473891184382004</v>
      </c>
    </row>
    <row r="630" spans="11:15">
      <c r="K630" s="1625">
        <v>42687</v>
      </c>
      <c r="L630" s="1626"/>
      <c r="M630" s="1627">
        <v>0</v>
      </c>
      <c r="N630" s="1628">
        <v>1.2472153849040424</v>
      </c>
      <c r="O630" s="1628">
        <v>1.2473891184382004</v>
      </c>
    </row>
    <row r="631" spans="11:15">
      <c r="K631" s="1625">
        <v>42688</v>
      </c>
      <c r="L631" s="1626" t="s">
        <v>2301</v>
      </c>
      <c r="M631" s="1627">
        <v>5.1659999999999998E-2</v>
      </c>
      <c r="N631" s="1628">
        <v>1.247859696371884</v>
      </c>
      <c r="O631" s="1628">
        <v>1.2480443844160072</v>
      </c>
    </row>
    <row r="632" spans="11:15">
      <c r="K632" s="1625">
        <v>42689</v>
      </c>
      <c r="L632" s="1626"/>
      <c r="M632" s="1627">
        <v>0</v>
      </c>
      <c r="N632" s="1628">
        <v>1.247859696371884</v>
      </c>
      <c r="O632" s="1628">
        <v>1.2480443844160072</v>
      </c>
    </row>
    <row r="633" spans="11:15">
      <c r="K633" s="1625">
        <v>42690</v>
      </c>
      <c r="L633" s="1626" t="s">
        <v>2301</v>
      </c>
      <c r="M633" s="1627">
        <v>5.1659999999999998E-2</v>
      </c>
      <c r="N633" s="1628">
        <v>1.2485043406910299</v>
      </c>
      <c r="O633" s="1628">
        <v>1.2486999946115847</v>
      </c>
    </row>
    <row r="634" spans="11:15">
      <c r="K634" s="1625">
        <v>42691</v>
      </c>
      <c r="L634" s="1626" t="s">
        <v>2301</v>
      </c>
      <c r="M634" s="1627">
        <v>5.1659999999999998E-2</v>
      </c>
      <c r="N634" s="1628">
        <v>1.249149318033431</v>
      </c>
      <c r="O634" s="1628">
        <v>1.249355949205754</v>
      </c>
    </row>
    <row r="635" spans="11:15">
      <c r="K635" s="1625">
        <v>42692</v>
      </c>
      <c r="L635" s="1626" t="s">
        <v>2301</v>
      </c>
      <c r="M635" s="1627">
        <v>5.1659999999999998E-2</v>
      </c>
      <c r="N635" s="1628">
        <v>1.2497946285711272</v>
      </c>
      <c r="O635" s="1628">
        <v>1.2500122483794314</v>
      </c>
    </row>
    <row r="636" spans="11:15">
      <c r="K636" s="1625">
        <v>42693</v>
      </c>
      <c r="L636" s="1626"/>
      <c r="M636" s="1627">
        <v>0</v>
      </c>
      <c r="N636" s="1628">
        <v>1.2497946285711272</v>
      </c>
      <c r="O636" s="1628">
        <v>1.2500122483794314</v>
      </c>
    </row>
    <row r="637" spans="11:15">
      <c r="K637" s="1625">
        <v>42694</v>
      </c>
      <c r="L637" s="1626"/>
      <c r="M637" s="1627">
        <v>0</v>
      </c>
      <c r="N637" s="1628">
        <v>1.2497946285711272</v>
      </c>
      <c r="O637" s="1628">
        <v>1.2500122483794314</v>
      </c>
    </row>
    <row r="638" spans="11:15">
      <c r="K638" s="1625">
        <v>42695</v>
      </c>
      <c r="L638" s="1626" t="s">
        <v>2301</v>
      </c>
      <c r="M638" s="1627">
        <v>5.1659999999999998E-2</v>
      </c>
      <c r="N638" s="1628">
        <v>1.2504402724762471</v>
      </c>
      <c r="O638" s="1628">
        <v>1.2506688923136275</v>
      </c>
    </row>
    <row r="639" spans="11:15">
      <c r="K639" s="1625">
        <v>42696</v>
      </c>
      <c r="L639" s="1626" t="s">
        <v>2301</v>
      </c>
      <c r="M639" s="1627">
        <v>5.1659999999999998E-2</v>
      </c>
      <c r="N639" s="1628">
        <v>1.2510862499210085</v>
      </c>
      <c r="O639" s="1628">
        <v>1.2513258811894488</v>
      </c>
    </row>
    <row r="640" spans="11:15">
      <c r="K640" s="1625">
        <v>42697</v>
      </c>
      <c r="L640" s="1626" t="s">
        <v>2301</v>
      </c>
      <c r="M640" s="1627">
        <v>5.1659999999999998E-2</v>
      </c>
      <c r="N640" s="1628">
        <v>1.2517325610777177</v>
      </c>
      <c r="O640" s="1628">
        <v>1.2519832151880963</v>
      </c>
    </row>
    <row r="641" spans="11:15">
      <c r="K641" s="1625">
        <v>42698</v>
      </c>
      <c r="L641" s="1626" t="s">
        <v>2301</v>
      </c>
      <c r="M641" s="1627">
        <v>5.1659999999999998E-2</v>
      </c>
      <c r="N641" s="1628">
        <v>1.2523792061187706</v>
      </c>
      <c r="O641" s="1628">
        <v>1.2526408944908667</v>
      </c>
    </row>
    <row r="642" spans="11:15">
      <c r="K642" s="1625">
        <v>42699</v>
      </c>
      <c r="L642" s="1626" t="s">
        <v>2301</v>
      </c>
      <c r="M642" s="1627">
        <v>5.1659999999999998E-2</v>
      </c>
      <c r="N642" s="1628">
        <v>1.2530261852166518</v>
      </c>
      <c r="O642" s="1628">
        <v>1.2532989192791517</v>
      </c>
    </row>
    <row r="643" spans="11:15">
      <c r="K643" s="1625">
        <v>42700</v>
      </c>
      <c r="L643" s="1626"/>
      <c r="M643" s="1627">
        <v>0</v>
      </c>
      <c r="N643" s="1628">
        <v>1.2530261852166518</v>
      </c>
      <c r="O643" s="1628">
        <v>1.2532989192791517</v>
      </c>
    </row>
    <row r="644" spans="11:15">
      <c r="K644" s="1625">
        <v>42701</v>
      </c>
      <c r="L644" s="1626"/>
      <c r="M644" s="1627">
        <v>0</v>
      </c>
      <c r="N644" s="1628">
        <v>1.2530261852166518</v>
      </c>
      <c r="O644" s="1628">
        <v>1.2532989192791517</v>
      </c>
    </row>
    <row r="645" spans="11:15">
      <c r="K645" s="1625">
        <v>42702</v>
      </c>
      <c r="L645" s="1626" t="s">
        <v>2301</v>
      </c>
      <c r="M645" s="1627">
        <v>5.1659999999999998E-2</v>
      </c>
      <c r="N645" s="1628">
        <v>1.2536734985439348</v>
      </c>
      <c r="O645" s="1628">
        <v>1.2539572897344382</v>
      </c>
    </row>
    <row r="646" spans="11:15">
      <c r="K646" s="1625">
        <v>42703</v>
      </c>
      <c r="L646" s="1626" t="s">
        <v>2301</v>
      </c>
      <c r="M646" s="1627">
        <v>5.1659999999999998E-2</v>
      </c>
      <c r="N646" s="1628">
        <v>1.2543211462732828</v>
      </c>
      <c r="O646" s="1628">
        <v>1.2546160060383087</v>
      </c>
    </row>
    <row r="647" spans="11:15">
      <c r="K647" s="1625">
        <v>42704</v>
      </c>
      <c r="L647" s="1626" t="s">
        <v>2301</v>
      </c>
      <c r="M647" s="1627">
        <v>5.1659999999999998E-2</v>
      </c>
      <c r="N647" s="1628">
        <v>1.2549691285774478</v>
      </c>
      <c r="O647" s="1628">
        <v>1.2552750683724407</v>
      </c>
    </row>
    <row r="648" spans="11:15">
      <c r="K648" s="1625">
        <v>42705</v>
      </c>
      <c r="L648" s="1626" t="s">
        <v>2301</v>
      </c>
      <c r="M648" s="1627">
        <v>5.0788E-2</v>
      </c>
      <c r="N648" s="1628">
        <v>1.2556065022984697</v>
      </c>
      <c r="O648" s="1628">
        <v>1.2559344769186074</v>
      </c>
    </row>
    <row r="649" spans="11:15">
      <c r="K649" s="1625">
        <v>42706</v>
      </c>
      <c r="L649" s="1626" t="s">
        <v>2301</v>
      </c>
      <c r="M649" s="1627">
        <v>5.0788E-2</v>
      </c>
      <c r="N649" s="1628">
        <v>1.2562441997288571</v>
      </c>
      <c r="O649" s="1628">
        <v>1.2565942318586776</v>
      </c>
    </row>
    <row r="650" spans="11:15">
      <c r="K650" s="1625">
        <v>42707</v>
      </c>
      <c r="L650" s="1626"/>
      <c r="M650" s="1627">
        <v>0</v>
      </c>
      <c r="N650" s="1628">
        <v>1.2562441997288571</v>
      </c>
      <c r="O650" s="1628">
        <v>1.2565942318586776</v>
      </c>
    </row>
    <row r="651" spans="11:15">
      <c r="K651" s="1625">
        <v>42708</v>
      </c>
      <c r="L651" s="1626"/>
      <c r="M651" s="1627">
        <v>0</v>
      </c>
      <c r="N651" s="1628">
        <v>1.2562441997288571</v>
      </c>
      <c r="O651" s="1628">
        <v>1.2565942318586776</v>
      </c>
    </row>
    <row r="652" spans="11:15">
      <c r="K652" s="1625">
        <v>42709</v>
      </c>
      <c r="L652" s="1626" t="s">
        <v>2301</v>
      </c>
      <c r="M652" s="1627">
        <v>5.0788E-2</v>
      </c>
      <c r="N652" s="1628">
        <v>1.2568822210330155</v>
      </c>
      <c r="O652" s="1628">
        <v>1.2572543333746153</v>
      </c>
    </row>
    <row r="653" spans="11:15">
      <c r="K653" s="1625">
        <v>42710</v>
      </c>
      <c r="L653" s="1626" t="s">
        <v>2301</v>
      </c>
      <c r="M653" s="1627">
        <v>5.0788E-2</v>
      </c>
      <c r="N653" s="1628">
        <v>1.2575205663754339</v>
      </c>
      <c r="O653" s="1628">
        <v>1.2579147816484804</v>
      </c>
    </row>
    <row r="654" spans="11:15">
      <c r="K654" s="1625">
        <v>42711</v>
      </c>
      <c r="L654" s="1626" t="s">
        <v>2301</v>
      </c>
      <c r="M654" s="1627">
        <v>5.0788E-2</v>
      </c>
      <c r="N654" s="1628">
        <v>1.2581592359206846</v>
      </c>
      <c r="O654" s="1628">
        <v>1.258575576862428</v>
      </c>
    </row>
    <row r="655" spans="11:15">
      <c r="K655" s="1625">
        <v>42712</v>
      </c>
      <c r="L655" s="1626" t="s">
        <v>2301</v>
      </c>
      <c r="M655" s="1627">
        <v>5.0788E-2</v>
      </c>
      <c r="N655" s="1628">
        <v>1.2587982298334239</v>
      </c>
      <c r="O655" s="1628">
        <v>1.2592367191987097</v>
      </c>
    </row>
    <row r="656" spans="11:15">
      <c r="K656" s="1625">
        <v>42713</v>
      </c>
      <c r="L656" s="1626" t="s">
        <v>2301</v>
      </c>
      <c r="M656" s="1627">
        <v>5.0788E-2</v>
      </c>
      <c r="N656" s="1628">
        <v>1.2594375482783917</v>
      </c>
      <c r="O656" s="1628">
        <v>1.259898208839672</v>
      </c>
    </row>
    <row r="657" spans="11:15">
      <c r="K657" s="1625">
        <v>42714</v>
      </c>
      <c r="L657" s="1626"/>
      <c r="M657" s="1627">
        <v>0</v>
      </c>
      <c r="N657" s="1628">
        <v>1.2594375482783917</v>
      </c>
      <c r="O657" s="1628">
        <v>1.259898208839672</v>
      </c>
    </row>
    <row r="658" spans="11:15">
      <c r="K658" s="1625">
        <v>42715</v>
      </c>
      <c r="L658" s="1626"/>
      <c r="M658" s="1627">
        <v>0</v>
      </c>
      <c r="N658" s="1628">
        <v>1.2594375482783917</v>
      </c>
      <c r="O658" s="1628">
        <v>1.259898208839672</v>
      </c>
    </row>
    <row r="659" spans="11:15">
      <c r="K659" s="1625">
        <v>42716</v>
      </c>
      <c r="L659" s="1626" t="s">
        <v>2301</v>
      </c>
      <c r="M659" s="1627">
        <v>5.0788E-2</v>
      </c>
      <c r="N659" s="1628">
        <v>1.2600771914204114</v>
      </c>
      <c r="O659" s="1628">
        <v>1.2605600459677575</v>
      </c>
    </row>
    <row r="660" spans="11:15">
      <c r="K660" s="1625">
        <v>42717</v>
      </c>
      <c r="L660" s="1626" t="s">
        <v>2301</v>
      </c>
      <c r="M660" s="1627">
        <v>5.0788E-2</v>
      </c>
      <c r="N660" s="1628">
        <v>1.26071715942439</v>
      </c>
      <c r="O660" s="1628">
        <v>1.2612222307655048</v>
      </c>
    </row>
    <row r="661" spans="11:15">
      <c r="K661" s="1625">
        <v>42718</v>
      </c>
      <c r="L661" s="1626" t="s">
        <v>2301</v>
      </c>
      <c r="M661" s="1627">
        <v>5.0788E-2</v>
      </c>
      <c r="N661" s="1628">
        <v>1.2613574524553184</v>
      </c>
      <c r="O661" s="1628">
        <v>1.2618847634155481</v>
      </c>
    </row>
    <row r="662" spans="11:15">
      <c r="K662" s="1625">
        <v>42719</v>
      </c>
      <c r="L662" s="1626" t="s">
        <v>2301</v>
      </c>
      <c r="M662" s="1627">
        <v>5.0788E-2</v>
      </c>
      <c r="N662" s="1628">
        <v>1.2619980706782714</v>
      </c>
      <c r="O662" s="1628">
        <v>1.262547644100618</v>
      </c>
    </row>
    <row r="663" spans="11:15">
      <c r="K663" s="1625">
        <v>42720</v>
      </c>
      <c r="L663" s="1626" t="s">
        <v>2301</v>
      </c>
      <c r="M663" s="1627">
        <v>5.0788E-2</v>
      </c>
      <c r="N663" s="1628">
        <v>1.2626390142584074</v>
      </c>
      <c r="O663" s="1628">
        <v>1.2632108730035405</v>
      </c>
    </row>
    <row r="664" spans="11:15">
      <c r="K664" s="1625">
        <v>42721</v>
      </c>
      <c r="L664" s="1626"/>
      <c r="M664" s="1627">
        <v>0</v>
      </c>
      <c r="N664" s="1628">
        <v>1.2626390142584074</v>
      </c>
      <c r="O664" s="1628">
        <v>1.2632108730035405</v>
      </c>
    </row>
    <row r="665" spans="11:15">
      <c r="K665" s="1625">
        <v>42722</v>
      </c>
      <c r="L665" s="1626"/>
      <c r="M665" s="1627">
        <v>0</v>
      </c>
      <c r="N665" s="1628">
        <v>1.2626390142584074</v>
      </c>
      <c r="O665" s="1628">
        <v>1.2632108730035405</v>
      </c>
    </row>
    <row r="666" spans="11:15">
      <c r="K666" s="1625">
        <v>42723</v>
      </c>
      <c r="L666" s="1626" t="s">
        <v>2301</v>
      </c>
      <c r="M666" s="1627">
        <v>5.0788E-2</v>
      </c>
      <c r="N666" s="1628">
        <v>1.2632802833609691</v>
      </c>
      <c r="O666" s="1628">
        <v>1.2638744503072381</v>
      </c>
    </row>
    <row r="667" spans="11:15">
      <c r="K667" s="1625">
        <v>42724</v>
      </c>
      <c r="L667" s="1626" t="s">
        <v>2301</v>
      </c>
      <c r="M667" s="1627">
        <v>5.0788E-2</v>
      </c>
      <c r="N667" s="1628">
        <v>1.2639218781512824</v>
      </c>
      <c r="O667" s="1628">
        <v>1.2645383761947291</v>
      </c>
    </row>
    <row r="668" spans="11:15">
      <c r="K668" s="1625">
        <v>42725</v>
      </c>
      <c r="L668" s="1626" t="s">
        <v>2301</v>
      </c>
      <c r="M668" s="1627">
        <v>5.0788E-2</v>
      </c>
      <c r="N668" s="1628">
        <v>1.264563798794758</v>
      </c>
      <c r="O668" s="1628">
        <v>1.2652026508491279</v>
      </c>
    </row>
    <row r="669" spans="11:15">
      <c r="K669" s="1625">
        <v>42726</v>
      </c>
      <c r="L669" s="1626" t="s">
        <v>2301</v>
      </c>
      <c r="M669" s="1627">
        <v>5.0788E-2</v>
      </c>
      <c r="N669" s="1628">
        <v>1.2652060454568899</v>
      </c>
      <c r="O669" s="1628">
        <v>1.2658672744536454</v>
      </c>
    </row>
    <row r="670" spans="11:15">
      <c r="K670" s="1625">
        <v>42727</v>
      </c>
      <c r="L670" s="1626" t="s">
        <v>2301</v>
      </c>
      <c r="M670" s="1627">
        <v>5.0788E-2</v>
      </c>
      <c r="N670" s="1628">
        <v>1.2658486183032565</v>
      </c>
      <c r="O670" s="1628">
        <v>1.2665322471915887</v>
      </c>
    </row>
    <row r="671" spans="11:15">
      <c r="K671" s="1625">
        <v>42728</v>
      </c>
      <c r="L671" s="1626"/>
      <c r="M671" s="1627">
        <v>0</v>
      </c>
      <c r="N671" s="1628">
        <v>1.2658486183032565</v>
      </c>
      <c r="O671" s="1628">
        <v>1.2665322471915887</v>
      </c>
    </row>
    <row r="672" spans="11:15">
      <c r="K672" s="1625">
        <v>42729</v>
      </c>
      <c r="L672" s="1626"/>
      <c r="M672" s="1627">
        <v>0</v>
      </c>
      <c r="N672" s="1628">
        <v>1.2658486183032565</v>
      </c>
      <c r="O672" s="1628">
        <v>1.2665322471915887</v>
      </c>
    </row>
    <row r="673" spans="11:15">
      <c r="K673" s="1625">
        <v>42730</v>
      </c>
      <c r="L673" s="1626" t="s">
        <v>2301</v>
      </c>
      <c r="M673" s="1627">
        <v>5.0788E-2</v>
      </c>
      <c r="N673" s="1628">
        <v>1.2664915174995204</v>
      </c>
      <c r="O673" s="1628">
        <v>1.2671975692463611</v>
      </c>
    </row>
    <row r="674" spans="11:15">
      <c r="K674" s="1625">
        <v>42731</v>
      </c>
      <c r="L674" s="1626" t="s">
        <v>2301</v>
      </c>
      <c r="M674" s="1627">
        <v>5.0788E-2</v>
      </c>
      <c r="N674" s="1628">
        <v>1.2671347432114282</v>
      </c>
      <c r="O674" s="1628">
        <v>1.2678632408014618</v>
      </c>
    </row>
    <row r="675" spans="11:15">
      <c r="K675" s="1625">
        <v>42732</v>
      </c>
      <c r="L675" s="1626" t="s">
        <v>2301</v>
      </c>
      <c r="M675" s="1627">
        <v>5.0788E-2</v>
      </c>
      <c r="N675" s="1628">
        <v>1.2677782956048105</v>
      </c>
      <c r="O675" s="1628">
        <v>1.2685292620404873</v>
      </c>
    </row>
    <row r="676" spans="11:15">
      <c r="K676" s="1625">
        <v>42733</v>
      </c>
      <c r="L676" s="1626" t="s">
        <v>2301</v>
      </c>
      <c r="M676" s="1627">
        <v>5.0788E-2</v>
      </c>
      <c r="N676" s="1628">
        <v>1.2684221748455822</v>
      </c>
      <c r="O676" s="1628">
        <v>1.2691956331471299</v>
      </c>
    </row>
    <row r="677" spans="11:15">
      <c r="K677" s="1625">
        <v>42734</v>
      </c>
      <c r="L677" s="1626" t="s">
        <v>2301</v>
      </c>
      <c r="M677" s="1627">
        <v>5.0788E-2</v>
      </c>
      <c r="N677" s="1628">
        <v>1.2690663810997427</v>
      </c>
      <c r="O677" s="1628">
        <v>1.2698623543051784</v>
      </c>
    </row>
    <row r="678" spans="11:15">
      <c r="K678" s="1625">
        <v>42735</v>
      </c>
      <c r="L678" s="1626"/>
      <c r="M678" s="1627">
        <v>0</v>
      </c>
      <c r="N678" s="1628">
        <v>1.2690663810997427</v>
      </c>
      <c r="O678" s="1628">
        <v>1.2698623543051784</v>
      </c>
    </row>
    <row r="679" spans="11:15">
      <c r="K679" s="1625">
        <v>42736</v>
      </c>
      <c r="L679" s="1626"/>
      <c r="M679" s="1627">
        <v>0</v>
      </c>
      <c r="N679" s="1628">
        <v>1.2690663810997427</v>
      </c>
      <c r="O679" s="1628">
        <v>1.2698623543051784</v>
      </c>
    </row>
    <row r="680" spans="11:15">
      <c r="K680" s="1625">
        <v>42737</v>
      </c>
      <c r="L680" s="1626" t="s">
        <v>2301</v>
      </c>
      <c r="M680" s="1627">
        <v>5.0788E-2</v>
      </c>
      <c r="N680" s="1628">
        <v>1.2697109145333756</v>
      </c>
      <c r="O680" s="1628">
        <v>1.2705294256985185</v>
      </c>
    </row>
    <row r="681" spans="11:15">
      <c r="K681" s="1625">
        <v>42738</v>
      </c>
      <c r="L681" s="1626" t="s">
        <v>2301</v>
      </c>
      <c r="M681" s="1627">
        <v>5.0788E-2</v>
      </c>
      <c r="N681" s="1628">
        <v>1.2703557753126489</v>
      </c>
      <c r="O681" s="1628">
        <v>1.2711968475111322</v>
      </c>
    </row>
    <row r="682" spans="11:15">
      <c r="K682" s="1625">
        <v>42739</v>
      </c>
      <c r="L682" s="1626" t="s">
        <v>2301</v>
      </c>
      <c r="M682" s="1627">
        <v>5.0788E-2</v>
      </c>
      <c r="N682" s="1628">
        <v>1.2710009636038146</v>
      </c>
      <c r="O682" s="1628">
        <v>1.2718646199270982</v>
      </c>
    </row>
    <row r="683" spans="11:15">
      <c r="K683" s="1625">
        <v>42740</v>
      </c>
      <c r="L683" s="1626" t="s">
        <v>2301</v>
      </c>
      <c r="M683" s="1627">
        <v>5.0788E-2</v>
      </c>
      <c r="N683" s="1628">
        <v>1.2716464795732099</v>
      </c>
      <c r="O683" s="1628">
        <v>1.2725327431305922</v>
      </c>
    </row>
    <row r="684" spans="11:15">
      <c r="K684" s="1625">
        <v>42741</v>
      </c>
      <c r="L684" s="1626" t="s">
        <v>2301</v>
      </c>
      <c r="M684" s="1627">
        <v>5.0788E-2</v>
      </c>
      <c r="N684" s="1628">
        <v>1.2722923233872556</v>
      </c>
      <c r="O684" s="1628">
        <v>1.2732012173058862</v>
      </c>
    </row>
    <row r="685" spans="11:15">
      <c r="K685" s="1625">
        <v>42742</v>
      </c>
      <c r="L685" s="1626"/>
      <c r="M685" s="1627">
        <v>0</v>
      </c>
      <c r="N685" s="1628">
        <v>1.2722923233872556</v>
      </c>
      <c r="O685" s="1628">
        <v>1.2732012173058862</v>
      </c>
    </row>
    <row r="686" spans="11:15">
      <c r="K686" s="1625">
        <v>42743</v>
      </c>
      <c r="L686" s="1626"/>
      <c r="M686" s="1627">
        <v>0</v>
      </c>
      <c r="N686" s="1628">
        <v>1.2722923233872556</v>
      </c>
      <c r="O686" s="1628">
        <v>1.2732012173058862</v>
      </c>
    </row>
    <row r="687" spans="11:15">
      <c r="K687" s="1625">
        <v>42744</v>
      </c>
      <c r="L687" s="1626" t="s">
        <v>2301</v>
      </c>
      <c r="M687" s="1627">
        <v>5.0788E-2</v>
      </c>
      <c r="N687" s="1628">
        <v>1.2729384952124576</v>
      </c>
      <c r="O687" s="1628">
        <v>1.2738700426373493</v>
      </c>
    </row>
    <row r="688" spans="11:15">
      <c r="K688" s="1625">
        <v>42745</v>
      </c>
      <c r="L688" s="1626" t="s">
        <v>2301</v>
      </c>
      <c r="M688" s="1627">
        <v>5.0788E-2</v>
      </c>
      <c r="N688" s="1628">
        <v>1.2735849952154061</v>
      </c>
      <c r="O688" s="1628">
        <v>1.2745392193094471</v>
      </c>
    </row>
    <row r="689" spans="11:15">
      <c r="K689" s="1625">
        <v>42746</v>
      </c>
      <c r="L689" s="1626" t="s">
        <v>2301</v>
      </c>
      <c r="M689" s="1627">
        <v>5.0788E-2</v>
      </c>
      <c r="N689" s="1628">
        <v>1.2742318235627761</v>
      </c>
      <c r="O689" s="1628">
        <v>1.2752087475067426</v>
      </c>
    </row>
    <row r="690" spans="11:15">
      <c r="K690" s="1625">
        <v>42747</v>
      </c>
      <c r="L690" s="1626" t="s">
        <v>2301</v>
      </c>
      <c r="M690" s="1627">
        <v>4.8159E-2</v>
      </c>
      <c r="N690" s="1628">
        <v>1.2748454808666856</v>
      </c>
      <c r="O690" s="1628">
        <v>1.2758786274138953</v>
      </c>
    </row>
    <row r="691" spans="11:15">
      <c r="K691" s="1625">
        <v>42748</v>
      </c>
      <c r="L691" s="1626" t="s">
        <v>2301</v>
      </c>
      <c r="M691" s="1627">
        <v>4.8159E-2</v>
      </c>
      <c r="N691" s="1628">
        <v>1.2754594337018161</v>
      </c>
      <c r="O691" s="1628">
        <v>1.2765488592156622</v>
      </c>
    </row>
    <row r="692" spans="11:15">
      <c r="K692" s="1625">
        <v>42749</v>
      </c>
      <c r="L692" s="1626"/>
      <c r="M692" s="1627">
        <v>0</v>
      </c>
      <c r="N692" s="1628">
        <v>1.2754594337018161</v>
      </c>
      <c r="O692" s="1628">
        <v>1.2765488592156622</v>
      </c>
    </row>
    <row r="693" spans="11:15">
      <c r="K693" s="1625">
        <v>42750</v>
      </c>
      <c r="L693" s="1626"/>
      <c r="M693" s="1627">
        <v>0</v>
      </c>
      <c r="N693" s="1628">
        <v>1.2754594337018161</v>
      </c>
      <c r="O693" s="1628">
        <v>1.2765488592156622</v>
      </c>
    </row>
    <row r="694" spans="11:15">
      <c r="K694" s="1625">
        <v>42751</v>
      </c>
      <c r="L694" s="1626" t="s">
        <v>2301</v>
      </c>
      <c r="M694" s="1627">
        <v>4.8159E-2</v>
      </c>
      <c r="N694" s="1628">
        <v>1.2760736822104926</v>
      </c>
      <c r="O694" s="1628">
        <v>1.2772194430968968</v>
      </c>
    </row>
    <row r="695" spans="11:15">
      <c r="K695" s="1625">
        <v>42752</v>
      </c>
      <c r="L695" s="1626" t="s">
        <v>2301</v>
      </c>
      <c r="M695" s="1627">
        <v>4.8159E-2</v>
      </c>
      <c r="N695" s="1628">
        <v>1.2766882265351083</v>
      </c>
      <c r="O695" s="1628">
        <v>1.27789037924255</v>
      </c>
    </row>
    <row r="696" spans="11:15">
      <c r="K696" s="1625">
        <v>42753</v>
      </c>
      <c r="L696" s="1626" t="s">
        <v>2301</v>
      </c>
      <c r="M696" s="1627">
        <v>4.8159E-2</v>
      </c>
      <c r="N696" s="1628">
        <v>1.2773030668181251</v>
      </c>
      <c r="O696" s="1628">
        <v>1.2785616678376699</v>
      </c>
    </row>
    <row r="697" spans="11:15">
      <c r="K697" s="1625">
        <v>42754</v>
      </c>
      <c r="L697" s="1626" t="s">
        <v>2301</v>
      </c>
      <c r="M697" s="1627">
        <v>4.8159E-2</v>
      </c>
      <c r="N697" s="1628">
        <v>1.2779182032020739</v>
      </c>
      <c r="O697" s="1628">
        <v>1.2792333090674017</v>
      </c>
    </row>
    <row r="698" spans="11:15">
      <c r="K698" s="1625">
        <v>42755</v>
      </c>
      <c r="L698" s="1626" t="s">
        <v>2301</v>
      </c>
      <c r="M698" s="1627">
        <v>4.8159E-2</v>
      </c>
      <c r="N698" s="1628">
        <v>1.278533635829554</v>
      </c>
      <c r="O698" s="1628">
        <v>1.279905303116988</v>
      </c>
    </row>
    <row r="699" spans="11:15">
      <c r="K699" s="1625">
        <v>42756</v>
      </c>
      <c r="L699" s="1626"/>
      <c r="M699" s="1627">
        <v>0</v>
      </c>
      <c r="N699" s="1628">
        <v>1.278533635829554</v>
      </c>
      <c r="O699" s="1628">
        <v>1.279905303116988</v>
      </c>
    </row>
    <row r="700" spans="11:15">
      <c r="K700" s="1625">
        <v>42757</v>
      </c>
      <c r="L700" s="1626"/>
      <c r="M700" s="1627">
        <v>0</v>
      </c>
      <c r="N700" s="1628">
        <v>1.278533635829554</v>
      </c>
      <c r="O700" s="1628">
        <v>1.279905303116988</v>
      </c>
    </row>
    <row r="701" spans="11:15">
      <c r="K701" s="1625">
        <v>42758</v>
      </c>
      <c r="L701" s="1626" t="s">
        <v>2301</v>
      </c>
      <c r="M701" s="1627">
        <v>4.8159E-2</v>
      </c>
      <c r="N701" s="1628">
        <v>1.279149364843233</v>
      </c>
      <c r="O701" s="1628">
        <v>1.2805776501717685</v>
      </c>
    </row>
    <row r="702" spans="11:15">
      <c r="K702" s="1625">
        <v>42759</v>
      </c>
      <c r="L702" s="1626" t="s">
        <v>2301</v>
      </c>
      <c r="M702" s="1627">
        <v>4.8159E-2</v>
      </c>
      <c r="N702" s="1628">
        <v>1.2797653903858479</v>
      </c>
      <c r="O702" s="1628">
        <v>1.2812503504171802</v>
      </c>
    </row>
    <row r="703" spans="11:15">
      <c r="K703" s="1625">
        <v>42760</v>
      </c>
      <c r="L703" s="1626" t="s">
        <v>2301</v>
      </c>
      <c r="M703" s="1627">
        <v>4.8159E-2</v>
      </c>
      <c r="N703" s="1628">
        <v>1.2803817126002037</v>
      </c>
      <c r="O703" s="1628">
        <v>1.2819234040387577</v>
      </c>
    </row>
    <row r="704" spans="11:15">
      <c r="K704" s="1625">
        <v>42761</v>
      </c>
      <c r="L704" s="1626" t="s">
        <v>2301</v>
      </c>
      <c r="M704" s="1627">
        <v>4.8159E-2</v>
      </c>
      <c r="N704" s="1628">
        <v>1.2809983316291746</v>
      </c>
      <c r="O704" s="1628">
        <v>1.2825968112221333</v>
      </c>
    </row>
    <row r="705" spans="11:15">
      <c r="K705" s="1625">
        <v>42762</v>
      </c>
      <c r="L705" s="1626" t="s">
        <v>2301</v>
      </c>
      <c r="M705" s="1627">
        <v>4.8159E-2</v>
      </c>
      <c r="N705" s="1628">
        <v>1.2816152476157039</v>
      </c>
      <c r="O705" s="1628">
        <v>1.2832705721530364</v>
      </c>
    </row>
    <row r="706" spans="11:15">
      <c r="K706" s="1625">
        <v>42763</v>
      </c>
      <c r="L706" s="1626"/>
      <c r="M706" s="1627">
        <v>0</v>
      </c>
      <c r="N706" s="1628">
        <v>1.2816152476157039</v>
      </c>
      <c r="O706" s="1628">
        <v>1.2832705721530364</v>
      </c>
    </row>
    <row r="707" spans="11:15">
      <c r="K707" s="1625">
        <v>42764</v>
      </c>
      <c r="L707" s="1626"/>
      <c r="M707" s="1627">
        <v>0</v>
      </c>
      <c r="N707" s="1628">
        <v>1.2816152476157039</v>
      </c>
      <c r="O707" s="1628">
        <v>1.2832705721530364</v>
      </c>
    </row>
    <row r="708" spans="11:15">
      <c r="K708" s="1625">
        <v>42765</v>
      </c>
      <c r="L708" s="1626" t="s">
        <v>2301</v>
      </c>
      <c r="M708" s="1627">
        <v>4.8159E-2</v>
      </c>
      <c r="N708" s="1628">
        <v>1.2822324607028031</v>
      </c>
      <c r="O708" s="1628">
        <v>1.2839446870172941</v>
      </c>
    </row>
    <row r="709" spans="11:15">
      <c r="K709" s="1625">
        <v>42766</v>
      </c>
      <c r="L709" s="1626" t="s">
        <v>2301</v>
      </c>
      <c r="M709" s="1627">
        <v>4.8159E-2</v>
      </c>
      <c r="N709" s="1628">
        <v>1.2828499710335528</v>
      </c>
      <c r="O709" s="1628">
        <v>1.2846191560008311</v>
      </c>
    </row>
    <row r="710" spans="11:15">
      <c r="K710" s="1625">
        <v>42767</v>
      </c>
      <c r="L710" s="1626" t="s">
        <v>2301</v>
      </c>
      <c r="M710" s="1627">
        <v>4.8159E-2</v>
      </c>
      <c r="N710" s="1628">
        <v>1.2834677787511029</v>
      </c>
      <c r="O710" s="1628">
        <v>1.2852939792896698</v>
      </c>
    </row>
    <row r="711" spans="11:15">
      <c r="K711" s="1625">
        <v>42768</v>
      </c>
      <c r="L711" s="1626" t="s">
        <v>2301</v>
      </c>
      <c r="M711" s="1627">
        <v>4.8159E-2</v>
      </c>
      <c r="N711" s="1628">
        <v>1.2840858839986715</v>
      </c>
      <c r="O711" s="1628">
        <v>1.2859691570699305</v>
      </c>
    </row>
    <row r="712" spans="11:15">
      <c r="K712" s="1625">
        <v>42769</v>
      </c>
      <c r="L712" s="1626" t="s">
        <v>2301</v>
      </c>
      <c r="M712" s="1627">
        <v>4.8159E-2</v>
      </c>
      <c r="N712" s="1628">
        <v>1.2847042869195464</v>
      </c>
      <c r="O712" s="1628">
        <v>1.286644689527831</v>
      </c>
    </row>
    <row r="713" spans="11:15">
      <c r="K713" s="1625">
        <v>42770</v>
      </c>
      <c r="L713" s="1626"/>
      <c r="M713" s="1627">
        <v>0</v>
      </c>
      <c r="N713" s="1628">
        <v>1.2847042869195464</v>
      </c>
      <c r="O713" s="1628">
        <v>1.286644689527831</v>
      </c>
    </row>
    <row r="714" spans="11:15">
      <c r="K714" s="1625">
        <v>42771</v>
      </c>
      <c r="L714" s="1626"/>
      <c r="M714" s="1627">
        <v>0</v>
      </c>
      <c r="N714" s="1628">
        <v>1.2847042869195464</v>
      </c>
      <c r="O714" s="1628">
        <v>1.286644689527831</v>
      </c>
    </row>
    <row r="715" spans="11:15">
      <c r="K715" s="1625">
        <v>42772</v>
      </c>
      <c r="L715" s="1626" t="s">
        <v>2301</v>
      </c>
      <c r="M715" s="1627">
        <v>4.8159E-2</v>
      </c>
      <c r="N715" s="1628">
        <v>1.285322987657084</v>
      </c>
      <c r="O715" s="1628">
        <v>1.2873205768496869</v>
      </c>
    </row>
    <row r="716" spans="11:15">
      <c r="K716" s="1625">
        <v>42773</v>
      </c>
      <c r="L716" s="1626" t="s">
        <v>2301</v>
      </c>
      <c r="M716" s="1627">
        <v>4.8159E-2</v>
      </c>
      <c r="N716" s="1628">
        <v>1.2859419863547097</v>
      </c>
      <c r="O716" s="1628">
        <v>1.2879968192219118</v>
      </c>
    </row>
    <row r="717" spans="11:15">
      <c r="K717" s="1625">
        <v>42774</v>
      </c>
      <c r="L717" s="1626" t="s">
        <v>2301</v>
      </c>
      <c r="M717" s="1627">
        <v>4.8159E-2</v>
      </c>
      <c r="N717" s="1628">
        <v>1.2865612831559181</v>
      </c>
      <c r="O717" s="1628">
        <v>1.2886734168310172</v>
      </c>
    </row>
    <row r="718" spans="11:15">
      <c r="K718" s="1625">
        <v>42775</v>
      </c>
      <c r="L718" s="1626" t="s">
        <v>2301</v>
      </c>
      <c r="M718" s="1627">
        <v>4.8159E-2</v>
      </c>
      <c r="N718" s="1628">
        <v>1.2871808782042731</v>
      </c>
      <c r="O718" s="1628">
        <v>1.2893503698636126</v>
      </c>
    </row>
    <row r="719" spans="11:15">
      <c r="K719" s="1625">
        <v>42776</v>
      </c>
      <c r="L719" s="1626" t="s">
        <v>2301</v>
      </c>
      <c r="M719" s="1627">
        <v>4.8159E-2</v>
      </c>
      <c r="N719" s="1628">
        <v>1.2878007716434074</v>
      </c>
      <c r="O719" s="1628">
        <v>1.2900276785064058</v>
      </c>
    </row>
    <row r="720" spans="11:15">
      <c r="K720" s="1625">
        <v>42777</v>
      </c>
      <c r="L720" s="1626"/>
      <c r="M720" s="1627">
        <v>0</v>
      </c>
      <c r="N720" s="1628">
        <v>1.2878007716434074</v>
      </c>
      <c r="O720" s="1628">
        <v>1.2900276785064058</v>
      </c>
    </row>
    <row r="721" spans="11:15">
      <c r="K721" s="1625">
        <v>42778</v>
      </c>
      <c r="L721" s="1626"/>
      <c r="M721" s="1627">
        <v>0</v>
      </c>
      <c r="N721" s="1628">
        <v>1.2878007716434074</v>
      </c>
      <c r="O721" s="1628">
        <v>1.2900276785064058</v>
      </c>
    </row>
    <row r="722" spans="11:15">
      <c r="K722" s="1625">
        <v>42779</v>
      </c>
      <c r="L722" s="1626" t="s">
        <v>2301</v>
      </c>
      <c r="M722" s="1627">
        <v>4.8159E-2</v>
      </c>
      <c r="N722" s="1628">
        <v>1.2884209636170232</v>
      </c>
      <c r="O722" s="1628">
        <v>1.2907053429462019</v>
      </c>
    </row>
    <row r="723" spans="11:15">
      <c r="K723" s="1625">
        <v>42780</v>
      </c>
      <c r="L723" s="1626" t="s">
        <v>2301</v>
      </c>
      <c r="M723" s="1627">
        <v>4.8159E-2</v>
      </c>
      <c r="N723" s="1628">
        <v>1.2890414542688915</v>
      </c>
      <c r="O723" s="1628">
        <v>1.291383363369905</v>
      </c>
    </row>
    <row r="724" spans="11:15">
      <c r="K724" s="1625">
        <v>42781</v>
      </c>
      <c r="L724" s="1626" t="s">
        <v>2301</v>
      </c>
      <c r="M724" s="1627">
        <v>4.8159E-2</v>
      </c>
      <c r="N724" s="1628">
        <v>1.2896622437428527</v>
      </c>
      <c r="O724" s="1628">
        <v>1.2920617399645169</v>
      </c>
    </row>
    <row r="725" spans="11:15">
      <c r="K725" s="1625">
        <v>42782</v>
      </c>
      <c r="L725" s="1626" t="s">
        <v>2301</v>
      </c>
      <c r="M725" s="1627">
        <v>4.8159E-2</v>
      </c>
      <c r="N725" s="1628">
        <v>1.2902833321828167</v>
      </c>
      <c r="O725" s="1628">
        <v>1.2927404729171377</v>
      </c>
    </row>
    <row r="726" spans="11:15">
      <c r="K726" s="1625">
        <v>42783</v>
      </c>
      <c r="L726" s="1626" t="s">
        <v>2301</v>
      </c>
      <c r="M726" s="1627">
        <v>4.8159E-2</v>
      </c>
      <c r="N726" s="1628">
        <v>1.2909047197327626</v>
      </c>
      <c r="O726" s="1628">
        <v>1.2934195624149658</v>
      </c>
    </row>
    <row r="727" spans="11:15">
      <c r="K727" s="1625">
        <v>42784</v>
      </c>
      <c r="L727" s="1626"/>
      <c r="M727" s="1627">
        <v>0</v>
      </c>
      <c r="N727" s="1628">
        <v>1.2909047197327626</v>
      </c>
      <c r="O727" s="1628">
        <v>1.2934195624149658</v>
      </c>
    </row>
    <row r="728" spans="11:15">
      <c r="K728" s="1625">
        <v>42785</v>
      </c>
      <c r="L728" s="1626"/>
      <c r="M728" s="1627">
        <v>0</v>
      </c>
      <c r="N728" s="1628">
        <v>1.2909047197327626</v>
      </c>
      <c r="O728" s="1628">
        <v>1.2934195624149658</v>
      </c>
    </row>
    <row r="729" spans="11:15">
      <c r="K729" s="1625">
        <v>42786</v>
      </c>
      <c r="L729" s="1626" t="s">
        <v>2301</v>
      </c>
      <c r="M729" s="1627">
        <v>4.8159E-2</v>
      </c>
      <c r="N729" s="1628">
        <v>1.2915264065367384</v>
      </c>
      <c r="O729" s="1628">
        <v>1.2940990086452979</v>
      </c>
    </row>
    <row r="730" spans="11:15">
      <c r="K730" s="1625">
        <v>42787</v>
      </c>
      <c r="L730" s="1626" t="s">
        <v>2301</v>
      </c>
      <c r="M730" s="1627">
        <v>4.8159E-2</v>
      </c>
      <c r="N730" s="1628">
        <v>1.2921483927388624</v>
      </c>
      <c r="O730" s="1628">
        <v>1.2947788117955294</v>
      </c>
    </row>
    <row r="731" spans="11:15">
      <c r="K731" s="1625">
        <v>42788</v>
      </c>
      <c r="L731" s="1626" t="s">
        <v>2301</v>
      </c>
      <c r="M731" s="1627">
        <v>4.8159E-2</v>
      </c>
      <c r="N731" s="1628">
        <v>1.2927706784833215</v>
      </c>
      <c r="O731" s="1628">
        <v>1.2954589720531537</v>
      </c>
    </row>
    <row r="732" spans="11:15">
      <c r="K732" s="1625">
        <v>42789</v>
      </c>
      <c r="L732" s="1626" t="s">
        <v>2301</v>
      </c>
      <c r="M732" s="1627">
        <v>4.5512999999999998E-2</v>
      </c>
      <c r="N732" s="1628">
        <v>1.2933590572022196</v>
      </c>
      <c r="O732" s="1628">
        <v>1.296139489605763</v>
      </c>
    </row>
    <row r="733" spans="11:15">
      <c r="K733" s="1625">
        <v>42790</v>
      </c>
      <c r="L733" s="1626" t="s">
        <v>2301</v>
      </c>
      <c r="M733" s="1627">
        <v>4.5512999999999998E-2</v>
      </c>
      <c r="N733" s="1628">
        <v>1.2939477037099241</v>
      </c>
      <c r="O733" s="1628">
        <v>1.2968203646410479</v>
      </c>
    </row>
    <row r="734" spans="11:15">
      <c r="K734" s="1625">
        <v>42791</v>
      </c>
      <c r="L734" s="1626"/>
      <c r="M734" s="1627">
        <v>0</v>
      </c>
      <c r="N734" s="1628">
        <v>1.2939477037099241</v>
      </c>
      <c r="O734" s="1628">
        <v>1.2968203646410479</v>
      </c>
    </row>
    <row r="735" spans="11:15">
      <c r="K735" s="1625">
        <v>42792</v>
      </c>
      <c r="L735" s="1626"/>
      <c r="M735" s="1627">
        <v>0</v>
      </c>
      <c r="N735" s="1628">
        <v>1.2939477037099241</v>
      </c>
      <c r="O735" s="1628">
        <v>1.2968203646410479</v>
      </c>
    </row>
    <row r="736" spans="11:15">
      <c r="K736" s="1625">
        <v>42793</v>
      </c>
      <c r="L736" s="1626"/>
      <c r="M736" s="1627">
        <v>0</v>
      </c>
      <c r="N736" s="1628">
        <v>1.2939477037099241</v>
      </c>
      <c r="O736" s="1628">
        <v>1.2968203646410479</v>
      </c>
    </row>
    <row r="737" spans="11:15">
      <c r="K737" s="1625">
        <v>42794</v>
      </c>
      <c r="L737" s="1626"/>
      <c r="M737" s="1627">
        <v>0</v>
      </c>
      <c r="N737" s="1628">
        <v>1.2939477037099241</v>
      </c>
      <c r="O737" s="1628">
        <v>1.2968203646410479</v>
      </c>
    </row>
    <row r="738" spans="11:15">
      <c r="K738" s="1625">
        <v>42795</v>
      </c>
      <c r="L738" s="1626" t="s">
        <v>2301</v>
      </c>
      <c r="M738" s="1627">
        <v>4.5512999999999998E-2</v>
      </c>
      <c r="N738" s="1628">
        <v>1.2945366181283136</v>
      </c>
      <c r="O738" s="1628">
        <v>1.2975015973467974</v>
      </c>
    </row>
    <row r="739" spans="11:15">
      <c r="K739" s="1625">
        <v>42796</v>
      </c>
      <c r="L739" s="1626" t="s">
        <v>2301</v>
      </c>
      <c r="M739" s="1627">
        <v>4.5512999999999998E-2</v>
      </c>
      <c r="N739" s="1628">
        <v>1.2951258005793223</v>
      </c>
      <c r="O739" s="1628">
        <v>1.2981831879108996</v>
      </c>
    </row>
    <row r="740" spans="11:15">
      <c r="K740" s="1625">
        <v>42797</v>
      </c>
      <c r="L740" s="1626" t="s">
        <v>2301</v>
      </c>
      <c r="M740" s="1627">
        <v>4.5512999999999998E-2</v>
      </c>
      <c r="N740" s="1628">
        <v>1.2957152511849399</v>
      </c>
      <c r="O740" s="1628">
        <v>1.2988651365213411</v>
      </c>
    </row>
    <row r="741" spans="11:15">
      <c r="K741" s="1625">
        <v>42798</v>
      </c>
      <c r="L741" s="1626"/>
      <c r="M741" s="1627">
        <v>0</v>
      </c>
      <c r="N741" s="1628">
        <v>1.2957152511849399</v>
      </c>
      <c r="O741" s="1628">
        <v>1.2988651365213411</v>
      </c>
    </row>
    <row r="742" spans="11:15">
      <c r="K742" s="1625">
        <v>42799</v>
      </c>
      <c r="L742" s="1626"/>
      <c r="M742" s="1627">
        <v>0</v>
      </c>
      <c r="N742" s="1628">
        <v>1.2957152511849399</v>
      </c>
      <c r="O742" s="1628">
        <v>1.2988651365213411</v>
      </c>
    </row>
    <row r="743" spans="11:15">
      <c r="K743" s="1625">
        <v>42800</v>
      </c>
      <c r="L743" s="1626" t="s">
        <v>2301</v>
      </c>
      <c r="M743" s="1627">
        <v>4.5512999999999998E-2</v>
      </c>
      <c r="N743" s="1628">
        <v>1.2963049700672116</v>
      </c>
      <c r="O743" s="1628">
        <v>1.2995474433662071</v>
      </c>
    </row>
    <row r="744" spans="11:15">
      <c r="K744" s="1625">
        <v>42801</v>
      </c>
      <c r="L744" s="1626" t="s">
        <v>2301</v>
      </c>
      <c r="M744" s="1627">
        <v>4.5512999999999998E-2</v>
      </c>
      <c r="N744" s="1628">
        <v>1.2968949573482382</v>
      </c>
      <c r="O744" s="1628">
        <v>1.3002301086336818</v>
      </c>
    </row>
    <row r="745" spans="11:15">
      <c r="K745" s="1625">
        <v>42802</v>
      </c>
      <c r="L745" s="1626" t="s">
        <v>2301</v>
      </c>
      <c r="M745" s="1627">
        <v>4.5512999999999998E-2</v>
      </c>
      <c r="N745" s="1628">
        <v>1.2974852131501762</v>
      </c>
      <c r="O745" s="1628">
        <v>1.3009131325120482</v>
      </c>
    </row>
    <row r="746" spans="11:15">
      <c r="K746" s="1625">
        <v>42803</v>
      </c>
      <c r="L746" s="1626" t="s">
        <v>2301</v>
      </c>
      <c r="M746" s="1627">
        <v>4.5512999999999998E-2</v>
      </c>
      <c r="N746" s="1628">
        <v>1.2980757375952372</v>
      </c>
      <c r="O746" s="1628">
        <v>1.3015965151896882</v>
      </c>
    </row>
    <row r="747" spans="11:15">
      <c r="K747" s="1625">
        <v>42804</v>
      </c>
      <c r="L747" s="1626" t="s">
        <v>2301</v>
      </c>
      <c r="M747" s="1627">
        <v>4.5512999999999998E-2</v>
      </c>
      <c r="N747" s="1628">
        <v>1.2986665308056888</v>
      </c>
      <c r="O747" s="1628">
        <v>1.3022802568550824</v>
      </c>
    </row>
    <row r="748" spans="11:15">
      <c r="K748" s="1625">
        <v>42805</v>
      </c>
      <c r="L748" s="1626"/>
      <c r="M748" s="1627">
        <v>0</v>
      </c>
      <c r="N748" s="1628">
        <v>1.2986665308056888</v>
      </c>
      <c r="O748" s="1628">
        <v>1.3022802568550824</v>
      </c>
    </row>
    <row r="749" spans="11:15">
      <c r="K749" s="1625">
        <v>42806</v>
      </c>
      <c r="L749" s="1626"/>
      <c r="M749" s="1627">
        <v>0</v>
      </c>
      <c r="N749" s="1628">
        <v>1.2986665308056888</v>
      </c>
      <c r="O749" s="1628">
        <v>1.3022802568550824</v>
      </c>
    </row>
    <row r="750" spans="11:15">
      <c r="K750" s="1625">
        <v>42807</v>
      </c>
      <c r="L750" s="1626" t="s">
        <v>2301</v>
      </c>
      <c r="M750" s="1627">
        <v>4.5512999999999998E-2</v>
      </c>
      <c r="N750" s="1628">
        <v>1.2992575929038543</v>
      </c>
      <c r="O750" s="1628">
        <v>1.3029643576968111</v>
      </c>
    </row>
    <row r="751" spans="11:15">
      <c r="K751" s="1625">
        <v>42808</v>
      </c>
      <c r="L751" s="1626" t="s">
        <v>2301</v>
      </c>
      <c r="M751" s="1627">
        <v>4.5512999999999998E-2</v>
      </c>
      <c r="N751" s="1628">
        <v>1.2998489240121127</v>
      </c>
      <c r="O751" s="1628">
        <v>1.3036488179035528</v>
      </c>
    </row>
    <row r="752" spans="11:15">
      <c r="K752" s="1625">
        <v>42809</v>
      </c>
      <c r="L752" s="1626" t="s">
        <v>2301</v>
      </c>
      <c r="M752" s="1627">
        <v>4.5512999999999998E-2</v>
      </c>
      <c r="N752" s="1628">
        <v>1.3004405242528982</v>
      </c>
      <c r="O752" s="1628">
        <v>1.3043336376640857</v>
      </c>
    </row>
    <row r="753" spans="11:15">
      <c r="K753" s="1625">
        <v>42810</v>
      </c>
      <c r="L753" s="1626" t="s">
        <v>2301</v>
      </c>
      <c r="M753" s="1627">
        <v>4.5512999999999998E-2</v>
      </c>
      <c r="N753" s="1628">
        <v>1.3010323937487014</v>
      </c>
      <c r="O753" s="1628">
        <v>1.305018817167287</v>
      </c>
    </row>
    <row r="754" spans="11:15">
      <c r="K754" s="1625">
        <v>42811</v>
      </c>
      <c r="L754" s="1626" t="s">
        <v>2301</v>
      </c>
      <c r="M754" s="1627">
        <v>4.5512999999999998E-2</v>
      </c>
      <c r="N754" s="1628">
        <v>1.3016245326220681</v>
      </c>
      <c r="O754" s="1628">
        <v>1.3057043566021331</v>
      </c>
    </row>
    <row r="755" spans="11:15">
      <c r="K755" s="1625">
        <v>42812</v>
      </c>
      <c r="L755" s="1626"/>
      <c r="M755" s="1627">
        <v>0</v>
      </c>
      <c r="N755" s="1628">
        <v>1.3016245326220681</v>
      </c>
      <c r="O755" s="1628">
        <v>1.3057043566021331</v>
      </c>
    </row>
    <row r="756" spans="11:15">
      <c r="K756" s="1625">
        <v>42813</v>
      </c>
      <c r="L756" s="1626"/>
      <c r="M756" s="1627">
        <v>0</v>
      </c>
      <c r="N756" s="1628">
        <v>1.3016245326220681</v>
      </c>
      <c r="O756" s="1628">
        <v>1.3057043566021331</v>
      </c>
    </row>
    <row r="757" spans="11:15">
      <c r="K757" s="1625">
        <v>42814</v>
      </c>
      <c r="L757" s="1626" t="s">
        <v>2301</v>
      </c>
      <c r="M757" s="1627">
        <v>4.5512999999999998E-2</v>
      </c>
      <c r="N757" s="1628">
        <v>1.3022169409956004</v>
      </c>
      <c r="O757" s="1628">
        <v>1.3063902561576999</v>
      </c>
    </row>
    <row r="758" spans="11:15">
      <c r="K758" s="1625">
        <v>42815</v>
      </c>
      <c r="L758" s="1626" t="s">
        <v>2301</v>
      </c>
      <c r="M758" s="1627">
        <v>4.5512999999999998E-2</v>
      </c>
      <c r="N758" s="1628">
        <v>1.3028096189919556</v>
      </c>
      <c r="O758" s="1628">
        <v>1.3070765160231621</v>
      </c>
    </row>
    <row r="759" spans="11:15">
      <c r="K759" s="1625">
        <v>42816</v>
      </c>
      <c r="L759" s="1626" t="s">
        <v>2301</v>
      </c>
      <c r="M759" s="1627">
        <v>4.5512999999999998E-2</v>
      </c>
      <c r="N759" s="1628">
        <v>1.3034025667338474</v>
      </c>
      <c r="O759" s="1628">
        <v>1.3077631363877942</v>
      </c>
    </row>
    <row r="760" spans="11:15">
      <c r="K760" s="1625">
        <v>42817</v>
      </c>
      <c r="L760" s="1626" t="s">
        <v>2301</v>
      </c>
      <c r="M760" s="1627">
        <v>4.5512999999999998E-2</v>
      </c>
      <c r="N760" s="1628">
        <v>1.3039957843440448</v>
      </c>
      <c r="O760" s="1628">
        <v>1.30845011744097</v>
      </c>
    </row>
    <row r="761" spans="11:15">
      <c r="K761" s="1625">
        <v>42818</v>
      </c>
      <c r="L761" s="1626" t="s">
        <v>2301</v>
      </c>
      <c r="M761" s="1627">
        <v>4.5512999999999998E-2</v>
      </c>
      <c r="N761" s="1628">
        <v>1.3045892719453733</v>
      </c>
      <c r="O761" s="1628">
        <v>1.309137459372163</v>
      </c>
    </row>
    <row r="762" spans="11:15">
      <c r="K762" s="1625">
        <v>42819</v>
      </c>
      <c r="L762" s="1626"/>
      <c r="M762" s="1627">
        <v>0</v>
      </c>
      <c r="N762" s="1628">
        <v>1.3045892719453733</v>
      </c>
      <c r="O762" s="1628">
        <v>1.309137459372163</v>
      </c>
    </row>
    <row r="763" spans="11:15">
      <c r="K763" s="1625">
        <v>42820</v>
      </c>
      <c r="L763" s="1626"/>
      <c r="M763" s="1627">
        <v>0</v>
      </c>
      <c r="N763" s="1628">
        <v>1.3045892719453733</v>
      </c>
      <c r="O763" s="1628">
        <v>1.309137459372163</v>
      </c>
    </row>
    <row r="764" spans="11:15">
      <c r="K764" s="1625">
        <v>42821</v>
      </c>
      <c r="L764" s="1626" t="s">
        <v>2301</v>
      </c>
      <c r="M764" s="1627">
        <v>4.5512999999999998E-2</v>
      </c>
      <c r="N764" s="1628">
        <v>1.3051830296607139</v>
      </c>
      <c r="O764" s="1628">
        <v>1.3098251623709458</v>
      </c>
    </row>
    <row r="765" spans="11:15">
      <c r="K765" s="1625">
        <v>42822</v>
      </c>
      <c r="L765" s="1626" t="s">
        <v>2301</v>
      </c>
      <c r="M765" s="1627">
        <v>4.5512999999999998E-2</v>
      </c>
      <c r="N765" s="1628">
        <v>1.3057770576130032</v>
      </c>
      <c r="O765" s="1628">
        <v>1.310513226626991</v>
      </c>
    </row>
    <row r="766" spans="11:15">
      <c r="K766" s="1625">
        <v>42823</v>
      </c>
      <c r="L766" s="1626" t="s">
        <v>2301</v>
      </c>
      <c r="M766" s="1627">
        <v>4.5512999999999998E-2</v>
      </c>
      <c r="N766" s="1628">
        <v>1.3063713559252346</v>
      </c>
      <c r="O766" s="1628">
        <v>1.3112016523300705</v>
      </c>
    </row>
    <row r="767" spans="11:15">
      <c r="K767" s="1625">
        <v>42824</v>
      </c>
      <c r="L767" s="1626" t="s">
        <v>2301</v>
      </c>
      <c r="M767" s="1627">
        <v>4.5512999999999998E-2</v>
      </c>
      <c r="N767" s="1628">
        <v>1.3069659247204568</v>
      </c>
      <c r="O767" s="1628">
        <v>1.3118904396700559</v>
      </c>
    </row>
    <row r="768" spans="11:15">
      <c r="K768" s="1625">
        <v>42825</v>
      </c>
      <c r="L768" s="1626" t="s">
        <v>2301</v>
      </c>
      <c r="M768" s="1627">
        <v>4.5512999999999998E-2</v>
      </c>
      <c r="N768" s="1628">
        <v>1.3075607641217748</v>
      </c>
      <c r="O768" s="1628">
        <v>1.3125795888369189</v>
      </c>
    </row>
    <row r="769" spans="11:15">
      <c r="K769" s="1625">
        <v>42826</v>
      </c>
      <c r="L769" s="1626"/>
      <c r="M769" s="1627">
        <v>0</v>
      </c>
      <c r="N769" s="1628">
        <v>1.3075607641217748</v>
      </c>
      <c r="O769" s="1628">
        <v>1.3125795888369189</v>
      </c>
    </row>
    <row r="770" spans="11:15">
      <c r="K770" s="1625">
        <v>42827</v>
      </c>
      <c r="L770" s="1626"/>
      <c r="M770" s="1627">
        <v>0</v>
      </c>
      <c r="N770" s="1628">
        <v>1.3075607641217748</v>
      </c>
      <c r="O770" s="1628">
        <v>1.3125795888369189</v>
      </c>
    </row>
    <row r="771" spans="11:15">
      <c r="K771" s="1625">
        <v>42828</v>
      </c>
      <c r="L771" s="1626" t="s">
        <v>2301</v>
      </c>
      <c r="M771" s="1627">
        <v>4.5512999999999998E-2</v>
      </c>
      <c r="N771" s="1628">
        <v>1.3081558742523496</v>
      </c>
      <c r="O771" s="1628">
        <v>1.3132691000207308</v>
      </c>
    </row>
    <row r="772" spans="11:15">
      <c r="K772" s="1625">
        <v>42829</v>
      </c>
      <c r="L772" s="1626" t="s">
        <v>2301</v>
      </c>
      <c r="M772" s="1627">
        <v>4.5512999999999998E-2</v>
      </c>
      <c r="N772" s="1628">
        <v>1.3087512552353979</v>
      </c>
      <c r="O772" s="1628">
        <v>1.3139589734116628</v>
      </c>
    </row>
    <row r="773" spans="11:15">
      <c r="K773" s="1625">
        <v>42830</v>
      </c>
      <c r="L773" s="1626" t="s">
        <v>2301</v>
      </c>
      <c r="M773" s="1627">
        <v>4.5512999999999998E-2</v>
      </c>
      <c r="N773" s="1628">
        <v>1.3093469071941932</v>
      </c>
      <c r="O773" s="1628">
        <v>1.3146492091999857</v>
      </c>
    </row>
    <row r="774" spans="11:15">
      <c r="K774" s="1625">
        <v>42831</v>
      </c>
      <c r="L774" s="1626" t="s">
        <v>2301</v>
      </c>
      <c r="M774" s="1627">
        <v>4.5512999999999998E-2</v>
      </c>
      <c r="N774" s="1628">
        <v>1.3099428302520644</v>
      </c>
      <c r="O774" s="1628">
        <v>1.3153398075760705</v>
      </c>
    </row>
    <row r="775" spans="11:15">
      <c r="K775" s="1625">
        <v>42832</v>
      </c>
      <c r="L775" s="1626" t="s">
        <v>2301</v>
      </c>
      <c r="M775" s="1627">
        <v>4.5512999999999998E-2</v>
      </c>
      <c r="N775" s="1628">
        <v>1.3105390245323969</v>
      </c>
      <c r="O775" s="1628">
        <v>1.3160307687303883</v>
      </c>
    </row>
    <row r="776" spans="11:15">
      <c r="K776" s="1625">
        <v>42833</v>
      </c>
      <c r="L776" s="1626"/>
      <c r="M776" s="1627">
        <v>0</v>
      </c>
      <c r="N776" s="1628">
        <v>1.3105390245323969</v>
      </c>
      <c r="O776" s="1628">
        <v>1.3160307687303883</v>
      </c>
    </row>
    <row r="777" spans="11:15">
      <c r="K777" s="1625">
        <v>42834</v>
      </c>
      <c r="L777" s="1626"/>
      <c r="M777" s="1627">
        <v>0</v>
      </c>
      <c r="N777" s="1628">
        <v>1.3105390245323969</v>
      </c>
      <c r="O777" s="1628">
        <v>1.3160307687303883</v>
      </c>
    </row>
    <row r="778" spans="11:15">
      <c r="K778" s="1625">
        <v>42835</v>
      </c>
      <c r="L778" s="1626" t="s">
        <v>2301</v>
      </c>
      <c r="M778" s="1627">
        <v>4.5512999999999998E-2</v>
      </c>
      <c r="N778" s="1628">
        <v>1.3111354901586323</v>
      </c>
      <c r="O778" s="1628">
        <v>1.3167220928535099</v>
      </c>
    </row>
    <row r="779" spans="11:15">
      <c r="K779" s="1625">
        <v>42836</v>
      </c>
      <c r="L779" s="1626" t="s">
        <v>2301</v>
      </c>
      <c r="M779" s="1627">
        <v>4.5512999999999998E-2</v>
      </c>
      <c r="N779" s="1628">
        <v>1.3117322272542682</v>
      </c>
      <c r="O779" s="1628">
        <v>1.3174137801361068</v>
      </c>
    </row>
    <row r="780" spans="11:15">
      <c r="K780" s="1625">
        <v>42837</v>
      </c>
      <c r="L780" s="1626" t="s">
        <v>2301</v>
      </c>
      <c r="M780" s="1627">
        <v>4.5512999999999998E-2</v>
      </c>
      <c r="N780" s="1628">
        <v>1.3123292359428584</v>
      </c>
      <c r="O780" s="1628">
        <v>1.3181058307689502</v>
      </c>
    </row>
    <row r="781" spans="11:15">
      <c r="K781" s="1625">
        <v>42838</v>
      </c>
      <c r="L781" s="1626" t="s">
        <v>2301</v>
      </c>
      <c r="M781" s="1627">
        <v>4.1957000000000001E-2</v>
      </c>
      <c r="N781" s="1628">
        <v>1.3128798499203831</v>
      </c>
      <c r="O781" s="1628">
        <v>1.3187982449429114</v>
      </c>
    </row>
    <row r="782" spans="11:15">
      <c r="K782" s="1625">
        <v>42839</v>
      </c>
      <c r="L782" s="1626"/>
      <c r="M782" s="1627">
        <v>0</v>
      </c>
      <c r="N782" s="1628">
        <v>1.3128798499203831</v>
      </c>
      <c r="O782" s="1628">
        <v>1.3187982449429114</v>
      </c>
    </row>
    <row r="783" spans="11:15">
      <c r="K783" s="1625">
        <v>42840</v>
      </c>
      <c r="L783" s="1626"/>
      <c r="M783" s="1627">
        <v>0</v>
      </c>
      <c r="N783" s="1628">
        <v>1.3128798499203831</v>
      </c>
      <c r="O783" s="1628">
        <v>1.3187982449429114</v>
      </c>
    </row>
    <row r="784" spans="11:15">
      <c r="K784" s="1625">
        <v>42841</v>
      </c>
      <c r="L784" s="1626"/>
      <c r="M784" s="1627">
        <v>0</v>
      </c>
      <c r="N784" s="1628">
        <v>1.3128798499203831</v>
      </c>
      <c r="O784" s="1628">
        <v>1.3187982449429114</v>
      </c>
    </row>
    <row r="785" spans="11:15">
      <c r="K785" s="1625">
        <v>42842</v>
      </c>
      <c r="L785" s="1626" t="s">
        <v>2301</v>
      </c>
      <c r="M785" s="1627">
        <v>4.1957000000000001E-2</v>
      </c>
      <c r="N785" s="1628">
        <v>1.3134306949190142</v>
      </c>
      <c r="O785" s="1628">
        <v>1.3194910228489625</v>
      </c>
    </row>
    <row r="786" spans="11:15">
      <c r="K786" s="1625">
        <v>42843</v>
      </c>
      <c r="L786" s="1626" t="s">
        <v>2301</v>
      </c>
      <c r="M786" s="1627">
        <v>4.1957000000000001E-2</v>
      </c>
      <c r="N786" s="1628">
        <v>1.3139817710356814</v>
      </c>
      <c r="O786" s="1628">
        <v>1.3201841646781753</v>
      </c>
    </row>
    <row r="787" spans="11:15">
      <c r="K787" s="1625">
        <v>42844</v>
      </c>
      <c r="L787" s="1626" t="s">
        <v>2301</v>
      </c>
      <c r="M787" s="1627">
        <v>4.1957000000000001E-2</v>
      </c>
      <c r="N787" s="1628">
        <v>1.3145330783673548</v>
      </c>
      <c r="O787" s="1628">
        <v>1.3208776706217225</v>
      </c>
    </row>
    <row r="788" spans="11:15">
      <c r="K788" s="1625">
        <v>42845</v>
      </c>
      <c r="L788" s="1626" t="s">
        <v>2301</v>
      </c>
      <c r="M788" s="1627">
        <v>4.1957000000000001E-2</v>
      </c>
      <c r="N788" s="1628">
        <v>1.3150846170110455</v>
      </c>
      <c r="O788" s="1628">
        <v>1.3215715408708768</v>
      </c>
    </row>
    <row r="789" spans="11:15">
      <c r="K789" s="1625">
        <v>42846</v>
      </c>
      <c r="L789" s="1626"/>
      <c r="M789" s="1627">
        <v>0</v>
      </c>
      <c r="N789" s="1628">
        <v>1.3150846170110455</v>
      </c>
      <c r="O789" s="1628">
        <v>1.3215715408708768</v>
      </c>
    </row>
    <row r="790" spans="11:15">
      <c r="K790" s="1625">
        <v>42847</v>
      </c>
      <c r="L790" s="1626"/>
      <c r="M790" s="1627">
        <v>0</v>
      </c>
      <c r="N790" s="1628">
        <v>1.3150846170110455</v>
      </c>
      <c r="O790" s="1628">
        <v>1.3215715408708768</v>
      </c>
    </row>
    <row r="791" spans="11:15">
      <c r="K791" s="1625">
        <v>42848</v>
      </c>
      <c r="L791" s="1626"/>
      <c r="M791" s="1627">
        <v>0</v>
      </c>
      <c r="N791" s="1628">
        <v>1.3150846170110455</v>
      </c>
      <c r="O791" s="1628">
        <v>1.3215715408708768</v>
      </c>
    </row>
    <row r="792" spans="11:15">
      <c r="K792" s="1625">
        <v>42849</v>
      </c>
      <c r="L792" s="1626" t="s">
        <v>2301</v>
      </c>
      <c r="M792" s="1627">
        <v>4.1957000000000001E-2</v>
      </c>
      <c r="N792" s="1628">
        <v>1.3156363870638048</v>
      </c>
      <c r="O792" s="1628">
        <v>1.3222657756170118</v>
      </c>
    </row>
    <row r="793" spans="11:15">
      <c r="K793" s="1625">
        <v>42850</v>
      </c>
      <c r="L793" s="1626" t="s">
        <v>2301</v>
      </c>
      <c r="M793" s="1627">
        <v>4.1957000000000001E-2</v>
      </c>
      <c r="N793" s="1628">
        <v>1.3161883886227252</v>
      </c>
      <c r="O793" s="1628">
        <v>1.322960375051601</v>
      </c>
    </row>
    <row r="794" spans="11:15">
      <c r="K794" s="1625">
        <v>42851</v>
      </c>
      <c r="L794" s="1626" t="s">
        <v>2301</v>
      </c>
      <c r="M794" s="1627">
        <v>4.1957000000000001E-2</v>
      </c>
      <c r="N794" s="1628">
        <v>1.3167406217849398</v>
      </c>
      <c r="O794" s="1628">
        <v>1.3236553393662194</v>
      </c>
    </row>
    <row r="795" spans="11:15">
      <c r="K795" s="1625">
        <v>42852</v>
      </c>
      <c r="L795" s="1626" t="s">
        <v>2301</v>
      </c>
      <c r="M795" s="1627">
        <v>4.1957000000000001E-2</v>
      </c>
      <c r="N795" s="1628">
        <v>1.3172930866476222</v>
      </c>
      <c r="O795" s="1628">
        <v>1.3243506687525419</v>
      </c>
    </row>
    <row r="796" spans="11:15">
      <c r="K796" s="1625">
        <v>42853</v>
      </c>
      <c r="L796" s="1626" t="s">
        <v>2301</v>
      </c>
      <c r="M796" s="1627">
        <v>4.1957000000000001E-2</v>
      </c>
      <c r="N796" s="1628">
        <v>1.3178457833079871</v>
      </c>
      <c r="O796" s="1628">
        <v>1.3250463634023444</v>
      </c>
    </row>
    <row r="797" spans="11:15">
      <c r="K797" s="1625">
        <v>42854</v>
      </c>
      <c r="L797" s="1626"/>
      <c r="M797" s="1627">
        <v>0</v>
      </c>
      <c r="N797" s="1628">
        <v>1.3178457833079871</v>
      </c>
      <c r="O797" s="1628">
        <v>1.3250463634023444</v>
      </c>
    </row>
    <row r="798" spans="11:15">
      <c r="K798" s="1625">
        <v>42855</v>
      </c>
      <c r="L798" s="1626"/>
      <c r="M798" s="1627">
        <v>0</v>
      </c>
      <c r="N798" s="1628">
        <v>1.3178457833079871</v>
      </c>
      <c r="O798" s="1628">
        <v>1.3250463634023444</v>
      </c>
    </row>
    <row r="799" spans="11:15">
      <c r="K799" s="1625">
        <v>42856</v>
      </c>
      <c r="L799" s="1626"/>
      <c r="M799" s="1627">
        <v>0</v>
      </c>
      <c r="N799" s="1628">
        <v>1.3178457833079871</v>
      </c>
      <c r="O799" s="1628">
        <v>1.3250463634023444</v>
      </c>
    </row>
    <row r="800" spans="11:15">
      <c r="K800" s="1625">
        <v>42857</v>
      </c>
      <c r="L800" s="1626" t="s">
        <v>2301</v>
      </c>
      <c r="M800" s="1627">
        <v>4.1957000000000001E-2</v>
      </c>
      <c r="N800" s="1628">
        <v>1.3183987118632896</v>
      </c>
      <c r="O800" s="1628">
        <v>1.3257424235075033</v>
      </c>
    </row>
    <row r="801" spans="11:15">
      <c r="K801" s="1625">
        <v>42858</v>
      </c>
      <c r="L801" s="1626" t="s">
        <v>2301</v>
      </c>
      <c r="M801" s="1627">
        <v>4.1957000000000001E-2</v>
      </c>
      <c r="N801" s="1628">
        <v>1.3189518724108262</v>
      </c>
      <c r="O801" s="1628">
        <v>1.3264388492599959</v>
      </c>
    </row>
    <row r="802" spans="11:15">
      <c r="K802" s="1625">
        <v>42859</v>
      </c>
      <c r="L802" s="1626" t="s">
        <v>2301</v>
      </c>
      <c r="M802" s="1627">
        <v>4.1957000000000001E-2</v>
      </c>
      <c r="N802" s="1628">
        <v>1.3195052650479338</v>
      </c>
      <c r="O802" s="1628">
        <v>1.3271356408519006</v>
      </c>
    </row>
    <row r="803" spans="11:15">
      <c r="K803" s="1625">
        <v>42860</v>
      </c>
      <c r="L803" s="1626" t="s">
        <v>2301</v>
      </c>
      <c r="M803" s="1627">
        <v>4.1957000000000001E-2</v>
      </c>
      <c r="N803" s="1628">
        <v>1.32005888987199</v>
      </c>
      <c r="O803" s="1628">
        <v>1.3278327984753966</v>
      </c>
    </row>
    <row r="804" spans="11:15">
      <c r="K804" s="1625">
        <v>42861</v>
      </c>
      <c r="L804" s="1626"/>
      <c r="M804" s="1627">
        <v>0</v>
      </c>
      <c r="N804" s="1628">
        <v>1.32005888987199</v>
      </c>
      <c r="O804" s="1628">
        <v>1.3278327984753966</v>
      </c>
    </row>
    <row r="805" spans="11:15">
      <c r="K805" s="1625">
        <v>42862</v>
      </c>
      <c r="L805" s="1626"/>
      <c r="M805" s="1627">
        <v>0</v>
      </c>
      <c r="N805" s="1628">
        <v>1.32005888987199</v>
      </c>
      <c r="O805" s="1628">
        <v>1.3278327984753966</v>
      </c>
    </row>
    <row r="806" spans="11:15">
      <c r="K806" s="1625">
        <v>42863</v>
      </c>
      <c r="L806" s="1626" t="s">
        <v>2301</v>
      </c>
      <c r="M806" s="1627">
        <v>4.1957000000000001E-2</v>
      </c>
      <c r="N806" s="1628">
        <v>1.3206127469804136</v>
      </c>
      <c r="O806" s="1628">
        <v>1.3285303223227638</v>
      </c>
    </row>
    <row r="807" spans="11:15">
      <c r="K807" s="1625">
        <v>42864</v>
      </c>
      <c r="L807" s="1626" t="s">
        <v>2301</v>
      </c>
      <c r="M807" s="1627">
        <v>4.1957000000000001E-2</v>
      </c>
      <c r="N807" s="1628">
        <v>1.3211668364706644</v>
      </c>
      <c r="O807" s="1628">
        <v>1.3292282125863832</v>
      </c>
    </row>
    <row r="808" spans="11:15">
      <c r="K808" s="1625">
        <v>42865</v>
      </c>
      <c r="L808" s="1626" t="s">
        <v>2301</v>
      </c>
      <c r="M808" s="1627">
        <v>4.1957000000000001E-2</v>
      </c>
      <c r="N808" s="1628">
        <v>1.3217211584402424</v>
      </c>
      <c r="O808" s="1628">
        <v>1.3299264694587369</v>
      </c>
    </row>
    <row r="809" spans="11:15">
      <c r="K809" s="1625">
        <v>42866</v>
      </c>
      <c r="L809" s="1626" t="s">
        <v>2301</v>
      </c>
      <c r="M809" s="1627">
        <v>4.1957000000000001E-2</v>
      </c>
      <c r="N809" s="1628">
        <v>1.3222757129866893</v>
      </c>
      <c r="O809" s="1628">
        <v>1.3306250931324084</v>
      </c>
    </row>
    <row r="810" spans="11:15">
      <c r="K810" s="1625">
        <v>42867</v>
      </c>
      <c r="L810" s="1626" t="s">
        <v>2301</v>
      </c>
      <c r="M810" s="1627">
        <v>4.1957000000000001E-2</v>
      </c>
      <c r="N810" s="1628">
        <v>1.3228305002075873</v>
      </c>
      <c r="O810" s="1628">
        <v>1.3313240838000817</v>
      </c>
    </row>
    <row r="811" spans="11:15">
      <c r="K811" s="1625">
        <v>42868</v>
      </c>
      <c r="L811" s="1626"/>
      <c r="M811" s="1627">
        <v>0</v>
      </c>
      <c r="N811" s="1628">
        <v>1.3228305002075873</v>
      </c>
      <c r="O811" s="1628">
        <v>1.3313240838000817</v>
      </c>
    </row>
    <row r="812" spans="11:15">
      <c r="K812" s="1625">
        <v>42869</v>
      </c>
      <c r="L812" s="1626"/>
      <c r="M812" s="1627">
        <v>0</v>
      </c>
      <c r="N812" s="1628">
        <v>1.3228305002075873</v>
      </c>
      <c r="O812" s="1628">
        <v>1.3313240838000817</v>
      </c>
    </row>
    <row r="813" spans="11:15">
      <c r="K813" s="1625">
        <v>42870</v>
      </c>
      <c r="L813" s="1626" t="s">
        <v>2301</v>
      </c>
      <c r="M813" s="1627">
        <v>4.1957000000000001E-2</v>
      </c>
      <c r="N813" s="1628">
        <v>1.3233855202005596</v>
      </c>
      <c r="O813" s="1628">
        <v>1.3320234416545427</v>
      </c>
    </row>
    <row r="814" spans="11:15">
      <c r="K814" s="1625">
        <v>42871</v>
      </c>
      <c r="L814" s="1626" t="s">
        <v>2301</v>
      </c>
      <c r="M814" s="1627">
        <v>4.1957000000000001E-2</v>
      </c>
      <c r="N814" s="1628">
        <v>1.3239407730632702</v>
      </c>
      <c r="O814" s="1628">
        <v>1.3327231668886783</v>
      </c>
    </row>
    <row r="815" spans="11:15">
      <c r="K815" s="1625">
        <v>42872</v>
      </c>
      <c r="L815" s="1626" t="s">
        <v>2301</v>
      </c>
      <c r="M815" s="1627">
        <v>4.1957000000000001E-2</v>
      </c>
      <c r="N815" s="1628">
        <v>1.3244962588934244</v>
      </c>
      <c r="O815" s="1628">
        <v>1.3334232596954767</v>
      </c>
    </row>
    <row r="816" spans="11:15">
      <c r="K816" s="1625">
        <v>42873</v>
      </c>
      <c r="L816" s="1626" t="s">
        <v>2301</v>
      </c>
      <c r="M816" s="1627">
        <v>4.1957000000000001E-2</v>
      </c>
      <c r="N816" s="1628">
        <v>1.3250519777887684</v>
      </c>
      <c r="O816" s="1628">
        <v>1.3341237202680274</v>
      </c>
    </row>
    <row r="817" spans="11:15">
      <c r="K817" s="1625">
        <v>42874</v>
      </c>
      <c r="L817" s="1626" t="s">
        <v>2301</v>
      </c>
      <c r="M817" s="1627">
        <v>4.1957000000000001E-2</v>
      </c>
      <c r="N817" s="1628">
        <v>1.3256079298470893</v>
      </c>
      <c r="O817" s="1628">
        <v>1.3348245487995214</v>
      </c>
    </row>
    <row r="818" spans="11:15">
      <c r="K818" s="1625">
        <v>42875</v>
      </c>
      <c r="L818" s="1626"/>
      <c r="M818" s="1627">
        <v>0</v>
      </c>
      <c r="N818" s="1628">
        <v>1.3256079298470893</v>
      </c>
      <c r="O818" s="1628">
        <v>1.3348245487995214</v>
      </c>
    </row>
    <row r="819" spans="11:15">
      <c r="K819" s="1625">
        <v>42876</v>
      </c>
      <c r="L819" s="1626"/>
      <c r="M819" s="1627">
        <v>0</v>
      </c>
      <c r="N819" s="1628">
        <v>1.3256079298470893</v>
      </c>
      <c r="O819" s="1628">
        <v>1.3348245487995214</v>
      </c>
    </row>
    <row r="820" spans="11:15">
      <c r="K820" s="1625">
        <v>42877</v>
      </c>
      <c r="L820" s="1626" t="s">
        <v>2301</v>
      </c>
      <c r="M820" s="1627">
        <v>4.1957000000000001E-2</v>
      </c>
      <c r="N820" s="1628">
        <v>1.3261641151662154</v>
      </c>
      <c r="O820" s="1628">
        <v>1.3355257454832512</v>
      </c>
    </row>
    <row r="821" spans="11:15">
      <c r="K821" s="1625">
        <v>42878</v>
      </c>
      <c r="L821" s="1626" t="s">
        <v>2301</v>
      </c>
      <c r="M821" s="1627">
        <v>4.1957000000000001E-2</v>
      </c>
      <c r="N821" s="1628">
        <v>1.3267205338440158</v>
      </c>
      <c r="O821" s="1628">
        <v>1.336227310512611</v>
      </c>
    </row>
    <row r="822" spans="11:15">
      <c r="K822" s="1625">
        <v>42879</v>
      </c>
      <c r="L822" s="1626" t="s">
        <v>2301</v>
      </c>
      <c r="M822" s="1627">
        <v>4.1957000000000001E-2</v>
      </c>
      <c r="N822" s="1628">
        <v>1.3272771859784007</v>
      </c>
      <c r="O822" s="1628">
        <v>1.3369292440810965</v>
      </c>
    </row>
    <row r="823" spans="11:15">
      <c r="K823" s="1625">
        <v>42880</v>
      </c>
      <c r="L823" s="1626" t="s">
        <v>2301</v>
      </c>
      <c r="M823" s="1627">
        <v>4.1957000000000001E-2</v>
      </c>
      <c r="N823" s="1628">
        <v>1.3278340716673218</v>
      </c>
      <c r="O823" s="1628">
        <v>1.3376315463823047</v>
      </c>
    </row>
    <row r="824" spans="11:15">
      <c r="K824" s="1625">
        <v>42881</v>
      </c>
      <c r="L824" s="1626" t="s">
        <v>2301</v>
      </c>
      <c r="M824" s="1627">
        <v>4.1957000000000001E-2</v>
      </c>
      <c r="N824" s="1628">
        <v>1.3283911910087713</v>
      </c>
      <c r="O824" s="1628">
        <v>1.3383342176099349</v>
      </c>
    </row>
    <row r="825" spans="11:15">
      <c r="K825" s="1625">
        <v>42882</v>
      </c>
      <c r="L825" s="1626"/>
      <c r="M825" s="1627">
        <v>0</v>
      </c>
      <c r="N825" s="1628">
        <v>1.3283911910087713</v>
      </c>
      <c r="O825" s="1628">
        <v>1.3383342176099349</v>
      </c>
    </row>
    <row r="826" spans="11:15">
      <c r="K826" s="1625">
        <v>42883</v>
      </c>
      <c r="L826" s="1626"/>
      <c r="M826" s="1627">
        <v>0</v>
      </c>
      <c r="N826" s="1628">
        <v>1.3283911910087713</v>
      </c>
      <c r="O826" s="1628">
        <v>1.3383342176099349</v>
      </c>
    </row>
    <row r="827" spans="11:15">
      <c r="K827" s="1625">
        <v>42884</v>
      </c>
      <c r="L827" s="1626" t="s">
        <v>2301</v>
      </c>
      <c r="M827" s="1627">
        <v>4.1957000000000001E-2</v>
      </c>
      <c r="N827" s="1628">
        <v>1.3289485441007829</v>
      </c>
      <c r="O827" s="1628">
        <v>1.3390372579577876</v>
      </c>
    </row>
    <row r="828" spans="11:15">
      <c r="K828" s="1625">
        <v>42885</v>
      </c>
      <c r="L828" s="1626" t="s">
        <v>2301</v>
      </c>
      <c r="M828" s="1627">
        <v>4.1957000000000001E-2</v>
      </c>
      <c r="N828" s="1628">
        <v>1.3295061310414313</v>
      </c>
      <c r="O828" s="1628">
        <v>1.3397406676197654</v>
      </c>
    </row>
    <row r="829" spans="11:15">
      <c r="K829" s="1625">
        <v>42886</v>
      </c>
      <c r="L829" s="1626" t="s">
        <v>2301</v>
      </c>
      <c r="M829" s="1627">
        <v>4.1957000000000001E-2</v>
      </c>
      <c r="N829" s="1628">
        <v>1.3300639519288324</v>
      </c>
      <c r="O829" s="1628">
        <v>1.3404444467898728</v>
      </c>
    </row>
    <row r="830" spans="11:15">
      <c r="K830" s="1625">
        <v>42887</v>
      </c>
      <c r="L830" s="1626" t="s">
        <v>2301</v>
      </c>
      <c r="M830" s="1627">
        <v>3.8370000000000001E-2</v>
      </c>
      <c r="N830" s="1628">
        <v>1.3305742974671875</v>
      </c>
      <c r="O830" s="1628">
        <v>1.341148595662216</v>
      </c>
    </row>
    <row r="831" spans="11:15">
      <c r="K831" s="1625">
        <v>42888</v>
      </c>
      <c r="L831" s="1626" t="s">
        <v>2301</v>
      </c>
      <c r="M831" s="1627">
        <v>3.8370000000000001E-2</v>
      </c>
      <c r="N831" s="1628">
        <v>1.3310848388251255</v>
      </c>
      <c r="O831" s="1628">
        <v>1.3418531144310033</v>
      </c>
    </row>
    <row r="832" spans="11:15">
      <c r="K832" s="1625">
        <v>42889</v>
      </c>
      <c r="L832" s="1626"/>
      <c r="M832" s="1627">
        <v>0</v>
      </c>
      <c r="N832" s="1628">
        <v>1.3310848388251255</v>
      </c>
      <c r="O832" s="1628">
        <v>1.3418531144310033</v>
      </c>
    </row>
    <row r="833" spans="11:15">
      <c r="K833" s="1625">
        <v>42890</v>
      </c>
      <c r="L833" s="1626"/>
      <c r="M833" s="1627">
        <v>0</v>
      </c>
      <c r="N833" s="1628">
        <v>1.3310848388251255</v>
      </c>
      <c r="O833" s="1628">
        <v>1.3418531144310033</v>
      </c>
    </row>
    <row r="834" spans="11:15">
      <c r="K834" s="1625">
        <v>42891</v>
      </c>
      <c r="L834" s="1626" t="s">
        <v>2301</v>
      </c>
      <c r="M834" s="1627">
        <v>3.8370000000000001E-2</v>
      </c>
      <c r="N834" s="1628">
        <v>1.3315955760777827</v>
      </c>
      <c r="O834" s="1628">
        <v>1.3425580032905451</v>
      </c>
    </row>
    <row r="835" spans="11:15">
      <c r="K835" s="1625">
        <v>42892</v>
      </c>
      <c r="L835" s="1626" t="s">
        <v>2301</v>
      </c>
      <c r="M835" s="1627">
        <v>3.8370000000000001E-2</v>
      </c>
      <c r="N835" s="1628">
        <v>1.3321065093003237</v>
      </c>
      <c r="O835" s="1628">
        <v>1.3432632624352536</v>
      </c>
    </row>
    <row r="836" spans="11:15">
      <c r="K836" s="1625">
        <v>42893</v>
      </c>
      <c r="L836" s="1626" t="s">
        <v>2301</v>
      </c>
      <c r="M836" s="1627">
        <v>3.8370000000000001E-2</v>
      </c>
      <c r="N836" s="1628">
        <v>1.3326176385679422</v>
      </c>
      <c r="O836" s="1628">
        <v>1.3439688920596435</v>
      </c>
    </row>
    <row r="837" spans="11:15">
      <c r="K837" s="1625">
        <v>42894</v>
      </c>
      <c r="L837" s="1626" t="s">
        <v>2301</v>
      </c>
      <c r="M837" s="1627">
        <v>3.8370000000000001E-2</v>
      </c>
      <c r="N837" s="1628">
        <v>1.3331289639558608</v>
      </c>
      <c r="O837" s="1628">
        <v>1.3446748923583314</v>
      </c>
    </row>
    <row r="838" spans="11:15">
      <c r="K838" s="1625">
        <v>42895</v>
      </c>
      <c r="L838" s="1626" t="s">
        <v>2301</v>
      </c>
      <c r="M838" s="1627">
        <v>3.8370000000000001E-2</v>
      </c>
      <c r="N838" s="1628">
        <v>1.3336404855393307</v>
      </c>
      <c r="O838" s="1628">
        <v>1.345381263526036</v>
      </c>
    </row>
    <row r="839" spans="11:15">
      <c r="K839" s="1625">
        <v>42896</v>
      </c>
      <c r="L839" s="1626"/>
      <c r="M839" s="1627">
        <v>0</v>
      </c>
      <c r="N839" s="1628">
        <v>1.3336404855393307</v>
      </c>
      <c r="O839" s="1628">
        <v>1.345381263526036</v>
      </c>
    </row>
    <row r="840" spans="11:15">
      <c r="K840" s="1625">
        <v>42897</v>
      </c>
      <c r="L840" s="1626"/>
      <c r="M840" s="1627">
        <v>0</v>
      </c>
      <c r="N840" s="1628">
        <v>1.3336404855393307</v>
      </c>
      <c r="O840" s="1628">
        <v>1.345381263526036</v>
      </c>
    </row>
    <row r="841" spans="11:15">
      <c r="K841" s="1625">
        <v>42898</v>
      </c>
      <c r="L841" s="1626" t="s">
        <v>2301</v>
      </c>
      <c r="M841" s="1627">
        <v>3.8370000000000001E-2</v>
      </c>
      <c r="N841" s="1628">
        <v>1.3341522033936322</v>
      </c>
      <c r="O841" s="1628">
        <v>1.3460880057575788</v>
      </c>
    </row>
    <row r="842" spans="11:15">
      <c r="K842" s="1625">
        <v>42899</v>
      </c>
      <c r="L842" s="1626" t="s">
        <v>2301</v>
      </c>
      <c r="M842" s="1627">
        <v>3.8370000000000001E-2</v>
      </c>
      <c r="N842" s="1628">
        <v>1.3346641175940743</v>
      </c>
      <c r="O842" s="1628">
        <v>1.3467951192478833</v>
      </c>
    </row>
    <row r="843" spans="11:15">
      <c r="K843" s="1625">
        <v>42900</v>
      </c>
      <c r="L843" s="1626" t="s">
        <v>2301</v>
      </c>
      <c r="M843" s="1627">
        <v>3.8370000000000001E-2</v>
      </c>
      <c r="N843" s="1628">
        <v>1.3351762282159951</v>
      </c>
      <c r="O843" s="1628">
        <v>1.3475026041919753</v>
      </c>
    </row>
    <row r="844" spans="11:15">
      <c r="K844" s="1625">
        <v>42901</v>
      </c>
      <c r="L844" s="1626"/>
      <c r="M844" s="1627">
        <v>0</v>
      </c>
      <c r="N844" s="1628">
        <v>1.3351762282159951</v>
      </c>
      <c r="O844" s="1628">
        <v>1.3475026041919753</v>
      </c>
    </row>
    <row r="845" spans="11:15">
      <c r="K845" s="1625">
        <v>42902</v>
      </c>
      <c r="L845" s="1626" t="s">
        <v>2301</v>
      </c>
      <c r="M845" s="1627">
        <v>3.8370000000000001E-2</v>
      </c>
      <c r="N845" s="1628">
        <v>1.3356885353347616</v>
      </c>
      <c r="O845" s="1628">
        <v>1.3482104607849834</v>
      </c>
    </row>
    <row r="846" spans="11:15">
      <c r="K846" s="1625">
        <v>42903</v>
      </c>
      <c r="L846" s="1626"/>
      <c r="M846" s="1627">
        <v>0</v>
      </c>
      <c r="N846" s="1628">
        <v>1.3356885353347616</v>
      </c>
      <c r="O846" s="1628">
        <v>1.3482104607849834</v>
      </c>
    </row>
    <row r="847" spans="11:15">
      <c r="K847" s="1625">
        <v>42904</v>
      </c>
      <c r="L847" s="1626"/>
      <c r="M847" s="1627">
        <v>0</v>
      </c>
      <c r="N847" s="1628">
        <v>1.3356885353347616</v>
      </c>
      <c r="O847" s="1628">
        <v>1.3482104607849834</v>
      </c>
    </row>
    <row r="848" spans="11:15">
      <c r="K848" s="1625">
        <v>42905</v>
      </c>
      <c r="L848" s="1626" t="s">
        <v>2301</v>
      </c>
      <c r="M848" s="1627">
        <v>3.8370000000000001E-2</v>
      </c>
      <c r="N848" s="1628">
        <v>1.3362010390257695</v>
      </c>
      <c r="O848" s="1628">
        <v>1.3489186892221383</v>
      </c>
    </row>
    <row r="849" spans="11:15">
      <c r="K849" s="1625">
        <v>42906</v>
      </c>
      <c r="L849" s="1626" t="s">
        <v>2301</v>
      </c>
      <c r="M849" s="1627">
        <v>3.8370000000000001E-2</v>
      </c>
      <c r="N849" s="1628">
        <v>1.3367137393644437</v>
      </c>
      <c r="O849" s="1628">
        <v>1.3496272896987735</v>
      </c>
    </row>
    <row r="850" spans="11:15">
      <c r="K850" s="1625">
        <v>42907</v>
      </c>
      <c r="L850" s="1626" t="s">
        <v>2301</v>
      </c>
      <c r="M850" s="1627">
        <v>3.8370000000000001E-2</v>
      </c>
      <c r="N850" s="1628">
        <v>1.3372266364262377</v>
      </c>
      <c r="O850" s="1628">
        <v>1.3503362624103252</v>
      </c>
    </row>
    <row r="851" spans="11:15">
      <c r="K851" s="1625">
        <v>42908</v>
      </c>
      <c r="L851" s="1626" t="s">
        <v>2301</v>
      </c>
      <c r="M851" s="1627">
        <v>3.8370000000000001E-2</v>
      </c>
      <c r="N851" s="1628">
        <v>1.3377397302866345</v>
      </c>
      <c r="O851" s="1628">
        <v>1.3510456075523321</v>
      </c>
    </row>
    <row r="852" spans="11:15">
      <c r="K852" s="1625">
        <v>42909</v>
      </c>
      <c r="L852" s="1626" t="s">
        <v>2301</v>
      </c>
      <c r="M852" s="1627">
        <v>3.8370000000000001E-2</v>
      </c>
      <c r="N852" s="1628">
        <v>1.3382530210211454</v>
      </c>
      <c r="O852" s="1628">
        <v>1.3517553253204353</v>
      </c>
    </row>
    <row r="853" spans="11:15">
      <c r="K853" s="1625">
        <v>42910</v>
      </c>
      <c r="L853" s="1626"/>
      <c r="M853" s="1627">
        <v>0</v>
      </c>
      <c r="N853" s="1628">
        <v>1.3382530210211454</v>
      </c>
      <c r="O853" s="1628">
        <v>1.3517553253204353</v>
      </c>
    </row>
    <row r="854" spans="11:15">
      <c r="K854" s="1625">
        <v>42911</v>
      </c>
      <c r="L854" s="1626"/>
      <c r="M854" s="1627">
        <v>0</v>
      </c>
      <c r="N854" s="1628">
        <v>1.3382530210211454</v>
      </c>
      <c r="O854" s="1628">
        <v>1.3517553253204353</v>
      </c>
    </row>
    <row r="855" spans="11:15">
      <c r="K855" s="1625">
        <v>42912</v>
      </c>
      <c r="L855" s="1626" t="s">
        <v>2301</v>
      </c>
      <c r="M855" s="1627">
        <v>3.8370000000000001E-2</v>
      </c>
      <c r="N855" s="1628">
        <v>1.3387665087053111</v>
      </c>
      <c r="O855" s="1628">
        <v>1.3524654159103793</v>
      </c>
    </row>
    <row r="856" spans="11:15">
      <c r="K856" s="1625">
        <v>42913</v>
      </c>
      <c r="L856" s="1626" t="s">
        <v>2301</v>
      </c>
      <c r="M856" s="1627">
        <v>3.8370000000000001E-2</v>
      </c>
      <c r="N856" s="1628">
        <v>1.3392801934147014</v>
      </c>
      <c r="O856" s="1628">
        <v>1.3531758795180111</v>
      </c>
    </row>
    <row r="857" spans="11:15">
      <c r="K857" s="1625">
        <v>42914</v>
      </c>
      <c r="L857" s="1626" t="s">
        <v>2301</v>
      </c>
      <c r="M857" s="1627">
        <v>3.8370000000000001E-2</v>
      </c>
      <c r="N857" s="1628">
        <v>1.3397940752249147</v>
      </c>
      <c r="O857" s="1628">
        <v>1.3538867163392807</v>
      </c>
    </row>
    <row r="858" spans="11:15">
      <c r="K858" s="1625">
        <v>42915</v>
      </c>
      <c r="L858" s="1626" t="s">
        <v>2301</v>
      </c>
      <c r="M858" s="1627">
        <v>3.8370000000000001E-2</v>
      </c>
      <c r="N858" s="1628">
        <v>1.3403081542115785</v>
      </c>
      <c r="O858" s="1628">
        <v>1.3545979265702408</v>
      </c>
    </row>
    <row r="859" spans="11:15">
      <c r="K859" s="1625">
        <v>42916</v>
      </c>
      <c r="L859" s="1626" t="s">
        <v>2301</v>
      </c>
      <c r="M859" s="1627">
        <v>3.8370000000000001E-2</v>
      </c>
      <c r="N859" s="1628">
        <v>1.3408224304503493</v>
      </c>
      <c r="O859" s="1628">
        <v>1.3553095104070474</v>
      </c>
    </row>
    <row r="860" spans="11:15">
      <c r="K860" s="1625">
        <v>42917</v>
      </c>
      <c r="L860" s="1626"/>
      <c r="M860" s="1627">
        <v>0</v>
      </c>
      <c r="N860" s="1628">
        <v>1.3408224304503493</v>
      </c>
      <c r="O860" s="1628">
        <v>1.3553095104070474</v>
      </c>
    </row>
    <row r="861" spans="11:15">
      <c r="K861" s="1625">
        <v>42918</v>
      </c>
      <c r="L861" s="1626"/>
      <c r="M861" s="1627">
        <v>0</v>
      </c>
      <c r="N861" s="1628">
        <v>1.3408224304503493</v>
      </c>
      <c r="O861" s="1628">
        <v>1.3553095104070474</v>
      </c>
    </row>
    <row r="862" spans="11:15">
      <c r="K862" s="1625">
        <v>42919</v>
      </c>
      <c r="L862" s="1626" t="s">
        <v>2301</v>
      </c>
      <c r="M862" s="1627">
        <v>3.8370000000000001E-2</v>
      </c>
      <c r="N862" s="1628">
        <v>1.3413369040169132</v>
      </c>
      <c r="O862" s="1628">
        <v>1.3560214680459592</v>
      </c>
    </row>
    <row r="863" spans="11:15">
      <c r="K863" s="1625">
        <v>42920</v>
      </c>
      <c r="L863" s="1626" t="s">
        <v>2301</v>
      </c>
      <c r="M863" s="1627">
        <v>3.8370000000000001E-2</v>
      </c>
      <c r="N863" s="1628">
        <v>1.3418515749869844</v>
      </c>
      <c r="O863" s="1628">
        <v>1.3567337996833384</v>
      </c>
    </row>
    <row r="864" spans="11:15">
      <c r="K864" s="1625">
        <v>42921</v>
      </c>
      <c r="L864" s="1626" t="s">
        <v>2301</v>
      </c>
      <c r="M864" s="1627">
        <v>3.8370000000000001E-2</v>
      </c>
      <c r="N864" s="1628">
        <v>1.342366443436307</v>
      </c>
      <c r="O864" s="1628">
        <v>1.3574465055156502</v>
      </c>
    </row>
    <row r="865" spans="11:15">
      <c r="K865" s="1625">
        <v>42922</v>
      </c>
      <c r="L865" s="1626" t="s">
        <v>2301</v>
      </c>
      <c r="M865" s="1627">
        <v>3.8370000000000001E-2</v>
      </c>
      <c r="N865" s="1628">
        <v>1.3428815094406534</v>
      </c>
      <c r="O865" s="1628">
        <v>1.3581595857394626</v>
      </c>
    </row>
    <row r="866" spans="11:15">
      <c r="K866" s="1625">
        <v>42923</v>
      </c>
      <c r="L866" s="1626" t="s">
        <v>2301</v>
      </c>
      <c r="M866" s="1627">
        <v>3.8370000000000001E-2</v>
      </c>
      <c r="N866" s="1628">
        <v>1.3433967730758258</v>
      </c>
      <c r="O866" s="1628">
        <v>1.3588730405514473</v>
      </c>
    </row>
    <row r="867" spans="11:15">
      <c r="K867" s="1625">
        <v>42924</v>
      </c>
      <c r="L867" s="1626"/>
      <c r="M867" s="1627">
        <v>0</v>
      </c>
      <c r="N867" s="1628">
        <v>1.3433967730758258</v>
      </c>
      <c r="O867" s="1628">
        <v>1.3588730405514473</v>
      </c>
    </row>
    <row r="868" spans="11:15">
      <c r="K868" s="1625">
        <v>42925</v>
      </c>
      <c r="L868" s="1626"/>
      <c r="M868" s="1627">
        <v>0</v>
      </c>
      <c r="N868" s="1628">
        <v>1.3433967730758258</v>
      </c>
      <c r="O868" s="1628">
        <v>1.3588730405514473</v>
      </c>
    </row>
    <row r="869" spans="11:15">
      <c r="K869" s="1625">
        <v>42926</v>
      </c>
      <c r="L869" s="1626" t="s">
        <v>2301</v>
      </c>
      <c r="M869" s="1627">
        <v>3.8370000000000001E-2</v>
      </c>
      <c r="N869" s="1628">
        <v>1.3439122344176551</v>
      </c>
      <c r="O869" s="1628">
        <v>1.3595868701483793</v>
      </c>
    </row>
    <row r="870" spans="11:15">
      <c r="K870" s="1625">
        <v>42927</v>
      </c>
      <c r="L870" s="1626" t="s">
        <v>2301</v>
      </c>
      <c r="M870" s="1627">
        <v>3.8370000000000001E-2</v>
      </c>
      <c r="N870" s="1628">
        <v>1.3444278935420011</v>
      </c>
      <c r="O870" s="1628">
        <v>1.3603010747271369</v>
      </c>
    </row>
    <row r="871" spans="11:15">
      <c r="K871" s="1625">
        <v>42928</v>
      </c>
      <c r="L871" s="1626" t="s">
        <v>2301</v>
      </c>
      <c r="M871" s="1627">
        <v>3.8370000000000001E-2</v>
      </c>
      <c r="N871" s="1628">
        <v>1.3449437505247532</v>
      </c>
      <c r="O871" s="1628">
        <v>1.3610156544847019</v>
      </c>
    </row>
    <row r="872" spans="11:15">
      <c r="K872" s="1625">
        <v>42929</v>
      </c>
      <c r="L872" s="1626" t="s">
        <v>2301</v>
      </c>
      <c r="M872" s="1627">
        <v>3.8370000000000001E-2</v>
      </c>
      <c r="N872" s="1628">
        <v>1.3454598054418296</v>
      </c>
      <c r="O872" s="1628">
        <v>1.3617306096181592</v>
      </c>
    </row>
    <row r="873" spans="11:15">
      <c r="K873" s="1625">
        <v>42930</v>
      </c>
      <c r="L873" s="1626" t="s">
        <v>2301</v>
      </c>
      <c r="M873" s="1627">
        <v>3.8370000000000001E-2</v>
      </c>
      <c r="N873" s="1628">
        <v>1.3459760583691776</v>
      </c>
      <c r="O873" s="1628">
        <v>1.3624459403246978</v>
      </c>
    </row>
    <row r="874" spans="11:15">
      <c r="K874" s="1625">
        <v>42931</v>
      </c>
      <c r="L874" s="1626"/>
      <c r="M874" s="1627">
        <v>0</v>
      </c>
      <c r="N874" s="1628">
        <v>1.3459760583691776</v>
      </c>
      <c r="O874" s="1628">
        <v>1.3624459403246978</v>
      </c>
    </row>
    <row r="875" spans="11:15">
      <c r="K875" s="1625">
        <v>42932</v>
      </c>
      <c r="L875" s="1626"/>
      <c r="M875" s="1627">
        <v>0</v>
      </c>
      <c r="N875" s="1628">
        <v>1.3459760583691776</v>
      </c>
      <c r="O875" s="1628">
        <v>1.3624459403246978</v>
      </c>
    </row>
    <row r="876" spans="11:15">
      <c r="K876" s="1625">
        <v>42933</v>
      </c>
      <c r="L876" s="1626" t="s">
        <v>2301</v>
      </c>
      <c r="M876" s="1627">
        <v>3.8370000000000001E-2</v>
      </c>
      <c r="N876" s="1628">
        <v>1.3464925093827738</v>
      </c>
      <c r="O876" s="1628">
        <v>1.3631616468016097</v>
      </c>
    </row>
    <row r="877" spans="11:15">
      <c r="K877" s="1625">
        <v>42934</v>
      </c>
      <c r="L877" s="1626" t="s">
        <v>2301</v>
      </c>
      <c r="M877" s="1627">
        <v>3.8370000000000001E-2</v>
      </c>
      <c r="N877" s="1628">
        <v>1.3470091585586239</v>
      </c>
      <c r="O877" s="1628">
        <v>1.3638777292462911</v>
      </c>
    </row>
    <row r="878" spans="11:15">
      <c r="K878" s="1625">
        <v>42935</v>
      </c>
      <c r="L878" s="1626" t="s">
        <v>2301</v>
      </c>
      <c r="M878" s="1627">
        <v>3.8370000000000001E-2</v>
      </c>
      <c r="N878" s="1628">
        <v>1.3475260059727627</v>
      </c>
      <c r="O878" s="1628">
        <v>1.3645941878562415</v>
      </c>
    </row>
    <row r="879" spans="11:15">
      <c r="K879" s="1625">
        <v>42936</v>
      </c>
      <c r="L879" s="1626" t="s">
        <v>2301</v>
      </c>
      <c r="M879" s="1627">
        <v>3.8370000000000001E-2</v>
      </c>
      <c r="N879" s="1628">
        <v>1.3480430517012545</v>
      </c>
      <c r="O879" s="1628">
        <v>1.3653110228290644</v>
      </c>
    </row>
    <row r="880" spans="11:15">
      <c r="K880" s="1625">
        <v>42937</v>
      </c>
      <c r="L880" s="1626" t="s">
        <v>2301</v>
      </c>
      <c r="M880" s="1627">
        <v>3.8370000000000001E-2</v>
      </c>
      <c r="N880" s="1628">
        <v>1.3485602958201923</v>
      </c>
      <c r="O880" s="1628">
        <v>1.3660282343624668</v>
      </c>
    </row>
    <row r="881" spans="11:15">
      <c r="K881" s="1625">
        <v>42938</v>
      </c>
      <c r="L881" s="1626"/>
      <c r="M881" s="1627">
        <v>0</v>
      </c>
      <c r="N881" s="1628">
        <v>1.3485602958201923</v>
      </c>
      <c r="O881" s="1628">
        <v>1.3660282343624668</v>
      </c>
    </row>
    <row r="882" spans="11:15">
      <c r="K882" s="1625">
        <v>42939</v>
      </c>
      <c r="L882" s="1626"/>
      <c r="M882" s="1627">
        <v>0</v>
      </c>
      <c r="N882" s="1628">
        <v>1.3485602958201923</v>
      </c>
      <c r="O882" s="1628">
        <v>1.3660282343624668</v>
      </c>
    </row>
    <row r="883" spans="11:15">
      <c r="K883" s="1625">
        <v>42940</v>
      </c>
      <c r="L883" s="1626" t="s">
        <v>2301</v>
      </c>
      <c r="M883" s="1627">
        <v>3.8370000000000001E-2</v>
      </c>
      <c r="N883" s="1628">
        <v>1.3490777384056984</v>
      </c>
      <c r="O883" s="1628">
        <v>1.3667458226542597</v>
      </c>
    </row>
    <row r="884" spans="11:15">
      <c r="K884" s="1625">
        <v>42941</v>
      </c>
      <c r="L884" s="1626" t="s">
        <v>2301</v>
      </c>
      <c r="M884" s="1627">
        <v>3.8370000000000001E-2</v>
      </c>
      <c r="N884" s="1628">
        <v>1.3495953795339246</v>
      </c>
      <c r="O884" s="1628">
        <v>1.3674637879023581</v>
      </c>
    </row>
    <row r="885" spans="11:15">
      <c r="K885" s="1625">
        <v>42942</v>
      </c>
      <c r="L885" s="1626" t="s">
        <v>2301</v>
      </c>
      <c r="M885" s="1627">
        <v>3.8370000000000001E-2</v>
      </c>
      <c r="N885" s="1628">
        <v>1.3501132192810517</v>
      </c>
      <c r="O885" s="1628">
        <v>1.3681821303047812</v>
      </c>
    </row>
    <row r="886" spans="11:15">
      <c r="K886" s="1625">
        <v>42943</v>
      </c>
      <c r="L886" s="1626" t="s">
        <v>2301</v>
      </c>
      <c r="M886" s="1627">
        <v>3.4749000000000002E-2</v>
      </c>
      <c r="N886" s="1628">
        <v>1.3505823701236197</v>
      </c>
      <c r="O886" s="1628">
        <v>1.3689008500596516</v>
      </c>
    </row>
    <row r="887" spans="11:15">
      <c r="K887" s="1625">
        <v>42944</v>
      </c>
      <c r="L887" s="1626" t="s">
        <v>2301</v>
      </c>
      <c r="M887" s="1627">
        <v>3.4749000000000002E-2</v>
      </c>
      <c r="N887" s="1628">
        <v>1.351051683991414</v>
      </c>
      <c r="O887" s="1628">
        <v>1.3696199473651964</v>
      </c>
    </row>
    <row r="888" spans="11:15">
      <c r="K888" s="1625">
        <v>42945</v>
      </c>
      <c r="L888" s="1626"/>
      <c r="M888" s="1627">
        <v>0</v>
      </c>
      <c r="N888" s="1628">
        <v>1.351051683991414</v>
      </c>
      <c r="O888" s="1628">
        <v>1.3696199473651964</v>
      </c>
    </row>
    <row r="889" spans="11:15">
      <c r="K889" s="1625">
        <v>42946</v>
      </c>
      <c r="L889" s="1626"/>
      <c r="M889" s="1627">
        <v>0</v>
      </c>
      <c r="N889" s="1628">
        <v>1.351051683991414</v>
      </c>
      <c r="O889" s="1628">
        <v>1.3696199473651964</v>
      </c>
    </row>
    <row r="890" spans="11:15">
      <c r="K890" s="1625">
        <v>42947</v>
      </c>
      <c r="L890" s="1626" t="s">
        <v>2301</v>
      </c>
      <c r="M890" s="1627">
        <v>3.4749000000000002E-2</v>
      </c>
      <c r="N890" s="1628">
        <v>1.3515211609410842</v>
      </c>
      <c r="O890" s="1628">
        <v>1.3703394224197469</v>
      </c>
    </row>
    <row r="891" spans="11:15">
      <c r="K891" s="1625">
        <v>42948</v>
      </c>
      <c r="L891" s="1626" t="s">
        <v>2301</v>
      </c>
      <c r="M891" s="1627">
        <v>3.4749000000000002E-2</v>
      </c>
      <c r="N891" s="1628">
        <v>1.3519908010292996</v>
      </c>
      <c r="O891" s="1628">
        <v>1.3710592754217383</v>
      </c>
    </row>
    <row r="892" spans="11:15">
      <c r="K892" s="1625">
        <v>42949</v>
      </c>
      <c r="L892" s="1626" t="s">
        <v>2301</v>
      </c>
      <c r="M892" s="1627">
        <v>3.4749000000000002E-2</v>
      </c>
      <c r="N892" s="1628">
        <v>1.3524606043127492</v>
      </c>
      <c r="O892" s="1628">
        <v>1.37177950656971</v>
      </c>
    </row>
    <row r="893" spans="11:15">
      <c r="K893" s="1625">
        <v>42950</v>
      </c>
      <c r="L893" s="1626" t="s">
        <v>2301</v>
      </c>
      <c r="M893" s="1627">
        <v>3.4749000000000002E-2</v>
      </c>
      <c r="N893" s="1628">
        <v>1.3529305708481418</v>
      </c>
      <c r="O893" s="1628">
        <v>1.3725001160623063</v>
      </c>
    </row>
    <row r="894" spans="11:15">
      <c r="K894" s="1625">
        <v>42951</v>
      </c>
      <c r="L894" s="1626" t="s">
        <v>2301</v>
      </c>
      <c r="M894" s="1627">
        <v>3.4749000000000002E-2</v>
      </c>
      <c r="N894" s="1628">
        <v>1.353400700692206</v>
      </c>
      <c r="O894" s="1628">
        <v>1.3732211040982749</v>
      </c>
    </row>
    <row r="895" spans="11:15">
      <c r="K895" s="1625">
        <v>42952</v>
      </c>
      <c r="L895" s="1626"/>
      <c r="M895" s="1627">
        <v>0</v>
      </c>
      <c r="N895" s="1628">
        <v>1.353400700692206</v>
      </c>
      <c r="O895" s="1628">
        <v>1.3732211040982749</v>
      </c>
    </row>
    <row r="896" spans="11:15">
      <c r="K896" s="1625">
        <v>42953</v>
      </c>
      <c r="L896" s="1626"/>
      <c r="M896" s="1627">
        <v>0</v>
      </c>
      <c r="N896" s="1628">
        <v>1.353400700692206</v>
      </c>
      <c r="O896" s="1628">
        <v>1.3732211040982749</v>
      </c>
    </row>
    <row r="897" spans="11:15">
      <c r="K897" s="1625">
        <v>42954</v>
      </c>
      <c r="L897" s="1626" t="s">
        <v>2301</v>
      </c>
      <c r="M897" s="1627">
        <v>3.4749000000000002E-2</v>
      </c>
      <c r="N897" s="1628">
        <v>1.3538709939016895</v>
      </c>
      <c r="O897" s="1628">
        <v>1.3739424708764687</v>
      </c>
    </row>
    <row r="898" spans="11:15">
      <c r="K898" s="1625">
        <v>42955</v>
      </c>
      <c r="L898" s="1626" t="s">
        <v>2301</v>
      </c>
      <c r="M898" s="1627">
        <v>3.4749000000000002E-2</v>
      </c>
      <c r="N898" s="1628">
        <v>1.3543414505333604</v>
      </c>
      <c r="O898" s="1628">
        <v>1.3746642165958449</v>
      </c>
    </row>
    <row r="899" spans="11:15">
      <c r="K899" s="1625">
        <v>42956</v>
      </c>
      <c r="L899" s="1626" t="s">
        <v>2301</v>
      </c>
      <c r="M899" s="1627">
        <v>3.4749000000000002E-2</v>
      </c>
      <c r="N899" s="1628">
        <v>1.3548120706440063</v>
      </c>
      <c r="O899" s="1628">
        <v>1.3753863414554648</v>
      </c>
    </row>
    <row r="900" spans="11:15">
      <c r="K900" s="1625">
        <v>42957</v>
      </c>
      <c r="L900" s="1626" t="s">
        <v>2301</v>
      </c>
      <c r="M900" s="1627">
        <v>3.4749000000000002E-2</v>
      </c>
      <c r="N900" s="1628">
        <v>1.3552828542904345</v>
      </c>
      <c r="O900" s="1628">
        <v>1.3761088456544948</v>
      </c>
    </row>
    <row r="901" spans="11:15">
      <c r="K901" s="1625">
        <v>42958</v>
      </c>
      <c r="L901" s="1626" t="s">
        <v>2301</v>
      </c>
      <c r="M901" s="1627">
        <v>3.4749000000000002E-2</v>
      </c>
      <c r="N901" s="1628">
        <v>1.3557538015294719</v>
      </c>
      <c r="O901" s="1628">
        <v>1.3768317293922054</v>
      </c>
    </row>
    <row r="902" spans="11:15">
      <c r="K902" s="1625">
        <v>42959</v>
      </c>
      <c r="L902" s="1626"/>
      <c r="M902" s="1627">
        <v>0</v>
      </c>
      <c r="N902" s="1628">
        <v>1.3557538015294719</v>
      </c>
      <c r="O902" s="1628">
        <v>1.3768317293922054</v>
      </c>
    </row>
    <row r="903" spans="11:15">
      <c r="K903" s="1625">
        <v>42960</v>
      </c>
      <c r="L903" s="1626"/>
      <c r="M903" s="1627">
        <v>0</v>
      </c>
      <c r="N903" s="1628">
        <v>1.3557538015294719</v>
      </c>
      <c r="O903" s="1628">
        <v>1.3768317293922054</v>
      </c>
    </row>
    <row r="904" spans="11:15">
      <c r="K904" s="1625">
        <v>42961</v>
      </c>
      <c r="L904" s="1626" t="s">
        <v>2301</v>
      </c>
      <c r="M904" s="1627">
        <v>3.4749000000000002E-2</v>
      </c>
      <c r="N904" s="1628">
        <v>1.3562249124179653</v>
      </c>
      <c r="O904" s="1628">
        <v>1.3775549928679724</v>
      </c>
    </row>
    <row r="905" spans="11:15">
      <c r="K905" s="1625">
        <v>42962</v>
      </c>
      <c r="L905" s="1626" t="s">
        <v>2301</v>
      </c>
      <c r="M905" s="1627">
        <v>3.4749000000000002E-2</v>
      </c>
      <c r="N905" s="1628">
        <v>1.3566961870127814</v>
      </c>
      <c r="O905" s="1628">
        <v>1.378278636281276</v>
      </c>
    </row>
    <row r="906" spans="11:15">
      <c r="K906" s="1625">
        <v>42963</v>
      </c>
      <c r="L906" s="1626" t="s">
        <v>2301</v>
      </c>
      <c r="M906" s="1627">
        <v>3.4749000000000002E-2</v>
      </c>
      <c r="N906" s="1628">
        <v>1.3571676253708065</v>
      </c>
      <c r="O906" s="1628">
        <v>1.3790026598317009</v>
      </c>
    </row>
    <row r="907" spans="11:15">
      <c r="K907" s="1625">
        <v>42964</v>
      </c>
      <c r="L907" s="1626" t="s">
        <v>2301</v>
      </c>
      <c r="M907" s="1627">
        <v>3.4749000000000002E-2</v>
      </c>
      <c r="N907" s="1628">
        <v>1.3576392275489466</v>
      </c>
      <c r="O907" s="1628">
        <v>1.3797270637189372</v>
      </c>
    </row>
    <row r="908" spans="11:15">
      <c r="K908" s="1625">
        <v>42965</v>
      </c>
      <c r="L908" s="1626" t="s">
        <v>2301</v>
      </c>
      <c r="M908" s="1627">
        <v>3.4749000000000002E-2</v>
      </c>
      <c r="N908" s="1628">
        <v>1.3581109936041276</v>
      </c>
      <c r="O908" s="1628">
        <v>1.3804518481427794</v>
      </c>
    </row>
    <row r="909" spans="11:15">
      <c r="K909" s="1625">
        <v>42966</v>
      </c>
      <c r="L909" s="1626"/>
      <c r="M909" s="1627">
        <v>0</v>
      </c>
      <c r="N909" s="1628">
        <v>1.3581109936041276</v>
      </c>
      <c r="O909" s="1628">
        <v>1.3804518481427794</v>
      </c>
    </row>
    <row r="910" spans="11:15">
      <c r="K910" s="1625">
        <v>42967</v>
      </c>
      <c r="L910" s="1626"/>
      <c r="M910" s="1627">
        <v>0</v>
      </c>
      <c r="N910" s="1628">
        <v>1.3581109936041276</v>
      </c>
      <c r="O910" s="1628">
        <v>1.3804518481427794</v>
      </c>
    </row>
    <row r="911" spans="11:15">
      <c r="K911" s="1625">
        <v>42968</v>
      </c>
      <c r="L911" s="1626" t="s">
        <v>2301</v>
      </c>
      <c r="M911" s="1627">
        <v>3.4749000000000002E-2</v>
      </c>
      <c r="N911" s="1628">
        <v>1.3585829235932951</v>
      </c>
      <c r="O911" s="1628">
        <v>1.3811770133031274</v>
      </c>
    </row>
    <row r="912" spans="11:15">
      <c r="K912" s="1625">
        <v>42969</v>
      </c>
      <c r="L912" s="1626" t="s">
        <v>2301</v>
      </c>
      <c r="M912" s="1627">
        <v>3.4749000000000002E-2</v>
      </c>
      <c r="N912" s="1628">
        <v>1.3590550175734146</v>
      </c>
      <c r="O912" s="1628">
        <v>1.3819025593999856</v>
      </c>
    </row>
    <row r="913" spans="11:15">
      <c r="K913" s="1625">
        <v>42970</v>
      </c>
      <c r="L913" s="1626" t="s">
        <v>2301</v>
      </c>
      <c r="M913" s="1627">
        <v>3.4749000000000002E-2</v>
      </c>
      <c r="N913" s="1628">
        <v>1.3595272756014711</v>
      </c>
      <c r="O913" s="1628">
        <v>1.3826284866334639</v>
      </c>
    </row>
    <row r="914" spans="11:15">
      <c r="K914" s="1625">
        <v>42971</v>
      </c>
      <c r="L914" s="1626" t="s">
        <v>2301</v>
      </c>
      <c r="M914" s="1627">
        <v>3.4749000000000002E-2</v>
      </c>
      <c r="N914" s="1628">
        <v>1.3599996977344699</v>
      </c>
      <c r="O914" s="1628">
        <v>1.3833547952037775</v>
      </c>
    </row>
    <row r="915" spans="11:15">
      <c r="K915" s="1625">
        <v>42972</v>
      </c>
      <c r="L915" s="1626" t="s">
        <v>2301</v>
      </c>
      <c r="M915" s="1627">
        <v>3.4749000000000002E-2</v>
      </c>
      <c r="N915" s="1628">
        <v>1.3604722840294357</v>
      </c>
      <c r="O915" s="1628">
        <v>1.384081485311246</v>
      </c>
    </row>
    <row r="916" spans="11:15">
      <c r="K916" s="1625">
        <v>42973</v>
      </c>
      <c r="L916" s="1626"/>
      <c r="M916" s="1627">
        <v>0</v>
      </c>
      <c r="N916" s="1628">
        <v>1.3604722840294357</v>
      </c>
      <c r="O916" s="1628">
        <v>1.384081485311246</v>
      </c>
    </row>
    <row r="917" spans="11:15">
      <c r="K917" s="1625">
        <v>42974</v>
      </c>
      <c r="L917" s="1626"/>
      <c r="M917" s="1627">
        <v>0</v>
      </c>
      <c r="N917" s="1628">
        <v>1.3604722840294357</v>
      </c>
      <c r="O917" s="1628">
        <v>1.384081485311246</v>
      </c>
    </row>
    <row r="918" spans="11:15">
      <c r="K918" s="1625">
        <v>42975</v>
      </c>
      <c r="L918" s="1626" t="s">
        <v>2301</v>
      </c>
      <c r="M918" s="1627">
        <v>3.4749000000000002E-2</v>
      </c>
      <c r="N918" s="1628">
        <v>1.3609450345434131</v>
      </c>
      <c r="O918" s="1628">
        <v>1.3848085571562949</v>
      </c>
    </row>
    <row r="919" spans="11:15">
      <c r="K919" s="1625">
        <v>42976</v>
      </c>
      <c r="L919" s="1626" t="s">
        <v>2301</v>
      </c>
      <c r="M919" s="1627">
        <v>3.4749000000000002E-2</v>
      </c>
      <c r="N919" s="1628">
        <v>1.3614179493334666</v>
      </c>
      <c r="O919" s="1628">
        <v>1.3855360109394548</v>
      </c>
    </row>
    <row r="920" spans="11:15">
      <c r="K920" s="1625">
        <v>42977</v>
      </c>
      <c r="L920" s="1626" t="s">
        <v>2301</v>
      </c>
      <c r="M920" s="1627">
        <v>3.4749000000000002E-2</v>
      </c>
      <c r="N920" s="1628">
        <v>1.3618910284566805</v>
      </c>
      <c r="O920" s="1628">
        <v>1.3862638468613613</v>
      </c>
    </row>
    <row r="921" spans="11:15">
      <c r="K921" s="1625">
        <v>42978</v>
      </c>
      <c r="L921" s="1626" t="s">
        <v>2301</v>
      </c>
      <c r="M921" s="1627">
        <v>3.4749000000000002E-2</v>
      </c>
      <c r="N921" s="1628">
        <v>1.362364271970159</v>
      </c>
      <c r="O921" s="1628">
        <v>1.3869920651227561</v>
      </c>
    </row>
    <row r="922" spans="11:15">
      <c r="K922" s="1625">
        <v>42979</v>
      </c>
      <c r="L922" s="1626" t="s">
        <v>2301</v>
      </c>
      <c r="M922" s="1627">
        <v>3.4749000000000002E-2</v>
      </c>
      <c r="N922" s="1628">
        <v>1.3628376799310258</v>
      </c>
      <c r="O922" s="1628">
        <v>1.3877206659244856</v>
      </c>
    </row>
    <row r="923" spans="11:15">
      <c r="K923" s="1625">
        <v>42980</v>
      </c>
      <c r="L923" s="1626"/>
      <c r="M923" s="1627">
        <v>0</v>
      </c>
      <c r="N923" s="1628">
        <v>1.3628376799310258</v>
      </c>
      <c r="O923" s="1628">
        <v>1.3877206659244856</v>
      </c>
    </row>
    <row r="924" spans="11:15">
      <c r="K924" s="1625">
        <v>42981</v>
      </c>
      <c r="L924" s="1626"/>
      <c r="M924" s="1627">
        <v>0</v>
      </c>
      <c r="N924" s="1628">
        <v>1.3628376799310258</v>
      </c>
      <c r="O924" s="1628">
        <v>1.3877206659244856</v>
      </c>
    </row>
    <row r="925" spans="11:15">
      <c r="K925" s="1625">
        <v>42982</v>
      </c>
      <c r="L925" s="1626" t="s">
        <v>2301</v>
      </c>
      <c r="M925" s="1627">
        <v>3.4749000000000002E-2</v>
      </c>
      <c r="N925" s="1628">
        <v>1.363311252396425</v>
      </c>
      <c r="O925" s="1628">
        <v>1.3884496494675025</v>
      </c>
    </row>
    <row r="926" spans="11:15">
      <c r="K926" s="1625">
        <v>42983</v>
      </c>
      <c r="L926" s="1626" t="s">
        <v>2301</v>
      </c>
      <c r="M926" s="1627">
        <v>3.4749000000000002E-2</v>
      </c>
      <c r="N926" s="1628">
        <v>1.3637849894235203</v>
      </c>
      <c r="O926" s="1628">
        <v>1.3891790159528643</v>
      </c>
    </row>
    <row r="927" spans="11:15">
      <c r="K927" s="1625">
        <v>42984</v>
      </c>
      <c r="L927" s="1626" t="s">
        <v>2301</v>
      </c>
      <c r="M927" s="1627">
        <v>3.4749000000000002E-2</v>
      </c>
      <c r="N927" s="1628">
        <v>1.364258891069495</v>
      </c>
      <c r="O927" s="1628">
        <v>1.3899087655817346</v>
      </c>
    </row>
    <row r="928" spans="11:15">
      <c r="K928" s="1625">
        <v>42985</v>
      </c>
      <c r="L928" s="1626"/>
      <c r="M928" s="1627">
        <v>0</v>
      </c>
      <c r="N928" s="1628">
        <v>1.364258891069495</v>
      </c>
      <c r="O928" s="1628">
        <v>1.3899087655817346</v>
      </c>
    </row>
    <row r="929" spans="11:15">
      <c r="K929" s="1625">
        <v>42986</v>
      </c>
      <c r="L929" s="1626" t="s">
        <v>2301</v>
      </c>
      <c r="M929" s="1627">
        <v>3.1095999999999999E-2</v>
      </c>
      <c r="N929" s="1628">
        <v>1.364683121014262</v>
      </c>
      <c r="O929" s="1628">
        <v>1.3906388985553824</v>
      </c>
    </row>
    <row r="930" spans="11:15">
      <c r="K930" s="1625">
        <v>42987</v>
      </c>
      <c r="L930" s="1626"/>
      <c r="M930" s="1627">
        <v>0</v>
      </c>
      <c r="N930" s="1628">
        <v>1.364683121014262</v>
      </c>
      <c r="O930" s="1628">
        <v>1.3906388985553824</v>
      </c>
    </row>
    <row r="931" spans="11:15">
      <c r="K931" s="1625">
        <v>42988</v>
      </c>
      <c r="L931" s="1626"/>
      <c r="M931" s="1627">
        <v>0</v>
      </c>
      <c r="N931" s="1628">
        <v>1.364683121014262</v>
      </c>
      <c r="O931" s="1628">
        <v>1.3906388985553824</v>
      </c>
    </row>
    <row r="932" spans="11:15">
      <c r="K932" s="1625">
        <v>42989</v>
      </c>
      <c r="L932" s="1626" t="s">
        <v>2301</v>
      </c>
      <c r="M932" s="1627">
        <v>3.1095999999999999E-2</v>
      </c>
      <c r="N932" s="1628">
        <v>1.3651074828775727</v>
      </c>
      <c r="O932" s="1628">
        <v>1.3913694150751825</v>
      </c>
    </row>
    <row r="933" spans="11:15">
      <c r="K933" s="1625">
        <v>42990</v>
      </c>
      <c r="L933" s="1626" t="s">
        <v>2301</v>
      </c>
      <c r="M933" s="1627">
        <v>3.1095999999999999E-2</v>
      </c>
      <c r="N933" s="1628">
        <v>1.3655319767004481</v>
      </c>
      <c r="O933" s="1628">
        <v>1.3921003153426157</v>
      </c>
    </row>
    <row r="934" spans="11:15">
      <c r="K934" s="1625">
        <v>42991</v>
      </c>
      <c r="L934" s="1626" t="s">
        <v>2301</v>
      </c>
      <c r="M934" s="1627">
        <v>3.1095999999999999E-2</v>
      </c>
      <c r="N934" s="1628">
        <v>1.3659566025239229</v>
      </c>
      <c r="O934" s="1628">
        <v>1.3928315995592684</v>
      </c>
    </row>
    <row r="935" spans="11:15">
      <c r="K935" s="1625">
        <v>42992</v>
      </c>
      <c r="L935" s="1626" t="s">
        <v>2301</v>
      </c>
      <c r="M935" s="1627">
        <v>3.1095999999999999E-2</v>
      </c>
      <c r="N935" s="1628">
        <v>1.3663813603890438</v>
      </c>
      <c r="O935" s="1628">
        <v>1.3935632679268328</v>
      </c>
    </row>
    <row r="936" spans="11:15">
      <c r="K936" s="1625">
        <v>42993</v>
      </c>
      <c r="L936" s="1626" t="s">
        <v>2301</v>
      </c>
      <c r="M936" s="1627">
        <v>3.1095999999999999E-2</v>
      </c>
      <c r="N936" s="1628">
        <v>1.3668062503368703</v>
      </c>
      <c r="O936" s="1628">
        <v>1.3942953206471074</v>
      </c>
    </row>
    <row r="937" spans="11:15">
      <c r="K937" s="1625">
        <v>42994</v>
      </c>
      <c r="L937" s="1626"/>
      <c r="M937" s="1627">
        <v>0</v>
      </c>
      <c r="N937" s="1628">
        <v>1.3668062503368703</v>
      </c>
      <c r="O937" s="1628">
        <v>1.3942953206471074</v>
      </c>
    </row>
    <row r="938" spans="11:15">
      <c r="K938" s="1625">
        <v>42995</v>
      </c>
      <c r="L938" s="1626"/>
      <c r="M938" s="1627">
        <v>0</v>
      </c>
      <c r="N938" s="1628">
        <v>1.3668062503368703</v>
      </c>
      <c r="O938" s="1628">
        <v>1.3942953206471074</v>
      </c>
    </row>
    <row r="939" spans="11:15">
      <c r="K939" s="1625">
        <v>42996</v>
      </c>
      <c r="L939" s="1626" t="s">
        <v>2301</v>
      </c>
      <c r="M939" s="1627">
        <v>3.1095999999999999E-2</v>
      </c>
      <c r="N939" s="1628">
        <v>1.367231272408475</v>
      </c>
      <c r="O939" s="1628">
        <v>1.3950277579219965</v>
      </c>
    </row>
    <row r="940" spans="11:15">
      <c r="K940" s="1625">
        <v>42997</v>
      </c>
      <c r="L940" s="1626" t="s">
        <v>2301</v>
      </c>
      <c r="M940" s="1627">
        <v>3.1095999999999999E-2</v>
      </c>
      <c r="N940" s="1628">
        <v>1.3676564266449431</v>
      </c>
      <c r="O940" s="1628">
        <v>1.3957605799535104</v>
      </c>
    </row>
    <row r="941" spans="11:15">
      <c r="K941" s="1625">
        <v>42998</v>
      </c>
      <c r="L941" s="1626" t="s">
        <v>2301</v>
      </c>
      <c r="M941" s="1627">
        <v>3.1095999999999999E-2</v>
      </c>
      <c r="N941" s="1628">
        <v>1.3680817130873726</v>
      </c>
      <c r="O941" s="1628">
        <v>1.3964937869437659</v>
      </c>
    </row>
    <row r="942" spans="11:15">
      <c r="K942" s="1625">
        <v>42999</v>
      </c>
      <c r="L942" s="1626" t="s">
        <v>2301</v>
      </c>
      <c r="M942" s="1627">
        <v>3.1095999999999999E-2</v>
      </c>
      <c r="N942" s="1628">
        <v>1.3685071317768742</v>
      </c>
      <c r="O942" s="1628">
        <v>1.3972273790949854</v>
      </c>
    </row>
    <row r="943" spans="11:15">
      <c r="K943" s="1625">
        <v>43000</v>
      </c>
      <c r="L943" s="1626" t="s">
        <v>2301</v>
      </c>
      <c r="M943" s="1627">
        <v>3.1095999999999999E-2</v>
      </c>
      <c r="N943" s="1628">
        <v>1.3689326827545716</v>
      </c>
      <c r="O943" s="1628">
        <v>1.3979613566094977</v>
      </c>
    </row>
    <row r="944" spans="11:15">
      <c r="K944" s="1625">
        <v>43001</v>
      </c>
      <c r="L944" s="1626"/>
      <c r="M944" s="1627">
        <v>0</v>
      </c>
      <c r="N944" s="1628">
        <v>1.3689326827545716</v>
      </c>
      <c r="O944" s="1628">
        <v>1.3979613566094977</v>
      </c>
    </row>
    <row r="945" spans="11:15">
      <c r="K945" s="1625">
        <v>43002</v>
      </c>
      <c r="L945" s="1626"/>
      <c r="M945" s="1627">
        <v>0</v>
      </c>
      <c r="N945" s="1628">
        <v>1.3689326827545716</v>
      </c>
      <c r="O945" s="1628">
        <v>1.3979613566094977</v>
      </c>
    </row>
    <row r="946" spans="11:15">
      <c r="K946" s="1625">
        <v>43003</v>
      </c>
      <c r="L946" s="1626" t="s">
        <v>2301</v>
      </c>
      <c r="M946" s="1627">
        <v>3.1095999999999999E-2</v>
      </c>
      <c r="N946" s="1628">
        <v>1.3693583660616009</v>
      </c>
      <c r="O946" s="1628">
        <v>1.3986957196897383</v>
      </c>
    </row>
    <row r="947" spans="11:15">
      <c r="K947" s="1625">
        <v>43004</v>
      </c>
      <c r="L947" s="1626" t="s">
        <v>2301</v>
      </c>
      <c r="M947" s="1627">
        <v>3.1095999999999999E-2</v>
      </c>
      <c r="N947" s="1628">
        <v>1.3697841817391114</v>
      </c>
      <c r="O947" s="1628">
        <v>1.3994304685382486</v>
      </c>
    </row>
    <row r="948" spans="11:15">
      <c r="K948" s="1625">
        <v>43005</v>
      </c>
      <c r="L948" s="1626" t="s">
        <v>2301</v>
      </c>
      <c r="M948" s="1627">
        <v>3.1095999999999999E-2</v>
      </c>
      <c r="N948" s="1628">
        <v>1.370210129828265</v>
      </c>
      <c r="O948" s="1628">
        <v>1.4001656033576764</v>
      </c>
    </row>
    <row r="949" spans="11:15">
      <c r="K949" s="1625">
        <v>43006</v>
      </c>
      <c r="L949" s="1626" t="s">
        <v>2301</v>
      </c>
      <c r="M949" s="1627">
        <v>3.1095999999999999E-2</v>
      </c>
      <c r="N949" s="1628">
        <v>1.3706362103702363</v>
      </c>
      <c r="O949" s="1628">
        <v>1.4009011243507763</v>
      </c>
    </row>
    <row r="950" spans="11:15">
      <c r="K950" s="1625">
        <v>43007</v>
      </c>
      <c r="L950" s="1626" t="s">
        <v>2301</v>
      </c>
      <c r="M950" s="1627">
        <v>3.1095999999999999E-2</v>
      </c>
      <c r="N950" s="1628">
        <v>1.371062423406213</v>
      </c>
      <c r="O950" s="1628">
        <v>1.401637031720409</v>
      </c>
    </row>
    <row r="951" spans="11:15">
      <c r="K951" s="1625">
        <v>43008</v>
      </c>
      <c r="L951" s="1626"/>
      <c r="M951" s="1627">
        <v>0</v>
      </c>
      <c r="N951" s="1628">
        <v>1.371062423406213</v>
      </c>
      <c r="O951" s="1628">
        <v>1.401637031720409</v>
      </c>
    </row>
    <row r="952" spans="11:15">
      <c r="K952" s="1625">
        <v>43009</v>
      </c>
      <c r="L952" s="1626"/>
      <c r="M952" s="1627">
        <v>0</v>
      </c>
      <c r="N952" s="1628">
        <v>1.371062423406213</v>
      </c>
      <c r="O952" s="1628">
        <v>1.401637031720409</v>
      </c>
    </row>
    <row r="953" spans="11:15">
      <c r="K953" s="1625">
        <v>43010</v>
      </c>
      <c r="L953" s="1626" t="s">
        <v>2301</v>
      </c>
      <c r="M953" s="1627">
        <v>3.1095999999999999E-2</v>
      </c>
      <c r="N953" s="1628">
        <v>1.3714887689773954</v>
      </c>
      <c r="O953" s="1628">
        <v>1.4023733256695421</v>
      </c>
    </row>
    <row r="954" spans="11:15">
      <c r="K954" s="1625">
        <v>43011</v>
      </c>
      <c r="L954" s="1626" t="s">
        <v>2301</v>
      </c>
      <c r="M954" s="1627">
        <v>3.1095999999999999E-2</v>
      </c>
      <c r="N954" s="1628">
        <v>1.3719152471249965</v>
      </c>
      <c r="O954" s="1628">
        <v>1.4031100064012496</v>
      </c>
    </row>
    <row r="955" spans="11:15">
      <c r="K955" s="1625">
        <v>43012</v>
      </c>
      <c r="L955" s="1626" t="s">
        <v>2301</v>
      </c>
      <c r="M955" s="1627">
        <v>3.1095999999999999E-2</v>
      </c>
      <c r="N955" s="1628">
        <v>1.3723418578902424</v>
      </c>
      <c r="O955" s="1628">
        <v>1.4038470741187123</v>
      </c>
    </row>
    <row r="956" spans="11:15">
      <c r="K956" s="1625">
        <v>43013</v>
      </c>
      <c r="L956" s="1626" t="s">
        <v>2301</v>
      </c>
      <c r="M956" s="1627">
        <v>3.1095999999999999E-2</v>
      </c>
      <c r="N956" s="1628">
        <v>1.3727686013143718</v>
      </c>
      <c r="O956" s="1628">
        <v>1.4045845290252177</v>
      </c>
    </row>
    <row r="957" spans="11:15">
      <c r="K957" s="1625">
        <v>43014</v>
      </c>
      <c r="L957" s="1626" t="s">
        <v>2301</v>
      </c>
      <c r="M957" s="1627">
        <v>3.1095999999999999E-2</v>
      </c>
      <c r="N957" s="1628">
        <v>1.3731954774386366</v>
      </c>
      <c r="O957" s="1628">
        <v>1.4053223713241598</v>
      </c>
    </row>
    <row r="958" spans="11:15">
      <c r="K958" s="1625">
        <v>43015</v>
      </c>
      <c r="L958" s="1626"/>
      <c r="M958" s="1627">
        <v>0</v>
      </c>
      <c r="N958" s="1628">
        <v>1.3731954774386366</v>
      </c>
      <c r="O958" s="1628">
        <v>1.4053223713241598</v>
      </c>
    </row>
    <row r="959" spans="11:15">
      <c r="K959" s="1625">
        <v>43016</v>
      </c>
      <c r="L959" s="1626"/>
      <c r="M959" s="1627">
        <v>0</v>
      </c>
      <c r="N959" s="1628">
        <v>1.3731954774386366</v>
      </c>
      <c r="O959" s="1628">
        <v>1.4053223713241598</v>
      </c>
    </row>
    <row r="960" spans="11:15">
      <c r="K960" s="1625">
        <v>43017</v>
      </c>
      <c r="L960" s="1626" t="s">
        <v>2301</v>
      </c>
      <c r="M960" s="1627">
        <v>3.1095999999999999E-2</v>
      </c>
      <c r="N960" s="1628">
        <v>1.3736224863043009</v>
      </c>
      <c r="O960" s="1628">
        <v>1.4060606012190402</v>
      </c>
    </row>
    <row r="961" spans="11:15">
      <c r="K961" s="1625">
        <v>43018</v>
      </c>
      <c r="L961" s="1626" t="s">
        <v>2301</v>
      </c>
      <c r="M961" s="1627">
        <v>3.1095999999999999E-2</v>
      </c>
      <c r="N961" s="1628">
        <v>1.3740496279526422</v>
      </c>
      <c r="O961" s="1628">
        <v>1.4067992189134666</v>
      </c>
    </row>
    <row r="962" spans="11:15">
      <c r="K962" s="1625">
        <v>43019</v>
      </c>
      <c r="L962" s="1626" t="s">
        <v>2301</v>
      </c>
      <c r="M962" s="1627">
        <v>3.1095999999999999E-2</v>
      </c>
      <c r="N962" s="1628">
        <v>1.3744769024249504</v>
      </c>
      <c r="O962" s="1628">
        <v>1.4075382246111541</v>
      </c>
    </row>
    <row r="963" spans="11:15">
      <c r="K963" s="1625">
        <v>43020</v>
      </c>
      <c r="L963" s="1626"/>
      <c r="M963" s="1627">
        <v>0</v>
      </c>
      <c r="N963" s="1628">
        <v>1.3744769024249504</v>
      </c>
      <c r="O963" s="1628">
        <v>1.4075382246111541</v>
      </c>
    </row>
    <row r="964" spans="11:15">
      <c r="K964" s="1625">
        <v>43021</v>
      </c>
      <c r="L964" s="1626" t="s">
        <v>2301</v>
      </c>
      <c r="M964" s="1627">
        <v>3.1095999999999999E-2</v>
      </c>
      <c r="N964" s="1628">
        <v>1.3749043097625284</v>
      </c>
      <c r="O964" s="1628">
        <v>1.4082776185159245</v>
      </c>
    </row>
    <row r="965" spans="11:15">
      <c r="K965" s="1625">
        <v>43022</v>
      </c>
      <c r="L965" s="1626"/>
      <c r="M965" s="1627">
        <v>0</v>
      </c>
      <c r="N965" s="1628">
        <v>1.3749043097625284</v>
      </c>
      <c r="O965" s="1628">
        <v>1.4082776185159245</v>
      </c>
    </row>
    <row r="966" spans="11:15">
      <c r="K966" s="1625">
        <v>43023</v>
      </c>
      <c r="L966" s="1626"/>
      <c r="M966" s="1627">
        <v>0</v>
      </c>
      <c r="N966" s="1628">
        <v>1.3749043097625284</v>
      </c>
      <c r="O966" s="1628">
        <v>1.4082776185159245</v>
      </c>
    </row>
    <row r="967" spans="11:15">
      <c r="K967" s="1625">
        <v>43024</v>
      </c>
      <c r="L967" s="1626" t="s">
        <v>2301</v>
      </c>
      <c r="M967" s="1627">
        <v>3.1095999999999999E-2</v>
      </c>
      <c r="N967" s="1628">
        <v>1.3753318500066922</v>
      </c>
      <c r="O967" s="1628">
        <v>1.4090174008317071</v>
      </c>
    </row>
    <row r="968" spans="11:15">
      <c r="K968" s="1625">
        <v>43025</v>
      </c>
      <c r="L968" s="1626" t="s">
        <v>2301</v>
      </c>
      <c r="M968" s="1627">
        <v>3.1095999999999999E-2</v>
      </c>
      <c r="N968" s="1628">
        <v>1.3757595231987703</v>
      </c>
      <c r="O968" s="1628">
        <v>1.4097575717625381</v>
      </c>
    </row>
    <row r="969" spans="11:15">
      <c r="K969" s="1625">
        <v>43026</v>
      </c>
      <c r="L969" s="1626" t="s">
        <v>2301</v>
      </c>
      <c r="M969" s="1627">
        <v>3.1095999999999999E-2</v>
      </c>
      <c r="N969" s="1628">
        <v>1.3761873293801041</v>
      </c>
      <c r="O969" s="1628">
        <v>1.4104981315125606</v>
      </c>
    </row>
    <row r="970" spans="11:15">
      <c r="K970" s="1625">
        <v>43027</v>
      </c>
      <c r="L970" s="1626" t="s">
        <v>2301</v>
      </c>
      <c r="M970" s="1627">
        <v>3.1095999999999999E-2</v>
      </c>
      <c r="N970" s="1628">
        <v>1.3766152685920481</v>
      </c>
      <c r="O970" s="1628">
        <v>1.4112390802860255</v>
      </c>
    </row>
    <row r="971" spans="11:15">
      <c r="K971" s="1625">
        <v>43028</v>
      </c>
      <c r="L971" s="1626" t="s">
        <v>2301</v>
      </c>
      <c r="M971" s="1627">
        <v>3.1095999999999999E-2</v>
      </c>
      <c r="N971" s="1628">
        <v>1.3770433408759695</v>
      </c>
      <c r="O971" s="1628">
        <v>1.4119804182872906</v>
      </c>
    </row>
    <row r="972" spans="11:15">
      <c r="K972" s="1625">
        <v>43029</v>
      </c>
      <c r="L972" s="1626"/>
      <c r="M972" s="1627">
        <v>0</v>
      </c>
      <c r="N972" s="1628">
        <v>1.3770433408759695</v>
      </c>
      <c r="O972" s="1628">
        <v>1.4119804182872906</v>
      </c>
    </row>
    <row r="973" spans="11:15">
      <c r="K973" s="1625">
        <v>43030</v>
      </c>
      <c r="L973" s="1626"/>
      <c r="M973" s="1627">
        <v>0</v>
      </c>
      <c r="N973" s="1628">
        <v>1.3770433408759695</v>
      </c>
      <c r="O973" s="1628">
        <v>1.4119804182872906</v>
      </c>
    </row>
    <row r="974" spans="11:15">
      <c r="K974" s="1625">
        <v>43031</v>
      </c>
      <c r="L974" s="1626" t="s">
        <v>2301</v>
      </c>
      <c r="M974" s="1627">
        <v>3.1095999999999999E-2</v>
      </c>
      <c r="N974" s="1628">
        <v>1.3774715462732483</v>
      </c>
      <c r="O974" s="1628">
        <v>1.412722145720821</v>
      </c>
    </row>
    <row r="975" spans="11:15">
      <c r="K975" s="1625">
        <v>43032</v>
      </c>
      <c r="L975" s="1626" t="s">
        <v>2301</v>
      </c>
      <c r="M975" s="1627">
        <v>3.1095999999999999E-2</v>
      </c>
      <c r="N975" s="1628">
        <v>1.3778998848252775</v>
      </c>
      <c r="O975" s="1628">
        <v>1.4134642627911895</v>
      </c>
    </row>
    <row r="976" spans="11:15">
      <c r="K976" s="1625">
        <v>43033</v>
      </c>
      <c r="L976" s="1626" t="s">
        <v>2301</v>
      </c>
      <c r="M976" s="1627">
        <v>3.1095999999999999E-2</v>
      </c>
      <c r="N976" s="1628">
        <v>1.3783283565734628</v>
      </c>
      <c r="O976" s="1628">
        <v>1.4142067697030765</v>
      </c>
    </row>
    <row r="977" spans="11:15">
      <c r="K977" s="1625">
        <v>43034</v>
      </c>
      <c r="L977" s="1626" t="s">
        <v>2301</v>
      </c>
      <c r="M977" s="1627">
        <v>2.8333000000000001E-2</v>
      </c>
      <c r="N977" s="1628">
        <v>1.3787188783467308</v>
      </c>
      <c r="O977" s="1628">
        <v>1.4149496666612691</v>
      </c>
    </row>
    <row r="978" spans="11:15">
      <c r="K978" s="1625">
        <v>43035</v>
      </c>
      <c r="L978" s="1626" t="s">
        <v>2301</v>
      </c>
      <c r="M978" s="1627">
        <v>2.8333000000000001E-2</v>
      </c>
      <c r="N978" s="1628">
        <v>1.3791095107665328</v>
      </c>
      <c r="O978" s="1628">
        <v>1.4156929538706629</v>
      </c>
    </row>
    <row r="979" spans="11:15">
      <c r="K979" s="1625">
        <v>43036</v>
      </c>
      <c r="L979" s="1626"/>
      <c r="M979" s="1627">
        <v>0</v>
      </c>
      <c r="N979" s="1628">
        <v>1.3791095107665328</v>
      </c>
      <c r="O979" s="1628">
        <v>1.4156929538706629</v>
      </c>
    </row>
    <row r="980" spans="11:15">
      <c r="K980" s="1625">
        <v>43037</v>
      </c>
      <c r="L980" s="1626"/>
      <c r="M980" s="1627">
        <v>0</v>
      </c>
      <c r="N980" s="1628">
        <v>1.3791095107665328</v>
      </c>
      <c r="O980" s="1628">
        <v>1.4156929538706629</v>
      </c>
    </row>
    <row r="981" spans="11:15">
      <c r="K981" s="1625">
        <v>43038</v>
      </c>
      <c r="L981" s="1626" t="s">
        <v>2301</v>
      </c>
      <c r="M981" s="1627">
        <v>2.8333000000000001E-2</v>
      </c>
      <c r="N981" s="1628">
        <v>1.3795002538642183</v>
      </c>
      <c r="O981" s="1628">
        <v>1.4164366315362606</v>
      </c>
    </row>
    <row r="982" spans="11:15">
      <c r="K982" s="1625">
        <v>43039</v>
      </c>
      <c r="L982" s="1626" t="s">
        <v>2301</v>
      </c>
      <c r="M982" s="1627">
        <v>2.8333000000000001E-2</v>
      </c>
      <c r="N982" s="1628">
        <v>1.3798911076711458</v>
      </c>
      <c r="O982" s="1628">
        <v>1.4171806998631729</v>
      </c>
    </row>
    <row r="983" spans="11:15">
      <c r="K983" s="1625">
        <v>43040</v>
      </c>
      <c r="L983" s="1626" t="s">
        <v>2301</v>
      </c>
      <c r="M983" s="1627">
        <v>2.8333000000000001E-2</v>
      </c>
      <c r="N983" s="1628">
        <v>1.3802820722186822</v>
      </c>
      <c r="O983" s="1628">
        <v>1.417925159056618</v>
      </c>
    </row>
    <row r="984" spans="11:15">
      <c r="K984" s="1625">
        <v>43041</v>
      </c>
      <c r="L984" s="1626"/>
      <c r="M984" s="1627">
        <v>0</v>
      </c>
      <c r="N984" s="1628">
        <v>1.3802820722186822</v>
      </c>
      <c r="O984" s="1628">
        <v>1.417925159056618</v>
      </c>
    </row>
    <row r="985" spans="11:15">
      <c r="K985" s="1625">
        <v>43042</v>
      </c>
      <c r="L985" s="1626" t="s">
        <v>2301</v>
      </c>
      <c r="M985" s="1627">
        <v>2.8333000000000001E-2</v>
      </c>
      <c r="N985" s="1628">
        <v>1.3806731475382039</v>
      </c>
      <c r="O985" s="1628">
        <v>1.418670009321922</v>
      </c>
    </row>
    <row r="986" spans="11:15">
      <c r="K986" s="1625">
        <v>43043</v>
      </c>
      <c r="L986" s="1626"/>
      <c r="M986" s="1627">
        <v>0</v>
      </c>
      <c r="N986" s="1628">
        <v>1.3806731475382039</v>
      </c>
      <c r="O986" s="1628">
        <v>1.418670009321922</v>
      </c>
    </row>
    <row r="987" spans="11:15">
      <c r="K987" s="1625">
        <v>43044</v>
      </c>
      <c r="L987" s="1626"/>
      <c r="M987" s="1627">
        <v>0</v>
      </c>
      <c r="N987" s="1628">
        <v>1.3806731475382039</v>
      </c>
      <c r="O987" s="1628">
        <v>1.418670009321922</v>
      </c>
    </row>
    <row r="988" spans="11:15">
      <c r="K988" s="1625">
        <v>43045</v>
      </c>
      <c r="L988" s="1626" t="s">
        <v>2301</v>
      </c>
      <c r="M988" s="1627">
        <v>2.8333000000000001E-2</v>
      </c>
      <c r="N988" s="1628">
        <v>1.3810643336610959</v>
      </c>
      <c r="O988" s="1628">
        <v>1.4194152508645188</v>
      </c>
    </row>
    <row r="989" spans="11:15">
      <c r="K989" s="1625">
        <v>43046</v>
      </c>
      <c r="L989" s="1626" t="s">
        <v>2301</v>
      </c>
      <c r="M989" s="1627">
        <v>2.8333000000000001E-2</v>
      </c>
      <c r="N989" s="1628">
        <v>1.3814556306187522</v>
      </c>
      <c r="O989" s="1628">
        <v>1.4201608838899504</v>
      </c>
    </row>
    <row r="990" spans="11:15">
      <c r="K990" s="1625">
        <v>43047</v>
      </c>
      <c r="L990" s="1626" t="s">
        <v>2301</v>
      </c>
      <c r="M990" s="1627">
        <v>2.8333000000000001E-2</v>
      </c>
      <c r="N990" s="1628">
        <v>1.3818470384425754</v>
      </c>
      <c r="O990" s="1628">
        <v>1.4209069086038666</v>
      </c>
    </row>
    <row r="991" spans="11:15">
      <c r="K991" s="1625">
        <v>43048</v>
      </c>
      <c r="L991" s="1626" t="s">
        <v>2301</v>
      </c>
      <c r="M991" s="1627">
        <v>2.8333000000000001E-2</v>
      </c>
      <c r="N991" s="1628">
        <v>1.3822385571639773</v>
      </c>
      <c r="O991" s="1628">
        <v>1.4216533252120254</v>
      </c>
    </row>
    <row r="992" spans="11:15">
      <c r="K992" s="1625">
        <v>43049</v>
      </c>
      <c r="L992" s="1626" t="s">
        <v>2301</v>
      </c>
      <c r="M992" s="1627">
        <v>2.8333000000000001E-2</v>
      </c>
      <c r="N992" s="1628">
        <v>1.3826301868143787</v>
      </c>
      <c r="O992" s="1628">
        <v>1.4224001339202925</v>
      </c>
    </row>
    <row r="993" spans="11:15">
      <c r="K993" s="1625">
        <v>43050</v>
      </c>
      <c r="L993" s="1626"/>
      <c r="M993" s="1627">
        <v>0</v>
      </c>
      <c r="N993" s="1628">
        <v>1.3826301868143787</v>
      </c>
      <c r="O993" s="1628">
        <v>1.4224001339202925</v>
      </c>
    </row>
    <row r="994" spans="11:15">
      <c r="K994" s="1625">
        <v>43051</v>
      </c>
      <c r="L994" s="1626"/>
      <c r="M994" s="1627">
        <v>0</v>
      </c>
      <c r="N994" s="1628">
        <v>1.3826301868143787</v>
      </c>
      <c r="O994" s="1628">
        <v>1.4224001339202925</v>
      </c>
    </row>
    <row r="995" spans="11:15">
      <c r="K995" s="1625">
        <v>43052</v>
      </c>
      <c r="L995" s="1626" t="s">
        <v>2301</v>
      </c>
      <c r="M995" s="1627">
        <v>2.8333000000000001E-2</v>
      </c>
      <c r="N995" s="1628">
        <v>1.3830219274252089</v>
      </c>
      <c r="O995" s="1628">
        <v>1.4231473349346422</v>
      </c>
    </row>
    <row r="996" spans="11:15">
      <c r="K996" s="1625">
        <v>43053</v>
      </c>
      <c r="L996" s="1626" t="s">
        <v>2301</v>
      </c>
      <c r="M996" s="1627">
        <v>2.8333000000000001E-2</v>
      </c>
      <c r="N996" s="1628">
        <v>1.3834137790279064</v>
      </c>
      <c r="O996" s="1628">
        <v>1.4238949284611566</v>
      </c>
    </row>
    <row r="997" spans="11:15">
      <c r="K997" s="1625">
        <v>43054</v>
      </c>
      <c r="L997" s="1626"/>
      <c r="M997" s="1627">
        <v>0</v>
      </c>
      <c r="N997" s="1628">
        <v>1.3834137790279064</v>
      </c>
      <c r="O997" s="1628">
        <v>1.4238949284611566</v>
      </c>
    </row>
    <row r="998" spans="11:15">
      <c r="K998" s="1625">
        <v>43055</v>
      </c>
      <c r="L998" s="1626" t="s">
        <v>2301</v>
      </c>
      <c r="M998" s="1627">
        <v>2.8333000000000001E-2</v>
      </c>
      <c r="N998" s="1628">
        <v>1.3838057416539185</v>
      </c>
      <c r="O998" s="1628">
        <v>1.4246429147060264</v>
      </c>
    </row>
    <row r="999" spans="11:15">
      <c r="K999" s="1625">
        <v>43056</v>
      </c>
      <c r="L999" s="1626" t="s">
        <v>2301</v>
      </c>
      <c r="M999" s="1627">
        <v>2.8333000000000001E-2</v>
      </c>
      <c r="N999" s="1628">
        <v>1.3841978153347012</v>
      </c>
      <c r="O999" s="1628">
        <v>1.4253912938755506</v>
      </c>
    </row>
    <row r="1000" spans="11:15">
      <c r="K1000" s="1625">
        <v>43057</v>
      </c>
      <c r="L1000" s="1626"/>
      <c r="M1000" s="1627">
        <v>0</v>
      </c>
      <c r="N1000" s="1628">
        <v>1.3841978153347012</v>
      </c>
      <c r="O1000" s="1628">
        <v>1.4253912938755506</v>
      </c>
    </row>
    <row r="1001" spans="11:15">
      <c r="K1001" s="1625">
        <v>43058</v>
      </c>
      <c r="L1001" s="1626"/>
      <c r="M1001" s="1627">
        <v>0</v>
      </c>
      <c r="N1001" s="1628">
        <v>1.3841978153347012</v>
      </c>
      <c r="O1001" s="1628">
        <v>1.4253912938755506</v>
      </c>
    </row>
    <row r="1002" spans="11:15">
      <c r="K1002" s="1625">
        <v>43059</v>
      </c>
      <c r="L1002" s="1626" t="s">
        <v>2301</v>
      </c>
      <c r="M1002" s="1627">
        <v>2.8333000000000001E-2</v>
      </c>
      <c r="N1002" s="1628">
        <v>1.38459000010172</v>
      </c>
      <c r="O1002" s="1628">
        <v>1.4261400661761363</v>
      </c>
    </row>
    <row r="1003" spans="11:15">
      <c r="K1003" s="1625">
        <v>43060</v>
      </c>
      <c r="L1003" s="1626" t="s">
        <v>2301</v>
      </c>
      <c r="M1003" s="1627">
        <v>2.8333000000000001E-2</v>
      </c>
      <c r="N1003" s="1628">
        <v>1.3849822959864488</v>
      </c>
      <c r="O1003" s="1628">
        <v>1.4268892318142994</v>
      </c>
    </row>
    <row r="1004" spans="11:15">
      <c r="K1004" s="1625">
        <v>43061</v>
      </c>
      <c r="L1004" s="1626" t="s">
        <v>2301</v>
      </c>
      <c r="M1004" s="1627">
        <v>2.8333000000000001E-2</v>
      </c>
      <c r="N1004" s="1628">
        <v>1.3853747030203707</v>
      </c>
      <c r="O1004" s="1628">
        <v>1.4276387909966637</v>
      </c>
    </row>
    <row r="1005" spans="11:15">
      <c r="K1005" s="1625">
        <v>43062</v>
      </c>
      <c r="L1005" s="1626" t="s">
        <v>2301</v>
      </c>
      <c r="M1005" s="1627">
        <v>2.8333000000000001E-2</v>
      </c>
      <c r="N1005" s="1628">
        <v>1.3857672212349774</v>
      </c>
      <c r="O1005" s="1628">
        <v>1.4283887439299621</v>
      </c>
    </row>
    <row r="1006" spans="11:15">
      <c r="K1006" s="1625">
        <v>43063</v>
      </c>
      <c r="L1006" s="1626" t="s">
        <v>2301</v>
      </c>
      <c r="M1006" s="1627">
        <v>2.8333000000000001E-2</v>
      </c>
      <c r="N1006" s="1628">
        <v>1.3861598506617701</v>
      </c>
      <c r="O1006" s="1628">
        <v>1.429139090821036</v>
      </c>
    </row>
    <row r="1007" spans="11:15">
      <c r="K1007" s="1625">
        <v>43064</v>
      </c>
      <c r="L1007" s="1626"/>
      <c r="M1007" s="1627">
        <v>0</v>
      </c>
      <c r="N1007" s="1628">
        <v>1.3861598506617701</v>
      </c>
      <c r="O1007" s="1628">
        <v>1.429139090821036</v>
      </c>
    </row>
    <row r="1008" spans="11:15">
      <c r="K1008" s="1625">
        <v>43065</v>
      </c>
      <c r="L1008" s="1626"/>
      <c r="M1008" s="1627">
        <v>0</v>
      </c>
      <c r="N1008" s="1628">
        <v>1.3861598506617701</v>
      </c>
      <c r="O1008" s="1628">
        <v>1.429139090821036</v>
      </c>
    </row>
    <row r="1009" spans="11:15">
      <c r="K1009" s="1625">
        <v>43066</v>
      </c>
      <c r="L1009" s="1626" t="s">
        <v>2301</v>
      </c>
      <c r="M1009" s="1627">
        <v>2.8333000000000001E-2</v>
      </c>
      <c r="N1009" s="1628">
        <v>1.3865525913322581</v>
      </c>
      <c r="O1009" s="1628">
        <v>1.4298898318768352</v>
      </c>
    </row>
    <row r="1010" spans="11:15">
      <c r="K1010" s="1625">
        <v>43067</v>
      </c>
      <c r="L1010" s="1626" t="s">
        <v>2301</v>
      </c>
      <c r="M1010" s="1627">
        <v>2.8333000000000001E-2</v>
      </c>
      <c r="N1010" s="1628">
        <v>1.3869454432779602</v>
      </c>
      <c r="O1010" s="1628">
        <v>1.4306409673044185</v>
      </c>
    </row>
    <row r="1011" spans="11:15">
      <c r="K1011" s="1625">
        <v>43068</v>
      </c>
      <c r="L1011" s="1626" t="s">
        <v>2301</v>
      </c>
      <c r="M1011" s="1627">
        <v>2.8333000000000001E-2</v>
      </c>
      <c r="N1011" s="1628">
        <v>1.3873384065304042</v>
      </c>
      <c r="O1011" s="1628">
        <v>1.4313924973109531</v>
      </c>
    </row>
    <row r="1012" spans="11:15">
      <c r="K1012" s="1625">
        <v>43069</v>
      </c>
      <c r="L1012" s="1626" t="s">
        <v>2301</v>
      </c>
      <c r="M1012" s="1627">
        <v>2.8333000000000001E-2</v>
      </c>
      <c r="N1012" s="1628">
        <v>1.3877314811211265</v>
      </c>
      <c r="O1012" s="1628">
        <v>1.4321444221037154</v>
      </c>
    </row>
    <row r="1013" spans="11:15">
      <c r="K1013" s="1625">
        <v>43070</v>
      </c>
      <c r="L1013" s="1626" t="s">
        <v>2301</v>
      </c>
      <c r="M1013" s="1627">
        <v>2.8333000000000001E-2</v>
      </c>
      <c r="N1013" s="1628">
        <v>1.3881246670816727</v>
      </c>
      <c r="O1013" s="1628">
        <v>1.4328967418900906</v>
      </c>
    </row>
    <row r="1014" spans="11:15">
      <c r="K1014" s="1625">
        <v>43071</v>
      </c>
      <c r="L1014" s="1626"/>
      <c r="M1014" s="1627">
        <v>0</v>
      </c>
      <c r="N1014" s="1628">
        <v>1.3881246670816727</v>
      </c>
      <c r="O1014" s="1628">
        <v>1.4328967418900906</v>
      </c>
    </row>
    <row r="1015" spans="11:15">
      <c r="K1015" s="1625">
        <v>43072</v>
      </c>
      <c r="L1015" s="1626"/>
      <c r="M1015" s="1627">
        <v>0</v>
      </c>
      <c r="N1015" s="1628">
        <v>1.3881246670816727</v>
      </c>
      <c r="O1015" s="1628">
        <v>1.4328967418900906</v>
      </c>
    </row>
    <row r="1016" spans="11:15">
      <c r="K1016" s="1625">
        <v>43073</v>
      </c>
      <c r="L1016" s="1626" t="s">
        <v>2301</v>
      </c>
      <c r="M1016" s="1627">
        <v>2.8333000000000001E-2</v>
      </c>
      <c r="N1016" s="1628">
        <v>1.388517964443597</v>
      </c>
      <c r="O1016" s="1628">
        <v>1.4336494568775728</v>
      </c>
    </row>
    <row r="1017" spans="11:15">
      <c r="K1017" s="1625">
        <v>43074</v>
      </c>
      <c r="L1017" s="1626" t="s">
        <v>2301</v>
      </c>
      <c r="M1017" s="1627">
        <v>2.8333000000000001E-2</v>
      </c>
      <c r="N1017" s="1628">
        <v>1.3889113732384628</v>
      </c>
      <c r="O1017" s="1628">
        <v>1.4344025672737652</v>
      </c>
    </row>
    <row r="1018" spans="11:15">
      <c r="K1018" s="1625">
        <v>43075</v>
      </c>
      <c r="L1018" s="1626" t="s">
        <v>2301</v>
      </c>
      <c r="M1018" s="1627">
        <v>2.8333000000000001E-2</v>
      </c>
      <c r="N1018" s="1628">
        <v>1.3893048934978425</v>
      </c>
      <c r="O1018" s="1628">
        <v>1.4351560732863797</v>
      </c>
    </row>
    <row r="1019" spans="11:15">
      <c r="K1019" s="1625">
        <v>43076</v>
      </c>
      <c r="L1019" s="1626" t="s">
        <v>2301</v>
      </c>
      <c r="M1019" s="1627">
        <v>2.6481000000000001E-2</v>
      </c>
      <c r="N1019" s="1628">
        <v>1.3896727953266896</v>
      </c>
      <c r="O1019" s="1628">
        <v>1.4359099751232378</v>
      </c>
    </row>
    <row r="1020" spans="11:15">
      <c r="K1020" s="1625">
        <v>43077</v>
      </c>
      <c r="L1020" s="1626" t="s">
        <v>2301</v>
      </c>
      <c r="M1020" s="1627">
        <v>2.6481000000000001E-2</v>
      </c>
      <c r="N1020" s="1628">
        <v>1.39004079457962</v>
      </c>
      <c r="O1020" s="1628">
        <v>1.4366642729922698</v>
      </c>
    </row>
    <row r="1021" spans="11:15">
      <c r="K1021" s="1625">
        <v>43078</v>
      </c>
      <c r="L1021" s="1626"/>
      <c r="M1021" s="1627">
        <v>0</v>
      </c>
      <c r="N1021" s="1628">
        <v>1.39004079457962</v>
      </c>
      <c r="O1021" s="1628">
        <v>1.4366642729922698</v>
      </c>
    </row>
    <row r="1022" spans="11:15">
      <c r="K1022" s="1625">
        <v>43079</v>
      </c>
      <c r="L1022" s="1626"/>
      <c r="M1022" s="1627">
        <v>0</v>
      </c>
      <c r="N1022" s="1628">
        <v>1.39004079457962</v>
      </c>
      <c r="O1022" s="1628">
        <v>1.4366642729922698</v>
      </c>
    </row>
    <row r="1023" spans="11:15">
      <c r="K1023" s="1625">
        <v>43080</v>
      </c>
      <c r="L1023" s="1626" t="s">
        <v>2301</v>
      </c>
      <c r="M1023" s="1627">
        <v>2.6481000000000001E-2</v>
      </c>
      <c r="N1023" s="1628">
        <v>1.3904088912824326</v>
      </c>
      <c r="O1023" s="1628">
        <v>1.4374189671015154</v>
      </c>
    </row>
    <row r="1024" spans="11:15">
      <c r="K1024" s="1625">
        <v>43081</v>
      </c>
      <c r="L1024" s="1626" t="s">
        <v>2301</v>
      </c>
      <c r="M1024" s="1627">
        <v>2.6481000000000001E-2</v>
      </c>
      <c r="N1024" s="1628">
        <v>1.3907770854609331</v>
      </c>
      <c r="O1024" s="1628">
        <v>1.4381740576591235</v>
      </c>
    </row>
    <row r="1025" spans="11:15">
      <c r="K1025" s="1625">
        <v>43082</v>
      </c>
      <c r="L1025" s="1626" t="s">
        <v>2301</v>
      </c>
      <c r="M1025" s="1627">
        <v>2.6481000000000001E-2</v>
      </c>
      <c r="N1025" s="1628">
        <v>1.3911453771409341</v>
      </c>
      <c r="O1025" s="1628">
        <v>1.4389295448733526</v>
      </c>
    </row>
    <row r="1026" spans="11:15">
      <c r="K1026" s="1625">
        <v>43083</v>
      </c>
      <c r="L1026" s="1626" t="s">
        <v>2301</v>
      </c>
      <c r="M1026" s="1627">
        <v>2.6481000000000001E-2</v>
      </c>
      <c r="N1026" s="1628">
        <v>1.3915137663482549</v>
      </c>
      <c r="O1026" s="1628">
        <v>1.43968542895257</v>
      </c>
    </row>
    <row r="1027" spans="11:15">
      <c r="K1027" s="1625">
        <v>43084</v>
      </c>
      <c r="L1027" s="1626" t="s">
        <v>2301</v>
      </c>
      <c r="M1027" s="1627">
        <v>2.6481000000000001E-2</v>
      </c>
      <c r="N1027" s="1628">
        <v>1.3918822531087216</v>
      </c>
      <c r="O1027" s="1628">
        <v>1.4404417101052531</v>
      </c>
    </row>
    <row r="1028" spans="11:15">
      <c r="K1028" s="1625">
        <v>43085</v>
      </c>
      <c r="L1028" s="1626"/>
      <c r="M1028" s="1627">
        <v>0</v>
      </c>
      <c r="N1028" s="1628">
        <v>1.3918822531087216</v>
      </c>
      <c r="O1028" s="1628">
        <v>1.4404417101052531</v>
      </c>
    </row>
    <row r="1029" spans="11:15">
      <c r="K1029" s="1625">
        <v>43086</v>
      </c>
      <c r="L1029" s="1626"/>
      <c r="M1029" s="1627">
        <v>0</v>
      </c>
      <c r="N1029" s="1628">
        <v>1.3918822531087216</v>
      </c>
      <c r="O1029" s="1628">
        <v>1.4404417101052531</v>
      </c>
    </row>
    <row r="1030" spans="11:15">
      <c r="K1030" s="1625">
        <v>43087</v>
      </c>
      <c r="L1030" s="1626" t="s">
        <v>2301</v>
      </c>
      <c r="M1030" s="1627">
        <v>2.6481000000000001E-2</v>
      </c>
      <c r="N1030" s="1628">
        <v>1.3922508374481672</v>
      </c>
      <c r="O1030" s="1628">
        <v>1.4411983885399886</v>
      </c>
    </row>
    <row r="1031" spans="11:15">
      <c r="K1031" s="1625">
        <v>43088</v>
      </c>
      <c r="L1031" s="1626" t="s">
        <v>2301</v>
      </c>
      <c r="M1031" s="1627">
        <v>2.6481000000000001E-2</v>
      </c>
      <c r="N1031" s="1628">
        <v>1.392619519392432</v>
      </c>
      <c r="O1031" s="1628">
        <v>1.4419554644654726</v>
      </c>
    </row>
    <row r="1032" spans="11:15">
      <c r="K1032" s="1625">
        <v>43089</v>
      </c>
      <c r="L1032" s="1626" t="s">
        <v>2301</v>
      </c>
      <c r="M1032" s="1627">
        <v>2.6481000000000001E-2</v>
      </c>
      <c r="N1032" s="1628">
        <v>1.3929882989673623</v>
      </c>
      <c r="O1032" s="1628">
        <v>1.442712938090511</v>
      </c>
    </row>
    <row r="1033" spans="11:15">
      <c r="K1033" s="1625">
        <v>43090</v>
      </c>
      <c r="L1033" s="1626" t="s">
        <v>2301</v>
      </c>
      <c r="M1033" s="1627">
        <v>2.6481000000000001E-2</v>
      </c>
      <c r="N1033" s="1628">
        <v>1.3933571761988119</v>
      </c>
      <c r="O1033" s="1628">
        <v>1.4434708096240194</v>
      </c>
    </row>
    <row r="1034" spans="11:15">
      <c r="K1034" s="1625">
        <v>43091</v>
      </c>
      <c r="L1034" s="1626" t="s">
        <v>2301</v>
      </c>
      <c r="M1034" s="1627">
        <v>2.6481000000000001E-2</v>
      </c>
      <c r="N1034" s="1628">
        <v>1.3937261511126411</v>
      </c>
      <c r="O1034" s="1628">
        <v>1.444229079275023</v>
      </c>
    </row>
    <row r="1035" spans="11:15">
      <c r="K1035" s="1625">
        <v>43092</v>
      </c>
      <c r="L1035" s="1626"/>
      <c r="M1035" s="1627">
        <v>0</v>
      </c>
      <c r="N1035" s="1628">
        <v>1.3937261511126411</v>
      </c>
      <c r="O1035" s="1628">
        <v>1.444229079275023</v>
      </c>
    </row>
    <row r="1036" spans="11:15">
      <c r="K1036" s="1625">
        <v>43093</v>
      </c>
      <c r="L1036" s="1626"/>
      <c r="M1036" s="1627">
        <v>0</v>
      </c>
      <c r="N1036" s="1628">
        <v>1.3937261511126411</v>
      </c>
      <c r="O1036" s="1628">
        <v>1.444229079275023</v>
      </c>
    </row>
    <row r="1037" spans="11:15">
      <c r="K1037" s="1625">
        <v>43094</v>
      </c>
      <c r="L1037" s="1626"/>
      <c r="M1037" s="1627">
        <v>0</v>
      </c>
      <c r="N1037" s="1628">
        <v>1.3937261511126411</v>
      </c>
      <c r="O1037" s="1628">
        <v>1.444229079275023</v>
      </c>
    </row>
    <row r="1038" spans="11:15">
      <c r="K1038" s="1625">
        <v>43095</v>
      </c>
      <c r="L1038" s="1626" t="s">
        <v>2301</v>
      </c>
      <c r="M1038" s="1627">
        <v>2.6481000000000001E-2</v>
      </c>
      <c r="N1038" s="1628">
        <v>1.3940952237347173</v>
      </c>
      <c r="O1038" s="1628">
        <v>1.4449877472526569</v>
      </c>
    </row>
    <row r="1039" spans="11:15">
      <c r="K1039" s="1625">
        <v>43096</v>
      </c>
      <c r="L1039" s="1626" t="s">
        <v>2301</v>
      </c>
      <c r="M1039" s="1627">
        <v>2.6481000000000001E-2</v>
      </c>
      <c r="N1039" s="1628">
        <v>1.3944643940909145</v>
      </c>
      <c r="O1039" s="1628">
        <v>1.4457468137661662</v>
      </c>
    </row>
    <row r="1040" spans="11:15">
      <c r="K1040" s="1625">
        <v>43097</v>
      </c>
      <c r="L1040" s="1626" t="s">
        <v>2301</v>
      </c>
      <c r="M1040" s="1627">
        <v>2.6481000000000001E-2</v>
      </c>
      <c r="N1040" s="1628">
        <v>1.3948336622071138</v>
      </c>
      <c r="O1040" s="1628">
        <v>1.4465062790249057</v>
      </c>
    </row>
    <row r="1041" spans="11:15">
      <c r="K1041" s="1625">
        <v>43098</v>
      </c>
      <c r="L1041" s="1626" t="s">
        <v>2301</v>
      </c>
      <c r="M1041" s="1627">
        <v>2.6481000000000001E-2</v>
      </c>
      <c r="N1041" s="1628">
        <v>1.3952030281092029</v>
      </c>
      <c r="O1041" s="1628">
        <v>1.4472661432383402</v>
      </c>
    </row>
    <row r="1042" spans="11:15">
      <c r="K1042" s="1625">
        <v>43099</v>
      </c>
      <c r="L1042" s="1626"/>
      <c r="M1042" s="1627">
        <v>0</v>
      </c>
      <c r="N1042" s="1628">
        <v>1.3952030281092029</v>
      </c>
      <c r="O1042" s="1628">
        <v>1.4472661432383402</v>
      </c>
    </row>
    <row r="1043" spans="11:15">
      <c r="K1043" s="1625">
        <v>43100</v>
      </c>
      <c r="L1043" s="1626"/>
      <c r="M1043" s="1627">
        <v>0</v>
      </c>
      <c r="N1043" s="1628">
        <v>1.3952030281092029</v>
      </c>
      <c r="O1043" s="1628">
        <v>1.4472661432383402</v>
      </c>
    </row>
    <row r="1044" spans="11:15">
      <c r="K1044" s="1625">
        <v>43101</v>
      </c>
      <c r="L1044" s="1626"/>
      <c r="M1044" s="1627">
        <v>0</v>
      </c>
      <c r="N1044" s="1628">
        <v>1.3952030281092029</v>
      </c>
      <c r="O1044" s="1628">
        <v>1.4472661432383402</v>
      </c>
    </row>
    <row r="1045" spans="11:15">
      <c r="K1045" s="1625">
        <v>43102</v>
      </c>
      <c r="L1045" s="1626" t="s">
        <v>2301</v>
      </c>
      <c r="M1045" s="1627">
        <v>2.6481000000000001E-2</v>
      </c>
      <c r="N1045" s="1628">
        <v>1.3955724918230765</v>
      </c>
      <c r="O1045" s="1628"/>
    </row>
    <row r="1046" spans="11:15">
      <c r="K1046" s="1625">
        <v>43103</v>
      </c>
      <c r="L1046" s="1626" t="s">
        <v>2301</v>
      </c>
      <c r="M1046" s="1627">
        <v>2.6481000000000001E-2</v>
      </c>
      <c r="N1046" s="1628">
        <v>1.3959420533746363</v>
      </c>
      <c r="O1046" s="1628"/>
    </row>
    <row r="1047" spans="11:15">
      <c r="K1047" s="1625">
        <v>43104</v>
      </c>
      <c r="L1047" s="1626" t="s">
        <v>2301</v>
      </c>
      <c r="M1047" s="1627">
        <v>2.6481000000000001E-2</v>
      </c>
      <c r="N1047" s="1628">
        <v>1.3963117127897904</v>
      </c>
      <c r="O1047" s="1628"/>
    </row>
    <row r="1048" spans="11:15">
      <c r="K1048" s="1625">
        <v>43105</v>
      </c>
      <c r="L1048" s="1626" t="s">
        <v>2301</v>
      </c>
      <c r="M1048" s="1627">
        <v>2.6481000000000001E-2</v>
      </c>
      <c r="N1048" s="1628">
        <v>1.3966814700944543</v>
      </c>
      <c r="O1048" s="1628"/>
    </row>
    <row r="1049" spans="11:15">
      <c r="K1049" s="1625">
        <v>43106</v>
      </c>
      <c r="L1049" s="1626"/>
      <c r="M1049" s="1627">
        <v>0</v>
      </c>
      <c r="N1049" s="1628">
        <v>1.3966814700944543</v>
      </c>
      <c r="O1049" s="1628"/>
    </row>
    <row r="1050" spans="11:15">
      <c r="K1050" s="1625">
        <v>43107</v>
      </c>
      <c r="L1050" s="1626"/>
      <c r="M1050" s="1627">
        <v>0</v>
      </c>
      <c r="N1050" s="1628">
        <v>1.3966814700944543</v>
      </c>
      <c r="O1050" s="1628"/>
    </row>
    <row r="1051" spans="11:15">
      <c r="K1051" s="1625">
        <v>43108</v>
      </c>
      <c r="L1051" s="1626" t="s">
        <v>2301</v>
      </c>
      <c r="M1051" s="1627">
        <v>2.6481000000000001E-2</v>
      </c>
      <c r="N1051" s="1628">
        <v>1.39705132531455</v>
      </c>
      <c r="O1051" s="1628"/>
    </row>
    <row r="1052" spans="11:15">
      <c r="K1052" s="1625">
        <v>43109</v>
      </c>
      <c r="L1052" s="1626" t="s">
        <v>2301</v>
      </c>
      <c r="M1052" s="1627">
        <v>2.6481000000000001E-2</v>
      </c>
      <c r="N1052" s="1628">
        <v>1.3974212784760065</v>
      </c>
      <c r="O1052" s="1628"/>
    </row>
    <row r="1053" spans="11:15">
      <c r="K1053" s="1625">
        <v>43110</v>
      </c>
      <c r="L1053" s="1626" t="s">
        <v>2301</v>
      </c>
      <c r="M1053" s="1627">
        <v>2.6481000000000001E-2</v>
      </c>
      <c r="N1053" s="1628">
        <v>1.3977913296047597</v>
      </c>
      <c r="O1053" s="1628"/>
    </row>
    <row r="1054" spans="11:15">
      <c r="K1054" s="1625">
        <v>43111</v>
      </c>
      <c r="L1054" s="1626" t="s">
        <v>2301</v>
      </c>
      <c r="M1054" s="1627">
        <v>2.6481000000000001E-2</v>
      </c>
      <c r="N1054" s="1628">
        <v>1.3981614787267524</v>
      </c>
      <c r="O1054" s="1628"/>
    </row>
    <row r="1055" spans="11:15">
      <c r="K1055" s="1625">
        <v>43112</v>
      </c>
      <c r="L1055" s="1626" t="s">
        <v>2301</v>
      </c>
      <c r="M1055" s="1627">
        <v>2.6481000000000001E-2</v>
      </c>
      <c r="N1055" s="1628">
        <v>1.3985317258679342</v>
      </c>
      <c r="O1055" s="1628"/>
    </row>
    <row r="1056" spans="11:15">
      <c r="K1056" s="1625">
        <v>43113</v>
      </c>
      <c r="L1056" s="1626"/>
      <c r="M1056" s="1627">
        <v>0</v>
      </c>
      <c r="N1056" s="1628">
        <v>1.3985317258679342</v>
      </c>
      <c r="O1056" s="1628"/>
    </row>
    <row r="1057" spans="11:15">
      <c r="K1057" s="1625">
        <v>43114</v>
      </c>
      <c r="L1057" s="1626"/>
      <c r="M1057" s="1627">
        <v>0</v>
      </c>
      <c r="N1057" s="1628">
        <v>1.3985317258679342</v>
      </c>
      <c r="O1057" s="1628"/>
    </row>
    <row r="1058" spans="11:15">
      <c r="K1058" s="1625">
        <v>43115</v>
      </c>
      <c r="L1058" s="1626" t="s">
        <v>2301</v>
      </c>
      <c r="M1058" s="1627">
        <v>2.6481000000000001E-2</v>
      </c>
      <c r="N1058" s="1628">
        <v>1.3989020710542612</v>
      </c>
      <c r="O1058" s="1628"/>
    </row>
    <row r="1059" spans="11:15">
      <c r="K1059" s="1625">
        <v>43116</v>
      </c>
      <c r="L1059" s="1626" t="s">
        <v>2301</v>
      </c>
      <c r="M1059" s="1627">
        <v>2.6481000000000001E-2</v>
      </c>
      <c r="N1059" s="1628">
        <v>1.3992725143116971</v>
      </c>
      <c r="O1059" s="1628"/>
    </row>
    <row r="1060" spans="11:15">
      <c r="K1060" s="1625">
        <v>43117</v>
      </c>
      <c r="L1060" s="1626" t="s">
        <v>2301</v>
      </c>
      <c r="M1060" s="1627">
        <v>2.6481000000000001E-2</v>
      </c>
      <c r="N1060" s="1628">
        <v>1.3996430556662121</v>
      </c>
      <c r="O1060" s="1628"/>
    </row>
    <row r="1061" spans="11:15">
      <c r="K1061" s="1625">
        <v>43118</v>
      </c>
      <c r="L1061" s="1626" t="s">
        <v>2301</v>
      </c>
      <c r="M1061" s="1627">
        <v>2.6481000000000001E-2</v>
      </c>
      <c r="N1061" s="1628">
        <v>1.4000136951437829</v>
      </c>
      <c r="O1061" s="1628"/>
    </row>
    <row r="1062" spans="11:15">
      <c r="K1062" s="1625">
        <v>43119</v>
      </c>
      <c r="L1062" s="1626" t="s">
        <v>2301</v>
      </c>
      <c r="M1062" s="1627">
        <v>2.6481000000000001E-2</v>
      </c>
      <c r="N1062" s="1628">
        <v>1.400384432770394</v>
      </c>
      <c r="O1062" s="1628"/>
    </row>
    <row r="1063" spans="11:15">
      <c r="K1063" s="1625">
        <v>43120</v>
      </c>
      <c r="L1063" s="1626"/>
      <c r="M1063" s="1627">
        <v>0</v>
      </c>
      <c r="N1063" s="1628">
        <v>1.400384432770394</v>
      </c>
      <c r="O1063" s="1628"/>
    </row>
    <row r="1064" spans="11:15">
      <c r="K1064" s="1625">
        <v>43121</v>
      </c>
      <c r="L1064" s="1626"/>
      <c r="M1064" s="1627">
        <v>0</v>
      </c>
      <c r="N1064" s="1628">
        <v>1.400384432770394</v>
      </c>
      <c r="O1064" s="1628"/>
    </row>
    <row r="1065" spans="11:15">
      <c r="K1065" s="1625">
        <v>43122</v>
      </c>
      <c r="L1065" s="1626" t="s">
        <v>2301</v>
      </c>
      <c r="M1065" s="1627">
        <v>2.6481000000000001E-2</v>
      </c>
      <c r="N1065" s="1628">
        <v>1.4007552685720359</v>
      </c>
      <c r="O1065" s="1628"/>
    </row>
    <row r="1066" spans="11:15">
      <c r="K1066" s="1625">
        <v>43123</v>
      </c>
      <c r="L1066" s="1626" t="s">
        <v>2301</v>
      </c>
      <c r="M1066" s="1627">
        <v>2.6481000000000001E-2</v>
      </c>
      <c r="N1066" s="1628">
        <v>1.4011262025747064</v>
      </c>
      <c r="O1066" s="1628"/>
    </row>
    <row r="1067" spans="11:15">
      <c r="K1067" s="1625">
        <v>43124</v>
      </c>
      <c r="L1067" s="1626" t="s">
        <v>2301</v>
      </c>
      <c r="M1067" s="1627">
        <v>2.6481000000000001E-2</v>
      </c>
      <c r="N1067" s="1628">
        <v>1.4014972348044104</v>
      </c>
      <c r="O1067" s="1628"/>
    </row>
    <row r="1068" spans="11:15">
      <c r="K1068" s="1625">
        <v>43125</v>
      </c>
      <c r="L1068" s="1626" t="s">
        <v>2301</v>
      </c>
      <c r="M1068" s="1627">
        <v>2.6481000000000001E-2</v>
      </c>
      <c r="N1068" s="1628">
        <v>1.4018683652871589</v>
      </c>
      <c r="O1068" s="1628"/>
    </row>
    <row r="1069" spans="11:15">
      <c r="K1069" s="1625">
        <v>43126</v>
      </c>
      <c r="L1069" s="1626" t="s">
        <v>2301</v>
      </c>
      <c r="M1069" s="1627">
        <v>2.6481000000000001E-2</v>
      </c>
      <c r="N1069" s="1628">
        <v>1.4022395940489705</v>
      </c>
      <c r="O1069" s="1628"/>
    </row>
    <row r="1070" spans="11:15">
      <c r="K1070" s="1625">
        <v>43127</v>
      </c>
      <c r="L1070" s="1626"/>
      <c r="M1070" s="1627">
        <v>0</v>
      </c>
      <c r="N1070" s="1628">
        <v>1.4022395940489705</v>
      </c>
      <c r="O1070" s="1628"/>
    </row>
    <row r="1071" spans="11:15">
      <c r="K1071" s="1625">
        <v>43128</v>
      </c>
      <c r="L1071" s="1626"/>
      <c r="M1071" s="1627">
        <v>0</v>
      </c>
      <c r="N1071" s="1628">
        <v>1.4022395940489705</v>
      </c>
      <c r="O1071" s="1628"/>
    </row>
    <row r="1072" spans="11:15">
      <c r="K1072" s="1625">
        <v>43129</v>
      </c>
      <c r="L1072" s="1626" t="s">
        <v>2301</v>
      </c>
      <c r="M1072" s="1627">
        <v>2.6481000000000001E-2</v>
      </c>
      <c r="N1072" s="1628">
        <v>1.4026109211158706</v>
      </c>
      <c r="O1072" s="1628"/>
    </row>
    <row r="1073" spans="11:15">
      <c r="K1073" s="1625">
        <v>43130</v>
      </c>
      <c r="L1073" s="1626" t="s">
        <v>2301</v>
      </c>
      <c r="M1073" s="1627">
        <v>2.6481000000000001E-2</v>
      </c>
      <c r="N1073" s="1628">
        <v>1.4029823465138913</v>
      </c>
      <c r="O1073" s="1628"/>
    </row>
    <row r="1074" spans="11:15">
      <c r="K1074" s="1625">
        <v>43131</v>
      </c>
      <c r="L1074" s="1626" t="s">
        <v>2301</v>
      </c>
      <c r="M1074" s="1627">
        <v>2.6481000000000001E-2</v>
      </c>
      <c r="N1074" s="1628">
        <v>1.4033538702690718</v>
      </c>
      <c r="O1074" s="1628"/>
    </row>
    <row r="1075" spans="11:15">
      <c r="K1075" s="1625">
        <v>43132</v>
      </c>
      <c r="L1075" s="1626" t="s">
        <v>2301</v>
      </c>
      <c r="M1075" s="1627">
        <v>2.6481000000000001E-2</v>
      </c>
      <c r="N1075" s="1628">
        <v>1.4037254924074578</v>
      </c>
      <c r="O1075" s="1628"/>
    </row>
    <row r="1076" spans="11:15">
      <c r="K1076" s="1625">
        <v>43133</v>
      </c>
      <c r="L1076" s="1626" t="s">
        <v>2301</v>
      </c>
      <c r="M1076" s="1627">
        <v>2.6481000000000001E-2</v>
      </c>
      <c r="N1076" s="1628">
        <v>1.4040972129551021</v>
      </c>
      <c r="O1076" s="1628"/>
    </row>
    <row r="1077" spans="11:15">
      <c r="K1077" s="1625">
        <v>43134</v>
      </c>
      <c r="L1077" s="1626"/>
      <c r="M1077" s="1627">
        <v>0</v>
      </c>
      <c r="N1077" s="1628">
        <v>1.4040972129551021</v>
      </c>
      <c r="O1077" s="1628"/>
    </row>
    <row r="1078" spans="11:15">
      <c r="K1078" s="1625">
        <v>43135</v>
      </c>
      <c r="L1078" s="1626"/>
      <c r="M1078" s="1627">
        <v>0</v>
      </c>
      <c r="N1078" s="1628">
        <v>1.4040972129551021</v>
      </c>
      <c r="O1078" s="1628"/>
    </row>
    <row r="1079" spans="11:15">
      <c r="K1079" s="1625">
        <v>43136</v>
      </c>
      <c r="L1079" s="1626" t="s">
        <v>2301</v>
      </c>
      <c r="M1079" s="1627">
        <v>2.6481000000000001E-2</v>
      </c>
      <c r="N1079" s="1628">
        <v>1.4044690319380648</v>
      </c>
      <c r="O1079" s="1628"/>
    </row>
    <row r="1080" spans="11:15">
      <c r="K1080" s="1625">
        <v>43137</v>
      </c>
      <c r="L1080" s="1626" t="s">
        <v>2301</v>
      </c>
      <c r="M1080" s="1627">
        <v>2.6481000000000001E-2</v>
      </c>
      <c r="N1080" s="1628">
        <v>1.4048409493824123</v>
      </c>
      <c r="O1080" s="1628"/>
    </row>
    <row r="1081" spans="11:15">
      <c r="K1081" s="1625">
        <v>43138</v>
      </c>
      <c r="L1081" s="1626" t="s">
        <v>2301</v>
      </c>
      <c r="M1081" s="1627">
        <v>2.6481000000000001E-2</v>
      </c>
      <c r="N1081" s="1628">
        <v>1.4052129653142182</v>
      </c>
      <c r="O1081" s="1628"/>
    </row>
    <row r="1082" spans="11:15">
      <c r="K1082" s="1625">
        <v>43139</v>
      </c>
      <c r="L1082" s="1626" t="s">
        <v>2301</v>
      </c>
      <c r="M1082" s="1627">
        <v>2.5551999999999998E-2</v>
      </c>
      <c r="N1082" s="1628">
        <v>1.4055720253311155</v>
      </c>
      <c r="O1082" s="1628"/>
    </row>
    <row r="1083" spans="11:15">
      <c r="K1083" s="1625">
        <v>43140</v>
      </c>
      <c r="L1083" s="1626" t="s">
        <v>2301</v>
      </c>
      <c r="M1083" s="1627">
        <v>2.5551999999999998E-2</v>
      </c>
      <c r="N1083" s="1628">
        <v>1.4059311770950282</v>
      </c>
      <c r="O1083" s="1628"/>
    </row>
    <row r="1084" spans="11:15">
      <c r="K1084" s="1625">
        <v>43141</v>
      </c>
      <c r="L1084" s="1626"/>
      <c r="M1084" s="1627">
        <v>0</v>
      </c>
      <c r="N1084" s="1628">
        <v>1.4059311770950282</v>
      </c>
      <c r="O1084" s="1628"/>
    </row>
    <row r="1085" spans="11:15">
      <c r="K1085" s="1625">
        <v>43142</v>
      </c>
      <c r="L1085" s="1626"/>
      <c r="M1085" s="1627">
        <v>0</v>
      </c>
      <c r="N1085" s="1628">
        <v>1.4059311770950282</v>
      </c>
      <c r="O1085" s="1628"/>
    </row>
    <row r="1086" spans="11:15">
      <c r="K1086" s="1625">
        <v>43143</v>
      </c>
      <c r="L1086" s="1626"/>
      <c r="M1086" s="1627">
        <v>0</v>
      </c>
      <c r="N1086" s="1628">
        <v>1.4059311770950282</v>
      </c>
      <c r="O1086" s="1628"/>
    </row>
    <row r="1087" spans="11:15">
      <c r="K1087" s="1625">
        <v>43144</v>
      </c>
      <c r="L1087" s="1626"/>
      <c r="M1087" s="1627">
        <v>0</v>
      </c>
      <c r="N1087" s="1628">
        <v>1.4059311770950282</v>
      </c>
      <c r="O1087" s="1628"/>
    </row>
    <row r="1088" spans="11:15">
      <c r="K1088" s="1625">
        <v>43145</v>
      </c>
      <c r="L1088" s="1626" t="s">
        <v>2301</v>
      </c>
      <c r="M1088" s="1627">
        <v>2.5551999999999998E-2</v>
      </c>
      <c r="N1088" s="1628">
        <v>1.4062904206293996</v>
      </c>
      <c r="O1088" s="1628"/>
    </row>
    <row r="1089" spans="11:15">
      <c r="K1089" s="1625">
        <v>43146</v>
      </c>
      <c r="L1089" s="1626" t="s">
        <v>2301</v>
      </c>
      <c r="M1089" s="1627">
        <v>2.5551999999999998E-2</v>
      </c>
      <c r="N1089" s="1628">
        <v>1.4066497559576789</v>
      </c>
      <c r="O1089" s="1628"/>
    </row>
    <row r="1090" spans="11:15">
      <c r="K1090" s="1625">
        <v>43147</v>
      </c>
      <c r="L1090" s="1626" t="s">
        <v>2301</v>
      </c>
      <c r="M1090" s="1627">
        <v>2.5551999999999998E-2</v>
      </c>
      <c r="N1090" s="1628">
        <v>1.4070091831033213</v>
      </c>
      <c r="O1090" s="1628"/>
    </row>
    <row r="1091" spans="11:15">
      <c r="K1091" s="1625">
        <v>43148</v>
      </c>
      <c r="L1091" s="1626"/>
      <c r="M1091" s="1627">
        <v>0</v>
      </c>
      <c r="N1091" s="1628">
        <v>1.4070091831033213</v>
      </c>
      <c r="O1091" s="1628"/>
    </row>
    <row r="1092" spans="11:15">
      <c r="K1092" s="1625">
        <v>43149</v>
      </c>
      <c r="L1092" s="1626"/>
      <c r="M1092" s="1627">
        <v>0</v>
      </c>
      <c r="N1092" s="1628">
        <v>1.4070091831033213</v>
      </c>
      <c r="O1092" s="1628"/>
    </row>
    <row r="1093" spans="11:15">
      <c r="K1093" s="1625">
        <v>43150</v>
      </c>
      <c r="L1093" s="1626" t="s">
        <v>2301</v>
      </c>
      <c r="M1093" s="1627">
        <v>2.5551999999999998E-2</v>
      </c>
      <c r="N1093" s="1628">
        <v>1.407368702089788</v>
      </c>
      <c r="O1093" s="1628"/>
    </row>
    <row r="1094" spans="11:15">
      <c r="K1094" s="1625">
        <v>43151</v>
      </c>
      <c r="L1094" s="1626" t="s">
        <v>2301</v>
      </c>
      <c r="M1094" s="1627">
        <v>2.5551999999999998E-2</v>
      </c>
      <c r="N1094" s="1628">
        <v>1.407728312940546</v>
      </c>
      <c r="O1094" s="1628"/>
    </row>
    <row r="1095" spans="11:15">
      <c r="K1095" s="1625">
        <v>43152</v>
      </c>
      <c r="L1095" s="1626" t="s">
        <v>2301</v>
      </c>
      <c r="M1095" s="1627">
        <v>2.5551999999999998E-2</v>
      </c>
      <c r="N1095" s="1628">
        <v>1.4080880156790687</v>
      </c>
      <c r="O1095" s="1628"/>
    </row>
    <row r="1096" spans="11:15">
      <c r="K1096" s="1625">
        <v>43153</v>
      </c>
      <c r="L1096" s="1626" t="s">
        <v>2301</v>
      </c>
      <c r="M1096" s="1627">
        <v>2.5551999999999998E-2</v>
      </c>
      <c r="N1096" s="1628">
        <v>1.4084478103288351</v>
      </c>
      <c r="O1096" s="1628"/>
    </row>
    <row r="1097" spans="11:15">
      <c r="K1097" s="1625">
        <v>43154</v>
      </c>
      <c r="L1097" s="1626" t="s">
        <v>2301</v>
      </c>
      <c r="M1097" s="1627">
        <v>2.5551999999999998E-2</v>
      </c>
      <c r="N1097" s="1628">
        <v>1.4088076969133305</v>
      </c>
      <c r="O1097" s="1628"/>
    </row>
    <row r="1098" spans="11:15">
      <c r="K1098" s="1625">
        <v>43155</v>
      </c>
      <c r="L1098" s="1626"/>
      <c r="M1098" s="1627">
        <v>0</v>
      </c>
      <c r="N1098" s="1628">
        <v>1.4088076969133305</v>
      </c>
      <c r="O1098" s="1628"/>
    </row>
    <row r="1099" spans="11:15">
      <c r="K1099" s="1625">
        <v>43156</v>
      </c>
      <c r="L1099" s="1626"/>
      <c r="M1099" s="1627">
        <v>0</v>
      </c>
      <c r="N1099" s="1628">
        <v>1.4088076969133305</v>
      </c>
      <c r="O1099" s="1628"/>
    </row>
    <row r="1100" spans="11:15">
      <c r="K1100" s="1625">
        <v>43157</v>
      </c>
      <c r="L1100" s="1626" t="s">
        <v>2301</v>
      </c>
      <c r="M1100" s="1627">
        <v>2.5551999999999998E-2</v>
      </c>
      <c r="N1100" s="1628">
        <v>1.4091676754560458</v>
      </c>
      <c r="O1100" s="1628"/>
    </row>
    <row r="1101" spans="11:15">
      <c r="K1101" s="1625">
        <v>43158</v>
      </c>
      <c r="L1101" s="1626" t="s">
        <v>2301</v>
      </c>
      <c r="M1101" s="1627">
        <v>2.5551999999999998E-2</v>
      </c>
      <c r="N1101" s="1628">
        <v>1.4095277459804785</v>
      </c>
      <c r="O1101" s="1628"/>
    </row>
    <row r="1102" spans="11:15">
      <c r="K1102" s="1625">
        <v>43159</v>
      </c>
      <c r="L1102" s="1626" t="s">
        <v>2301</v>
      </c>
      <c r="M1102" s="1627">
        <v>2.5551999999999998E-2</v>
      </c>
      <c r="N1102" s="1628">
        <v>1.4098879085101315</v>
      </c>
      <c r="O1102" s="1628"/>
    </row>
    <row r="1103" spans="11:15">
      <c r="K1103" s="1625">
        <v>43160</v>
      </c>
      <c r="L1103" s="1626" t="s">
        <v>2301</v>
      </c>
      <c r="M1103" s="1627">
        <v>2.5551999999999998E-2</v>
      </c>
      <c r="N1103" s="1628">
        <v>1.410248163068514</v>
      </c>
      <c r="O1103" s="1628"/>
    </row>
    <row r="1104" spans="11:15">
      <c r="K1104" s="1625">
        <v>43161</v>
      </c>
      <c r="L1104" s="1626" t="s">
        <v>2301</v>
      </c>
      <c r="M1104" s="1627">
        <v>2.5551999999999998E-2</v>
      </c>
      <c r="N1104" s="1628">
        <v>1.4106085096791414</v>
      </c>
      <c r="O1104" s="1628"/>
    </row>
    <row r="1105" spans="11:15">
      <c r="K1105" s="1625">
        <v>43162</v>
      </c>
      <c r="L1105" s="1626"/>
      <c r="M1105" s="1627">
        <v>0</v>
      </c>
      <c r="N1105" s="1628">
        <v>1.4106085096791414</v>
      </c>
      <c r="O1105" s="1628"/>
    </row>
    <row r="1106" spans="11:15">
      <c r="K1106" s="1625">
        <v>43163</v>
      </c>
      <c r="L1106" s="1626"/>
      <c r="M1106" s="1627">
        <v>0</v>
      </c>
      <c r="N1106" s="1628">
        <v>1.4106085096791414</v>
      </c>
      <c r="O1106" s="1628"/>
    </row>
    <row r="1107" spans="11:15">
      <c r="K1107" s="1625">
        <v>43164</v>
      </c>
      <c r="L1107" s="1626" t="s">
        <v>2301</v>
      </c>
      <c r="M1107" s="1627">
        <v>2.5551999999999998E-2</v>
      </c>
      <c r="N1107" s="1628">
        <v>1.4109689483655348</v>
      </c>
      <c r="O1107" s="1628"/>
    </row>
    <row r="1108" spans="11:15">
      <c r="K1108" s="1625">
        <v>43165</v>
      </c>
      <c r="L1108" s="1626" t="s">
        <v>2301</v>
      </c>
      <c r="M1108" s="1627">
        <v>2.5551999999999998E-2</v>
      </c>
      <c r="N1108" s="1628">
        <v>1.4113294791512212</v>
      </c>
      <c r="O1108" s="1628"/>
    </row>
    <row r="1109" spans="11:15">
      <c r="K1109" s="1625">
        <v>43166</v>
      </c>
      <c r="L1109" s="1626" t="s">
        <v>2301</v>
      </c>
      <c r="M1109" s="1627">
        <v>2.5551999999999998E-2</v>
      </c>
      <c r="N1109" s="1628">
        <v>1.4116901020597341</v>
      </c>
      <c r="O1109" s="1628"/>
    </row>
    <row r="1110" spans="11:15">
      <c r="K1110" s="1625">
        <v>43167</v>
      </c>
      <c r="L1110" s="1626" t="s">
        <v>2301</v>
      </c>
      <c r="M1110" s="1627">
        <v>2.5551999999999998E-2</v>
      </c>
      <c r="N1110" s="1628">
        <v>1.4120508171146124</v>
      </c>
      <c r="O1110" s="1628"/>
    </row>
    <row r="1111" spans="11:15">
      <c r="K1111" s="1625">
        <v>43168</v>
      </c>
      <c r="L1111" s="1626" t="s">
        <v>2301</v>
      </c>
      <c r="M1111" s="1627">
        <v>2.5551999999999998E-2</v>
      </c>
      <c r="N1111" s="1628">
        <v>1.4124116243394016</v>
      </c>
      <c r="O1111" s="1628"/>
    </row>
    <row r="1112" spans="11:15">
      <c r="K1112" s="1625">
        <v>43169</v>
      </c>
      <c r="L1112" s="1626"/>
      <c r="M1112" s="1627">
        <v>0</v>
      </c>
      <c r="N1112" s="1628">
        <v>1.4124116243394016</v>
      </c>
      <c r="O1112" s="1628"/>
    </row>
    <row r="1113" spans="11:15">
      <c r="K1113" s="1625">
        <v>43170</v>
      </c>
      <c r="L1113" s="1626"/>
      <c r="M1113" s="1627">
        <v>0</v>
      </c>
      <c r="N1113" s="1628">
        <v>1.4124116243394016</v>
      </c>
      <c r="O1113" s="1628"/>
    </row>
    <row r="1114" spans="11:15">
      <c r="K1114" s="1625">
        <v>43171</v>
      </c>
      <c r="L1114" s="1626" t="s">
        <v>2301</v>
      </c>
      <c r="M1114" s="1627">
        <v>2.5551999999999998E-2</v>
      </c>
      <c r="N1114" s="1628">
        <v>1.4127725237576529</v>
      </c>
      <c r="O1114" s="1628"/>
    </row>
    <row r="1115" spans="11:15">
      <c r="K1115" s="1625">
        <v>43172</v>
      </c>
      <c r="L1115" s="1626" t="s">
        <v>2301</v>
      </c>
      <c r="M1115" s="1627">
        <v>2.5551999999999998E-2</v>
      </c>
      <c r="N1115" s="1628">
        <v>1.4131335153929236</v>
      </c>
      <c r="O1115" s="1628"/>
    </row>
    <row r="1116" spans="11:15">
      <c r="K1116" s="1625">
        <v>43173</v>
      </c>
      <c r="L1116" s="1626" t="s">
        <v>2301</v>
      </c>
      <c r="M1116" s="1627">
        <v>2.5551999999999998E-2</v>
      </c>
      <c r="N1116" s="1628">
        <v>1.4134945992687769</v>
      </c>
      <c r="O1116" s="1628"/>
    </row>
    <row r="1117" spans="11:15">
      <c r="K1117" s="1625">
        <v>43174</v>
      </c>
      <c r="L1117" s="1626" t="s">
        <v>2301</v>
      </c>
      <c r="M1117" s="1627">
        <v>2.5551999999999998E-2</v>
      </c>
      <c r="N1117" s="1628">
        <v>1.4138557754087822</v>
      </c>
      <c r="O1117" s="1628"/>
    </row>
    <row r="1118" spans="11:15">
      <c r="K1118" s="1625">
        <v>43175</v>
      </c>
      <c r="L1118" s="1626" t="s">
        <v>2301</v>
      </c>
      <c r="M1118" s="1627">
        <v>2.5551999999999998E-2</v>
      </c>
      <c r="N1118" s="1628">
        <v>1.4142170438365147</v>
      </c>
      <c r="O1118" s="1628"/>
    </row>
    <row r="1119" spans="11:15">
      <c r="K1119" s="1625">
        <v>43176</v>
      </c>
      <c r="L1119" s="1626"/>
      <c r="M1119" s="1627">
        <v>0</v>
      </c>
      <c r="N1119" s="1628">
        <v>1.4142170438365147</v>
      </c>
      <c r="O1119" s="1628"/>
    </row>
    <row r="1120" spans="11:15">
      <c r="K1120" s="1625">
        <v>43177</v>
      </c>
      <c r="L1120" s="1626"/>
      <c r="M1120" s="1627">
        <v>0</v>
      </c>
      <c r="N1120" s="1628">
        <v>1.4142170438365147</v>
      </c>
      <c r="O1120" s="1628"/>
    </row>
    <row r="1121" spans="11:15">
      <c r="K1121" s="1625">
        <v>43178</v>
      </c>
      <c r="L1121" s="1626" t="s">
        <v>2301</v>
      </c>
      <c r="M1121" s="1627">
        <v>2.5551999999999998E-2</v>
      </c>
      <c r="N1121" s="1628">
        <v>1.4145784045755558</v>
      </c>
      <c r="O1121" s="1628"/>
    </row>
    <row r="1122" spans="11:15">
      <c r="K1122" s="1625">
        <v>43179</v>
      </c>
      <c r="L1122" s="1626" t="s">
        <v>2301</v>
      </c>
      <c r="M1122" s="1627">
        <v>2.5551999999999998E-2</v>
      </c>
      <c r="N1122" s="1628">
        <v>1.4149398576494931</v>
      </c>
      <c r="O1122" s="1628"/>
    </row>
    <row r="1123" spans="11:15">
      <c r="K1123" s="1625">
        <v>43180</v>
      </c>
      <c r="L1123" s="1626" t="s">
        <v>2301</v>
      </c>
      <c r="M1123" s="1627">
        <v>2.5551999999999998E-2</v>
      </c>
      <c r="N1123" s="1628">
        <v>1.4153014030819198</v>
      </c>
      <c r="O1123" s="1628"/>
    </row>
    <row r="1124" spans="11:15">
      <c r="K1124" s="1625">
        <v>43181</v>
      </c>
      <c r="L1124" s="1626" t="s">
        <v>2301</v>
      </c>
      <c r="M1124" s="1627">
        <v>2.462E-2</v>
      </c>
      <c r="N1124" s="1628">
        <v>1.4156498502873587</v>
      </c>
      <c r="O1124" s="1628"/>
    </row>
    <row r="1125" spans="11:15">
      <c r="K1125" s="1625">
        <v>43182</v>
      </c>
      <c r="L1125" s="1626" t="s">
        <v>2301</v>
      </c>
      <c r="M1125" s="1627">
        <v>2.462E-2</v>
      </c>
      <c r="N1125" s="1628">
        <v>1.4159983832804997</v>
      </c>
      <c r="O1125" s="1628"/>
    </row>
    <row r="1126" spans="11:15">
      <c r="K1126" s="1625">
        <v>43183</v>
      </c>
      <c r="L1126" s="1626"/>
      <c r="M1126" s="1627">
        <v>0</v>
      </c>
      <c r="N1126" s="1628">
        <v>1.4159983832804997</v>
      </c>
      <c r="O1126" s="1628"/>
    </row>
    <row r="1127" spans="11:15">
      <c r="K1127" s="1625">
        <v>43184</v>
      </c>
      <c r="L1127" s="1626"/>
      <c r="M1127" s="1627">
        <v>0</v>
      </c>
      <c r="N1127" s="1628">
        <v>1.4159983832804997</v>
      </c>
      <c r="O1127" s="1628"/>
    </row>
    <row r="1128" spans="11:15">
      <c r="K1128" s="1625">
        <v>43185</v>
      </c>
      <c r="L1128" s="1626" t="s">
        <v>2301</v>
      </c>
      <c r="M1128" s="1627">
        <v>2.462E-2</v>
      </c>
      <c r="N1128" s="1628">
        <v>1.4163470020824633</v>
      </c>
      <c r="O1128" s="1628"/>
    </row>
    <row r="1129" spans="11:15">
      <c r="K1129" s="1625">
        <v>43186</v>
      </c>
      <c r="L1129" s="1626" t="s">
        <v>2301</v>
      </c>
      <c r="M1129" s="1627">
        <v>2.462E-2</v>
      </c>
      <c r="N1129" s="1628">
        <v>1.4166957067143762</v>
      </c>
      <c r="O1129" s="1628"/>
    </row>
    <row r="1130" spans="11:15">
      <c r="K1130" s="1625">
        <v>43187</v>
      </c>
      <c r="L1130" s="1626" t="s">
        <v>2301</v>
      </c>
      <c r="M1130" s="1627">
        <v>2.462E-2</v>
      </c>
      <c r="N1130" s="1628">
        <v>1.4170444971973695</v>
      </c>
      <c r="O1130" s="1628"/>
    </row>
    <row r="1131" spans="11:15">
      <c r="K1131" s="1625">
        <v>43188</v>
      </c>
      <c r="L1131" s="1626" t="s">
        <v>2301</v>
      </c>
      <c r="M1131" s="1627">
        <v>2.462E-2</v>
      </c>
      <c r="N1131" s="1628">
        <v>1.4173933735525797</v>
      </c>
      <c r="O1131" s="1628"/>
    </row>
    <row r="1132" spans="11:15">
      <c r="K1132" s="1625">
        <v>43189</v>
      </c>
      <c r="L1132" s="1626"/>
      <c r="M1132" s="1627">
        <v>0</v>
      </c>
      <c r="N1132" s="1628">
        <v>1.4173933735525797</v>
      </c>
      <c r="O1132" s="1628"/>
    </row>
    <row r="1133" spans="11:15">
      <c r="K1133" s="1625">
        <v>43190</v>
      </c>
      <c r="L1133" s="1626"/>
      <c r="M1133" s="1627">
        <v>0</v>
      </c>
      <c r="N1133" s="1628">
        <v>1.4173933735525797</v>
      </c>
      <c r="O1133" s="1628"/>
    </row>
    <row r="1134" spans="11:15">
      <c r="K1134" s="1625">
        <v>43191</v>
      </c>
      <c r="L1134" s="1626"/>
      <c r="M1134" s="1627">
        <v>0</v>
      </c>
      <c r="N1134" s="1628">
        <v>1.4173933735525797</v>
      </c>
      <c r="O1134" s="1628"/>
    </row>
    <row r="1135" spans="11:15">
      <c r="K1135" s="1625">
        <v>43192</v>
      </c>
      <c r="L1135" s="1626" t="s">
        <v>2301</v>
      </c>
      <c r="M1135" s="1627">
        <v>2.462E-2</v>
      </c>
      <c r="N1135" s="1628">
        <v>1.4177423358011485</v>
      </c>
      <c r="O1135" s="1628"/>
    </row>
    <row r="1136" spans="11:15">
      <c r="K1136" s="1625">
        <v>43193</v>
      </c>
      <c r="L1136" s="1626" t="s">
        <v>2301</v>
      </c>
      <c r="M1136" s="1627">
        <v>2.462E-2</v>
      </c>
      <c r="N1136" s="1628">
        <v>1.4180913839642229</v>
      </c>
      <c r="O1136" s="1628"/>
    </row>
    <row r="1137" spans="11:15">
      <c r="K1137" s="1625">
        <v>43194</v>
      </c>
      <c r="L1137" s="1626" t="s">
        <v>2301</v>
      </c>
      <c r="M1137" s="1627">
        <v>2.462E-2</v>
      </c>
      <c r="N1137" s="1628">
        <v>1.4184405180629549</v>
      </c>
      <c r="O1137" s="1628"/>
    </row>
    <row r="1138" spans="11:15">
      <c r="K1138" s="1625">
        <v>43195</v>
      </c>
      <c r="L1138" s="1626" t="s">
        <v>2301</v>
      </c>
      <c r="M1138" s="1627">
        <v>2.462E-2</v>
      </c>
      <c r="N1138" s="1628">
        <v>1.4187897381185022</v>
      </c>
      <c r="O1138" s="1628"/>
    </row>
    <row r="1139" spans="11:15">
      <c r="K1139" s="1625">
        <v>43196</v>
      </c>
      <c r="L1139" s="1626" t="s">
        <v>2301</v>
      </c>
      <c r="M1139" s="1627">
        <v>2.462E-2</v>
      </c>
      <c r="N1139" s="1628">
        <v>1.4191390441520271</v>
      </c>
      <c r="O1139" s="1628"/>
    </row>
    <row r="1140" spans="11:15">
      <c r="K1140" s="1625">
        <v>43197</v>
      </c>
      <c r="L1140" s="1626"/>
      <c r="M1140" s="1627">
        <v>0</v>
      </c>
      <c r="N1140" s="1628">
        <v>1.4191390441520271</v>
      </c>
      <c r="O1140" s="1628"/>
    </row>
    <row r="1141" spans="11:15">
      <c r="K1141" s="1625">
        <v>43198</v>
      </c>
      <c r="L1141" s="1626"/>
      <c r="M1141" s="1627">
        <v>0</v>
      </c>
      <c r="N1141" s="1628">
        <v>1.4191390441520271</v>
      </c>
      <c r="O1141" s="1628"/>
    </row>
    <row r="1142" spans="11:15">
      <c r="K1142" s="1625">
        <v>43199</v>
      </c>
      <c r="L1142" s="1626" t="s">
        <v>2301</v>
      </c>
      <c r="M1142" s="1627">
        <v>2.462E-2</v>
      </c>
      <c r="N1142" s="1628">
        <v>1.4194884361846973</v>
      </c>
      <c r="O1142" s="1628"/>
    </row>
    <row r="1143" spans="11:15">
      <c r="K1143" s="1625">
        <v>43200</v>
      </c>
      <c r="L1143" s="1626" t="s">
        <v>2301</v>
      </c>
      <c r="M1143" s="1627">
        <v>2.462E-2</v>
      </c>
      <c r="N1143" s="1628">
        <v>1.419837914237686</v>
      </c>
      <c r="O1143" s="1628"/>
    </row>
    <row r="1144" spans="11:15">
      <c r="K1144" s="1625">
        <v>43201</v>
      </c>
      <c r="L1144" s="1626" t="s">
        <v>2301</v>
      </c>
      <c r="M1144" s="1627">
        <v>2.462E-2</v>
      </c>
      <c r="N1144" s="1628">
        <v>1.4201874783321715</v>
      </c>
      <c r="O1144" s="1628"/>
    </row>
    <row r="1145" spans="11:15">
      <c r="K1145" s="1625">
        <v>43202</v>
      </c>
      <c r="L1145" s="1626" t="s">
        <v>2301</v>
      </c>
      <c r="M1145" s="1627">
        <v>2.462E-2</v>
      </c>
      <c r="N1145" s="1628">
        <v>1.4205371284893371</v>
      </c>
      <c r="O1145" s="1628"/>
    </row>
    <row r="1146" spans="11:15">
      <c r="K1146" s="1625">
        <v>43203</v>
      </c>
      <c r="L1146" s="1626" t="s">
        <v>2301</v>
      </c>
      <c r="M1146" s="1627">
        <v>2.462E-2</v>
      </c>
      <c r="N1146" s="1628">
        <v>1.4208868647303714</v>
      </c>
      <c r="O1146" s="1628"/>
    </row>
    <row r="1147" spans="11:15">
      <c r="K1147" s="1625">
        <v>43204</v>
      </c>
      <c r="L1147" s="1626"/>
      <c r="M1147" s="1627">
        <v>0</v>
      </c>
      <c r="N1147" s="1628">
        <v>1.4208868647303714</v>
      </c>
      <c r="O1147" s="1628"/>
    </row>
    <row r="1148" spans="11:15">
      <c r="K1148" s="1625">
        <v>43205</v>
      </c>
      <c r="L1148" s="1626"/>
      <c r="M1148" s="1627">
        <v>0</v>
      </c>
      <c r="N1148" s="1628">
        <v>1.4208868647303714</v>
      </c>
      <c r="O1148" s="1628"/>
    </row>
    <row r="1149" spans="11:15">
      <c r="K1149" s="1625">
        <v>43206</v>
      </c>
      <c r="L1149" s="1626" t="s">
        <v>2301</v>
      </c>
      <c r="M1149" s="1627">
        <v>2.462E-2</v>
      </c>
      <c r="N1149" s="1628">
        <v>1.4212366870764681</v>
      </c>
      <c r="O1149" s="1628"/>
    </row>
    <row r="1150" spans="11:15">
      <c r="K1150" s="1625">
        <v>43207</v>
      </c>
      <c r="L1150" s="1626" t="s">
        <v>2301</v>
      </c>
      <c r="M1150" s="1627">
        <v>2.462E-2</v>
      </c>
      <c r="N1150" s="1628">
        <v>1.4215865955488265</v>
      </c>
      <c r="O1150" s="1628"/>
    </row>
    <row r="1151" spans="11:15">
      <c r="K1151" s="1625">
        <v>43208</v>
      </c>
      <c r="L1151" s="1626" t="s">
        <v>2301</v>
      </c>
      <c r="M1151" s="1627">
        <v>2.462E-2</v>
      </c>
      <c r="N1151" s="1628">
        <v>1.4219365901686507</v>
      </c>
      <c r="O1151" s="1628"/>
    </row>
    <row r="1152" spans="11:15">
      <c r="K1152" s="1625">
        <v>43209</v>
      </c>
      <c r="L1152" s="1626" t="s">
        <v>2301</v>
      </c>
      <c r="M1152" s="1627">
        <v>2.462E-2</v>
      </c>
      <c r="N1152" s="1628">
        <v>1.4222866709571504</v>
      </c>
      <c r="O1152" s="1628"/>
    </row>
    <row r="1153" spans="11:15">
      <c r="K1153" s="1625">
        <v>43210</v>
      </c>
      <c r="L1153" s="1626" t="s">
        <v>2301</v>
      </c>
      <c r="M1153" s="1627">
        <v>2.462E-2</v>
      </c>
      <c r="N1153" s="1628">
        <v>1.4226368379355403</v>
      </c>
      <c r="O1153" s="1628"/>
    </row>
    <row r="1154" spans="11:15">
      <c r="K1154" s="1625">
        <v>43211</v>
      </c>
      <c r="L1154" s="1626"/>
      <c r="M1154" s="1627">
        <v>0</v>
      </c>
      <c r="N1154" s="1628">
        <v>1.4226368379355403</v>
      </c>
      <c r="O1154" s="1628"/>
    </row>
    <row r="1155" spans="11:15">
      <c r="K1155" s="1625">
        <v>43212</v>
      </c>
      <c r="L1155" s="1626"/>
      <c r="M1155" s="1627">
        <v>0</v>
      </c>
      <c r="N1155" s="1628">
        <v>1.4226368379355403</v>
      </c>
      <c r="O1155" s="1628"/>
    </row>
    <row r="1156" spans="11:15">
      <c r="K1156" s="1625">
        <v>43213</v>
      </c>
      <c r="L1156" s="1626" t="s">
        <v>2301</v>
      </c>
      <c r="M1156" s="1627">
        <v>2.462E-2</v>
      </c>
      <c r="N1156" s="1628">
        <v>1.4229870911250402</v>
      </c>
      <c r="O1156" s="1628"/>
    </row>
    <row r="1157" spans="11:15">
      <c r="K1157" s="1625">
        <v>43214</v>
      </c>
      <c r="L1157" s="1626" t="s">
        <v>2301</v>
      </c>
      <c r="M1157" s="1627">
        <v>2.462E-2</v>
      </c>
      <c r="N1157" s="1628">
        <v>1.4233374305468753</v>
      </c>
      <c r="O1157" s="1628"/>
    </row>
    <row r="1158" spans="11:15">
      <c r="K1158" s="1625">
        <v>43215</v>
      </c>
      <c r="L1158" s="1626" t="s">
        <v>2301</v>
      </c>
      <c r="M1158" s="1627">
        <v>2.462E-2</v>
      </c>
      <c r="N1158" s="1628">
        <v>1.4236878562222761</v>
      </c>
      <c r="O1158" s="1628"/>
    </row>
    <row r="1159" spans="11:15">
      <c r="K1159" s="1625">
        <v>43216</v>
      </c>
      <c r="L1159" s="1626" t="s">
        <v>2301</v>
      </c>
      <c r="M1159" s="1627">
        <v>2.462E-2</v>
      </c>
      <c r="N1159" s="1628">
        <v>1.4240383681724782</v>
      </c>
      <c r="O1159" s="1628"/>
    </row>
    <row r="1160" spans="11:15">
      <c r="K1160" s="1625">
        <v>43217</v>
      </c>
      <c r="L1160" s="1626" t="s">
        <v>2301</v>
      </c>
      <c r="M1160" s="1627">
        <v>2.462E-2</v>
      </c>
      <c r="N1160" s="1628">
        <v>1.4243889664187224</v>
      </c>
      <c r="O1160" s="1628"/>
    </row>
    <row r="1161" spans="11:15">
      <c r="K1161" s="1625">
        <v>43218</v>
      </c>
      <c r="L1161" s="1626"/>
      <c r="M1161" s="1627">
        <v>0</v>
      </c>
      <c r="N1161" s="1628">
        <v>1.4243889664187224</v>
      </c>
      <c r="O1161" s="1628"/>
    </row>
    <row r="1162" spans="11:15">
      <c r="K1162" s="1625">
        <v>43219</v>
      </c>
      <c r="L1162" s="1626"/>
      <c r="M1162" s="1627">
        <v>0</v>
      </c>
      <c r="N1162" s="1628">
        <v>1.4243889664187224</v>
      </c>
      <c r="O1162" s="1628"/>
    </row>
    <row r="1163" spans="11:15">
      <c r="K1163" s="1625">
        <v>43220</v>
      </c>
      <c r="L1163" s="1626" t="s">
        <v>2301</v>
      </c>
      <c r="M1163" s="1627">
        <v>2.462E-2</v>
      </c>
      <c r="N1163" s="1628">
        <v>1.4247396509822547</v>
      </c>
      <c r="O1163" s="1628"/>
    </row>
    <row r="1164" spans="11:15">
      <c r="K1164" s="1625">
        <v>43221</v>
      </c>
      <c r="L1164" s="1626"/>
      <c r="M1164" s="1627">
        <v>0</v>
      </c>
      <c r="N1164" s="1628">
        <v>1.4247396509822547</v>
      </c>
      <c r="O1164" s="1628"/>
    </row>
    <row r="1165" spans="11:15">
      <c r="K1165" s="1625">
        <v>43222</v>
      </c>
      <c r="L1165" s="1626" t="s">
        <v>2301</v>
      </c>
      <c r="M1165" s="1627">
        <v>2.462E-2</v>
      </c>
      <c r="N1165" s="1628">
        <v>1.4250904218843268</v>
      </c>
      <c r="O1165" s="1628"/>
    </row>
    <row r="1166" spans="11:15">
      <c r="K1166" s="1625">
        <v>43223</v>
      </c>
      <c r="L1166" s="1626" t="s">
        <v>2301</v>
      </c>
      <c r="M1166" s="1627">
        <v>2.462E-2</v>
      </c>
      <c r="N1166" s="1628">
        <v>1.4254412791461948</v>
      </c>
      <c r="O1166" s="1628"/>
    </row>
    <row r="1167" spans="11:15">
      <c r="K1167" s="1625">
        <v>43224</v>
      </c>
      <c r="L1167" s="1626" t="s">
        <v>2301</v>
      </c>
      <c r="M1167" s="1627">
        <v>2.462E-2</v>
      </c>
      <c r="N1167" s="1628">
        <v>1.4257922227891207</v>
      </c>
      <c r="O1167" s="1628"/>
    </row>
    <row r="1168" spans="11:15">
      <c r="K1168" s="1625">
        <v>43225</v>
      </c>
      <c r="L1168" s="1626"/>
      <c r="M1168" s="1627">
        <v>0</v>
      </c>
      <c r="N1168" s="1628">
        <v>1.4257922227891207</v>
      </c>
      <c r="O1168" s="1628"/>
    </row>
    <row r="1169" spans="11:15">
      <c r="K1169" s="1625">
        <v>43226</v>
      </c>
      <c r="L1169" s="1626"/>
      <c r="M1169" s="1627">
        <v>0</v>
      </c>
      <c r="N1169" s="1628">
        <v>1.4257922227891207</v>
      </c>
      <c r="O1169" s="1628"/>
    </row>
    <row r="1170" spans="11:15">
      <c r="K1170" s="1625">
        <v>43227</v>
      </c>
      <c r="L1170" s="1626" t="s">
        <v>2301</v>
      </c>
      <c r="M1170" s="1627">
        <v>2.462E-2</v>
      </c>
      <c r="N1170" s="1628">
        <v>1.4261432528343714</v>
      </c>
      <c r="O1170" s="1628"/>
    </row>
    <row r="1171" spans="11:15">
      <c r="K1171" s="1625">
        <v>43228</v>
      </c>
      <c r="L1171" s="1626" t="s">
        <v>2301</v>
      </c>
      <c r="M1171" s="1627">
        <v>2.462E-2</v>
      </c>
      <c r="N1171" s="1628">
        <v>1.4264943693032193</v>
      </c>
      <c r="O1171" s="1628"/>
    </row>
    <row r="1172" spans="11:15">
      <c r="K1172" s="1625">
        <v>43229</v>
      </c>
      <c r="L1172" s="1626" t="s">
        <v>2301</v>
      </c>
      <c r="M1172" s="1627">
        <v>2.462E-2</v>
      </c>
      <c r="N1172" s="1628">
        <v>1.4268455722169417</v>
      </c>
      <c r="O1172" s="1628"/>
    </row>
    <row r="1173" spans="11:15">
      <c r="K1173" s="1625">
        <v>43230</v>
      </c>
      <c r="L1173" s="1626" t="s">
        <v>2301</v>
      </c>
      <c r="M1173" s="1627">
        <v>2.462E-2</v>
      </c>
      <c r="N1173" s="1628">
        <v>1.4271968615968216</v>
      </c>
      <c r="O1173" s="1628"/>
    </row>
    <row r="1174" spans="11:15">
      <c r="K1174" s="1625">
        <v>43231</v>
      </c>
      <c r="L1174" s="1626" t="s">
        <v>2301</v>
      </c>
      <c r="M1174" s="1627">
        <v>2.462E-2</v>
      </c>
      <c r="N1174" s="1628">
        <v>1.4275482374641468</v>
      </c>
      <c r="O1174" s="1628"/>
    </row>
    <row r="1175" spans="11:15">
      <c r="K1175" s="1625">
        <v>43232</v>
      </c>
      <c r="L1175" s="1626"/>
      <c r="M1175" s="1627">
        <v>0</v>
      </c>
      <c r="N1175" s="1628">
        <v>1.4275482374641468</v>
      </c>
      <c r="O1175" s="1628"/>
    </row>
    <row r="1176" spans="11:15">
      <c r="K1176" s="1625">
        <v>43233</v>
      </c>
      <c r="L1176" s="1626"/>
      <c r="M1176" s="1627">
        <v>0</v>
      </c>
      <c r="N1176" s="1628">
        <v>1.4275482374641468</v>
      </c>
      <c r="O1176" s="1628"/>
    </row>
    <row r="1177" spans="11:15">
      <c r="K1177" s="1625">
        <v>43234</v>
      </c>
      <c r="L1177" s="1626" t="s">
        <v>2301</v>
      </c>
      <c r="M1177" s="1627">
        <v>2.462E-2</v>
      </c>
      <c r="N1177" s="1628">
        <v>1.4278996998402107</v>
      </c>
      <c r="O1177" s="1628"/>
    </row>
    <row r="1178" spans="11:15">
      <c r="K1178" s="1625">
        <v>43235</v>
      </c>
      <c r="L1178" s="1626" t="s">
        <v>2301</v>
      </c>
      <c r="M1178" s="1627">
        <v>2.462E-2</v>
      </c>
      <c r="N1178" s="1628">
        <v>1.4282512487463115</v>
      </c>
      <c r="O1178" s="1628"/>
    </row>
    <row r="1179" spans="11:15">
      <c r="K1179" s="1625">
        <v>43236</v>
      </c>
      <c r="L1179" s="1626" t="s">
        <v>2301</v>
      </c>
      <c r="M1179" s="1627">
        <v>2.462E-2</v>
      </c>
      <c r="N1179" s="1628">
        <v>1.428602884203753</v>
      </c>
      <c r="O1179" s="1628"/>
    </row>
    <row r="1180" spans="11:15">
      <c r="K1180" s="1625">
        <v>43237</v>
      </c>
      <c r="L1180" s="1626" t="s">
        <v>2301</v>
      </c>
      <c r="M1180" s="1627">
        <v>2.462E-2</v>
      </c>
      <c r="N1180" s="1628">
        <v>1.4289546062338441</v>
      </c>
      <c r="O1180" s="1628"/>
    </row>
    <row r="1181" spans="11:15">
      <c r="K1181" s="1625">
        <v>43238</v>
      </c>
      <c r="L1181" s="1626" t="s">
        <v>2301</v>
      </c>
      <c r="M1181" s="1627">
        <v>2.462E-2</v>
      </c>
      <c r="N1181" s="1628">
        <v>1.4293064148578989</v>
      </c>
      <c r="O1181" s="1628"/>
    </row>
    <row r="1182" spans="11:15">
      <c r="K1182" s="1625">
        <v>43239</v>
      </c>
      <c r="L1182" s="1626"/>
      <c r="M1182" s="1627">
        <v>0</v>
      </c>
      <c r="N1182" s="1628">
        <v>1.4293064148578989</v>
      </c>
      <c r="O1182" s="1628"/>
    </row>
    <row r="1183" spans="11:15">
      <c r="K1183" s="1625">
        <v>43240</v>
      </c>
      <c r="L1183" s="1626"/>
      <c r="M1183" s="1627">
        <v>0</v>
      </c>
      <c r="N1183" s="1628">
        <v>1.4293064148578989</v>
      </c>
      <c r="O1183" s="1628"/>
    </row>
    <row r="1184" spans="11:15">
      <c r="K1184" s="1625">
        <v>43241</v>
      </c>
      <c r="L1184" s="1626" t="s">
        <v>2301</v>
      </c>
      <c r="M1184" s="1627">
        <v>2.462E-2</v>
      </c>
      <c r="N1184" s="1628">
        <v>1.4296583100972371</v>
      </c>
      <c r="O1184" s="1628"/>
    </row>
    <row r="1185" spans="11:15">
      <c r="K1185" s="1625">
        <v>43242</v>
      </c>
      <c r="L1185" s="1626" t="s">
        <v>2301</v>
      </c>
      <c r="M1185" s="1627">
        <v>2.462E-2</v>
      </c>
      <c r="N1185" s="1628">
        <v>1.4300102919731832</v>
      </c>
      <c r="O1185" s="1628"/>
    </row>
    <row r="1186" spans="11:15">
      <c r="K1186" s="1625">
        <v>43243</v>
      </c>
      <c r="L1186" s="1626" t="s">
        <v>2301</v>
      </c>
      <c r="M1186" s="1627">
        <v>2.462E-2</v>
      </c>
      <c r="N1186" s="1628">
        <v>1.430362360507067</v>
      </c>
      <c r="O1186" s="1628"/>
    </row>
    <row r="1187" spans="11:15">
      <c r="K1187" s="1625">
        <v>43244</v>
      </c>
      <c r="L1187" s="1626" t="s">
        <v>2301</v>
      </c>
      <c r="M1187" s="1627">
        <v>2.462E-2</v>
      </c>
      <c r="N1187" s="1628">
        <v>1.4307145157202239</v>
      </c>
      <c r="O1187" s="1628"/>
    </row>
    <row r="1188" spans="11:15">
      <c r="K1188" s="1625">
        <v>43245</v>
      </c>
      <c r="L1188" s="1626" t="s">
        <v>2301</v>
      </c>
      <c r="M1188" s="1627">
        <v>2.462E-2</v>
      </c>
      <c r="N1188" s="1628">
        <v>1.4310667576339944</v>
      </c>
      <c r="O1188" s="1628"/>
    </row>
    <row r="1189" spans="11:15">
      <c r="K1189" s="1625">
        <v>43246</v>
      </c>
      <c r="L1189" s="1626"/>
      <c r="M1189" s="1627">
        <v>0</v>
      </c>
      <c r="N1189" s="1628">
        <v>1.4310667576339944</v>
      </c>
      <c r="O1189" s="1628"/>
    </row>
    <row r="1190" spans="11:15">
      <c r="K1190" s="1625">
        <v>43247</v>
      </c>
      <c r="L1190" s="1626"/>
      <c r="M1190" s="1627">
        <v>0</v>
      </c>
      <c r="N1190" s="1628">
        <v>1.4310667576339944</v>
      </c>
      <c r="O1190" s="1628"/>
    </row>
    <row r="1191" spans="11:15">
      <c r="K1191" s="1625">
        <v>43248</v>
      </c>
      <c r="L1191" s="1626" t="s">
        <v>2301</v>
      </c>
      <c r="M1191" s="1627">
        <v>2.462E-2</v>
      </c>
      <c r="N1191" s="1628">
        <v>1.431419086269724</v>
      </c>
      <c r="O1191" s="1628"/>
    </row>
    <row r="1192" spans="11:15">
      <c r="K1192" s="1625">
        <v>43249</v>
      </c>
      <c r="L1192" s="1626" t="s">
        <v>2301</v>
      </c>
      <c r="M1192" s="1627">
        <v>2.462E-2</v>
      </c>
      <c r="N1192" s="1628">
        <v>1.4317715016487638</v>
      </c>
      <c r="O1192" s="1628"/>
    </row>
    <row r="1193" spans="11:15">
      <c r="K1193" s="1625">
        <v>43250</v>
      </c>
      <c r="L1193" s="1626" t="s">
        <v>2301</v>
      </c>
      <c r="M1193" s="1627">
        <v>2.462E-2</v>
      </c>
      <c r="N1193" s="1628">
        <v>1.4321240037924698</v>
      </c>
      <c r="O1193" s="1628"/>
    </row>
    <row r="1194" spans="11:15">
      <c r="K1194" s="1625">
        <v>43251</v>
      </c>
      <c r="L1194" s="1626"/>
      <c r="M1194" s="1627">
        <v>0</v>
      </c>
      <c r="N1194" s="1628">
        <v>1.4321240037924698</v>
      </c>
      <c r="O1194" s="1628"/>
    </row>
    <row r="1195" spans="11:15">
      <c r="K1195" s="1625">
        <v>43252</v>
      </c>
      <c r="L1195" s="1626" t="s">
        <v>2301</v>
      </c>
      <c r="M1195" s="1627">
        <v>2.462E-2</v>
      </c>
      <c r="N1195" s="1628">
        <v>1.4324765927222036</v>
      </c>
      <c r="O1195" s="1628"/>
    </row>
    <row r="1196" spans="11:15">
      <c r="K1196" s="1625">
        <v>43253</v>
      </c>
      <c r="L1196" s="1626"/>
      <c r="M1196" s="1627">
        <v>0</v>
      </c>
      <c r="N1196" s="1628">
        <v>1.4324765927222036</v>
      </c>
      <c r="O1196" s="1628"/>
    </row>
    <row r="1197" spans="11:15">
      <c r="K1197" s="1625">
        <v>43254</v>
      </c>
      <c r="L1197" s="1626"/>
      <c r="M1197" s="1627">
        <v>0</v>
      </c>
      <c r="N1197" s="1628">
        <v>1.4324765927222036</v>
      </c>
      <c r="O1197" s="1628"/>
    </row>
    <row r="1198" spans="11:15">
      <c r="K1198" s="1625">
        <v>43255</v>
      </c>
      <c r="L1198" s="1626" t="s">
        <v>2301</v>
      </c>
      <c r="M1198" s="1627">
        <v>2.462E-2</v>
      </c>
      <c r="N1198" s="1628">
        <v>1.432829268459332</v>
      </c>
      <c r="O1198" s="1628"/>
    </row>
    <row r="1199" spans="11:15">
      <c r="K1199" s="1625">
        <v>43256</v>
      </c>
      <c r="L1199" s="1626" t="s">
        <v>2301</v>
      </c>
      <c r="M1199" s="1627">
        <v>2.462E-2</v>
      </c>
      <c r="N1199" s="1628">
        <v>1.4331820310252268</v>
      </c>
      <c r="O1199" s="1628"/>
    </row>
    <row r="1200" spans="11:15">
      <c r="K1200" s="1625">
        <v>43257</v>
      </c>
      <c r="L1200" s="1626" t="s">
        <v>2301</v>
      </c>
      <c r="M1200" s="1627">
        <v>2.462E-2</v>
      </c>
      <c r="N1200" s="1628">
        <v>1.4335348804412653</v>
      </c>
      <c r="O1200" s="1628"/>
    </row>
    <row r="1201" spans="11:15">
      <c r="K1201" s="1625">
        <v>43258</v>
      </c>
      <c r="L1201" s="1626" t="s">
        <v>2301</v>
      </c>
      <c r="M1201" s="1627">
        <v>2.462E-2</v>
      </c>
      <c r="N1201" s="1628">
        <v>1.43388781672883</v>
      </c>
      <c r="O1201" s="1628"/>
    </row>
    <row r="1202" spans="11:15">
      <c r="K1202" s="1625">
        <v>43259</v>
      </c>
      <c r="L1202" s="1626" t="s">
        <v>2301</v>
      </c>
      <c r="M1202" s="1627">
        <v>2.462E-2</v>
      </c>
      <c r="N1202" s="1628">
        <v>1.4342408399093087</v>
      </c>
      <c r="O1202" s="1628"/>
    </row>
    <row r="1203" spans="11:15">
      <c r="K1203" s="1625">
        <v>43260</v>
      </c>
      <c r="L1203" s="1626"/>
      <c r="M1203" s="1627">
        <v>0</v>
      </c>
      <c r="N1203" s="1628">
        <v>1.4342408399093087</v>
      </c>
      <c r="O1203" s="1628"/>
    </row>
    <row r="1204" spans="11:15">
      <c r="K1204" s="1625">
        <v>43261</v>
      </c>
      <c r="L1204" s="1626"/>
      <c r="M1204" s="1627">
        <v>0</v>
      </c>
      <c r="N1204" s="1628">
        <v>1.4342408399093087</v>
      </c>
      <c r="O1204" s="1628"/>
    </row>
    <row r="1205" spans="11:15">
      <c r="K1205" s="1625">
        <v>43262</v>
      </c>
      <c r="L1205" s="1626" t="s">
        <v>2301</v>
      </c>
      <c r="M1205" s="1627">
        <v>2.462E-2</v>
      </c>
      <c r="N1205" s="1628">
        <v>1.4345939500040945</v>
      </c>
      <c r="O1205" s="1628"/>
    </row>
    <row r="1206" spans="11:15">
      <c r="K1206" s="1625">
        <v>43263</v>
      </c>
      <c r="L1206" s="1626" t="s">
        <v>2301</v>
      </c>
      <c r="M1206" s="1627">
        <v>2.462E-2</v>
      </c>
      <c r="N1206" s="1628">
        <v>1.4349471470345856</v>
      </c>
      <c r="O1206" s="1628"/>
    </row>
    <row r="1207" spans="11:15">
      <c r="K1207" s="1625">
        <v>43264</v>
      </c>
      <c r="L1207" s="1626" t="s">
        <v>2301</v>
      </c>
      <c r="M1207" s="1627">
        <v>2.462E-2</v>
      </c>
      <c r="N1207" s="1628">
        <v>1.4353004310221855</v>
      </c>
      <c r="O1207" s="1628"/>
    </row>
    <row r="1208" spans="11:15">
      <c r="K1208" s="1625">
        <v>43265</v>
      </c>
      <c r="L1208" s="1626" t="s">
        <v>2301</v>
      </c>
      <c r="M1208" s="1627">
        <v>2.462E-2</v>
      </c>
      <c r="N1208" s="1628">
        <v>1.4356538019883034</v>
      </c>
      <c r="O1208" s="1628"/>
    </row>
    <row r="1209" spans="11:15">
      <c r="K1209" s="1625">
        <v>43266</v>
      </c>
      <c r="L1209" s="1626" t="s">
        <v>2301</v>
      </c>
      <c r="M1209" s="1627">
        <v>2.462E-2</v>
      </c>
      <c r="N1209" s="1628">
        <v>1.436007259954353</v>
      </c>
      <c r="O1209" s="1628"/>
    </row>
    <row r="1210" spans="11:15">
      <c r="K1210" s="1625">
        <v>43267</v>
      </c>
      <c r="L1210" s="1626"/>
      <c r="M1210" s="1627">
        <v>0</v>
      </c>
      <c r="N1210" s="1628">
        <v>1.436007259954353</v>
      </c>
      <c r="O1210" s="1628"/>
    </row>
    <row r="1211" spans="11:15">
      <c r="K1211" s="1625">
        <v>43268</v>
      </c>
      <c r="L1211" s="1626"/>
      <c r="M1211" s="1627">
        <v>0</v>
      </c>
      <c r="N1211" s="1628">
        <v>1.436007259954353</v>
      </c>
      <c r="O1211" s="1628"/>
    </row>
    <row r="1212" spans="11:15">
      <c r="K1212" s="1625">
        <v>43269</v>
      </c>
      <c r="L1212" s="1626" t="s">
        <v>2301</v>
      </c>
      <c r="M1212" s="1627">
        <v>2.462E-2</v>
      </c>
      <c r="N1212" s="1628">
        <v>1.4363608049417538</v>
      </c>
      <c r="O1212" s="1628"/>
    </row>
    <row r="1213" spans="11:15">
      <c r="K1213" s="1625">
        <v>43270</v>
      </c>
      <c r="L1213" s="1626" t="s">
        <v>2301</v>
      </c>
      <c r="M1213" s="1627">
        <v>2.462E-2</v>
      </c>
      <c r="N1213" s="1628">
        <v>1.4367144369719305</v>
      </c>
      <c r="O1213" s="1628"/>
    </row>
    <row r="1214" spans="11:15">
      <c r="K1214" s="1625">
        <v>43271</v>
      </c>
      <c r="L1214" s="1626" t="s">
        <v>2301</v>
      </c>
      <c r="M1214" s="1627">
        <v>2.462E-2</v>
      </c>
      <c r="N1214" s="1628">
        <v>1.437068156066313</v>
      </c>
      <c r="O1214" s="1628"/>
    </row>
    <row r="1215" spans="11:15">
      <c r="K1215" s="1625">
        <v>43272</v>
      </c>
      <c r="L1215" s="1626" t="s">
        <v>2301</v>
      </c>
      <c r="M1215" s="1627">
        <v>2.462E-2</v>
      </c>
      <c r="N1215" s="1628">
        <v>1.4374219622463367</v>
      </c>
      <c r="O1215" s="1628"/>
    </row>
    <row r="1216" spans="11:15">
      <c r="K1216" s="1625">
        <v>43273</v>
      </c>
      <c r="L1216" s="1626" t="s">
        <v>2301</v>
      </c>
      <c r="M1216" s="1627">
        <v>2.462E-2</v>
      </c>
      <c r="N1216" s="1628">
        <v>1.4377758555334419</v>
      </c>
      <c r="O1216" s="1628"/>
    </row>
    <row r="1217" spans="11:15">
      <c r="K1217" s="1625">
        <v>43274</v>
      </c>
      <c r="L1217" s="1626"/>
      <c r="M1217" s="1627">
        <v>0</v>
      </c>
      <c r="N1217" s="1628">
        <v>1.4377758555334419</v>
      </c>
      <c r="O1217" s="1628"/>
    </row>
    <row r="1218" spans="11:15">
      <c r="K1218" s="1625">
        <v>43275</v>
      </c>
      <c r="L1218" s="1626"/>
      <c r="M1218" s="1627">
        <v>0</v>
      </c>
      <c r="N1218" s="1628">
        <v>1.4377758555334419</v>
      </c>
      <c r="O1218" s="1628"/>
    </row>
    <row r="1219" spans="11:15">
      <c r="K1219" s="1625">
        <v>43276</v>
      </c>
      <c r="L1219" s="1626" t="s">
        <v>2301</v>
      </c>
      <c r="M1219" s="1627">
        <v>2.462E-2</v>
      </c>
      <c r="N1219" s="1628">
        <v>1.4381298359490744</v>
      </c>
      <c r="O1219" s="1628"/>
    </row>
    <row r="1220" spans="11:15">
      <c r="K1220" s="1625">
        <v>43277</v>
      </c>
      <c r="L1220" s="1626" t="s">
        <v>2301</v>
      </c>
      <c r="M1220" s="1627">
        <v>2.462E-2</v>
      </c>
      <c r="N1220" s="1628">
        <v>1.4384839035146852</v>
      </c>
      <c r="O1220" s="1628"/>
    </row>
    <row r="1221" spans="11:15">
      <c r="K1221" s="1625">
        <v>43278</v>
      </c>
      <c r="L1221" s="1626" t="s">
        <v>2301</v>
      </c>
      <c r="M1221" s="1627">
        <v>2.462E-2</v>
      </c>
      <c r="N1221" s="1628">
        <v>1.4388380582517306</v>
      </c>
      <c r="O1221" s="1628"/>
    </row>
    <row r="1222" spans="11:15">
      <c r="K1222" s="1625">
        <v>43279</v>
      </c>
      <c r="L1222" s="1626" t="s">
        <v>2301</v>
      </c>
      <c r="M1222" s="1627">
        <v>2.462E-2</v>
      </c>
      <c r="N1222" s="1628">
        <v>1.4391923001816722</v>
      </c>
      <c r="O1222" s="1628"/>
    </row>
    <row r="1223" spans="11:15">
      <c r="K1223" s="1625">
        <v>43280</v>
      </c>
      <c r="L1223" s="1626" t="s">
        <v>2301</v>
      </c>
      <c r="M1223" s="1627">
        <v>2.462E-2</v>
      </c>
      <c r="N1223" s="1628">
        <v>1.4395466293259771</v>
      </c>
      <c r="O1223" s="1628"/>
    </row>
    <row r="1224" spans="11:15">
      <c r="K1224" s="1625">
        <v>43281</v>
      </c>
      <c r="L1224" s="1626"/>
      <c r="M1224" s="1627">
        <v>0</v>
      </c>
      <c r="N1224" s="1628">
        <v>1.4395466293259771</v>
      </c>
      <c r="O1224" s="1628"/>
    </row>
    <row r="1225" spans="11:15">
      <c r="K1225" s="1625">
        <v>43282</v>
      </c>
      <c r="L1225" s="1626"/>
      <c r="M1225" s="1627">
        <v>0</v>
      </c>
      <c r="N1225" s="1628">
        <v>1.4395466293259771</v>
      </c>
      <c r="O1225" s="1628"/>
    </row>
    <row r="1226" spans="11:15">
      <c r="K1226" s="1625">
        <v>43283</v>
      </c>
      <c r="L1226" s="1626" t="s">
        <v>2301</v>
      </c>
      <c r="M1226" s="1627">
        <v>2.462E-2</v>
      </c>
      <c r="N1226" s="1628">
        <v>1.4399010457061172</v>
      </c>
      <c r="O1226" s="1628"/>
    </row>
    <row r="1227" spans="11:15">
      <c r="K1227" s="1625">
        <v>43284</v>
      </c>
      <c r="L1227" s="1626" t="s">
        <v>2301</v>
      </c>
      <c r="M1227" s="1627">
        <v>2.462E-2</v>
      </c>
      <c r="N1227" s="1628">
        <v>1.4402555493435703</v>
      </c>
      <c r="O1227" s="1628"/>
    </row>
    <row r="1228" spans="11:15">
      <c r="K1228" s="1625">
        <v>43285</v>
      </c>
      <c r="L1228" s="1626" t="s">
        <v>2301</v>
      </c>
      <c r="M1228" s="1627">
        <v>2.462E-2</v>
      </c>
      <c r="N1228" s="1628">
        <v>1.4406101402598188</v>
      </c>
      <c r="O1228" s="1628"/>
    </row>
    <row r="1229" spans="11:15">
      <c r="K1229" s="1625">
        <v>43286</v>
      </c>
      <c r="L1229" s="1626" t="s">
        <v>2301</v>
      </c>
      <c r="M1229" s="1627">
        <v>2.462E-2</v>
      </c>
      <c r="N1229" s="1628">
        <v>1.4409648184763508</v>
      </c>
      <c r="O1229" s="1628"/>
    </row>
    <row r="1230" spans="11:15">
      <c r="K1230" s="1625">
        <v>43287</v>
      </c>
      <c r="L1230" s="1626" t="s">
        <v>2301</v>
      </c>
      <c r="M1230" s="1627">
        <v>2.462E-2</v>
      </c>
      <c r="N1230" s="1628">
        <v>1.4413195840146598</v>
      </c>
      <c r="O1230" s="1628"/>
    </row>
    <row r="1231" spans="11:15">
      <c r="K1231" s="1625">
        <v>43288</v>
      </c>
      <c r="L1231" s="1626"/>
      <c r="M1231" s="1627">
        <v>0</v>
      </c>
      <c r="N1231" s="1628">
        <v>1.4413195840146598</v>
      </c>
      <c r="O1231" s="1628"/>
    </row>
    <row r="1232" spans="11:15">
      <c r="K1232" s="1625">
        <v>43289</v>
      </c>
      <c r="L1232" s="1626"/>
      <c r="M1232" s="1627">
        <v>0</v>
      </c>
      <c r="N1232" s="1628">
        <v>1.4413195840146598</v>
      </c>
      <c r="O1232" s="1628"/>
    </row>
    <row r="1233" spans="11:15">
      <c r="K1233" s="1625">
        <v>43290</v>
      </c>
      <c r="L1233" s="1626" t="s">
        <v>2301</v>
      </c>
      <c r="M1233" s="1627">
        <v>2.462E-2</v>
      </c>
      <c r="N1233" s="1628">
        <v>1.4416744368962442</v>
      </c>
      <c r="O1233" s="1628"/>
    </row>
    <row r="1234" spans="11:15">
      <c r="K1234" s="1625">
        <v>43291</v>
      </c>
      <c r="L1234" s="1626" t="s">
        <v>2301</v>
      </c>
      <c r="M1234" s="1627">
        <v>2.462E-2</v>
      </c>
      <c r="N1234" s="1628">
        <v>1.4420293771426083</v>
      </c>
      <c r="O1234" s="1628"/>
    </row>
    <row r="1235" spans="11:15">
      <c r="K1235" s="1625">
        <v>43292</v>
      </c>
      <c r="L1235" s="1626" t="s">
        <v>2301</v>
      </c>
      <c r="M1235" s="1627">
        <v>2.462E-2</v>
      </c>
      <c r="N1235" s="1628">
        <v>1.442384404775261</v>
      </c>
      <c r="O1235" s="1628"/>
    </row>
    <row r="1236" spans="11:15">
      <c r="K1236" s="1625">
        <v>43293</v>
      </c>
      <c r="L1236" s="1626" t="s">
        <v>2301</v>
      </c>
      <c r="M1236" s="1627">
        <v>2.462E-2</v>
      </c>
      <c r="N1236" s="1628">
        <v>1.4427395198157167</v>
      </c>
      <c r="O1236" s="1628"/>
    </row>
    <row r="1237" spans="11:15">
      <c r="K1237" s="1625">
        <v>43294</v>
      </c>
      <c r="L1237" s="1626" t="s">
        <v>2301</v>
      </c>
      <c r="M1237" s="1627">
        <v>2.462E-2</v>
      </c>
      <c r="N1237" s="1628">
        <v>1.4430947222854955</v>
      </c>
      <c r="O1237" s="1628"/>
    </row>
    <row r="1238" spans="11:15">
      <c r="K1238" s="1625">
        <v>43295</v>
      </c>
      <c r="L1238" s="1626"/>
      <c r="M1238" s="1627">
        <v>0</v>
      </c>
      <c r="N1238" s="1628">
        <v>1.4430947222854955</v>
      </c>
      <c r="O1238" s="1628"/>
    </row>
    <row r="1239" spans="11:15">
      <c r="K1239" s="1625">
        <v>43296</v>
      </c>
      <c r="L1239" s="1626"/>
      <c r="M1239" s="1627">
        <v>0</v>
      </c>
      <c r="N1239" s="1628">
        <v>1.4430947222854955</v>
      </c>
      <c r="O1239" s="1628"/>
    </row>
    <row r="1240" spans="11:15">
      <c r="K1240" s="1625">
        <v>43297</v>
      </c>
      <c r="L1240" s="1626" t="s">
        <v>2301</v>
      </c>
      <c r="M1240" s="1627">
        <v>2.462E-2</v>
      </c>
      <c r="N1240" s="1628">
        <v>1.4434500122061222</v>
      </c>
      <c r="O1240" s="1628"/>
    </row>
    <row r="1241" spans="11:15">
      <c r="K1241" s="1625">
        <v>43298</v>
      </c>
      <c r="L1241" s="1626" t="s">
        <v>2301</v>
      </c>
      <c r="M1241" s="1627">
        <v>2.462E-2</v>
      </c>
      <c r="N1241" s="1628">
        <v>1.4438053895991274</v>
      </c>
      <c r="O1241" s="1628"/>
    </row>
    <row r="1242" spans="11:15">
      <c r="K1242" s="1625">
        <v>43299</v>
      </c>
      <c r="L1242" s="1626" t="s">
        <v>2301</v>
      </c>
      <c r="M1242" s="1627">
        <v>2.462E-2</v>
      </c>
      <c r="N1242" s="1628">
        <v>1.4441608544860469</v>
      </c>
      <c r="O1242" s="1628"/>
    </row>
    <row r="1243" spans="11:15">
      <c r="K1243" s="1625">
        <v>43300</v>
      </c>
      <c r="L1243" s="1626" t="s">
        <v>2301</v>
      </c>
      <c r="M1243" s="1627">
        <v>2.462E-2</v>
      </c>
      <c r="N1243" s="1628">
        <v>1.4445164068884215</v>
      </c>
      <c r="O1243" s="1628"/>
    </row>
    <row r="1244" spans="11:15">
      <c r="K1244" s="1625">
        <v>43301</v>
      </c>
      <c r="L1244" s="1626" t="s">
        <v>2301</v>
      </c>
      <c r="M1244" s="1627">
        <v>2.462E-2</v>
      </c>
      <c r="N1244" s="1628">
        <v>1.4448720468277976</v>
      </c>
      <c r="O1244" s="1628"/>
    </row>
    <row r="1245" spans="11:15">
      <c r="K1245" s="1625">
        <v>43302</v>
      </c>
      <c r="L1245" s="1626"/>
      <c r="M1245" s="1627">
        <v>0</v>
      </c>
      <c r="N1245" s="1628">
        <v>1.4448720468277976</v>
      </c>
      <c r="O1245" s="1628"/>
    </row>
    <row r="1246" spans="11:15">
      <c r="K1246" s="1625">
        <v>43303</v>
      </c>
      <c r="L1246" s="1626"/>
      <c r="M1246" s="1627">
        <v>0</v>
      </c>
      <c r="N1246" s="1628">
        <v>1.4448720468277976</v>
      </c>
      <c r="O1246" s="1628"/>
    </row>
    <row r="1247" spans="11:15">
      <c r="K1247" s="1625">
        <v>43304</v>
      </c>
      <c r="L1247" s="1626" t="s">
        <v>2301</v>
      </c>
      <c r="M1247" s="1627">
        <v>2.462E-2</v>
      </c>
      <c r="N1247" s="1628">
        <v>1.4452277743257267</v>
      </c>
      <c r="O1247" s="1628"/>
    </row>
    <row r="1248" spans="11:15">
      <c r="K1248" s="1625">
        <v>43305</v>
      </c>
      <c r="L1248" s="1626" t="s">
        <v>2301</v>
      </c>
      <c r="M1248" s="1627">
        <v>2.462E-2</v>
      </c>
      <c r="N1248" s="1628">
        <v>1.4455835894037659</v>
      </c>
      <c r="O1248" s="1628"/>
    </row>
    <row r="1249" spans="11:15">
      <c r="K1249" s="1625">
        <v>43306</v>
      </c>
      <c r="L1249" s="1626" t="s">
        <v>2301</v>
      </c>
      <c r="M1249" s="1627">
        <v>2.462E-2</v>
      </c>
      <c r="N1249" s="1628">
        <v>1.4459394920834772</v>
      </c>
      <c r="O1249" s="1628"/>
    </row>
    <row r="1250" spans="11:15">
      <c r="K1250" s="1625">
        <v>43307</v>
      </c>
      <c r="L1250" s="1626" t="s">
        <v>2301</v>
      </c>
      <c r="M1250" s="1627">
        <v>2.462E-2</v>
      </c>
      <c r="N1250" s="1628">
        <v>1.4462954823864282</v>
      </c>
      <c r="O1250" s="1628"/>
    </row>
    <row r="1251" spans="11:15">
      <c r="K1251" s="1625">
        <v>43308</v>
      </c>
      <c r="L1251" s="1626" t="s">
        <v>2301</v>
      </c>
      <c r="M1251" s="1627">
        <v>2.462E-2</v>
      </c>
      <c r="N1251" s="1628">
        <v>1.4466515603341918</v>
      </c>
      <c r="O1251" s="1628"/>
    </row>
    <row r="1252" spans="11:15">
      <c r="K1252" s="1625">
        <v>43309</v>
      </c>
      <c r="L1252" s="1626"/>
      <c r="M1252" s="1627">
        <v>0</v>
      </c>
      <c r="N1252" s="1628">
        <v>1.4466515603341918</v>
      </c>
      <c r="O1252" s="1628"/>
    </row>
    <row r="1253" spans="11:15">
      <c r="K1253" s="1625">
        <v>43310</v>
      </c>
      <c r="L1253" s="1626"/>
      <c r="M1253" s="1627">
        <v>0</v>
      </c>
      <c r="N1253" s="1628">
        <v>1.4466515603341918</v>
      </c>
      <c r="O1253" s="1628"/>
    </row>
    <row r="1254" spans="11:15">
      <c r="K1254" s="1625">
        <v>43311</v>
      </c>
      <c r="L1254" s="1626" t="s">
        <v>2301</v>
      </c>
      <c r="M1254" s="1627">
        <v>2.462E-2</v>
      </c>
      <c r="N1254" s="1628">
        <v>1.4470077259483463</v>
      </c>
      <c r="O1254" s="1628"/>
    </row>
    <row r="1255" spans="11:15">
      <c r="K1255" s="1625">
        <v>43312</v>
      </c>
      <c r="L1255" s="1626" t="s">
        <v>2301</v>
      </c>
      <c r="M1255" s="1627">
        <v>2.462E-2</v>
      </c>
      <c r="N1255" s="1628">
        <v>1.4473639792504749</v>
      </c>
      <c r="O1255" s="1628"/>
    </row>
    <row r="1256" spans="11:15">
      <c r="K1256" s="1625">
        <v>43313</v>
      </c>
      <c r="L1256" s="1626" t="s">
        <v>2301</v>
      </c>
      <c r="M1256" s="1627">
        <v>2.462E-2</v>
      </c>
      <c r="N1256" s="1628">
        <v>1.4477203202621665</v>
      </c>
      <c r="O1256" s="1628"/>
    </row>
    <row r="1257" spans="11:15">
      <c r="K1257" s="1625">
        <v>43314</v>
      </c>
      <c r="L1257" s="1626" t="s">
        <v>2301</v>
      </c>
      <c r="M1257" s="1627">
        <v>2.462E-2</v>
      </c>
      <c r="N1257" s="1628">
        <v>1.448076749005015</v>
      </c>
      <c r="O1257" s="1628"/>
    </row>
    <row r="1258" spans="11:15">
      <c r="K1258" s="1625">
        <v>43315</v>
      </c>
      <c r="L1258" s="1626" t="s">
        <v>2301</v>
      </c>
      <c r="M1258" s="1627">
        <v>2.462E-2</v>
      </c>
      <c r="N1258" s="1628">
        <v>1.4484332655006202</v>
      </c>
      <c r="O1258" s="1628"/>
    </row>
    <row r="1259" spans="11:15">
      <c r="K1259" s="1625">
        <v>43316</v>
      </c>
      <c r="L1259" s="1626"/>
      <c r="M1259" s="1627">
        <v>0</v>
      </c>
      <c r="N1259" s="1628">
        <v>1.4484332655006202</v>
      </c>
      <c r="O1259" s="1628"/>
    </row>
    <row r="1260" spans="11:15">
      <c r="K1260" s="1625">
        <v>43317</v>
      </c>
      <c r="L1260" s="1626"/>
      <c r="M1260" s="1627">
        <v>0</v>
      </c>
      <c r="N1260" s="1628">
        <v>1.4484332655006202</v>
      </c>
      <c r="O1260" s="1628"/>
    </row>
    <row r="1261" spans="11:15">
      <c r="K1261" s="1625">
        <v>43318</v>
      </c>
      <c r="L1261" s="1626" t="s">
        <v>2301</v>
      </c>
      <c r="M1261" s="1627">
        <v>2.462E-2</v>
      </c>
      <c r="N1261" s="1628">
        <v>1.4487898697705865</v>
      </c>
      <c r="O1261" s="1628"/>
    </row>
    <row r="1262" spans="11:15">
      <c r="K1262" s="1625">
        <v>43319</v>
      </c>
      <c r="L1262" s="1626" t="s">
        <v>2301</v>
      </c>
      <c r="M1262" s="1627">
        <v>2.462E-2</v>
      </c>
      <c r="N1262" s="1628">
        <v>1.4491465618365242</v>
      </c>
      <c r="O1262" s="1628"/>
    </row>
    <row r="1263" spans="11:15">
      <c r="K1263" s="1625">
        <v>43320</v>
      </c>
      <c r="L1263" s="1626" t="s">
        <v>2301</v>
      </c>
      <c r="M1263" s="1627">
        <v>2.462E-2</v>
      </c>
      <c r="N1263" s="1628">
        <v>1.4495033417200485</v>
      </c>
      <c r="O1263" s="1628"/>
    </row>
    <row r="1264" spans="11:15">
      <c r="K1264" s="1625">
        <v>43321</v>
      </c>
      <c r="L1264" s="1626" t="s">
        <v>2301</v>
      </c>
      <c r="M1264" s="1627">
        <v>2.462E-2</v>
      </c>
      <c r="N1264" s="1628">
        <v>1.4498602094427802</v>
      </c>
      <c r="O1264" s="1628"/>
    </row>
    <row r="1265" spans="11:15">
      <c r="K1265" s="1625">
        <v>43322</v>
      </c>
      <c r="L1265" s="1626" t="s">
        <v>2301</v>
      </c>
      <c r="M1265" s="1627">
        <v>2.462E-2</v>
      </c>
      <c r="N1265" s="1628">
        <v>1.4502171650263451</v>
      </c>
      <c r="O1265" s="1628"/>
    </row>
    <row r="1266" spans="11:15">
      <c r="K1266" s="1625">
        <v>43323</v>
      </c>
      <c r="L1266" s="1626"/>
      <c r="M1266" s="1627">
        <v>0</v>
      </c>
      <c r="N1266" s="1628">
        <v>1.4502171650263451</v>
      </c>
      <c r="O1266" s="1628"/>
    </row>
    <row r="1267" spans="11:15">
      <c r="K1267" s="1625">
        <v>43324</v>
      </c>
      <c r="L1267" s="1626"/>
      <c r="M1267" s="1627">
        <v>0</v>
      </c>
      <c r="N1267" s="1628">
        <v>1.4502171650263451</v>
      </c>
      <c r="O1267" s="1628"/>
    </row>
    <row r="1268" spans="11:15">
      <c r="K1268" s="1625">
        <v>43325</v>
      </c>
      <c r="L1268" s="1626" t="s">
        <v>2301</v>
      </c>
      <c r="M1268" s="1627">
        <v>2.462E-2</v>
      </c>
      <c r="N1268" s="1628">
        <v>1.4505742084923747</v>
      </c>
      <c r="O1268" s="1628"/>
    </row>
    <row r="1269" spans="11:15">
      <c r="K1269" s="1625">
        <v>43326</v>
      </c>
      <c r="L1269" s="1626" t="s">
        <v>2301</v>
      </c>
      <c r="M1269" s="1627">
        <v>2.462E-2</v>
      </c>
      <c r="N1269" s="1628">
        <v>1.4509313398625057</v>
      </c>
      <c r="O1269" s="1628"/>
    </row>
    <row r="1270" spans="11:15">
      <c r="K1270" s="1625">
        <v>43327</v>
      </c>
      <c r="L1270" s="1626" t="s">
        <v>2301</v>
      </c>
      <c r="M1270" s="1627">
        <v>2.462E-2</v>
      </c>
      <c r="N1270" s="1628">
        <v>1.45128855915838</v>
      </c>
      <c r="O1270" s="1628"/>
    </row>
    <row r="1271" spans="11:15">
      <c r="K1271" s="1625">
        <v>43328</v>
      </c>
      <c r="L1271" s="1626" t="s">
        <v>2301</v>
      </c>
      <c r="M1271" s="1627">
        <v>2.462E-2</v>
      </c>
      <c r="N1271" s="1628">
        <v>1.4516458664016449</v>
      </c>
      <c r="O1271" s="1628"/>
    </row>
    <row r="1272" spans="11:15">
      <c r="K1272" s="1625">
        <v>43329</v>
      </c>
      <c r="L1272" s="1626" t="s">
        <v>2301</v>
      </c>
      <c r="M1272" s="1627">
        <v>2.462E-2</v>
      </c>
      <c r="N1272" s="1628">
        <v>1.4520032616139531</v>
      </c>
      <c r="O1272" s="1628"/>
    </row>
    <row r="1273" spans="11:15">
      <c r="K1273" s="1625">
        <v>43330</v>
      </c>
      <c r="L1273" s="1626"/>
      <c r="M1273" s="1627">
        <v>0</v>
      </c>
      <c r="N1273" s="1628">
        <v>1.4520032616139531</v>
      </c>
      <c r="O1273" s="1628"/>
    </row>
    <row r="1274" spans="11:15">
      <c r="K1274" s="1625">
        <v>43331</v>
      </c>
      <c r="L1274" s="1626"/>
      <c r="M1274" s="1627">
        <v>0</v>
      </c>
      <c r="N1274" s="1628">
        <v>1.4520032616139531</v>
      </c>
      <c r="O1274" s="1628"/>
    </row>
    <row r="1275" spans="11:15">
      <c r="K1275" s="1625">
        <v>43332</v>
      </c>
      <c r="L1275" s="1626" t="s">
        <v>2301</v>
      </c>
      <c r="M1275" s="1627">
        <v>2.462E-2</v>
      </c>
      <c r="N1275" s="1628">
        <v>1.4523607448169626</v>
      </c>
      <c r="O1275" s="1628"/>
    </row>
    <row r="1276" spans="11:15">
      <c r="K1276" s="1625">
        <v>43333</v>
      </c>
      <c r="L1276" s="1626" t="s">
        <v>2301</v>
      </c>
      <c r="M1276" s="1627">
        <v>2.462E-2</v>
      </c>
      <c r="N1276" s="1628">
        <v>1.4527183160323367</v>
      </c>
      <c r="O1276" s="1628"/>
    </row>
    <row r="1277" spans="11:15">
      <c r="K1277" s="1625">
        <v>43334</v>
      </c>
      <c r="L1277" s="1626" t="s">
        <v>2301</v>
      </c>
      <c r="M1277" s="1627">
        <v>2.462E-2</v>
      </c>
      <c r="N1277" s="1628">
        <v>1.4530759752817439</v>
      </c>
      <c r="O1277" s="1628"/>
    </row>
    <row r="1278" spans="11:15">
      <c r="K1278" s="1625">
        <v>43335</v>
      </c>
      <c r="L1278" s="1626" t="s">
        <v>2301</v>
      </c>
      <c r="M1278" s="1627">
        <v>2.462E-2</v>
      </c>
      <c r="N1278" s="1628">
        <v>1.4534337225868583</v>
      </c>
      <c r="O1278" s="1628"/>
    </row>
    <row r="1279" spans="11:15">
      <c r="K1279" s="1625">
        <v>43336</v>
      </c>
      <c r="L1279" s="1626" t="s">
        <v>2301</v>
      </c>
      <c r="M1279" s="1627">
        <v>2.462E-2</v>
      </c>
      <c r="N1279" s="1628">
        <v>1.4537915579693594</v>
      </c>
      <c r="O1279" s="1628"/>
    </row>
    <row r="1280" spans="11:15">
      <c r="K1280" s="1625">
        <v>43337</v>
      </c>
      <c r="L1280" s="1626"/>
      <c r="M1280" s="1627">
        <v>0</v>
      </c>
      <c r="N1280" s="1628">
        <v>1.4537915579693594</v>
      </c>
      <c r="O1280" s="1628"/>
    </row>
    <row r="1281" spans="11:15">
      <c r="K1281" s="1625">
        <v>43338</v>
      </c>
      <c r="L1281" s="1626"/>
      <c r="M1281" s="1627">
        <v>0</v>
      </c>
      <c r="N1281" s="1628">
        <v>1.4537915579693594</v>
      </c>
      <c r="O1281" s="1628"/>
    </row>
    <row r="1282" spans="11:15">
      <c r="K1282" s="1625">
        <v>43339</v>
      </c>
      <c r="L1282" s="1626" t="s">
        <v>2301</v>
      </c>
      <c r="M1282" s="1627">
        <v>2.462E-2</v>
      </c>
      <c r="N1282" s="1628">
        <v>1.4541494814509317</v>
      </c>
      <c r="O1282" s="1628"/>
    </row>
    <row r="1283" spans="11:15">
      <c r="K1283" s="1625">
        <v>43340</v>
      </c>
      <c r="L1283" s="1626" t="s">
        <v>2301</v>
      </c>
      <c r="M1283" s="1627">
        <v>2.462E-2</v>
      </c>
      <c r="N1283" s="1628">
        <v>1.4545074930532651</v>
      </c>
      <c r="O1283" s="1628"/>
    </row>
    <row r="1284" spans="11:15">
      <c r="K1284" s="1625">
        <v>43341</v>
      </c>
      <c r="L1284" s="1626" t="s">
        <v>2301</v>
      </c>
      <c r="M1284" s="1627">
        <v>2.462E-2</v>
      </c>
      <c r="N1284" s="1628">
        <v>1.4548655927980549</v>
      </c>
      <c r="O1284" s="1628"/>
    </row>
    <row r="1285" spans="11:15">
      <c r="K1285" s="1625">
        <v>43342</v>
      </c>
      <c r="L1285" s="1626" t="s">
        <v>2301</v>
      </c>
      <c r="M1285" s="1627">
        <v>2.462E-2</v>
      </c>
      <c r="N1285" s="1628">
        <v>1.4552237807070019</v>
      </c>
      <c r="O1285" s="1628"/>
    </row>
    <row r="1286" spans="11:15">
      <c r="K1286" s="1625">
        <v>43343</v>
      </c>
      <c r="L1286" s="1626" t="s">
        <v>2301</v>
      </c>
      <c r="M1286" s="1627">
        <v>2.462E-2</v>
      </c>
      <c r="N1286" s="1628">
        <v>1.4555820568018121</v>
      </c>
      <c r="O1286" s="1628"/>
    </row>
    <row r="1287" spans="11:15">
      <c r="K1287" s="1625">
        <v>43344</v>
      </c>
      <c r="L1287" s="1626"/>
      <c r="M1287" s="1627">
        <v>0</v>
      </c>
      <c r="N1287" s="1628">
        <v>1.4555820568018121</v>
      </c>
      <c r="O1287" s="1628"/>
    </row>
    <row r="1288" spans="11:15">
      <c r="K1288" s="1625">
        <v>43345</v>
      </c>
      <c r="L1288" s="1626"/>
      <c r="M1288" s="1627">
        <v>0</v>
      </c>
      <c r="N1288" s="1628">
        <v>1.4555820568018121</v>
      </c>
      <c r="O1288" s="1628"/>
    </row>
    <row r="1289" spans="11:15">
      <c r="K1289" s="1625">
        <v>43346</v>
      </c>
      <c r="L1289" s="1626" t="s">
        <v>2301</v>
      </c>
      <c r="M1289" s="1627">
        <v>2.462E-2</v>
      </c>
      <c r="N1289" s="1628">
        <v>1.4559404211041969</v>
      </c>
      <c r="O1289" s="1628"/>
    </row>
    <row r="1290" spans="11:15">
      <c r="K1290" s="1625">
        <v>43347</v>
      </c>
      <c r="L1290" s="1626" t="s">
        <v>2301</v>
      </c>
      <c r="M1290" s="1627">
        <v>2.462E-2</v>
      </c>
      <c r="N1290" s="1628">
        <v>1.4562988736358728</v>
      </c>
      <c r="O1290" s="1628"/>
    </row>
    <row r="1291" spans="11:15">
      <c r="K1291" s="1625">
        <v>43348</v>
      </c>
      <c r="L1291" s="1626" t="s">
        <v>2301</v>
      </c>
      <c r="M1291" s="1627">
        <v>2.462E-2</v>
      </c>
      <c r="N1291" s="1628">
        <v>1.4566574144185622</v>
      </c>
      <c r="O1291" s="1628"/>
    </row>
    <row r="1292" spans="11:15">
      <c r="K1292" s="1625">
        <v>43349</v>
      </c>
      <c r="L1292" s="1626" t="s">
        <v>2301</v>
      </c>
      <c r="M1292" s="1627">
        <v>2.462E-2</v>
      </c>
      <c r="N1292" s="1628">
        <v>1.4570160434739923</v>
      </c>
      <c r="O1292" s="1628"/>
    </row>
    <row r="1293" spans="11:15">
      <c r="K1293" s="1625">
        <v>43350</v>
      </c>
      <c r="L1293" s="1626"/>
      <c r="M1293" s="1627">
        <v>0</v>
      </c>
      <c r="N1293" s="1628">
        <v>1.4570160434739923</v>
      </c>
      <c r="O1293" s="1628"/>
    </row>
    <row r="1294" spans="11:15">
      <c r="K1294" s="1625">
        <v>43351</v>
      </c>
      <c r="L1294" s="1626"/>
      <c r="M1294" s="1627">
        <v>0</v>
      </c>
      <c r="N1294" s="1628">
        <v>1.4570160434739923</v>
      </c>
      <c r="O1294" s="1628"/>
    </row>
    <row r="1295" spans="11:15">
      <c r="K1295" s="1625">
        <v>43352</v>
      </c>
      <c r="L1295" s="1626"/>
      <c r="M1295" s="1627">
        <v>0</v>
      </c>
      <c r="N1295" s="1628">
        <v>1.4570160434739923</v>
      </c>
      <c r="O1295" s="1628"/>
    </row>
    <row r="1296" spans="11:15">
      <c r="K1296" s="1625">
        <v>43353</v>
      </c>
      <c r="L1296" s="1626" t="s">
        <v>2301</v>
      </c>
      <c r="M1296" s="1627">
        <v>2.462E-2</v>
      </c>
      <c r="N1296" s="1628">
        <v>1.4573747608238956</v>
      </c>
      <c r="O1296" s="1628"/>
    </row>
    <row r="1297" spans="11:15">
      <c r="K1297" s="1625">
        <v>43354</v>
      </c>
      <c r="L1297" s="1626" t="s">
        <v>2301</v>
      </c>
      <c r="M1297" s="1627">
        <v>2.462E-2</v>
      </c>
      <c r="N1297" s="1628">
        <v>1.4577335664900106</v>
      </c>
      <c r="O1297" s="1628"/>
    </row>
    <row r="1298" spans="11:15">
      <c r="K1298" s="1625">
        <v>43355</v>
      </c>
      <c r="L1298" s="1626" t="s">
        <v>2301</v>
      </c>
      <c r="M1298" s="1627">
        <v>2.462E-2</v>
      </c>
      <c r="N1298" s="1628">
        <v>1.4580924604940806</v>
      </c>
      <c r="O1298" s="1628"/>
    </row>
    <row r="1299" spans="11:15">
      <c r="K1299" s="1625">
        <v>43356</v>
      </c>
      <c r="L1299" s="1626" t="s">
        <v>2301</v>
      </c>
      <c r="M1299" s="1627">
        <v>2.462E-2</v>
      </c>
      <c r="N1299" s="1628">
        <v>1.4584514428578543</v>
      </c>
      <c r="O1299" s="1628"/>
    </row>
    <row r="1300" spans="11:15">
      <c r="K1300" s="1625">
        <v>43357</v>
      </c>
      <c r="L1300" s="1626" t="s">
        <v>2301</v>
      </c>
      <c r="M1300" s="1627">
        <v>2.462E-2</v>
      </c>
      <c r="N1300" s="1628">
        <v>1.458810513603086</v>
      </c>
      <c r="O1300" s="1628"/>
    </row>
    <row r="1301" spans="11:15">
      <c r="K1301" s="1625">
        <v>43358</v>
      </c>
      <c r="L1301" s="1626"/>
      <c r="M1301" s="1627">
        <v>0</v>
      </c>
      <c r="N1301" s="1628">
        <v>1.458810513603086</v>
      </c>
      <c r="O1301" s="1628"/>
    </row>
    <row r="1302" spans="11:15">
      <c r="K1302" s="1625">
        <v>43359</v>
      </c>
      <c r="L1302" s="1626"/>
      <c r="M1302" s="1627">
        <v>0</v>
      </c>
      <c r="N1302" s="1628">
        <v>1.458810513603086</v>
      </c>
      <c r="O1302" s="1628"/>
    </row>
    <row r="1303" spans="11:15">
      <c r="K1303" s="1625">
        <v>43360</v>
      </c>
      <c r="L1303" s="1626" t="s">
        <v>2301</v>
      </c>
      <c r="M1303" s="1627">
        <v>2.462E-2</v>
      </c>
      <c r="N1303" s="1628">
        <v>1.4591696727515353</v>
      </c>
      <c r="O1303" s="1628"/>
    </row>
    <row r="1304" spans="11:15">
      <c r="K1304" s="1625">
        <v>43361</v>
      </c>
      <c r="L1304" s="1626" t="s">
        <v>2301</v>
      </c>
      <c r="M1304" s="1627">
        <v>2.462E-2</v>
      </c>
      <c r="N1304" s="1628">
        <v>1.4595289203249668</v>
      </c>
      <c r="O1304" s="1628"/>
    </row>
    <row r="1305" spans="11:15">
      <c r="K1305" s="1625">
        <v>43362</v>
      </c>
      <c r="L1305" s="1626" t="s">
        <v>2301</v>
      </c>
      <c r="M1305" s="1627">
        <v>2.462E-2</v>
      </c>
      <c r="N1305" s="1628">
        <v>1.459888256345151</v>
      </c>
      <c r="O1305" s="1628"/>
    </row>
    <row r="1306" spans="11:15">
      <c r="K1306" s="1625">
        <v>43363</v>
      </c>
      <c r="L1306" s="1626" t="s">
        <v>2301</v>
      </c>
      <c r="M1306" s="1627">
        <v>2.462E-2</v>
      </c>
      <c r="N1306" s="1628">
        <v>1.4602476808338634</v>
      </c>
      <c r="O1306" s="1628"/>
    </row>
    <row r="1307" spans="11:15">
      <c r="K1307" s="1625">
        <v>43364</v>
      </c>
      <c r="L1307" s="1626" t="s">
        <v>2301</v>
      </c>
      <c r="M1307" s="1627">
        <v>2.462E-2</v>
      </c>
      <c r="N1307" s="1628">
        <v>1.4606071938128848</v>
      </c>
      <c r="O1307" s="1628"/>
    </row>
    <row r="1308" spans="11:15">
      <c r="K1308" s="1625">
        <v>43365</v>
      </c>
      <c r="L1308" s="1626"/>
      <c r="M1308" s="1627">
        <v>0</v>
      </c>
      <c r="N1308" s="1628">
        <v>1.4606071938128848</v>
      </c>
      <c r="O1308" s="1628"/>
    </row>
    <row r="1309" spans="11:15">
      <c r="K1309" s="1625">
        <v>43366</v>
      </c>
      <c r="L1309" s="1626"/>
      <c r="M1309" s="1627">
        <v>0</v>
      </c>
      <c r="N1309" s="1628">
        <v>1.4606071938128848</v>
      </c>
      <c r="O1309" s="1628"/>
    </row>
    <row r="1310" spans="11:15">
      <c r="K1310" s="1625">
        <v>43367</v>
      </c>
      <c r="L1310" s="1626" t="s">
        <v>2301</v>
      </c>
      <c r="M1310" s="1627">
        <v>2.462E-2</v>
      </c>
      <c r="N1310" s="1628">
        <v>1.4609667953040018</v>
      </c>
      <c r="O1310" s="1628"/>
    </row>
    <row r="1311" spans="11:15">
      <c r="K1311" s="1625">
        <v>43368</v>
      </c>
      <c r="L1311" s="1626" t="s">
        <v>2301</v>
      </c>
      <c r="M1311" s="1627">
        <v>2.462E-2</v>
      </c>
      <c r="N1311" s="1628">
        <v>1.4613264853290058</v>
      </c>
      <c r="O1311" s="1628"/>
    </row>
    <row r="1312" spans="11:15">
      <c r="K1312" s="1625">
        <v>43369</v>
      </c>
      <c r="L1312" s="1626" t="s">
        <v>2301</v>
      </c>
      <c r="M1312" s="1627">
        <v>2.462E-2</v>
      </c>
      <c r="N1312" s="1628">
        <v>1.4616862639096939</v>
      </c>
      <c r="O1312" s="1628"/>
    </row>
    <row r="1313" spans="11:15">
      <c r="K1313" s="1625">
        <v>43370</v>
      </c>
      <c r="L1313" s="1626" t="s">
        <v>2301</v>
      </c>
      <c r="M1313" s="1627">
        <v>2.462E-2</v>
      </c>
      <c r="N1313" s="1628">
        <v>1.4620461310678685</v>
      </c>
      <c r="O1313" s="1628"/>
    </row>
    <row r="1314" spans="11:15">
      <c r="K1314" s="1625">
        <v>43371</v>
      </c>
      <c r="L1314" s="1626" t="s">
        <v>2301</v>
      </c>
      <c r="M1314" s="1627">
        <v>2.462E-2</v>
      </c>
      <c r="N1314" s="1628">
        <v>1.4624060868253375</v>
      </c>
      <c r="O1314" s="1628"/>
    </row>
    <row r="1315" spans="11:15">
      <c r="K1315" s="1625">
        <v>43372</v>
      </c>
      <c r="L1315" s="1626"/>
      <c r="M1315" s="1627">
        <v>0</v>
      </c>
      <c r="N1315" s="1628">
        <v>1.4624060868253375</v>
      </c>
      <c r="O1315" s="1628"/>
    </row>
    <row r="1316" spans="11:15">
      <c r="K1316" s="1625">
        <v>43373</v>
      </c>
      <c r="L1316" s="1626"/>
      <c r="M1316" s="1627">
        <v>0</v>
      </c>
      <c r="N1316" s="1628">
        <v>1.4624060868253375</v>
      </c>
      <c r="O1316" s="1628"/>
    </row>
    <row r="1317" spans="11:15">
      <c r="K1317" s="1625">
        <v>43374</v>
      </c>
      <c r="L1317" s="1626" t="s">
        <v>2301</v>
      </c>
      <c r="M1317" s="1627">
        <v>2.462E-2</v>
      </c>
      <c r="N1317" s="1628">
        <v>1.462766131203914</v>
      </c>
      <c r="O1317" s="1628"/>
    </row>
    <row r="1318" spans="11:15">
      <c r="K1318" s="1625">
        <v>43375</v>
      </c>
      <c r="L1318" s="1626" t="s">
        <v>2301</v>
      </c>
      <c r="M1318" s="1627">
        <v>2.462E-2</v>
      </c>
      <c r="N1318" s="1628">
        <v>1.4631262642254166</v>
      </c>
      <c r="O1318" s="1628"/>
    </row>
    <row r="1319" spans="11:15">
      <c r="K1319" s="1625">
        <v>43376</v>
      </c>
      <c r="L1319" s="1626" t="s">
        <v>2301</v>
      </c>
      <c r="M1319" s="1627">
        <v>2.462E-2</v>
      </c>
      <c r="N1319" s="1628">
        <v>1.463486485911669</v>
      </c>
      <c r="O1319" s="1628"/>
    </row>
    <row r="1320" spans="11:15">
      <c r="K1320" s="1625">
        <v>43377</v>
      </c>
      <c r="L1320" s="1626" t="s">
        <v>2301</v>
      </c>
      <c r="M1320" s="1627">
        <v>2.462E-2</v>
      </c>
      <c r="N1320" s="1628">
        <v>1.4638467962845005</v>
      </c>
      <c r="O1320" s="1628"/>
    </row>
    <row r="1321" spans="11:15">
      <c r="K1321" s="1625">
        <v>43378</v>
      </c>
      <c r="L1321" s="1626" t="s">
        <v>2301</v>
      </c>
      <c r="M1321" s="1627">
        <v>2.462E-2</v>
      </c>
      <c r="N1321" s="1628">
        <v>1.4642071953657458</v>
      </c>
      <c r="O1321" s="1628"/>
    </row>
    <row r="1322" spans="11:15">
      <c r="K1322" s="1625">
        <v>43379</v>
      </c>
      <c r="L1322" s="1626"/>
      <c r="M1322" s="1627">
        <v>0</v>
      </c>
      <c r="N1322" s="1628">
        <v>1.4642071953657458</v>
      </c>
      <c r="O1322" s="1628"/>
    </row>
    <row r="1323" spans="11:15">
      <c r="K1323" s="1625">
        <v>43380</v>
      </c>
      <c r="L1323" s="1626"/>
      <c r="M1323" s="1627">
        <v>0</v>
      </c>
      <c r="N1323" s="1628">
        <v>1.4642071953657458</v>
      </c>
      <c r="O1323" s="1628"/>
    </row>
    <row r="1324" spans="11:15">
      <c r="K1324" s="1625">
        <v>43381</v>
      </c>
      <c r="L1324" s="1626" t="s">
        <v>2301</v>
      </c>
      <c r="M1324" s="1627">
        <v>2.462E-2</v>
      </c>
      <c r="N1324" s="1628">
        <v>1.4645676831772449</v>
      </c>
      <c r="O1324" s="1628"/>
    </row>
    <row r="1325" spans="11:15">
      <c r="K1325" s="1625">
        <v>43382</v>
      </c>
      <c r="L1325" s="1626" t="s">
        <v>2301</v>
      </c>
      <c r="M1325" s="1627">
        <v>2.462E-2</v>
      </c>
      <c r="N1325" s="1628">
        <v>1.4649282597408433</v>
      </c>
      <c r="O1325" s="1628"/>
    </row>
    <row r="1326" spans="11:15">
      <c r="K1326" s="1625">
        <v>43383</v>
      </c>
      <c r="L1326" s="1626" t="s">
        <v>2301</v>
      </c>
      <c r="M1326" s="1627">
        <v>2.462E-2</v>
      </c>
      <c r="N1326" s="1628">
        <v>1.4652889250783916</v>
      </c>
      <c r="O1326" s="1628"/>
    </row>
    <row r="1327" spans="11:15">
      <c r="K1327" s="1625">
        <v>43384</v>
      </c>
      <c r="L1327" s="1626" t="s">
        <v>2301</v>
      </c>
      <c r="M1327" s="1627">
        <v>2.462E-2</v>
      </c>
      <c r="N1327" s="1628">
        <v>1.4656496792117459</v>
      </c>
      <c r="O1327" s="1628"/>
    </row>
    <row r="1328" spans="11:15">
      <c r="K1328" s="1625">
        <v>43385</v>
      </c>
      <c r="L1328" s="1626"/>
      <c r="M1328" s="1627">
        <v>0</v>
      </c>
      <c r="N1328" s="1628">
        <v>1.4656496792117459</v>
      </c>
      <c r="O1328" s="1628"/>
    </row>
    <row r="1329" spans="11:15">
      <c r="K1329" s="1625">
        <v>43386</v>
      </c>
      <c r="L1329" s="1626"/>
      <c r="M1329" s="1627">
        <v>0</v>
      </c>
      <c r="N1329" s="1628">
        <v>1.4656496792117459</v>
      </c>
      <c r="O1329" s="1628"/>
    </row>
    <row r="1330" spans="11:15">
      <c r="K1330" s="1625">
        <v>43387</v>
      </c>
      <c r="L1330" s="1626"/>
      <c r="M1330" s="1627">
        <v>0</v>
      </c>
      <c r="N1330" s="1628">
        <v>1.4656496792117459</v>
      </c>
      <c r="O1330" s="1628"/>
    </row>
    <row r="1331" spans="11:15">
      <c r="K1331" s="1625">
        <v>43388</v>
      </c>
      <c r="L1331" s="1626" t="s">
        <v>2301</v>
      </c>
      <c r="M1331" s="1627">
        <v>2.462E-2</v>
      </c>
      <c r="N1331" s="1628">
        <v>1.4660105221627679</v>
      </c>
      <c r="O1331" s="1628"/>
    </row>
    <row r="1332" spans="11:15">
      <c r="K1332" s="1625">
        <v>43389</v>
      </c>
      <c r="L1332" s="1626" t="s">
        <v>2301</v>
      </c>
      <c r="M1332" s="1627">
        <v>2.462E-2</v>
      </c>
      <c r="N1332" s="1628">
        <v>1.4663714539533246</v>
      </c>
      <c r="O1332" s="1628"/>
    </row>
    <row r="1333" spans="11:15">
      <c r="K1333" s="1625">
        <v>43390</v>
      </c>
      <c r="L1333" s="1626" t="s">
        <v>2301</v>
      </c>
      <c r="M1333" s="1627">
        <v>2.462E-2</v>
      </c>
      <c r="N1333" s="1628">
        <v>1.4667324746052881</v>
      </c>
      <c r="O1333" s="1628"/>
    </row>
    <row r="1334" spans="11:15">
      <c r="K1334" s="1625">
        <v>43391</v>
      </c>
      <c r="L1334" s="1626" t="s">
        <v>2301</v>
      </c>
      <c r="M1334" s="1627">
        <v>2.462E-2</v>
      </c>
      <c r="N1334" s="1628">
        <v>1.4670935841405361</v>
      </c>
      <c r="O1334" s="1628"/>
    </row>
    <row r="1335" spans="11:15">
      <c r="K1335" s="1625">
        <v>43392</v>
      </c>
      <c r="L1335" s="1626" t="s">
        <v>2301</v>
      </c>
      <c r="M1335" s="1627">
        <v>2.462E-2</v>
      </c>
      <c r="N1335" s="1628">
        <v>1.4674547825809516</v>
      </c>
      <c r="O1335" s="1628"/>
    </row>
    <row r="1336" spans="11:15">
      <c r="K1336" s="1625">
        <v>43393</v>
      </c>
      <c r="L1336" s="1626"/>
      <c r="M1336" s="1627">
        <v>0</v>
      </c>
      <c r="N1336" s="1628">
        <v>1.4674547825809516</v>
      </c>
      <c r="O1336" s="1628"/>
    </row>
    <row r="1337" spans="11:15">
      <c r="K1337" s="1625">
        <v>43394</v>
      </c>
      <c r="L1337" s="1626"/>
      <c r="M1337" s="1627">
        <v>0</v>
      </c>
      <c r="N1337" s="1628">
        <v>1.4674547825809516</v>
      </c>
      <c r="O1337" s="1628"/>
    </row>
    <row r="1338" spans="11:15">
      <c r="K1338" s="1625">
        <v>43395</v>
      </c>
      <c r="L1338" s="1626" t="s">
        <v>2301</v>
      </c>
      <c r="M1338" s="1627">
        <v>2.462E-2</v>
      </c>
      <c r="N1338" s="1628">
        <v>1.4678160699484233</v>
      </c>
      <c r="O1338" s="1628"/>
    </row>
    <row r="1339" spans="11:15">
      <c r="K1339" s="1625">
        <v>43396</v>
      </c>
      <c r="L1339" s="1626" t="s">
        <v>2301</v>
      </c>
      <c r="M1339" s="1627">
        <v>2.462E-2</v>
      </c>
      <c r="N1339" s="1628">
        <v>1.4681774462648447</v>
      </c>
      <c r="O1339" s="1628"/>
    </row>
    <row r="1340" spans="11:15">
      <c r="K1340" s="1625">
        <v>43397</v>
      </c>
      <c r="L1340" s="1626" t="s">
        <v>2301</v>
      </c>
      <c r="M1340" s="1627">
        <v>2.462E-2</v>
      </c>
      <c r="N1340" s="1628">
        <v>1.4685389115521152</v>
      </c>
      <c r="O1340" s="1628"/>
    </row>
    <row r="1341" spans="11:15">
      <c r="K1341" s="1625">
        <v>43398</v>
      </c>
      <c r="L1341" s="1626" t="s">
        <v>2301</v>
      </c>
      <c r="M1341" s="1627">
        <v>2.462E-2</v>
      </c>
      <c r="N1341" s="1628">
        <v>1.4689004658321394</v>
      </c>
      <c r="O1341" s="1628"/>
    </row>
    <row r="1342" spans="11:15">
      <c r="K1342" s="1625">
        <v>43399</v>
      </c>
      <c r="L1342" s="1626" t="s">
        <v>2301</v>
      </c>
      <c r="M1342" s="1627">
        <v>2.462E-2</v>
      </c>
      <c r="N1342" s="1628">
        <v>1.4692621091268274</v>
      </c>
      <c r="O1342" s="1628"/>
    </row>
    <row r="1343" spans="11:15">
      <c r="K1343" s="1625">
        <v>43400</v>
      </c>
      <c r="L1343" s="1626"/>
      <c r="M1343" s="1627">
        <v>0</v>
      </c>
      <c r="N1343" s="1628">
        <v>1.4692621091268274</v>
      </c>
      <c r="O1343" s="1628"/>
    </row>
    <row r="1344" spans="11:15">
      <c r="K1344" s="1625">
        <v>43401</v>
      </c>
      <c r="L1344" s="1626"/>
      <c r="M1344" s="1627">
        <v>0</v>
      </c>
      <c r="N1344" s="1628">
        <v>1.4692621091268274</v>
      </c>
      <c r="O1344" s="1628"/>
    </row>
    <row r="1345" spans="11:15">
      <c r="K1345" s="1625">
        <v>43402</v>
      </c>
      <c r="L1345" s="1626" t="s">
        <v>2301</v>
      </c>
      <c r="M1345" s="1627">
        <v>2.462E-2</v>
      </c>
      <c r="N1345" s="1628">
        <v>1.4696238414580947</v>
      </c>
      <c r="O1345" s="1628"/>
    </row>
    <row r="1346" spans="11:15">
      <c r="K1346" s="1625">
        <v>43403</v>
      </c>
      <c r="L1346" s="1626" t="s">
        <v>2301</v>
      </c>
      <c r="M1346" s="1627">
        <v>2.462E-2</v>
      </c>
      <c r="N1346" s="1628">
        <v>1.4699856628478618</v>
      </c>
      <c r="O1346" s="1628"/>
    </row>
    <row r="1347" spans="11:15">
      <c r="K1347" s="1625">
        <v>43404</v>
      </c>
      <c r="L1347" s="1626" t="s">
        <v>2301</v>
      </c>
      <c r="M1347" s="1627">
        <v>2.462E-2</v>
      </c>
      <c r="N1347" s="1628">
        <v>1.4703475733180551</v>
      </c>
      <c r="O1347" s="1628"/>
    </row>
    <row r="1348" spans="11:15">
      <c r="K1348" s="1625">
        <v>43405</v>
      </c>
      <c r="L1348" s="1626" t="s">
        <v>2301</v>
      </c>
      <c r="M1348" s="1627">
        <v>2.462E-2</v>
      </c>
      <c r="N1348" s="1628">
        <v>1.4707095728906061</v>
      </c>
      <c r="O1348" s="1628"/>
    </row>
    <row r="1349" spans="11:15">
      <c r="K1349" s="1625">
        <v>43406</v>
      </c>
      <c r="L1349" s="1626"/>
      <c r="M1349" s="1627">
        <v>0</v>
      </c>
      <c r="N1349" s="1628">
        <v>1.4707095728906061</v>
      </c>
      <c r="O1349" s="1628"/>
    </row>
    <row r="1350" spans="11:15">
      <c r="K1350" s="1625">
        <v>43407</v>
      </c>
      <c r="L1350" s="1626"/>
      <c r="M1350" s="1627">
        <v>0</v>
      </c>
      <c r="N1350" s="1628">
        <v>1.4707095728906061</v>
      </c>
      <c r="O1350" s="1628"/>
    </row>
    <row r="1351" spans="11:15">
      <c r="K1351" s="1625">
        <v>43408</v>
      </c>
      <c r="L1351" s="1626"/>
      <c r="M1351" s="1627">
        <v>0</v>
      </c>
      <c r="N1351" s="1628">
        <v>1.4707095728906061</v>
      </c>
      <c r="O1351" s="1628"/>
    </row>
    <row r="1352" spans="11:15">
      <c r="K1352" s="1625">
        <v>43409</v>
      </c>
      <c r="L1352" s="1626" t="s">
        <v>2301</v>
      </c>
      <c r="M1352" s="1627">
        <v>2.462E-2</v>
      </c>
      <c r="N1352" s="1628">
        <v>1.471071661587452</v>
      </c>
      <c r="O1352" s="1628"/>
    </row>
    <row r="1353" spans="11:15">
      <c r="K1353" s="1625">
        <v>43410</v>
      </c>
      <c r="L1353" s="1626" t="s">
        <v>2301</v>
      </c>
      <c r="M1353" s="1627">
        <v>2.462E-2</v>
      </c>
      <c r="N1353" s="1628">
        <v>1.4714338394305349</v>
      </c>
      <c r="O1353" s="1628"/>
    </row>
    <row r="1354" spans="11:15">
      <c r="K1354" s="1625">
        <v>43411</v>
      </c>
      <c r="L1354" s="1626" t="s">
        <v>2301</v>
      </c>
      <c r="M1354" s="1627">
        <v>2.462E-2</v>
      </c>
      <c r="N1354" s="1628">
        <v>1.4717961064418028</v>
      </c>
      <c r="O1354" s="1628"/>
    </row>
    <row r="1355" spans="11:15">
      <c r="K1355" s="1625">
        <v>43412</v>
      </c>
      <c r="L1355" s="1626" t="s">
        <v>2301</v>
      </c>
      <c r="M1355" s="1627">
        <v>2.462E-2</v>
      </c>
      <c r="N1355" s="1628">
        <v>1.4721584626432089</v>
      </c>
      <c r="O1355" s="1628"/>
    </row>
    <row r="1356" spans="11:15">
      <c r="K1356" s="1625">
        <v>43413</v>
      </c>
      <c r="L1356" s="1626" t="s">
        <v>2301</v>
      </c>
      <c r="M1356" s="1627">
        <v>2.462E-2</v>
      </c>
      <c r="N1356" s="1628">
        <v>1.4725209080567119</v>
      </c>
      <c r="O1356" s="1628"/>
    </row>
    <row r="1357" spans="11:15">
      <c r="K1357" s="1625">
        <v>43414</v>
      </c>
      <c r="L1357" s="1626"/>
      <c r="M1357" s="1627">
        <v>0</v>
      </c>
      <c r="N1357" s="1628">
        <v>1.4725209080567119</v>
      </c>
      <c r="O1357" s="1628"/>
    </row>
    <row r="1358" spans="11:15">
      <c r="K1358" s="1625">
        <v>43415</v>
      </c>
      <c r="L1358" s="1626"/>
      <c r="M1358" s="1627">
        <v>0</v>
      </c>
      <c r="N1358" s="1628">
        <v>1.4725209080567119</v>
      </c>
      <c r="O1358" s="1628"/>
    </row>
    <row r="1359" spans="11:15">
      <c r="K1359" s="1625">
        <v>43416</v>
      </c>
      <c r="L1359" s="1626" t="s">
        <v>2301</v>
      </c>
      <c r="M1359" s="1627">
        <v>2.462E-2</v>
      </c>
      <c r="N1359" s="1628">
        <v>1.4728834427042756</v>
      </c>
      <c r="O1359" s="1628"/>
    </row>
    <row r="1360" spans="11:15">
      <c r="K1360" s="1625">
        <v>43417</v>
      </c>
      <c r="L1360" s="1626" t="s">
        <v>2301</v>
      </c>
      <c r="M1360" s="1627">
        <v>2.462E-2</v>
      </c>
      <c r="N1360" s="1628">
        <v>1.4732460666078695</v>
      </c>
      <c r="O1360" s="1628"/>
    </row>
    <row r="1361" spans="11:15">
      <c r="K1361" s="1625">
        <v>43418</v>
      </c>
      <c r="L1361" s="1626" t="s">
        <v>2301</v>
      </c>
      <c r="M1361" s="1627">
        <v>2.462E-2</v>
      </c>
      <c r="N1361" s="1628">
        <v>1.4736087797894686</v>
      </c>
      <c r="O1361" s="1628"/>
    </row>
    <row r="1362" spans="11:15">
      <c r="K1362" s="1625">
        <v>43419</v>
      </c>
      <c r="L1362" s="1626"/>
      <c r="M1362" s="1627">
        <v>0</v>
      </c>
      <c r="N1362" s="1628">
        <v>1.4736087797894686</v>
      </c>
      <c r="O1362" s="1628"/>
    </row>
    <row r="1363" spans="11:15">
      <c r="K1363" s="1625">
        <v>43420</v>
      </c>
      <c r="L1363" s="1626" t="s">
        <v>2301</v>
      </c>
      <c r="M1363" s="1627">
        <v>2.462E-2</v>
      </c>
      <c r="N1363" s="1628">
        <v>1.4739715822710528</v>
      </c>
      <c r="O1363" s="1628"/>
    </row>
    <row r="1364" spans="11:15">
      <c r="K1364" s="1625">
        <v>43421</v>
      </c>
      <c r="L1364" s="1626"/>
      <c r="M1364" s="1627">
        <v>0</v>
      </c>
      <c r="N1364" s="1628">
        <v>1.4739715822710528</v>
      </c>
      <c r="O1364" s="1628"/>
    </row>
    <row r="1365" spans="11:15">
      <c r="K1365" s="1625">
        <v>43422</v>
      </c>
      <c r="L1365" s="1626"/>
      <c r="M1365" s="1627">
        <v>0</v>
      </c>
      <c r="N1365" s="1628">
        <v>1.4739715822710528</v>
      </c>
      <c r="O1365" s="1628"/>
    </row>
    <row r="1366" spans="11:15">
      <c r="K1366" s="1625">
        <v>43423</v>
      </c>
      <c r="L1366" s="1626" t="s">
        <v>2301</v>
      </c>
      <c r="M1366" s="1627">
        <v>2.462E-2</v>
      </c>
      <c r="N1366" s="1628">
        <v>1.474334474074608</v>
      </c>
      <c r="O1366" s="1628"/>
    </row>
    <row r="1367" spans="11:15">
      <c r="K1367" s="1625">
        <v>43424</v>
      </c>
      <c r="L1367" s="1626" t="s">
        <v>2301</v>
      </c>
      <c r="M1367" s="1627">
        <v>2.462E-2</v>
      </c>
      <c r="N1367" s="1628">
        <v>1.4746974552221253</v>
      </c>
      <c r="O1367" s="1628"/>
    </row>
    <row r="1368" spans="11:15">
      <c r="K1368" s="1625">
        <v>43425</v>
      </c>
      <c r="L1368" s="1626" t="s">
        <v>2301</v>
      </c>
      <c r="M1368" s="1627">
        <v>2.462E-2</v>
      </c>
      <c r="N1368" s="1628">
        <v>1.4750605257356011</v>
      </c>
      <c r="O1368" s="1628"/>
    </row>
    <row r="1369" spans="11:15">
      <c r="K1369" s="1625">
        <v>43426</v>
      </c>
      <c r="L1369" s="1626" t="s">
        <v>2301</v>
      </c>
      <c r="M1369" s="1627">
        <v>2.462E-2</v>
      </c>
      <c r="N1369" s="1628">
        <v>1.4754236856370373</v>
      </c>
      <c r="O1369" s="1628"/>
    </row>
    <row r="1370" spans="11:15">
      <c r="K1370" s="1625">
        <v>43427</v>
      </c>
      <c r="L1370" s="1626" t="s">
        <v>2301</v>
      </c>
      <c r="M1370" s="1627">
        <v>2.462E-2</v>
      </c>
      <c r="N1370" s="1628">
        <v>1.4757869349484412</v>
      </c>
      <c r="O1370" s="1628"/>
    </row>
    <row r="1371" spans="11:15">
      <c r="K1371" s="1625">
        <v>43428</v>
      </c>
      <c r="L1371" s="1626"/>
      <c r="M1371" s="1627">
        <v>0</v>
      </c>
      <c r="N1371" s="1628">
        <v>1.4757869349484412</v>
      </c>
      <c r="O1371" s="1628"/>
    </row>
    <row r="1372" spans="11:15">
      <c r="K1372" s="1625">
        <v>43429</v>
      </c>
      <c r="L1372" s="1626"/>
      <c r="M1372" s="1627">
        <v>0</v>
      </c>
      <c r="N1372" s="1628">
        <v>1.4757869349484412</v>
      </c>
      <c r="O1372" s="1628"/>
    </row>
    <row r="1373" spans="11:15">
      <c r="K1373" s="1625">
        <v>43430</v>
      </c>
      <c r="L1373" s="1626" t="s">
        <v>2301</v>
      </c>
      <c r="M1373" s="1627">
        <v>2.462E-2</v>
      </c>
      <c r="N1373" s="1628">
        <v>1.4761502736918255</v>
      </c>
      <c r="O1373" s="1628"/>
    </row>
    <row r="1374" spans="11:15">
      <c r="K1374" s="1625">
        <v>43431</v>
      </c>
      <c r="L1374" s="1626" t="s">
        <v>2301</v>
      </c>
      <c r="M1374" s="1627">
        <v>2.462E-2</v>
      </c>
      <c r="N1374" s="1628">
        <v>1.4765137018892085</v>
      </c>
      <c r="O1374" s="1628"/>
    </row>
    <row r="1375" spans="11:15">
      <c r="K1375" s="1625">
        <v>43432</v>
      </c>
      <c r="L1375" s="1626" t="s">
        <v>2301</v>
      </c>
      <c r="M1375" s="1627">
        <v>2.462E-2</v>
      </c>
      <c r="N1375" s="1628">
        <v>1.4768772195626136</v>
      </c>
      <c r="O1375" s="1628"/>
    </row>
    <row r="1376" spans="11:15">
      <c r="K1376" s="1625">
        <v>43433</v>
      </c>
      <c r="L1376" s="1626" t="s">
        <v>2301</v>
      </c>
      <c r="M1376" s="1627">
        <v>2.462E-2</v>
      </c>
      <c r="N1376" s="1628">
        <v>1.47724082673407</v>
      </c>
      <c r="O1376" s="1628"/>
    </row>
    <row r="1377" spans="11:15">
      <c r="K1377" s="1625">
        <v>43434</v>
      </c>
      <c r="L1377" s="1626" t="s">
        <v>2301</v>
      </c>
      <c r="M1377" s="1627">
        <v>2.462E-2</v>
      </c>
      <c r="N1377" s="1628">
        <v>1.4776045234256121</v>
      </c>
      <c r="O1377" s="1628"/>
    </row>
    <row r="1378" spans="11:15">
      <c r="K1378" s="1625">
        <v>43435</v>
      </c>
      <c r="L1378" s="1626"/>
      <c r="M1378" s="1627">
        <v>0</v>
      </c>
      <c r="N1378" s="1628">
        <v>1.4776045234256121</v>
      </c>
      <c r="O1378" s="1628"/>
    </row>
    <row r="1379" spans="11:15">
      <c r="K1379" s="1625">
        <v>43436</v>
      </c>
      <c r="L1379" s="1626"/>
      <c r="M1379" s="1627">
        <v>0</v>
      </c>
      <c r="N1379" s="1628">
        <v>1.4776045234256121</v>
      </c>
      <c r="O1379" s="1628"/>
    </row>
    <row r="1380" spans="11:15">
      <c r="K1380" s="1625">
        <v>43437</v>
      </c>
      <c r="L1380" s="1626" t="s">
        <v>2301</v>
      </c>
      <c r="M1380" s="1627">
        <v>2.462E-2</v>
      </c>
      <c r="N1380" s="1628">
        <v>1.4779683096592797</v>
      </c>
      <c r="O1380" s="1628"/>
    </row>
    <row r="1381" spans="11:15">
      <c r="K1381" s="1625">
        <v>43438</v>
      </c>
      <c r="L1381" s="1626" t="s">
        <v>2301</v>
      </c>
      <c r="M1381" s="1627">
        <v>2.462E-2</v>
      </c>
      <c r="N1381" s="1628">
        <v>1.4783321854571179</v>
      </c>
      <c r="O1381" s="1628"/>
    </row>
    <row r="1382" spans="11:15">
      <c r="K1382" s="1625">
        <v>43439</v>
      </c>
      <c r="L1382" s="1626" t="s">
        <v>2301</v>
      </c>
      <c r="M1382" s="1627">
        <v>2.462E-2</v>
      </c>
      <c r="N1382" s="1628">
        <v>1.4786961508411776</v>
      </c>
      <c r="O1382" s="1628"/>
    </row>
    <row r="1383" spans="11:15">
      <c r="K1383" s="1625">
        <v>43440</v>
      </c>
      <c r="L1383" s="1626" t="s">
        <v>2301</v>
      </c>
      <c r="M1383" s="1627">
        <v>2.462E-2</v>
      </c>
      <c r="N1383" s="1628">
        <v>1.4790602058335147</v>
      </c>
      <c r="O1383" s="1628"/>
    </row>
    <row r="1384" spans="11:15">
      <c r="K1384" s="1625">
        <v>43441</v>
      </c>
      <c r="L1384" s="1626" t="s">
        <v>2301</v>
      </c>
      <c r="M1384" s="1627">
        <v>2.462E-2</v>
      </c>
      <c r="N1384" s="1628">
        <v>1.479424350456191</v>
      </c>
      <c r="O1384" s="1628"/>
    </row>
    <row r="1385" spans="11:15">
      <c r="K1385" s="1625">
        <v>43442</v>
      </c>
      <c r="L1385" s="1626"/>
      <c r="M1385" s="1627">
        <v>0</v>
      </c>
      <c r="N1385" s="1628">
        <v>1.479424350456191</v>
      </c>
      <c r="O1385" s="1628"/>
    </row>
    <row r="1386" spans="11:15">
      <c r="K1386" s="1625">
        <v>43443</v>
      </c>
      <c r="L1386" s="1626"/>
      <c r="M1386" s="1627">
        <v>0</v>
      </c>
      <c r="N1386" s="1628">
        <v>1.479424350456191</v>
      </c>
      <c r="O1386" s="1628"/>
    </row>
    <row r="1387" spans="11:15">
      <c r="K1387" s="1625">
        <v>43444</v>
      </c>
      <c r="L1387" s="1626" t="s">
        <v>2301</v>
      </c>
      <c r="M1387" s="1627">
        <v>2.462E-2</v>
      </c>
      <c r="N1387" s="1628">
        <v>1.4797885847312735</v>
      </c>
      <c r="O1387" s="1628"/>
    </row>
    <row r="1388" spans="11:15">
      <c r="K1388" s="1625">
        <v>43445</v>
      </c>
      <c r="L1388" s="1626" t="s">
        <v>2301</v>
      </c>
      <c r="M1388" s="1627">
        <v>2.462E-2</v>
      </c>
      <c r="N1388" s="1628">
        <v>1.4801529086808345</v>
      </c>
      <c r="O1388" s="1628"/>
    </row>
    <row r="1389" spans="11:15">
      <c r="K1389" s="1625">
        <v>43446</v>
      </c>
      <c r="L1389" s="1626" t="s">
        <v>2301</v>
      </c>
      <c r="M1389" s="1627">
        <v>2.462E-2</v>
      </c>
      <c r="N1389" s="1628">
        <v>1.4805173223269519</v>
      </c>
      <c r="O1389" s="1628"/>
    </row>
    <row r="1390" spans="11:15">
      <c r="K1390" s="1625">
        <v>43447</v>
      </c>
      <c r="L1390" s="1626" t="s">
        <v>2301</v>
      </c>
      <c r="M1390" s="1627">
        <v>2.462E-2</v>
      </c>
      <c r="N1390" s="1628">
        <v>1.4808818256917089</v>
      </c>
      <c r="O1390" s="1628"/>
    </row>
    <row r="1391" spans="11:15">
      <c r="K1391" s="1625">
        <v>43448</v>
      </c>
      <c r="L1391" s="1626" t="s">
        <v>2301</v>
      </c>
      <c r="M1391" s="1627">
        <v>2.462E-2</v>
      </c>
      <c r="N1391" s="1628">
        <v>1.4812464187971943</v>
      </c>
      <c r="O1391" s="1628"/>
    </row>
    <row r="1392" spans="11:15">
      <c r="K1392" s="1625">
        <v>43449</v>
      </c>
      <c r="L1392" s="1626"/>
      <c r="M1392" s="1627">
        <v>0</v>
      </c>
      <c r="N1392" s="1628">
        <v>1.4812464187971943</v>
      </c>
      <c r="O1392" s="1628"/>
    </row>
    <row r="1393" spans="11:15">
      <c r="K1393" s="1625">
        <v>43450</v>
      </c>
      <c r="L1393" s="1626"/>
      <c r="M1393" s="1627">
        <v>0</v>
      </c>
      <c r="N1393" s="1628">
        <v>1.4812464187971943</v>
      </c>
      <c r="O1393" s="1628"/>
    </row>
    <row r="1394" spans="11:15">
      <c r="K1394" s="1625">
        <v>43451</v>
      </c>
      <c r="L1394" s="1626" t="s">
        <v>2301</v>
      </c>
      <c r="M1394" s="1627">
        <v>2.462E-2</v>
      </c>
      <c r="N1394" s="1628">
        <v>1.4816111016655023</v>
      </c>
      <c r="O1394" s="1628"/>
    </row>
    <row r="1395" spans="11:15">
      <c r="K1395" s="1625">
        <v>43452</v>
      </c>
      <c r="L1395" s="1626" t="s">
        <v>2301</v>
      </c>
      <c r="M1395" s="1627">
        <v>2.462E-2</v>
      </c>
      <c r="N1395" s="1628">
        <v>1.4819758743187323</v>
      </c>
      <c r="O1395" s="1628"/>
    </row>
    <row r="1396" spans="11:15">
      <c r="K1396" s="1625">
        <v>43453</v>
      </c>
      <c r="L1396" s="1626" t="s">
        <v>2301</v>
      </c>
      <c r="M1396" s="1627">
        <v>2.462E-2</v>
      </c>
      <c r="N1396" s="1628">
        <v>1.4823407367789898</v>
      </c>
      <c r="O1396" s="1628"/>
    </row>
    <row r="1397" spans="11:15">
      <c r="K1397" s="1625">
        <v>43454</v>
      </c>
      <c r="L1397" s="1626" t="s">
        <v>2301</v>
      </c>
      <c r="M1397" s="1627">
        <v>2.462E-2</v>
      </c>
      <c r="N1397" s="1628">
        <v>1.482705689068385</v>
      </c>
      <c r="O1397" s="1628"/>
    </row>
    <row r="1398" spans="11:15">
      <c r="K1398" s="1625">
        <v>43455</v>
      </c>
      <c r="L1398" s="1626" t="s">
        <v>2301</v>
      </c>
      <c r="M1398" s="1627">
        <v>2.462E-2</v>
      </c>
      <c r="N1398" s="1628">
        <v>1.4830707312090337</v>
      </c>
      <c r="O1398" s="1628"/>
    </row>
    <row r="1399" spans="11:15">
      <c r="K1399" s="1625">
        <v>43456</v>
      </c>
      <c r="L1399" s="1626"/>
      <c r="M1399" s="1627">
        <v>0</v>
      </c>
      <c r="N1399" s="1628">
        <v>1.4830707312090337</v>
      </c>
      <c r="O1399" s="1628"/>
    </row>
    <row r="1400" spans="11:15">
      <c r="K1400" s="1625">
        <v>43457</v>
      </c>
      <c r="L1400" s="1626"/>
      <c r="M1400" s="1627">
        <v>0</v>
      </c>
      <c r="N1400" s="1628">
        <v>1.4830707312090337</v>
      </c>
      <c r="O1400" s="1628"/>
    </row>
    <row r="1401" spans="11:15">
      <c r="K1401" s="1625">
        <v>43458</v>
      </c>
      <c r="L1401" s="1626" t="s">
        <v>2301</v>
      </c>
      <c r="M1401" s="1627">
        <v>2.462E-2</v>
      </c>
      <c r="N1401" s="1628">
        <v>1.4834358632230575</v>
      </c>
      <c r="O1401" s="1628"/>
    </row>
    <row r="1402" spans="11:15">
      <c r="K1402" s="1625">
        <v>43459</v>
      </c>
      <c r="L1402" s="1626"/>
      <c r="M1402" s="1627">
        <v>0</v>
      </c>
      <c r="N1402" s="1628">
        <v>1.4834358632230575</v>
      </c>
      <c r="O1402" s="1628"/>
    </row>
    <row r="1403" spans="11:15">
      <c r="K1403" s="1625">
        <v>43460</v>
      </c>
      <c r="L1403" s="1626" t="s">
        <v>2301</v>
      </c>
      <c r="M1403" s="1627">
        <v>2.462E-2</v>
      </c>
      <c r="N1403" s="1628">
        <v>1.4838010851325831</v>
      </c>
      <c r="O1403" s="1628"/>
    </row>
    <row r="1404" spans="11:15">
      <c r="K1404" s="1625">
        <v>43461</v>
      </c>
      <c r="L1404" s="1626" t="s">
        <v>2301</v>
      </c>
      <c r="M1404" s="1627">
        <v>2.462E-2</v>
      </c>
      <c r="N1404" s="1628">
        <v>1.484166396959743</v>
      </c>
      <c r="O1404" s="1628"/>
    </row>
    <row r="1405" spans="11:15">
      <c r="K1405" s="1625">
        <v>43462</v>
      </c>
      <c r="L1405" s="1626" t="s">
        <v>2301</v>
      </c>
      <c r="M1405" s="1627">
        <v>2.462E-2</v>
      </c>
      <c r="N1405" s="1628">
        <v>1.4845317987266746</v>
      </c>
      <c r="O1405" s="1628"/>
    </row>
    <row r="1406" spans="11:15">
      <c r="K1406" s="1625">
        <v>43463</v>
      </c>
      <c r="L1406" s="1626"/>
      <c r="M1406" s="1627">
        <v>0</v>
      </c>
      <c r="N1406" s="1628">
        <v>1.4845317987266746</v>
      </c>
      <c r="O1406" s="1628"/>
    </row>
    <row r="1407" spans="11:15">
      <c r="K1407" s="1625">
        <v>43464</v>
      </c>
      <c r="L1407" s="1626"/>
      <c r="M1407" s="1627">
        <v>0</v>
      </c>
      <c r="N1407" s="1628">
        <v>1.4845317987266746</v>
      </c>
      <c r="O1407" s="1628"/>
    </row>
    <row r="1408" spans="11:15">
      <c r="K1408" s="1625">
        <v>43465</v>
      </c>
      <c r="L1408" s="1626" t="s">
        <v>2301</v>
      </c>
      <c r="M1408" s="1627">
        <v>2.462E-2</v>
      </c>
      <c r="N1408" s="1628">
        <v>1.4848972904555213</v>
      </c>
      <c r="O1408" s="1628"/>
    </row>
    <row r="1409" spans="11:15">
      <c r="K1409" s="1625">
        <v>43466</v>
      </c>
      <c r="L1409" s="1626"/>
      <c r="M1409" s="1627">
        <v>0</v>
      </c>
      <c r="N1409" s="1628">
        <v>1.4848972904555213</v>
      </c>
      <c r="O1409" s="1628"/>
    </row>
    <row r="1410" spans="11:15">
      <c r="K1410" s="1625">
        <v>43467</v>
      </c>
      <c r="L1410" s="1626" t="s">
        <v>2301</v>
      </c>
      <c r="M1410" s="1627">
        <v>2.462E-2</v>
      </c>
      <c r="N1410" s="1628">
        <v>1.4852628721684316</v>
      </c>
      <c r="O1410" s="1628"/>
    </row>
    <row r="1411" spans="11:15">
      <c r="K1411" s="1625">
        <v>43468</v>
      </c>
      <c r="L1411" s="1626" t="s">
        <v>2301</v>
      </c>
      <c r="M1411" s="1627">
        <v>2.462E-2</v>
      </c>
      <c r="N1411" s="1628">
        <v>1.4856285438875596</v>
      </c>
      <c r="O1411" s="1628"/>
    </row>
    <row r="1412" spans="11:15">
      <c r="K1412" s="1625">
        <v>43469</v>
      </c>
      <c r="L1412" s="1626" t="s">
        <v>2301</v>
      </c>
      <c r="M1412" s="1627">
        <v>2.462E-2</v>
      </c>
      <c r="N1412" s="1628">
        <v>1.4859943056350648</v>
      </c>
      <c r="O1412" s="1628"/>
    </row>
    <row r="1413" spans="11:15">
      <c r="K1413" s="1625">
        <v>43470</v>
      </c>
      <c r="L1413" s="1626"/>
      <c r="M1413" s="1627">
        <v>0</v>
      </c>
      <c r="N1413" s="1628">
        <v>1.4859943056350648</v>
      </c>
      <c r="O1413" s="1628"/>
    </row>
    <row r="1414" spans="11:15">
      <c r="K1414" s="1625">
        <v>43471</v>
      </c>
      <c r="L1414" s="1626"/>
      <c r="M1414" s="1627">
        <v>0</v>
      </c>
      <c r="N1414" s="1628">
        <v>1.4859943056350648</v>
      </c>
      <c r="O1414" s="1628"/>
    </row>
    <row r="1415" spans="11:15">
      <c r="K1415" s="1625">
        <v>43472</v>
      </c>
      <c r="L1415" s="1626" t="s">
        <v>2301</v>
      </c>
      <c r="M1415" s="1627">
        <v>2.462E-2</v>
      </c>
      <c r="N1415" s="1628">
        <v>1.4863601574331122</v>
      </c>
      <c r="O1415" s="1628"/>
    </row>
    <row r="1416" spans="11:15">
      <c r="K1416" s="1625">
        <v>43473</v>
      </c>
      <c r="L1416" s="1626" t="s">
        <v>2301</v>
      </c>
      <c r="M1416" s="1627">
        <v>2.462E-2</v>
      </c>
      <c r="N1416" s="1628">
        <v>1.4867260993038725</v>
      </c>
      <c r="O1416" s="1628"/>
    </row>
    <row r="1417" spans="11:15">
      <c r="K1417" s="1625">
        <v>43474</v>
      </c>
      <c r="L1417" s="1626" t="s">
        <v>2301</v>
      </c>
      <c r="M1417" s="1627">
        <v>2.462E-2</v>
      </c>
      <c r="N1417" s="1628">
        <v>1.4870921312695211</v>
      </c>
      <c r="O1417" s="1628"/>
    </row>
    <row r="1418" spans="11:15">
      <c r="K1418" s="1625">
        <v>43475</v>
      </c>
      <c r="L1418" s="1626" t="s">
        <v>2301</v>
      </c>
      <c r="M1418" s="1627">
        <v>2.462E-2</v>
      </c>
      <c r="N1418" s="1628">
        <v>1.4874582533522398</v>
      </c>
      <c r="O1418" s="1628"/>
    </row>
    <row r="1419" spans="11:15">
      <c r="K1419" s="1625">
        <v>43476</v>
      </c>
      <c r="L1419" s="1626" t="s">
        <v>2301</v>
      </c>
      <c r="M1419" s="1627">
        <v>2.462E-2</v>
      </c>
      <c r="N1419" s="1628">
        <v>1.4878244655742152</v>
      </c>
      <c r="O1419" s="1628"/>
    </row>
    <row r="1420" spans="11:15">
      <c r="K1420" s="1625">
        <v>43477</v>
      </c>
      <c r="L1420" s="1626"/>
      <c r="M1420" s="1627">
        <v>0</v>
      </c>
      <c r="N1420" s="1628">
        <v>1.4878244655742152</v>
      </c>
      <c r="O1420" s="1628"/>
    </row>
    <row r="1421" spans="11:15">
      <c r="K1421" s="1625">
        <v>43478</v>
      </c>
      <c r="L1421" s="1626"/>
      <c r="M1421" s="1627">
        <v>0</v>
      </c>
      <c r="N1421" s="1628">
        <v>1.4878244655742152</v>
      </c>
      <c r="O1421" s="1628"/>
    </row>
    <row r="1422" spans="11:15">
      <c r="K1422" s="1625">
        <v>43479</v>
      </c>
      <c r="L1422" s="1626" t="s">
        <v>2301</v>
      </c>
      <c r="M1422" s="1627">
        <v>2.462E-2</v>
      </c>
      <c r="N1422" s="1628">
        <v>1.4881907679576396</v>
      </c>
      <c r="O1422" s="1628"/>
    </row>
    <row r="1423" spans="11:15">
      <c r="K1423" s="1625">
        <v>43480</v>
      </c>
      <c r="L1423" s="1626" t="s">
        <v>2301</v>
      </c>
      <c r="M1423" s="1627">
        <v>2.462E-2</v>
      </c>
      <c r="N1423" s="1628">
        <v>1.488557160524711</v>
      </c>
      <c r="O1423" s="1628"/>
    </row>
    <row r="1424" spans="11:15">
      <c r="K1424" s="1625">
        <v>43481</v>
      </c>
      <c r="L1424" s="1626" t="s">
        <v>2301</v>
      </c>
      <c r="M1424" s="1627">
        <v>2.462E-2</v>
      </c>
      <c r="N1424" s="1628">
        <v>1.4889236432976323</v>
      </c>
      <c r="O1424" s="1628"/>
    </row>
    <row r="1425" spans="11:15">
      <c r="K1425" s="1625">
        <v>43482</v>
      </c>
      <c r="L1425" s="1626" t="s">
        <v>2301</v>
      </c>
      <c r="M1425" s="1627">
        <v>2.462E-2</v>
      </c>
      <c r="N1425" s="1628">
        <v>1.4892902162986124</v>
      </c>
      <c r="O1425" s="1628"/>
    </row>
    <row r="1426" spans="11:15">
      <c r="K1426" s="1625">
        <v>43483</v>
      </c>
      <c r="L1426" s="1626" t="s">
        <v>2301</v>
      </c>
      <c r="M1426" s="1627">
        <v>2.462E-2</v>
      </c>
      <c r="N1426" s="1628">
        <v>1.4896568795498653</v>
      </c>
      <c r="O1426" s="1628"/>
    </row>
    <row r="1427" spans="11:15">
      <c r="K1427" s="1625">
        <v>43484</v>
      </c>
      <c r="L1427" s="1626"/>
      <c r="M1427" s="1627">
        <v>0</v>
      </c>
      <c r="N1427" s="1628">
        <v>1.4896568795498653</v>
      </c>
      <c r="O1427" s="1628"/>
    </row>
    <row r="1428" spans="11:15">
      <c r="K1428" s="1625">
        <v>43485</v>
      </c>
      <c r="L1428" s="1626"/>
      <c r="M1428" s="1627">
        <v>0</v>
      </c>
      <c r="N1428" s="1628">
        <v>1.4896568795498653</v>
      </c>
      <c r="O1428" s="1628"/>
    </row>
    <row r="1429" spans="11:15">
      <c r="K1429" s="1625">
        <v>43486</v>
      </c>
      <c r="L1429" s="1626" t="s">
        <v>2301</v>
      </c>
      <c r="M1429" s="1627">
        <v>2.462E-2</v>
      </c>
      <c r="N1429" s="1628">
        <v>1.4900236330736105</v>
      </c>
      <c r="O1429" s="1628"/>
    </row>
    <row r="1430" spans="11:15">
      <c r="K1430" s="1625">
        <v>43487</v>
      </c>
      <c r="L1430" s="1626" t="s">
        <v>2301</v>
      </c>
      <c r="M1430" s="1627">
        <v>2.462E-2</v>
      </c>
      <c r="N1430" s="1628">
        <v>1.4903904768920733</v>
      </c>
      <c r="O1430" s="1628"/>
    </row>
    <row r="1431" spans="11:15">
      <c r="K1431" s="1625">
        <v>43488</v>
      </c>
      <c r="L1431" s="1626" t="s">
        <v>2301</v>
      </c>
      <c r="M1431" s="1627">
        <v>2.462E-2</v>
      </c>
      <c r="N1431" s="1628">
        <v>1.4907574110274842</v>
      </c>
      <c r="O1431" s="1628"/>
    </row>
    <row r="1432" spans="11:15">
      <c r="K1432" s="1625">
        <v>43489</v>
      </c>
      <c r="L1432" s="1626" t="s">
        <v>2301</v>
      </c>
      <c r="M1432" s="1627">
        <v>2.462E-2</v>
      </c>
      <c r="N1432" s="1628">
        <v>1.4911244355020792</v>
      </c>
      <c r="O1432" s="1628"/>
    </row>
    <row r="1433" spans="11:15">
      <c r="K1433" s="1625">
        <v>43490</v>
      </c>
      <c r="L1433" s="1626" t="s">
        <v>2301</v>
      </c>
      <c r="M1433" s="1627">
        <v>2.462E-2</v>
      </c>
      <c r="N1433" s="1628">
        <v>1.4914915503380999</v>
      </c>
      <c r="O1433" s="1628"/>
    </row>
    <row r="1434" spans="11:15">
      <c r="K1434" s="1625">
        <v>43491</v>
      </c>
      <c r="L1434" s="1626"/>
      <c r="M1434" s="1627">
        <v>0</v>
      </c>
      <c r="N1434" s="1628">
        <v>1.4914915503380999</v>
      </c>
      <c r="O1434" s="1628"/>
    </row>
    <row r="1435" spans="11:15">
      <c r="K1435" s="1625">
        <v>43492</v>
      </c>
      <c r="L1435" s="1626"/>
      <c r="M1435" s="1627">
        <v>0</v>
      </c>
      <c r="N1435" s="1628">
        <v>1.4914915503380999</v>
      </c>
      <c r="O1435" s="1628"/>
    </row>
    <row r="1436" spans="11:15">
      <c r="K1436" s="1625">
        <v>43493</v>
      </c>
      <c r="L1436" s="1626" t="s">
        <v>2301</v>
      </c>
      <c r="M1436" s="1627">
        <v>2.462E-2</v>
      </c>
      <c r="N1436" s="1628">
        <v>1.4918587555577933</v>
      </c>
      <c r="O1436" s="1628"/>
    </row>
    <row r="1437" spans="11:15">
      <c r="K1437" s="1625">
        <v>43494</v>
      </c>
      <c r="L1437" s="1626" t="s">
        <v>2301</v>
      </c>
      <c r="M1437" s="1627">
        <v>2.462E-2</v>
      </c>
      <c r="N1437" s="1628">
        <v>1.4922260511834118</v>
      </c>
      <c r="O1437" s="1628"/>
    </row>
    <row r="1438" spans="11:15">
      <c r="K1438" s="1625">
        <v>43495</v>
      </c>
      <c r="L1438" s="1626" t="s">
        <v>2301</v>
      </c>
      <c r="M1438" s="1627">
        <v>2.462E-2</v>
      </c>
      <c r="N1438" s="1628">
        <v>1.4925934372372132</v>
      </c>
      <c r="O1438" s="1628"/>
    </row>
    <row r="1439" spans="11:15">
      <c r="K1439" s="1625">
        <v>43496</v>
      </c>
      <c r="L1439" s="1626" t="s">
        <v>2301</v>
      </c>
      <c r="M1439" s="1627">
        <v>2.462E-2</v>
      </c>
      <c r="N1439" s="1628">
        <v>1.492960913741461</v>
      </c>
      <c r="O1439" s="1628"/>
    </row>
    <row r="1440" spans="11:15">
      <c r="K1440" s="1625">
        <v>43497</v>
      </c>
      <c r="L1440" s="1626" t="s">
        <v>2301</v>
      </c>
      <c r="M1440" s="1627">
        <v>2.462E-2</v>
      </c>
      <c r="N1440" s="1628">
        <v>1.4933284807184244</v>
      </c>
      <c r="O1440" s="1628"/>
    </row>
    <row r="1441" spans="11:15">
      <c r="K1441" s="1625">
        <v>43498</v>
      </c>
      <c r="L1441" s="1626"/>
      <c r="M1441" s="1627">
        <v>0</v>
      </c>
      <c r="N1441" s="1628">
        <v>1.4933284807184244</v>
      </c>
      <c r="O1441" s="1628"/>
    </row>
    <row r="1442" spans="11:15">
      <c r="K1442" s="1625">
        <v>43499</v>
      </c>
      <c r="L1442" s="1626"/>
      <c r="M1442" s="1627">
        <v>0</v>
      </c>
      <c r="N1442" s="1628">
        <v>1.4933284807184244</v>
      </c>
      <c r="O1442" s="1628"/>
    </row>
    <row r="1443" spans="11:15">
      <c r="K1443" s="1625">
        <v>43500</v>
      </c>
      <c r="L1443" s="1626" t="s">
        <v>2301</v>
      </c>
      <c r="M1443" s="1627">
        <v>2.462E-2</v>
      </c>
      <c r="N1443" s="1628">
        <v>1.4936961381903775</v>
      </c>
      <c r="O1443" s="1628"/>
    </row>
    <row r="1444" spans="11:15">
      <c r="K1444" s="1625">
        <v>43501</v>
      </c>
      <c r="L1444" s="1626" t="s">
        <v>2301</v>
      </c>
      <c r="M1444" s="1627">
        <v>2.462E-2</v>
      </c>
      <c r="N1444" s="1628">
        <v>1.4940638861796001</v>
      </c>
      <c r="O1444" s="1628"/>
    </row>
    <row r="1445" spans="11:15">
      <c r="K1445" s="1625">
        <v>43502</v>
      </c>
      <c r="L1445" s="1626" t="s">
        <v>2301</v>
      </c>
      <c r="M1445" s="1627">
        <v>2.462E-2</v>
      </c>
      <c r="N1445" s="1628">
        <v>1.4944317247083776</v>
      </c>
      <c r="O1445" s="1628"/>
    </row>
    <row r="1446" spans="11:15">
      <c r="K1446" s="1625">
        <v>43503</v>
      </c>
      <c r="L1446" s="1626" t="s">
        <v>2301</v>
      </c>
      <c r="M1446" s="1627">
        <v>2.462E-2</v>
      </c>
      <c r="N1446" s="1628">
        <v>1.4947996537990009</v>
      </c>
      <c r="O1446" s="1628"/>
    </row>
    <row r="1447" spans="11:15">
      <c r="K1447" s="1625">
        <v>43504</v>
      </c>
      <c r="L1447" s="1626" t="s">
        <v>2301</v>
      </c>
      <c r="M1447" s="1627">
        <v>2.462E-2</v>
      </c>
      <c r="N1447" s="1628">
        <v>1.4951676734737664</v>
      </c>
      <c r="O1447" s="1628"/>
    </row>
    <row r="1448" spans="11:15">
      <c r="K1448" s="1625">
        <v>43505</v>
      </c>
      <c r="L1448" s="1626"/>
      <c r="M1448" s="1627">
        <v>0</v>
      </c>
      <c r="N1448" s="1628">
        <v>1.4951676734737664</v>
      </c>
      <c r="O1448" s="1628"/>
    </row>
    <row r="1449" spans="11:15">
      <c r="K1449" s="1625">
        <v>43506</v>
      </c>
      <c r="L1449" s="1626"/>
      <c r="M1449" s="1627">
        <v>0</v>
      </c>
      <c r="N1449" s="1628">
        <v>1.4951676734737664</v>
      </c>
      <c r="O1449" s="1628"/>
    </row>
    <row r="1450" spans="11:15">
      <c r="K1450" s="1625">
        <v>43507</v>
      </c>
      <c r="L1450" s="1626" t="s">
        <v>2301</v>
      </c>
      <c r="M1450" s="1627">
        <v>2.462E-2</v>
      </c>
      <c r="N1450" s="1628">
        <v>1.4955357837549759</v>
      </c>
      <c r="O1450" s="1628"/>
    </row>
    <row r="1451" spans="11:15">
      <c r="K1451" s="1625">
        <v>43508</v>
      </c>
      <c r="L1451" s="1626" t="s">
        <v>2301</v>
      </c>
      <c r="M1451" s="1627">
        <v>2.462E-2</v>
      </c>
      <c r="N1451" s="1628">
        <v>1.4959039846649365</v>
      </c>
      <c r="O1451" s="1628"/>
    </row>
    <row r="1452" spans="11:15">
      <c r="K1452" s="1625">
        <v>43509</v>
      </c>
      <c r="L1452" s="1626" t="s">
        <v>2301</v>
      </c>
      <c r="M1452" s="1627">
        <v>2.462E-2</v>
      </c>
      <c r="N1452" s="1628">
        <v>1.496272276225961</v>
      </c>
      <c r="O1452" s="1628"/>
    </row>
    <row r="1453" spans="11:15">
      <c r="K1453" s="1625">
        <v>43510</v>
      </c>
      <c r="L1453" s="1626" t="s">
        <v>2301</v>
      </c>
      <c r="M1453" s="1627">
        <v>2.462E-2</v>
      </c>
      <c r="N1453" s="1628">
        <v>1.496640658460368</v>
      </c>
      <c r="O1453" s="1628"/>
    </row>
    <row r="1454" spans="11:15">
      <c r="K1454" s="1625">
        <v>43511</v>
      </c>
      <c r="L1454" s="1626" t="s">
        <v>2301</v>
      </c>
      <c r="M1454" s="1627">
        <v>2.462E-2</v>
      </c>
      <c r="N1454" s="1628">
        <v>1.497009131390481</v>
      </c>
      <c r="O1454" s="1628"/>
    </row>
    <row r="1455" spans="11:15">
      <c r="K1455" s="1625">
        <v>43512</v>
      </c>
      <c r="L1455" s="1626"/>
      <c r="M1455" s="1627">
        <v>0</v>
      </c>
      <c r="N1455" s="1628">
        <v>1.497009131390481</v>
      </c>
      <c r="O1455" s="1628"/>
    </row>
    <row r="1456" spans="11:15">
      <c r="K1456" s="1625">
        <v>43513</v>
      </c>
      <c r="L1456" s="1626"/>
      <c r="M1456" s="1627">
        <v>0</v>
      </c>
      <c r="N1456" s="1628">
        <v>1.497009131390481</v>
      </c>
      <c r="O1456" s="1628"/>
    </row>
    <row r="1457" spans="11:15">
      <c r="K1457" s="1625">
        <v>43514</v>
      </c>
      <c r="L1457" s="1626" t="s">
        <v>2301</v>
      </c>
      <c r="M1457" s="1627">
        <v>2.462E-2</v>
      </c>
      <c r="N1457" s="1628">
        <v>1.4973776950386295</v>
      </c>
      <c r="O1457" s="1628"/>
    </row>
    <row r="1458" spans="11:15">
      <c r="K1458" s="1625">
        <v>43515</v>
      </c>
      <c r="L1458" s="1626" t="s">
        <v>2301</v>
      </c>
      <c r="M1458" s="1627">
        <v>2.462E-2</v>
      </c>
      <c r="N1458" s="1628">
        <v>1.4977463494271481</v>
      </c>
      <c r="O1458" s="1628"/>
    </row>
    <row r="1459" spans="11:15">
      <c r="K1459" s="1625">
        <v>43516</v>
      </c>
      <c r="L1459" s="1626" t="s">
        <v>2301</v>
      </c>
      <c r="M1459" s="1627">
        <v>2.462E-2</v>
      </c>
      <c r="N1459" s="1628">
        <v>1.4981150945783772</v>
      </c>
      <c r="O1459" s="1628"/>
    </row>
    <row r="1460" spans="11:15">
      <c r="K1460" s="1625">
        <v>43517</v>
      </c>
      <c r="L1460" s="1626" t="s">
        <v>2301</v>
      </c>
      <c r="M1460" s="1627">
        <v>2.462E-2</v>
      </c>
      <c r="N1460" s="1628">
        <v>1.4984839305146624</v>
      </c>
      <c r="O1460" s="1628"/>
    </row>
    <row r="1461" spans="11:15">
      <c r="K1461" s="1625">
        <v>43518</v>
      </c>
      <c r="L1461" s="1626" t="s">
        <v>2301</v>
      </c>
      <c r="M1461" s="1627">
        <v>2.462E-2</v>
      </c>
      <c r="N1461" s="1628">
        <v>1.4988528572583553</v>
      </c>
      <c r="O1461" s="1628"/>
    </row>
    <row r="1462" spans="11:15">
      <c r="K1462" s="1625">
        <v>43519</v>
      </c>
      <c r="L1462" s="1626"/>
      <c r="M1462" s="1627">
        <v>0</v>
      </c>
      <c r="N1462" s="1628">
        <v>1.4988528572583553</v>
      </c>
      <c r="O1462" s="1628"/>
    </row>
    <row r="1463" spans="11:15">
      <c r="K1463" s="1625">
        <v>43520</v>
      </c>
      <c r="L1463" s="1626"/>
      <c r="M1463" s="1627">
        <v>0</v>
      </c>
      <c r="N1463" s="1628">
        <v>1.4988528572583553</v>
      </c>
      <c r="O1463" s="1628"/>
    </row>
    <row r="1464" spans="11:15">
      <c r="K1464" s="1625">
        <v>43521</v>
      </c>
      <c r="L1464" s="1626" t="s">
        <v>2301</v>
      </c>
      <c r="M1464" s="1627">
        <v>2.462E-2</v>
      </c>
      <c r="N1464" s="1628">
        <v>1.4992218748318125</v>
      </c>
      <c r="O1464" s="1628"/>
    </row>
    <row r="1465" spans="11:15">
      <c r="K1465" s="1625">
        <v>43522</v>
      </c>
      <c r="L1465" s="1626" t="s">
        <v>2301</v>
      </c>
      <c r="M1465" s="1627">
        <v>2.462E-2</v>
      </c>
      <c r="N1465" s="1628">
        <v>1.4995909832573961</v>
      </c>
      <c r="O1465" s="1628"/>
    </row>
    <row r="1466" spans="11:15">
      <c r="K1466" s="1625">
        <v>43523</v>
      </c>
      <c r="L1466" s="1626" t="s">
        <v>2301</v>
      </c>
      <c r="M1466" s="1627">
        <v>2.462E-2</v>
      </c>
      <c r="N1466" s="1628">
        <v>1.4999601825574742</v>
      </c>
      <c r="O1466" s="1628"/>
    </row>
    <row r="1467" spans="11:15">
      <c r="K1467" s="1625">
        <v>43524</v>
      </c>
      <c r="L1467" s="1626" t="s">
        <v>2301</v>
      </c>
      <c r="M1467" s="1627">
        <v>2.462E-2</v>
      </c>
      <c r="N1467" s="1628">
        <v>1.5003294727544201</v>
      </c>
      <c r="O1467" s="1628"/>
    </row>
    <row r="1468" spans="11:15">
      <c r="K1468" s="1625">
        <v>43525</v>
      </c>
      <c r="L1468" s="1626" t="s">
        <v>2301</v>
      </c>
      <c r="M1468" s="1627">
        <v>2.462E-2</v>
      </c>
      <c r="N1468" s="1628">
        <v>1.5006988538706123</v>
      </c>
      <c r="O1468" s="1628"/>
    </row>
    <row r="1469" spans="11:15">
      <c r="K1469" s="1625">
        <v>43526</v>
      </c>
      <c r="L1469" s="1626"/>
      <c r="M1469" s="1627">
        <v>0</v>
      </c>
      <c r="N1469" s="1628">
        <v>1.5006988538706123</v>
      </c>
      <c r="O1469" s="1628"/>
    </row>
    <row r="1470" spans="11:15">
      <c r="K1470" s="1625">
        <v>43527</v>
      </c>
      <c r="L1470" s="1626"/>
      <c r="M1470" s="1627">
        <v>0</v>
      </c>
      <c r="N1470" s="1628">
        <v>1.5006988538706123</v>
      </c>
      <c r="O1470" s="1628"/>
    </row>
    <row r="1471" spans="11:15">
      <c r="K1471" s="1625">
        <v>43528</v>
      </c>
      <c r="L1471" s="1626"/>
      <c r="M1471" s="1627">
        <v>0</v>
      </c>
      <c r="N1471" s="1628">
        <v>1.5006988538706123</v>
      </c>
      <c r="O1471" s="1628"/>
    </row>
    <row r="1472" spans="11:15">
      <c r="K1472" s="1625">
        <v>43529</v>
      </c>
      <c r="L1472" s="1626"/>
      <c r="M1472" s="1627">
        <v>0</v>
      </c>
      <c r="N1472" s="1628">
        <v>1.5006988538706123</v>
      </c>
      <c r="O1472" s="1628"/>
    </row>
    <row r="1473" spans="11:15">
      <c r="K1473" s="1625">
        <v>43530</v>
      </c>
      <c r="L1473" s="1626" t="s">
        <v>2301</v>
      </c>
      <c r="M1473" s="1627">
        <v>2.462E-2</v>
      </c>
      <c r="N1473" s="1628">
        <v>1.5010683259284354</v>
      </c>
      <c r="O1473" s="1628"/>
    </row>
    <row r="1474" spans="11:15">
      <c r="K1474" s="1625">
        <v>43531</v>
      </c>
      <c r="L1474" s="1626" t="s">
        <v>2301</v>
      </c>
      <c r="M1474" s="1627">
        <v>2.462E-2</v>
      </c>
      <c r="N1474" s="1628">
        <v>1.5014378889502791</v>
      </c>
      <c r="O1474" s="1628"/>
    </row>
    <row r="1475" spans="11:15">
      <c r="K1475" s="1625">
        <v>43532</v>
      </c>
      <c r="L1475" s="1626" t="s">
        <v>2301</v>
      </c>
      <c r="M1475" s="1627">
        <v>2.462E-2</v>
      </c>
      <c r="N1475" s="1628">
        <v>1.5018075429585387</v>
      </c>
      <c r="O1475" s="1628"/>
    </row>
    <row r="1476" spans="11:15">
      <c r="K1476" s="1625">
        <v>43533</v>
      </c>
      <c r="L1476" s="1626"/>
      <c r="M1476" s="1627">
        <v>0</v>
      </c>
      <c r="N1476" s="1628">
        <v>1.5018075429585387</v>
      </c>
      <c r="O1476" s="1628"/>
    </row>
    <row r="1477" spans="11:15">
      <c r="K1477" s="1625">
        <v>43534</v>
      </c>
      <c r="L1477" s="1626"/>
      <c r="M1477" s="1627">
        <v>0</v>
      </c>
      <c r="N1477" s="1628">
        <v>1.5018075429585387</v>
      </c>
      <c r="O1477" s="1628"/>
    </row>
    <row r="1478" spans="11:15">
      <c r="K1478" s="1625">
        <v>43535</v>
      </c>
      <c r="L1478" s="1626" t="s">
        <v>2301</v>
      </c>
      <c r="M1478" s="1627">
        <v>2.462E-2</v>
      </c>
      <c r="N1478" s="1628">
        <v>1.5021772879756152</v>
      </c>
      <c r="O1478" s="1628"/>
    </row>
    <row r="1479" spans="11:15">
      <c r="K1479" s="1625">
        <v>43536</v>
      </c>
      <c r="L1479" s="1626" t="s">
        <v>2301</v>
      </c>
      <c r="M1479" s="1627">
        <v>2.462E-2</v>
      </c>
      <c r="N1479" s="1628">
        <v>1.502547124023915</v>
      </c>
      <c r="O1479" s="1628"/>
    </row>
    <row r="1480" spans="11:15">
      <c r="K1480" s="1625">
        <v>43537</v>
      </c>
      <c r="L1480" s="1626" t="s">
        <v>2301</v>
      </c>
      <c r="M1480" s="1627">
        <v>2.462E-2</v>
      </c>
      <c r="N1480" s="1628">
        <v>1.5029170511258498</v>
      </c>
      <c r="O1480" s="1628"/>
    </row>
    <row r="1481" spans="11:15">
      <c r="K1481" s="1625">
        <v>43538</v>
      </c>
      <c r="L1481" s="1626" t="s">
        <v>2301</v>
      </c>
      <c r="M1481" s="1627">
        <v>2.462E-2</v>
      </c>
      <c r="N1481" s="1628">
        <v>1.5032870693038372</v>
      </c>
      <c r="O1481" s="1628"/>
    </row>
    <row r="1482" spans="11:15">
      <c r="K1482" s="1625">
        <v>43539</v>
      </c>
      <c r="L1482" s="1626" t="s">
        <v>2301</v>
      </c>
      <c r="M1482" s="1627">
        <v>2.462E-2</v>
      </c>
      <c r="N1482" s="1628">
        <v>1.5036571785802999</v>
      </c>
      <c r="O1482" s="1628"/>
    </row>
    <row r="1483" spans="11:15">
      <c r="K1483" s="1625">
        <v>43540</v>
      </c>
      <c r="L1483" s="1626"/>
      <c r="M1483" s="1627">
        <v>0</v>
      </c>
      <c r="N1483" s="1628">
        <v>1.5036571785802999</v>
      </c>
      <c r="O1483" s="1628"/>
    </row>
    <row r="1484" spans="11:15">
      <c r="K1484" s="1625">
        <v>43541</v>
      </c>
      <c r="L1484" s="1626"/>
      <c r="M1484" s="1627">
        <v>0</v>
      </c>
      <c r="N1484" s="1628">
        <v>1.5036571785802999</v>
      </c>
      <c r="O1484" s="1628"/>
    </row>
    <row r="1485" spans="11:15">
      <c r="K1485" s="1625">
        <v>43542</v>
      </c>
      <c r="L1485" s="1626" t="s">
        <v>2301</v>
      </c>
      <c r="M1485" s="1627">
        <v>2.462E-2</v>
      </c>
      <c r="N1485" s="1628">
        <v>1.5040273789776666</v>
      </c>
      <c r="O1485" s="1628"/>
    </row>
    <row r="1486" spans="11:15">
      <c r="K1486" s="1625">
        <v>43543</v>
      </c>
      <c r="L1486" s="1626" t="s">
        <v>2301</v>
      </c>
      <c r="M1486" s="1627">
        <v>2.462E-2</v>
      </c>
      <c r="N1486" s="1628">
        <v>1.504397670518371</v>
      </c>
      <c r="O1486" s="1628"/>
    </row>
    <row r="1487" spans="11:15">
      <c r="K1487" s="1625">
        <v>43544</v>
      </c>
      <c r="L1487" s="1626" t="s">
        <v>2301</v>
      </c>
      <c r="M1487" s="1627">
        <v>2.462E-2</v>
      </c>
      <c r="N1487" s="1628">
        <v>1.5047680532248529</v>
      </c>
      <c r="O1487" s="1628"/>
    </row>
    <row r="1488" spans="11:15">
      <c r="K1488" s="1625">
        <v>43545</v>
      </c>
      <c r="L1488" s="1626" t="s">
        <v>2301</v>
      </c>
      <c r="M1488" s="1627">
        <v>2.462E-2</v>
      </c>
      <c r="N1488" s="1628">
        <v>1.505138527119557</v>
      </c>
      <c r="O1488" s="1628"/>
    </row>
    <row r="1489" spans="11:15">
      <c r="K1489" s="1625">
        <v>43546</v>
      </c>
      <c r="L1489" s="1626" t="s">
        <v>2301</v>
      </c>
      <c r="M1489" s="1627">
        <v>2.462E-2</v>
      </c>
      <c r="N1489" s="1628">
        <v>1.5055090922249339</v>
      </c>
      <c r="O1489" s="1628"/>
    </row>
    <row r="1490" spans="11:15">
      <c r="K1490" s="1625">
        <v>43547</v>
      </c>
      <c r="L1490" s="1626"/>
      <c r="M1490" s="1627">
        <v>0</v>
      </c>
      <c r="N1490" s="1628">
        <v>1.5055090922249339</v>
      </c>
      <c r="O1490" s="1628"/>
    </row>
    <row r="1491" spans="11:15">
      <c r="K1491" s="1625">
        <v>43548</v>
      </c>
      <c r="L1491" s="1626"/>
      <c r="M1491" s="1627">
        <v>0</v>
      </c>
      <c r="N1491" s="1628">
        <v>1.5055090922249339</v>
      </c>
      <c r="O1491" s="1628"/>
    </row>
    <row r="1492" spans="11:15">
      <c r="K1492" s="1625">
        <v>43549</v>
      </c>
      <c r="L1492" s="1626" t="s">
        <v>2301</v>
      </c>
      <c r="M1492" s="1627">
        <v>2.462E-2</v>
      </c>
      <c r="N1492" s="1628">
        <v>1.5058797485634399</v>
      </c>
      <c r="O1492" s="1628"/>
    </row>
    <row r="1493" spans="11:15">
      <c r="K1493" s="1625">
        <v>43550</v>
      </c>
      <c r="L1493" s="1626" t="s">
        <v>2301</v>
      </c>
      <c r="M1493" s="1627">
        <v>2.462E-2</v>
      </c>
      <c r="N1493" s="1628">
        <v>1.5062504961575363</v>
      </c>
      <c r="O1493" s="1628"/>
    </row>
    <row r="1494" spans="11:15">
      <c r="K1494" s="1625">
        <v>43551</v>
      </c>
      <c r="L1494" s="1626" t="s">
        <v>2301</v>
      </c>
      <c r="M1494" s="1627">
        <v>2.462E-2</v>
      </c>
      <c r="N1494" s="1628">
        <v>1.5066213350296904</v>
      </c>
      <c r="O1494" s="1628"/>
    </row>
    <row r="1495" spans="11:15">
      <c r="K1495" s="1625">
        <v>43552</v>
      </c>
      <c r="L1495" s="1626" t="s">
        <v>2301</v>
      </c>
      <c r="M1495" s="1627">
        <v>2.462E-2</v>
      </c>
      <c r="N1495" s="1628">
        <v>1.5069922652023748</v>
      </c>
      <c r="O1495" s="1628"/>
    </row>
    <row r="1496" spans="11:15">
      <c r="K1496" s="1625">
        <v>43553</v>
      </c>
      <c r="L1496" s="1626" t="s">
        <v>2301</v>
      </c>
      <c r="M1496" s="1627">
        <v>2.462E-2</v>
      </c>
      <c r="N1496" s="1628">
        <v>1.5073632866980677</v>
      </c>
      <c r="O1496" s="1628"/>
    </row>
    <row r="1497" spans="11:15">
      <c r="K1497" s="1625">
        <v>43554</v>
      </c>
      <c r="L1497" s="1626"/>
      <c r="M1497" s="1627">
        <v>0</v>
      </c>
      <c r="N1497" s="1628">
        <v>1.5073632866980677</v>
      </c>
      <c r="O1497" s="1628"/>
    </row>
    <row r="1498" spans="11:15">
      <c r="K1498" s="1625">
        <v>43555</v>
      </c>
      <c r="L1498" s="1626"/>
      <c r="M1498" s="1627">
        <v>0</v>
      </c>
      <c r="N1498" s="1628">
        <v>1.5073632866980677</v>
      </c>
      <c r="O1498" s="1628"/>
    </row>
    <row r="1499" spans="11:15">
      <c r="K1499" s="1625">
        <v>43556</v>
      </c>
      <c r="L1499" s="1626" t="s">
        <v>2301</v>
      </c>
      <c r="M1499" s="1627">
        <v>2.462E-2</v>
      </c>
      <c r="N1499" s="1628">
        <v>1.5077343995392529</v>
      </c>
      <c r="O1499" s="1628"/>
    </row>
    <row r="1500" spans="11:15">
      <c r="K1500" s="1625">
        <v>43557</v>
      </c>
      <c r="L1500" s="1626" t="s">
        <v>2301</v>
      </c>
      <c r="M1500" s="1627">
        <v>2.462E-2</v>
      </c>
      <c r="N1500" s="1628">
        <v>1.5081056037484195</v>
      </c>
      <c r="O1500" s="1628"/>
    </row>
    <row r="1501" spans="11:15">
      <c r="K1501" s="1625">
        <v>43558</v>
      </c>
      <c r="L1501" s="1626" t="s">
        <v>2301</v>
      </c>
      <c r="M1501" s="1627">
        <v>2.462E-2</v>
      </c>
      <c r="N1501" s="1628">
        <v>1.5084768993480624</v>
      </c>
      <c r="O1501" s="1628"/>
    </row>
    <row r="1502" spans="11:15">
      <c r="K1502" s="1625">
        <v>43559</v>
      </c>
      <c r="L1502" s="1626" t="s">
        <v>2301</v>
      </c>
      <c r="M1502" s="1627">
        <v>2.462E-2</v>
      </c>
      <c r="N1502" s="1628">
        <v>1.508848286360682</v>
      </c>
      <c r="O1502" s="1628"/>
    </row>
    <row r="1503" spans="11:15">
      <c r="K1503" s="1625">
        <v>43560</v>
      </c>
      <c r="L1503" s="1626" t="s">
        <v>2301</v>
      </c>
      <c r="M1503" s="1627">
        <v>2.462E-2</v>
      </c>
      <c r="N1503" s="1628">
        <v>1.5092197648087842</v>
      </c>
      <c r="O1503" s="1628"/>
    </row>
    <row r="1504" spans="11:15">
      <c r="K1504" s="1625">
        <v>43561</v>
      </c>
      <c r="L1504" s="1626"/>
      <c r="M1504" s="1627">
        <v>0</v>
      </c>
      <c r="N1504" s="1628">
        <v>1.5092197648087842</v>
      </c>
      <c r="O1504" s="1628"/>
    </row>
    <row r="1505" spans="11:15">
      <c r="K1505" s="1625">
        <v>43562</v>
      </c>
      <c r="L1505" s="1626"/>
      <c r="M1505" s="1627">
        <v>0</v>
      </c>
      <c r="N1505" s="1628">
        <v>1.5092197648087842</v>
      </c>
      <c r="O1505" s="1628"/>
    </row>
    <row r="1506" spans="11:15">
      <c r="K1506" s="1625">
        <v>43563</v>
      </c>
      <c r="L1506" s="1626" t="s">
        <v>2301</v>
      </c>
      <c r="M1506" s="1627">
        <v>2.462E-2</v>
      </c>
      <c r="N1506" s="1628">
        <v>1.5095913347148802</v>
      </c>
      <c r="O1506" s="1628"/>
    </row>
    <row r="1507" spans="11:15">
      <c r="K1507" s="1625">
        <v>43564</v>
      </c>
      <c r="L1507" s="1626" t="s">
        <v>2301</v>
      </c>
      <c r="M1507" s="1627">
        <v>2.462E-2</v>
      </c>
      <c r="N1507" s="1628">
        <v>1.5099629961014871</v>
      </c>
      <c r="O1507" s="1628"/>
    </row>
    <row r="1508" spans="11:15">
      <c r="K1508" s="1625">
        <v>43565</v>
      </c>
      <c r="L1508" s="1626" t="s">
        <v>2301</v>
      </c>
      <c r="M1508" s="1627">
        <v>2.462E-2</v>
      </c>
      <c r="N1508" s="1628">
        <v>1.5103347489911274</v>
      </c>
      <c r="O1508" s="1628"/>
    </row>
    <row r="1509" spans="11:15">
      <c r="K1509" s="1625">
        <v>43566</v>
      </c>
      <c r="L1509" s="1626" t="s">
        <v>2301</v>
      </c>
      <c r="M1509" s="1627">
        <v>2.462E-2</v>
      </c>
      <c r="N1509" s="1628">
        <v>1.5107065934063291</v>
      </c>
      <c r="O1509" s="1628"/>
    </row>
    <row r="1510" spans="11:15">
      <c r="K1510" s="1625">
        <v>43567</v>
      </c>
      <c r="L1510" s="1626" t="s">
        <v>2301</v>
      </c>
      <c r="M1510" s="1627">
        <v>2.462E-2</v>
      </c>
      <c r="N1510" s="1628">
        <v>1.5110785293696258</v>
      </c>
      <c r="O1510" s="1628"/>
    </row>
    <row r="1511" spans="11:15">
      <c r="K1511" s="1625">
        <v>43568</v>
      </c>
      <c r="L1511" s="1626"/>
      <c r="M1511" s="1627">
        <v>0</v>
      </c>
      <c r="N1511" s="1628">
        <v>1.5110785293696258</v>
      </c>
      <c r="O1511" s="1628"/>
    </row>
    <row r="1512" spans="11:15">
      <c r="K1512" s="1625">
        <v>43569</v>
      </c>
      <c r="L1512" s="1626"/>
      <c r="M1512" s="1627">
        <v>0</v>
      </c>
      <c r="N1512" s="1628">
        <v>1.5110785293696258</v>
      </c>
      <c r="O1512" s="1628"/>
    </row>
    <row r="1513" spans="11:15">
      <c r="K1513" s="1625">
        <v>43570</v>
      </c>
      <c r="L1513" s="1626" t="s">
        <v>2301</v>
      </c>
      <c r="M1513" s="1627">
        <v>2.462E-2</v>
      </c>
      <c r="N1513" s="1628">
        <v>1.5114505569035568</v>
      </c>
      <c r="O1513" s="1628"/>
    </row>
    <row r="1514" spans="11:15">
      <c r="K1514" s="1625">
        <v>43571</v>
      </c>
      <c r="L1514" s="1626" t="s">
        <v>2301</v>
      </c>
      <c r="M1514" s="1627">
        <v>2.462E-2</v>
      </c>
      <c r="N1514" s="1628">
        <v>1.5118226760306666</v>
      </c>
      <c r="O1514" s="1628"/>
    </row>
    <row r="1515" spans="11:15">
      <c r="K1515" s="1625">
        <v>43572</v>
      </c>
      <c r="L1515" s="1626" t="s">
        <v>2301</v>
      </c>
      <c r="M1515" s="1627">
        <v>2.462E-2</v>
      </c>
      <c r="N1515" s="1628">
        <v>1.5121948867735053</v>
      </c>
      <c r="O1515" s="1628"/>
    </row>
    <row r="1516" spans="11:15">
      <c r="K1516" s="1625">
        <v>43573</v>
      </c>
      <c r="L1516" s="1626" t="s">
        <v>2301</v>
      </c>
      <c r="M1516" s="1627">
        <v>2.462E-2</v>
      </c>
      <c r="N1516" s="1628">
        <v>1.5125671891546291</v>
      </c>
      <c r="O1516" s="1628"/>
    </row>
    <row r="1517" spans="11:15">
      <c r="K1517" s="1625">
        <v>43574</v>
      </c>
      <c r="L1517" s="1626"/>
      <c r="M1517" s="1627">
        <v>0</v>
      </c>
      <c r="N1517" s="1628">
        <v>1.5125671891546291</v>
      </c>
      <c r="O1517" s="1628"/>
    </row>
    <row r="1518" spans="11:15">
      <c r="K1518" s="1625">
        <v>43575</v>
      </c>
      <c r="L1518" s="1626"/>
      <c r="M1518" s="1627">
        <v>0</v>
      </c>
      <c r="N1518" s="1628">
        <v>1.5125671891546291</v>
      </c>
      <c r="O1518" s="1628"/>
    </row>
    <row r="1519" spans="11:15">
      <c r="K1519" s="1625">
        <v>43576</v>
      </c>
      <c r="L1519" s="1626"/>
      <c r="M1519" s="1627">
        <v>0</v>
      </c>
      <c r="N1519" s="1628">
        <v>1.5125671891546291</v>
      </c>
      <c r="O1519" s="1628"/>
    </row>
    <row r="1520" spans="11:15">
      <c r="K1520" s="1625">
        <v>43577</v>
      </c>
      <c r="L1520" s="1626" t="s">
        <v>2301</v>
      </c>
      <c r="M1520" s="1627">
        <v>2.462E-2</v>
      </c>
      <c r="N1520" s="1628">
        <v>1.512939583196599</v>
      </c>
      <c r="O1520" s="1628"/>
    </row>
    <row r="1521" spans="11:15">
      <c r="K1521" s="1625">
        <v>43578</v>
      </c>
      <c r="L1521" s="1626" t="s">
        <v>2301</v>
      </c>
      <c r="M1521" s="1627">
        <v>2.462E-2</v>
      </c>
      <c r="N1521" s="1628">
        <v>1.5133120689219821</v>
      </c>
      <c r="O1521" s="1628"/>
    </row>
    <row r="1522" spans="11:15">
      <c r="K1522" s="1625">
        <v>43579</v>
      </c>
      <c r="L1522" s="1626" t="s">
        <v>2301</v>
      </c>
      <c r="M1522" s="1627">
        <v>2.462E-2</v>
      </c>
      <c r="N1522" s="1628">
        <v>1.5136846463533509</v>
      </c>
      <c r="O1522" s="1628"/>
    </row>
    <row r="1523" spans="11:15">
      <c r="K1523" s="1625">
        <v>43580</v>
      </c>
      <c r="L1523" s="1626" t="s">
        <v>2301</v>
      </c>
      <c r="M1523" s="1627">
        <v>2.462E-2</v>
      </c>
      <c r="N1523" s="1628">
        <v>1.5140573155132833</v>
      </c>
      <c r="O1523" s="1628"/>
    </row>
    <row r="1524" spans="11:15">
      <c r="K1524" s="1625">
        <v>43581</v>
      </c>
      <c r="L1524" s="1626" t="s">
        <v>2301</v>
      </c>
      <c r="M1524" s="1627">
        <v>2.462E-2</v>
      </c>
      <c r="N1524" s="1628">
        <v>1.5144300764243628</v>
      </c>
      <c r="O1524" s="1628"/>
    </row>
    <row r="1525" spans="11:15">
      <c r="K1525" s="1625">
        <v>43582</v>
      </c>
      <c r="L1525" s="1626"/>
      <c r="M1525" s="1627">
        <v>0</v>
      </c>
      <c r="N1525" s="1628">
        <v>1.5144300764243628</v>
      </c>
      <c r="O1525" s="1628"/>
    </row>
    <row r="1526" spans="11:15">
      <c r="K1526" s="1625">
        <v>43583</v>
      </c>
      <c r="L1526" s="1626"/>
      <c r="M1526" s="1627">
        <v>0</v>
      </c>
      <c r="N1526" s="1628">
        <v>1.5144300764243628</v>
      </c>
      <c r="O1526" s="1628"/>
    </row>
    <row r="1527" spans="11:15">
      <c r="K1527" s="1625">
        <v>43584</v>
      </c>
      <c r="L1527" s="1626" t="s">
        <v>2301</v>
      </c>
      <c r="M1527" s="1627">
        <v>2.462E-2</v>
      </c>
      <c r="N1527" s="1628">
        <v>1.5148029291091787</v>
      </c>
      <c r="O1527" s="1628"/>
    </row>
    <row r="1528" spans="11:15">
      <c r="K1528" s="1625">
        <v>43585</v>
      </c>
      <c r="L1528" s="1626" t="s">
        <v>2301</v>
      </c>
      <c r="M1528" s="1627">
        <v>2.462E-2</v>
      </c>
      <c r="N1528" s="1628">
        <v>1.5151758735903256</v>
      </c>
      <c r="O1528" s="1628"/>
    </row>
    <row r="1529" spans="11:15">
      <c r="K1529" s="1625">
        <v>43586</v>
      </c>
      <c r="L1529" s="1626"/>
      <c r="M1529" s="1627">
        <v>0</v>
      </c>
      <c r="N1529" s="1628">
        <v>1.5151758735903256</v>
      </c>
      <c r="O1529" s="1628"/>
    </row>
    <row r="1530" spans="11:15">
      <c r="K1530" s="1625">
        <v>43587</v>
      </c>
      <c r="L1530" s="1626" t="s">
        <v>2301</v>
      </c>
      <c r="M1530" s="1627">
        <v>2.462E-2</v>
      </c>
      <c r="N1530" s="1628">
        <v>1.5155489098904036</v>
      </c>
      <c r="O1530" s="1628"/>
    </row>
    <row r="1531" spans="11:15">
      <c r="K1531" s="1625">
        <v>43588</v>
      </c>
      <c r="L1531" s="1626" t="s">
        <v>2301</v>
      </c>
      <c r="M1531" s="1627">
        <v>2.462E-2</v>
      </c>
      <c r="N1531" s="1628">
        <v>1.5159220380320186</v>
      </c>
      <c r="O1531" s="1628"/>
    </row>
    <row r="1532" spans="11:15">
      <c r="K1532" s="1625">
        <v>43589</v>
      </c>
      <c r="L1532" s="1626"/>
      <c r="M1532" s="1627">
        <v>0</v>
      </c>
      <c r="N1532" s="1628">
        <v>1.5159220380320186</v>
      </c>
      <c r="O1532" s="1628"/>
    </row>
    <row r="1533" spans="11:15">
      <c r="K1533" s="1625">
        <v>43590</v>
      </c>
      <c r="L1533" s="1626"/>
      <c r="M1533" s="1627">
        <v>0</v>
      </c>
      <c r="N1533" s="1628">
        <v>1.5159220380320186</v>
      </c>
      <c r="O1533" s="1628"/>
    </row>
    <row r="1534" spans="11:15">
      <c r="K1534" s="1625">
        <v>43591</v>
      </c>
      <c r="L1534" s="1626" t="s">
        <v>2301</v>
      </c>
      <c r="M1534" s="1627">
        <v>2.462E-2</v>
      </c>
      <c r="N1534" s="1628">
        <v>1.5162952580377822</v>
      </c>
      <c r="O1534" s="1628"/>
    </row>
    <row r="1535" spans="11:15">
      <c r="K1535" s="1625">
        <v>43592</v>
      </c>
      <c r="L1535" s="1626" t="s">
        <v>2301</v>
      </c>
      <c r="M1535" s="1627">
        <v>2.462E-2</v>
      </c>
      <c r="N1535" s="1628">
        <v>1.5166685699303113</v>
      </c>
      <c r="O1535" s="1628"/>
    </row>
    <row r="1536" spans="11:15">
      <c r="K1536" s="1625">
        <v>43593</v>
      </c>
      <c r="L1536" s="1626" t="s">
        <v>2301</v>
      </c>
      <c r="M1536" s="1627">
        <v>2.462E-2</v>
      </c>
      <c r="N1536" s="1628">
        <v>1.5170419737322283</v>
      </c>
      <c r="O1536" s="1628"/>
    </row>
    <row r="1537" spans="11:15">
      <c r="K1537" s="1625">
        <v>43594</v>
      </c>
      <c r="L1537" s="1626" t="s">
        <v>2301</v>
      </c>
      <c r="M1537" s="1627">
        <v>2.462E-2</v>
      </c>
      <c r="N1537" s="1628">
        <v>1.5174154694661612</v>
      </c>
      <c r="O1537" s="1628"/>
    </row>
    <row r="1538" spans="11:15">
      <c r="K1538" s="1625">
        <v>43595</v>
      </c>
      <c r="L1538" s="1626" t="s">
        <v>2301</v>
      </c>
      <c r="M1538" s="1627">
        <v>2.462E-2</v>
      </c>
      <c r="N1538" s="1628">
        <v>1.5177890571547439</v>
      </c>
      <c r="O1538" s="1628"/>
    </row>
    <row r="1539" spans="11:15">
      <c r="K1539" s="1625">
        <v>43596</v>
      </c>
      <c r="L1539" s="1626"/>
      <c r="M1539" s="1627">
        <v>0</v>
      </c>
      <c r="N1539" s="1628">
        <v>1.5177890571547439</v>
      </c>
      <c r="O1539" s="1628"/>
    </row>
    <row r="1540" spans="11:15">
      <c r="K1540" s="1625">
        <v>43597</v>
      </c>
      <c r="L1540" s="1626"/>
      <c r="M1540" s="1627">
        <v>0</v>
      </c>
      <c r="N1540" s="1628">
        <v>1.5177890571547439</v>
      </c>
      <c r="O1540" s="1628"/>
    </row>
    <row r="1541" spans="11:15">
      <c r="K1541" s="1625">
        <v>43598</v>
      </c>
      <c r="L1541" s="1626" t="s">
        <v>2301</v>
      </c>
      <c r="M1541" s="1627">
        <v>2.462E-2</v>
      </c>
      <c r="N1541" s="1628">
        <v>1.5181627368206154</v>
      </c>
      <c r="O1541" s="1628"/>
    </row>
    <row r="1542" spans="11:15">
      <c r="K1542" s="1625">
        <v>43599</v>
      </c>
      <c r="L1542" s="1626" t="s">
        <v>2301</v>
      </c>
      <c r="M1542" s="1627">
        <v>2.462E-2</v>
      </c>
      <c r="N1542" s="1628">
        <v>1.5185365084864209</v>
      </c>
      <c r="O1542" s="1628"/>
    </row>
    <row r="1543" spans="11:15">
      <c r="K1543" s="1625">
        <v>43600</v>
      </c>
      <c r="L1543" s="1626" t="s">
        <v>2301</v>
      </c>
      <c r="M1543" s="1627">
        <v>2.462E-2</v>
      </c>
      <c r="N1543" s="1628">
        <v>1.5189103721748103</v>
      </c>
      <c r="O1543" s="1628"/>
    </row>
    <row r="1544" spans="11:15">
      <c r="K1544" s="1625">
        <v>43601</v>
      </c>
      <c r="L1544" s="1626" t="s">
        <v>2301</v>
      </c>
      <c r="M1544" s="1627">
        <v>2.462E-2</v>
      </c>
      <c r="N1544" s="1628">
        <v>1.5192843279084398</v>
      </c>
      <c r="O1544" s="1628"/>
    </row>
    <row r="1545" spans="11:15">
      <c r="K1545" s="1625">
        <v>43602</v>
      </c>
      <c r="L1545" s="1626" t="s">
        <v>2301</v>
      </c>
      <c r="M1545" s="1627">
        <v>2.462E-2</v>
      </c>
      <c r="N1545" s="1628">
        <v>1.5196583757099711</v>
      </c>
      <c r="O1545" s="1628"/>
    </row>
    <row r="1546" spans="11:15">
      <c r="K1546" s="1625">
        <v>43603</v>
      </c>
      <c r="L1546" s="1626"/>
      <c r="M1546" s="1627">
        <v>0</v>
      </c>
      <c r="N1546" s="1628">
        <v>1.5196583757099711</v>
      </c>
      <c r="O1546" s="1628"/>
    </row>
    <row r="1547" spans="11:15">
      <c r="K1547" s="1625">
        <v>43604</v>
      </c>
      <c r="L1547" s="1626"/>
      <c r="M1547" s="1627">
        <v>0</v>
      </c>
      <c r="N1547" s="1628">
        <v>1.5196583757099711</v>
      </c>
      <c r="O1547" s="1628"/>
    </row>
    <row r="1548" spans="11:15">
      <c r="K1548" s="1625">
        <v>43605</v>
      </c>
      <c r="L1548" s="1626" t="s">
        <v>2301</v>
      </c>
      <c r="M1548" s="1627">
        <v>2.462E-2</v>
      </c>
      <c r="N1548" s="1628">
        <v>1.5200325156020711</v>
      </c>
      <c r="O1548" s="1628"/>
    </row>
    <row r="1549" spans="11:15">
      <c r="K1549" s="1625">
        <v>43606</v>
      </c>
      <c r="L1549" s="1626" t="s">
        <v>2301</v>
      </c>
      <c r="M1549" s="1627">
        <v>2.462E-2</v>
      </c>
      <c r="N1549" s="1628">
        <v>1.5204067476074123</v>
      </c>
      <c r="O1549" s="1628"/>
    </row>
    <row r="1550" spans="11:15">
      <c r="K1550" s="1625">
        <v>43607</v>
      </c>
      <c r="L1550" s="1626" t="s">
        <v>2301</v>
      </c>
      <c r="M1550" s="1627">
        <v>2.462E-2</v>
      </c>
      <c r="N1550" s="1628">
        <v>1.5207810717486734</v>
      </c>
      <c r="O1550" s="1628"/>
    </row>
    <row r="1551" spans="11:15">
      <c r="K1551" s="1625">
        <v>43608</v>
      </c>
      <c r="L1551" s="1626" t="s">
        <v>2301</v>
      </c>
      <c r="M1551" s="1627">
        <v>2.462E-2</v>
      </c>
      <c r="N1551" s="1628">
        <v>1.5211554880485381</v>
      </c>
      <c r="O1551" s="1628"/>
    </row>
    <row r="1552" spans="11:15">
      <c r="K1552" s="1625">
        <v>43609</v>
      </c>
      <c r="L1552" s="1626" t="s">
        <v>2301</v>
      </c>
      <c r="M1552" s="1627">
        <v>2.462E-2</v>
      </c>
      <c r="N1552" s="1628">
        <v>1.5215299965296958</v>
      </c>
      <c r="O1552" s="1628"/>
    </row>
    <row r="1553" spans="11:15">
      <c r="K1553" s="1625">
        <v>43610</v>
      </c>
      <c r="L1553" s="1626"/>
      <c r="M1553" s="1627">
        <v>0</v>
      </c>
      <c r="N1553" s="1628">
        <v>1.5215299965296958</v>
      </c>
      <c r="O1553" s="1628"/>
    </row>
    <row r="1554" spans="11:15">
      <c r="K1554" s="1625">
        <v>43611</v>
      </c>
      <c r="L1554" s="1626"/>
      <c r="M1554" s="1627">
        <v>0</v>
      </c>
      <c r="N1554" s="1628">
        <v>1.5215299965296958</v>
      </c>
      <c r="O1554" s="1628"/>
    </row>
    <row r="1555" spans="11:15">
      <c r="K1555" s="1625">
        <v>43612</v>
      </c>
      <c r="L1555" s="1626" t="s">
        <v>2301</v>
      </c>
      <c r="M1555" s="1627">
        <v>2.462E-2</v>
      </c>
      <c r="N1555" s="1628">
        <v>1.5219045972148415</v>
      </c>
      <c r="O1555" s="1628"/>
    </row>
    <row r="1556" spans="11:15">
      <c r="K1556" s="1625">
        <v>43613</v>
      </c>
      <c r="L1556" s="1626" t="s">
        <v>2301</v>
      </c>
      <c r="M1556" s="1627">
        <v>2.462E-2</v>
      </c>
      <c r="N1556" s="1628">
        <v>1.522279290126676</v>
      </c>
      <c r="O1556" s="1628"/>
    </row>
    <row r="1557" spans="11:15">
      <c r="K1557" s="1625">
        <v>43614</v>
      </c>
      <c r="L1557" s="1626" t="s">
        <v>2301</v>
      </c>
      <c r="M1557" s="1627">
        <v>2.462E-2</v>
      </c>
      <c r="N1557" s="1628">
        <v>1.5226540752879052</v>
      </c>
      <c r="O1557" s="1628"/>
    </row>
    <row r="1558" spans="11:15">
      <c r="K1558" s="1625">
        <v>43615</v>
      </c>
      <c r="L1558" s="1626" t="s">
        <v>2301</v>
      </c>
      <c r="M1558" s="1627">
        <v>2.462E-2</v>
      </c>
      <c r="N1558" s="1628">
        <v>1.5230289527212413</v>
      </c>
      <c r="O1558" s="1628"/>
    </row>
    <row r="1559" spans="11:15">
      <c r="K1559" s="1625">
        <v>43616</v>
      </c>
      <c r="L1559" s="1626" t="s">
        <v>2301</v>
      </c>
      <c r="M1559" s="1627">
        <v>2.462E-2</v>
      </c>
      <c r="N1559" s="1628">
        <v>1.5234039224494014</v>
      </c>
      <c r="O1559" s="1628"/>
    </row>
    <row r="1560" spans="11:15">
      <c r="K1560" s="1625">
        <v>43617</v>
      </c>
      <c r="L1560" s="1626"/>
      <c r="M1560" s="1627">
        <v>0</v>
      </c>
      <c r="N1560" s="1628">
        <v>1.5234039224494014</v>
      </c>
      <c r="O1560" s="1628"/>
    </row>
    <row r="1561" spans="11:15">
      <c r="K1561" s="1625">
        <v>43618</v>
      </c>
      <c r="L1561" s="1626"/>
      <c r="M1561" s="1627">
        <v>0</v>
      </c>
      <c r="N1561" s="1628">
        <v>1.5234039224494014</v>
      </c>
      <c r="O1561" s="1628"/>
    </row>
    <row r="1562" spans="11:15">
      <c r="K1562" s="1625">
        <v>43619</v>
      </c>
      <c r="L1562" s="1626" t="s">
        <v>2301</v>
      </c>
      <c r="M1562" s="1627">
        <v>2.462E-2</v>
      </c>
      <c r="N1562" s="1628">
        <v>1.5237789844951086</v>
      </c>
      <c r="O1562" s="1628"/>
    </row>
    <row r="1563" spans="11:15">
      <c r="K1563" s="1625">
        <v>43620</v>
      </c>
      <c r="L1563" s="1626" t="s">
        <v>2301</v>
      </c>
      <c r="M1563" s="1627">
        <v>2.462E-2</v>
      </c>
      <c r="N1563" s="1628">
        <v>1.5241541388810915</v>
      </c>
      <c r="O1563" s="1628"/>
    </row>
    <row r="1564" spans="11:15">
      <c r="K1564" s="1625">
        <v>43621</v>
      </c>
      <c r="L1564" s="1626" t="s">
        <v>2301</v>
      </c>
      <c r="M1564" s="1627">
        <v>2.462E-2</v>
      </c>
      <c r="N1564" s="1628">
        <v>1.5245293856300841</v>
      </c>
      <c r="O1564" s="1628"/>
    </row>
    <row r="1565" spans="11:15">
      <c r="K1565" s="1625">
        <v>43622</v>
      </c>
      <c r="L1565" s="1626" t="s">
        <v>2301</v>
      </c>
      <c r="M1565" s="1627">
        <v>2.462E-2</v>
      </c>
      <c r="N1565" s="1628">
        <v>1.5249047247648264</v>
      </c>
      <c r="O1565" s="1628"/>
    </row>
    <row r="1566" spans="11:15">
      <c r="K1566" s="1625">
        <v>43623</v>
      </c>
      <c r="L1566" s="1626" t="s">
        <v>2301</v>
      </c>
      <c r="M1566" s="1627">
        <v>2.462E-2</v>
      </c>
      <c r="N1566" s="1628">
        <v>1.5252801563080636</v>
      </c>
      <c r="O1566" s="1628"/>
    </row>
    <row r="1567" spans="11:15">
      <c r="K1567" s="1625">
        <v>43624</v>
      </c>
      <c r="L1567" s="1626"/>
      <c r="M1567" s="1627">
        <v>0</v>
      </c>
      <c r="N1567" s="1628">
        <v>1.5252801563080636</v>
      </c>
      <c r="O1567" s="1628"/>
    </row>
    <row r="1568" spans="11:15">
      <c r="K1568" s="1625">
        <v>43625</v>
      </c>
      <c r="L1568" s="1626"/>
      <c r="M1568" s="1627">
        <v>0</v>
      </c>
      <c r="N1568" s="1628">
        <v>1.5252801563080636</v>
      </c>
      <c r="O1568" s="1628"/>
    </row>
    <row r="1569" spans="11:15">
      <c r="K1569" s="1625">
        <v>43626</v>
      </c>
      <c r="L1569" s="1626" t="s">
        <v>2301</v>
      </c>
      <c r="M1569" s="1627">
        <v>2.462E-2</v>
      </c>
      <c r="N1569" s="1628">
        <v>1.5256556802825467</v>
      </c>
      <c r="O1569" s="1628"/>
    </row>
    <row r="1570" spans="11:15">
      <c r="K1570" s="1625">
        <v>43627</v>
      </c>
      <c r="L1570" s="1626" t="s">
        <v>2301</v>
      </c>
      <c r="M1570" s="1627">
        <v>2.462E-2</v>
      </c>
      <c r="N1570" s="1628">
        <v>1.5260312967110323</v>
      </c>
      <c r="O1570" s="1628"/>
    </row>
    <row r="1571" spans="11:15">
      <c r="K1571" s="1625">
        <v>43628</v>
      </c>
      <c r="L1571" s="1626" t="s">
        <v>2301</v>
      </c>
      <c r="M1571" s="1627">
        <v>2.462E-2</v>
      </c>
      <c r="N1571" s="1628">
        <v>1.5264070056162826</v>
      </c>
      <c r="O1571" s="1628"/>
    </row>
    <row r="1572" spans="11:15">
      <c r="K1572" s="1625">
        <v>43629</v>
      </c>
      <c r="L1572" s="1626" t="s">
        <v>2301</v>
      </c>
      <c r="M1572" s="1627">
        <v>2.462E-2</v>
      </c>
      <c r="N1572" s="1628">
        <v>1.5267828070210654</v>
      </c>
      <c r="O1572" s="1628"/>
    </row>
    <row r="1573" spans="11:15">
      <c r="K1573" s="1625">
        <v>43630</v>
      </c>
      <c r="L1573" s="1626" t="s">
        <v>2301</v>
      </c>
      <c r="M1573" s="1627">
        <v>2.462E-2</v>
      </c>
      <c r="N1573" s="1628">
        <v>1.5271587009481542</v>
      </c>
      <c r="O1573" s="1628"/>
    </row>
    <row r="1574" spans="11:15">
      <c r="K1574" s="1625">
        <v>43631</v>
      </c>
      <c r="L1574" s="1626"/>
      <c r="M1574" s="1627">
        <v>0</v>
      </c>
      <c r="N1574" s="1628">
        <v>1.5271587009481542</v>
      </c>
      <c r="O1574" s="1628"/>
    </row>
    <row r="1575" spans="11:15">
      <c r="K1575" s="1625">
        <v>43632</v>
      </c>
      <c r="L1575" s="1626"/>
      <c r="M1575" s="1627">
        <v>0</v>
      </c>
      <c r="N1575" s="1628">
        <v>1.5271587009481542</v>
      </c>
      <c r="O1575" s="1628"/>
    </row>
    <row r="1576" spans="11:15">
      <c r="K1576" s="1625">
        <v>43633</v>
      </c>
      <c r="L1576" s="1626" t="s">
        <v>2301</v>
      </c>
      <c r="M1576" s="1627">
        <v>2.462E-2</v>
      </c>
      <c r="N1576" s="1628">
        <v>1.5275346874203277</v>
      </c>
      <c r="O1576" s="1628"/>
    </row>
    <row r="1577" spans="11:15">
      <c r="K1577" s="1625">
        <v>43634</v>
      </c>
      <c r="L1577" s="1626" t="s">
        <v>2301</v>
      </c>
      <c r="M1577" s="1627">
        <v>2.462E-2</v>
      </c>
      <c r="N1577" s="1628">
        <v>1.5279107664603708</v>
      </c>
      <c r="O1577" s="1628"/>
    </row>
    <row r="1578" spans="11:15">
      <c r="K1578" s="1625">
        <v>43635</v>
      </c>
      <c r="L1578" s="1626" t="s">
        <v>2301</v>
      </c>
      <c r="M1578" s="1627">
        <v>2.462E-2</v>
      </c>
      <c r="N1578" s="1628">
        <v>1.5282869380910735</v>
      </c>
      <c r="O1578" s="1628"/>
    </row>
    <row r="1579" spans="11:15">
      <c r="K1579" s="1625">
        <v>43636</v>
      </c>
      <c r="L1579" s="1626"/>
      <c r="M1579" s="1627">
        <v>0</v>
      </c>
      <c r="N1579" s="1628">
        <v>1.5282869380910735</v>
      </c>
      <c r="O1579" s="1628"/>
    </row>
    <row r="1580" spans="11:15">
      <c r="K1580" s="1625">
        <v>43637</v>
      </c>
      <c r="L1580" s="1626" t="s">
        <v>2301</v>
      </c>
      <c r="M1580" s="1627">
        <v>2.462E-2</v>
      </c>
      <c r="N1580" s="1628">
        <v>1.5286632023352316</v>
      </c>
      <c r="O1580" s="1628"/>
    </row>
    <row r="1581" spans="11:15">
      <c r="K1581" s="1625">
        <v>43638</v>
      </c>
      <c r="L1581" s="1626"/>
      <c r="M1581" s="1627">
        <v>0</v>
      </c>
      <c r="N1581" s="1628">
        <v>1.5286632023352316</v>
      </c>
      <c r="O1581" s="1628"/>
    </row>
    <row r="1582" spans="11:15">
      <c r="K1582" s="1625">
        <v>43639</v>
      </c>
      <c r="L1582" s="1626"/>
      <c r="M1582" s="1627">
        <v>0</v>
      </c>
      <c r="N1582" s="1628">
        <v>1.5286632023352316</v>
      </c>
      <c r="O1582" s="1628"/>
    </row>
    <row r="1583" spans="11:15">
      <c r="K1583" s="1625">
        <v>43640</v>
      </c>
      <c r="L1583" s="1626" t="s">
        <v>2301</v>
      </c>
      <c r="M1583" s="1627">
        <v>2.462E-2</v>
      </c>
      <c r="N1583" s="1628">
        <v>1.5290395592156467</v>
      </c>
      <c r="O1583" s="1628"/>
    </row>
    <row r="1584" spans="11:15">
      <c r="K1584" s="1625">
        <v>43641</v>
      </c>
      <c r="L1584" s="1626" t="s">
        <v>2301</v>
      </c>
      <c r="M1584" s="1627">
        <v>2.462E-2</v>
      </c>
      <c r="N1584" s="1628">
        <v>1.5294160087551258</v>
      </c>
      <c r="O1584" s="1628"/>
    </row>
    <row r="1585" spans="11:15">
      <c r="K1585" s="1625">
        <v>43642</v>
      </c>
      <c r="L1585" s="1626" t="s">
        <v>2301</v>
      </c>
      <c r="M1585" s="1627">
        <v>2.462E-2</v>
      </c>
      <c r="N1585" s="1628">
        <v>1.5297925509764816</v>
      </c>
      <c r="O1585" s="1628"/>
    </row>
    <row r="1586" spans="11:15">
      <c r="K1586" s="1625">
        <v>43643</v>
      </c>
      <c r="L1586" s="1626" t="s">
        <v>2301</v>
      </c>
      <c r="M1586" s="1627">
        <v>2.462E-2</v>
      </c>
      <c r="N1586" s="1628">
        <v>1.5301691859025321</v>
      </c>
      <c r="O1586" s="1628"/>
    </row>
    <row r="1587" spans="11:15">
      <c r="K1587" s="1625">
        <v>43644</v>
      </c>
      <c r="L1587" s="1626" t="s">
        <v>2301</v>
      </c>
      <c r="M1587" s="1627">
        <v>2.462E-2</v>
      </c>
      <c r="N1587" s="1628">
        <v>1.5305459135561015</v>
      </c>
      <c r="O1587" s="1628"/>
    </row>
    <row r="1588" spans="11:15">
      <c r="K1588" s="1625">
        <v>43645</v>
      </c>
      <c r="L1588" s="1626"/>
      <c r="M1588" s="1627">
        <v>0</v>
      </c>
      <c r="N1588" s="1628">
        <v>1.5305459135561015</v>
      </c>
      <c r="O1588" s="1628"/>
    </row>
    <row r="1589" spans="11:15">
      <c r="K1589" s="1625">
        <v>43646</v>
      </c>
      <c r="L1589" s="1626"/>
      <c r="M1589" s="1627">
        <v>0</v>
      </c>
      <c r="N1589" s="1628">
        <v>1.5305459135561015</v>
      </c>
      <c r="O1589" s="1628"/>
    </row>
    <row r="1590" spans="11:15">
      <c r="K1590" s="1625">
        <v>43647</v>
      </c>
      <c r="L1590" s="1626" t="s">
        <v>2301</v>
      </c>
      <c r="M1590" s="1627">
        <v>2.462E-2</v>
      </c>
      <c r="N1590" s="1628">
        <v>1.5309227339600191</v>
      </c>
      <c r="O1590" s="1628"/>
    </row>
    <row r="1591" spans="11:15">
      <c r="K1591" s="1625">
        <v>43648</v>
      </c>
      <c r="L1591" s="1626" t="s">
        <v>2301</v>
      </c>
      <c r="M1591" s="1627">
        <v>2.462E-2</v>
      </c>
      <c r="N1591" s="1628">
        <v>1.5312996471371201</v>
      </c>
      <c r="O1591" s="1628"/>
    </row>
    <row r="1592" spans="11:15">
      <c r="K1592" s="1625">
        <v>43649</v>
      </c>
      <c r="L1592" s="1626" t="s">
        <v>2301</v>
      </c>
      <c r="M1592" s="1627">
        <v>2.462E-2</v>
      </c>
      <c r="N1592" s="1628">
        <v>1.5316766531102455</v>
      </c>
      <c r="O1592" s="1628"/>
    </row>
    <row r="1593" spans="11:15">
      <c r="K1593" s="1625">
        <v>43650</v>
      </c>
      <c r="L1593" s="1626" t="s">
        <v>2301</v>
      </c>
      <c r="M1593" s="1627">
        <v>2.462E-2</v>
      </c>
      <c r="N1593" s="1628">
        <v>1.5320537519022412</v>
      </c>
      <c r="O1593" s="1628"/>
    </row>
    <row r="1594" spans="11:15">
      <c r="K1594" s="1625">
        <v>43651</v>
      </c>
      <c r="L1594" s="1626" t="s">
        <v>2301</v>
      </c>
      <c r="M1594" s="1627">
        <v>2.462E-2</v>
      </c>
      <c r="N1594" s="1628">
        <v>1.5324309435359598</v>
      </c>
      <c r="O1594" s="1628"/>
    </row>
    <row r="1595" spans="11:15">
      <c r="K1595" s="1625">
        <v>43652</v>
      </c>
      <c r="L1595" s="1626"/>
      <c r="M1595" s="1627">
        <v>0</v>
      </c>
      <c r="N1595" s="1628">
        <v>1.5324309435359598</v>
      </c>
      <c r="O1595" s="1628"/>
    </row>
    <row r="1596" spans="11:15">
      <c r="K1596" s="1625">
        <v>43653</v>
      </c>
      <c r="L1596" s="1626"/>
      <c r="M1596" s="1627">
        <v>0</v>
      </c>
      <c r="N1596" s="1628">
        <v>1.5324309435359598</v>
      </c>
      <c r="O1596" s="1628"/>
    </row>
    <row r="1597" spans="11:15">
      <c r="K1597" s="1625">
        <v>43654</v>
      </c>
      <c r="L1597" s="1626" t="s">
        <v>2301</v>
      </c>
      <c r="M1597" s="1627">
        <v>2.462E-2</v>
      </c>
      <c r="N1597" s="1628">
        <v>1.5328082280342585</v>
      </c>
      <c r="O1597" s="1628"/>
    </row>
    <row r="1598" spans="11:15">
      <c r="K1598" s="1625">
        <v>43655</v>
      </c>
      <c r="L1598" s="1626" t="s">
        <v>2301</v>
      </c>
      <c r="M1598" s="1627">
        <v>2.462E-2</v>
      </c>
      <c r="N1598" s="1628">
        <v>1.5331856054200006</v>
      </c>
      <c r="O1598" s="1628"/>
    </row>
    <row r="1599" spans="11:15">
      <c r="K1599" s="1625">
        <v>43656</v>
      </c>
      <c r="L1599" s="1626" t="s">
        <v>2301</v>
      </c>
      <c r="M1599" s="1627">
        <v>2.462E-2</v>
      </c>
      <c r="N1599" s="1628">
        <v>1.5335630757160552</v>
      </c>
      <c r="O1599" s="1628"/>
    </row>
    <row r="1600" spans="11:15">
      <c r="K1600" s="1625">
        <v>43657</v>
      </c>
      <c r="L1600" s="1626" t="s">
        <v>2301</v>
      </c>
      <c r="M1600" s="1627">
        <v>2.462E-2</v>
      </c>
      <c r="N1600" s="1628">
        <v>1.5339406389452965</v>
      </c>
      <c r="O1600" s="1628"/>
    </row>
    <row r="1601" spans="11:15">
      <c r="K1601" s="1625">
        <v>43658</v>
      </c>
      <c r="L1601" s="1626" t="s">
        <v>2301</v>
      </c>
      <c r="M1601" s="1627">
        <v>2.462E-2</v>
      </c>
      <c r="N1601" s="1628">
        <v>1.5343182951306049</v>
      </c>
      <c r="O1601" s="1628"/>
    </row>
    <row r="1602" spans="11:15">
      <c r="K1602" s="1625">
        <v>43659</v>
      </c>
      <c r="L1602" s="1626"/>
      <c r="M1602" s="1627">
        <v>0</v>
      </c>
      <c r="N1602" s="1628">
        <v>1.5343182951306049</v>
      </c>
      <c r="O1602" s="1628"/>
    </row>
    <row r="1603" spans="11:15">
      <c r="K1603" s="1625">
        <v>43660</v>
      </c>
      <c r="L1603" s="1626"/>
      <c r="M1603" s="1627">
        <v>0</v>
      </c>
      <c r="N1603" s="1628">
        <v>1.5343182951306049</v>
      </c>
      <c r="O1603" s="1628"/>
    </row>
    <row r="1604" spans="11:15">
      <c r="K1604" s="1625">
        <v>43661</v>
      </c>
      <c r="L1604" s="1626" t="s">
        <v>2301</v>
      </c>
      <c r="M1604" s="1627">
        <v>2.462E-2</v>
      </c>
      <c r="N1604" s="1628">
        <v>1.5346960442948663</v>
      </c>
      <c r="O1604" s="1628"/>
    </row>
    <row r="1605" spans="11:15">
      <c r="K1605" s="1625">
        <v>43662</v>
      </c>
      <c r="L1605" s="1626" t="s">
        <v>2301</v>
      </c>
      <c r="M1605" s="1627">
        <v>2.462E-2</v>
      </c>
      <c r="N1605" s="1628">
        <v>1.5350738864609719</v>
      </c>
      <c r="O1605" s="1628"/>
    </row>
    <row r="1606" spans="11:15">
      <c r="K1606" s="1625">
        <v>43663</v>
      </c>
      <c r="L1606" s="1626" t="s">
        <v>2301</v>
      </c>
      <c r="M1606" s="1627">
        <v>2.462E-2</v>
      </c>
      <c r="N1606" s="1628">
        <v>1.5354518216518187</v>
      </c>
      <c r="O1606" s="1628"/>
    </row>
    <row r="1607" spans="11:15">
      <c r="K1607" s="1625">
        <v>43664</v>
      </c>
      <c r="L1607" s="1626" t="s">
        <v>2301</v>
      </c>
      <c r="M1607" s="1627">
        <v>2.462E-2</v>
      </c>
      <c r="N1607" s="1628">
        <v>1.5358298498903096</v>
      </c>
      <c r="O1607" s="1628"/>
    </row>
    <row r="1608" spans="11:15">
      <c r="K1608" s="1625">
        <v>43665</v>
      </c>
      <c r="L1608" s="1626" t="s">
        <v>2301</v>
      </c>
      <c r="M1608" s="1627">
        <v>2.462E-2</v>
      </c>
      <c r="N1608" s="1628">
        <v>1.5362079711993526</v>
      </c>
      <c r="O1608" s="1628"/>
    </row>
    <row r="1609" spans="11:15">
      <c r="K1609" s="1625">
        <v>43666</v>
      </c>
      <c r="L1609" s="1626"/>
      <c r="M1609" s="1627">
        <v>0</v>
      </c>
      <c r="N1609" s="1628">
        <v>1.5362079711993526</v>
      </c>
      <c r="O1609" s="1628"/>
    </row>
    <row r="1610" spans="11:15">
      <c r="K1610" s="1625">
        <v>43667</v>
      </c>
      <c r="L1610" s="1626"/>
      <c r="M1610" s="1627">
        <v>0</v>
      </c>
      <c r="N1610" s="1628">
        <v>1.5362079711993526</v>
      </c>
      <c r="O1610" s="1628"/>
    </row>
    <row r="1611" spans="11:15">
      <c r="K1611" s="1625">
        <v>43668</v>
      </c>
      <c r="L1611" s="1626" t="s">
        <v>2301</v>
      </c>
      <c r="M1611" s="1627">
        <v>2.462E-2</v>
      </c>
      <c r="N1611" s="1628">
        <v>1.5365861856018621</v>
      </c>
      <c r="O1611" s="1628"/>
    </row>
    <row r="1612" spans="11:15">
      <c r="K1612" s="1625">
        <v>43669</v>
      </c>
      <c r="L1612" s="1626" t="s">
        <v>2301</v>
      </c>
      <c r="M1612" s="1627">
        <v>2.462E-2</v>
      </c>
      <c r="N1612" s="1628">
        <v>1.5369644931207573</v>
      </c>
      <c r="O1612" s="1628"/>
    </row>
    <row r="1613" spans="11:15">
      <c r="K1613" s="1625">
        <v>43670</v>
      </c>
      <c r="L1613" s="1626" t="s">
        <v>2301</v>
      </c>
      <c r="M1613" s="1627">
        <v>2.462E-2</v>
      </c>
      <c r="N1613" s="1628">
        <v>1.5373428937789637</v>
      </c>
      <c r="O1613" s="1628"/>
    </row>
    <row r="1614" spans="11:15">
      <c r="K1614" s="1625">
        <v>43671</v>
      </c>
      <c r="L1614" s="1626" t="s">
        <v>2301</v>
      </c>
      <c r="M1614" s="1627">
        <v>2.462E-2</v>
      </c>
      <c r="N1614" s="1628">
        <v>1.5377213875994122</v>
      </c>
      <c r="O1614" s="1628"/>
    </row>
    <row r="1615" spans="11:15">
      <c r="K1615" s="1625">
        <v>43672</v>
      </c>
      <c r="L1615" s="1626" t="s">
        <v>2301</v>
      </c>
      <c r="M1615" s="1627">
        <v>2.462E-2</v>
      </c>
      <c r="N1615" s="1628">
        <v>1.5380999746050394</v>
      </c>
      <c r="O1615" s="1628"/>
    </row>
    <row r="1616" spans="11:15">
      <c r="K1616" s="1625">
        <v>43673</v>
      </c>
      <c r="L1616" s="1626"/>
      <c r="M1616" s="1627">
        <v>0</v>
      </c>
      <c r="N1616" s="1628">
        <v>1.5380999746050394</v>
      </c>
      <c r="O1616" s="1628"/>
    </row>
    <row r="1617" spans="11:15">
      <c r="K1617" s="1625">
        <v>43674</v>
      </c>
      <c r="L1617" s="1626"/>
      <c r="M1617" s="1627">
        <v>0</v>
      </c>
      <c r="N1617" s="1628">
        <v>1.5380999746050394</v>
      </c>
      <c r="O1617" s="1628"/>
    </row>
    <row r="1618" spans="11:15">
      <c r="K1618" s="1625">
        <v>43675</v>
      </c>
      <c r="L1618" s="1626" t="s">
        <v>2301</v>
      </c>
      <c r="M1618" s="1627">
        <v>2.462E-2</v>
      </c>
      <c r="N1618" s="1628">
        <v>1.5384786548187874</v>
      </c>
      <c r="O1618" s="1628"/>
    </row>
    <row r="1619" spans="11:15">
      <c r="K1619" s="1625">
        <v>43676</v>
      </c>
      <c r="L1619" s="1626" t="s">
        <v>2301</v>
      </c>
      <c r="M1619" s="1627">
        <v>2.462E-2</v>
      </c>
      <c r="N1619" s="1628">
        <v>1.5388574282636041</v>
      </c>
      <c r="O1619" s="1628"/>
    </row>
    <row r="1620" spans="11:15">
      <c r="K1620" s="1625">
        <v>43677</v>
      </c>
      <c r="L1620" s="1626" t="s">
        <v>2301</v>
      </c>
      <c r="M1620" s="1627">
        <v>2.462E-2</v>
      </c>
      <c r="N1620" s="1628">
        <v>1.5392362949624427</v>
      </c>
      <c r="O1620" s="1628"/>
    </row>
    <row r="1621" spans="11:15">
      <c r="K1621" s="1625">
        <v>43678</v>
      </c>
      <c r="L1621" s="1626" t="s">
        <v>2301</v>
      </c>
      <c r="M1621" s="1627">
        <v>2.2751E-2</v>
      </c>
      <c r="N1621" s="1628">
        <v>1.5395864866119096</v>
      </c>
      <c r="O1621" s="1628"/>
    </row>
    <row r="1622" spans="11:15">
      <c r="K1622" s="1625">
        <v>43679</v>
      </c>
      <c r="L1622" s="1626" t="s">
        <v>2301</v>
      </c>
      <c r="M1622" s="1627">
        <v>2.2751E-2</v>
      </c>
      <c r="N1622" s="1628">
        <v>1.5399367579334786</v>
      </c>
      <c r="O1622" s="1628"/>
    </row>
    <row r="1623" spans="11:15">
      <c r="K1623" s="1625">
        <v>43680</v>
      </c>
      <c r="L1623" s="1626"/>
      <c r="M1623" s="1627">
        <v>0</v>
      </c>
      <c r="N1623" s="1628">
        <v>1.5399367579334786</v>
      </c>
      <c r="O1623" s="1628"/>
    </row>
    <row r="1624" spans="11:15">
      <c r="K1624" s="1625">
        <v>43681</v>
      </c>
      <c r="L1624" s="1626"/>
      <c r="M1624" s="1627">
        <v>0</v>
      </c>
      <c r="N1624" s="1628">
        <v>1.5399367579334786</v>
      </c>
      <c r="O1624" s="1628"/>
    </row>
    <row r="1625" spans="11:15">
      <c r="K1625" s="1625">
        <v>43682</v>
      </c>
      <c r="L1625" s="1626" t="s">
        <v>2301</v>
      </c>
      <c r="M1625" s="1627">
        <v>2.2751E-2</v>
      </c>
      <c r="N1625" s="1628">
        <v>1.5402871089452761</v>
      </c>
      <c r="O1625" s="1628"/>
    </row>
    <row r="1626" spans="11:15">
      <c r="K1626" s="1625">
        <v>43683</v>
      </c>
      <c r="L1626" s="1626" t="s">
        <v>2301</v>
      </c>
      <c r="M1626" s="1627">
        <v>2.2751E-2</v>
      </c>
      <c r="N1626" s="1628">
        <v>1.5406375396654322</v>
      </c>
      <c r="O1626" s="1628"/>
    </row>
    <row r="1627" spans="11:15">
      <c r="K1627" s="1625">
        <v>43684</v>
      </c>
      <c r="L1627" s="1626" t="s">
        <v>2301</v>
      </c>
      <c r="M1627" s="1627">
        <v>2.2751E-2</v>
      </c>
      <c r="N1627" s="1628">
        <v>1.5409880501120814</v>
      </c>
      <c r="O1627" s="1628"/>
    </row>
    <row r="1628" spans="11:15">
      <c r="K1628" s="1625">
        <v>43685</v>
      </c>
      <c r="L1628" s="1626" t="s">
        <v>2301</v>
      </c>
      <c r="M1628" s="1627">
        <v>2.2751E-2</v>
      </c>
      <c r="N1628" s="1628">
        <v>1.5413386403033624</v>
      </c>
      <c r="O1628" s="1628"/>
    </row>
    <row r="1629" spans="11:15">
      <c r="K1629" s="1625">
        <v>43686</v>
      </c>
      <c r="L1629" s="1626" t="s">
        <v>2301</v>
      </c>
      <c r="M1629" s="1627">
        <v>2.2751E-2</v>
      </c>
      <c r="N1629" s="1628">
        <v>1.5416893102574178</v>
      </c>
      <c r="O1629" s="1628"/>
    </row>
    <row r="1630" spans="11:15">
      <c r="K1630" s="1625">
        <v>43687</v>
      </c>
      <c r="L1630" s="1626"/>
      <c r="M1630" s="1627">
        <v>0</v>
      </c>
      <c r="N1630" s="1628">
        <v>1.5416893102574178</v>
      </c>
      <c r="O1630" s="1628"/>
    </row>
    <row r="1631" spans="11:15">
      <c r="K1631" s="1625">
        <v>43688</v>
      </c>
      <c r="L1631" s="1626"/>
      <c r="M1631" s="1627">
        <v>0</v>
      </c>
      <c r="N1631" s="1628">
        <v>1.5416893102574178</v>
      </c>
      <c r="O1631" s="1628"/>
    </row>
    <row r="1632" spans="11:15">
      <c r="K1632" s="1625">
        <v>43689</v>
      </c>
      <c r="L1632" s="1626" t="s">
        <v>2301</v>
      </c>
      <c r="M1632" s="1627">
        <v>2.2751E-2</v>
      </c>
      <c r="N1632" s="1628">
        <v>1.5420400599923945</v>
      </c>
      <c r="O1632" s="1628"/>
    </row>
    <row r="1633" spans="11:15">
      <c r="K1633" s="1625">
        <v>43690</v>
      </c>
      <c r="L1633" s="1626" t="s">
        <v>2301</v>
      </c>
      <c r="M1633" s="1627">
        <v>2.2751E-2</v>
      </c>
      <c r="N1633" s="1628">
        <v>1.5423908895264433</v>
      </c>
      <c r="O1633" s="1628"/>
    </row>
    <row r="1634" spans="11:15">
      <c r="K1634" s="1625">
        <v>43691</v>
      </c>
      <c r="L1634" s="1626" t="s">
        <v>2301</v>
      </c>
      <c r="M1634" s="1627">
        <v>2.2751E-2</v>
      </c>
      <c r="N1634" s="1628">
        <v>1.5427417988777195</v>
      </c>
      <c r="O1634" s="1628"/>
    </row>
    <row r="1635" spans="11:15">
      <c r="K1635" s="1625">
        <v>43692</v>
      </c>
      <c r="L1635" s="1626" t="s">
        <v>2301</v>
      </c>
      <c r="M1635" s="1627">
        <v>2.2751E-2</v>
      </c>
      <c r="N1635" s="1628">
        <v>1.5430927880643821</v>
      </c>
      <c r="O1635" s="1628"/>
    </row>
    <row r="1636" spans="11:15">
      <c r="K1636" s="1625">
        <v>43693</v>
      </c>
      <c r="L1636" s="1626" t="s">
        <v>2301</v>
      </c>
      <c r="M1636" s="1627">
        <v>2.2751E-2</v>
      </c>
      <c r="N1636" s="1628">
        <v>1.5434438571045945</v>
      </c>
      <c r="O1636" s="1628"/>
    </row>
    <row r="1637" spans="11:15">
      <c r="K1637" s="1625">
        <v>43694</v>
      </c>
      <c r="L1637" s="1626"/>
      <c r="M1637" s="1627">
        <v>0</v>
      </c>
      <c r="N1637" s="1628">
        <v>1.5434438571045945</v>
      </c>
      <c r="O1637" s="1628"/>
    </row>
    <row r="1638" spans="11:15">
      <c r="K1638" s="1625">
        <v>43695</v>
      </c>
      <c r="L1638" s="1626"/>
      <c r="M1638" s="1627">
        <v>0</v>
      </c>
      <c r="N1638" s="1628">
        <v>1.5434438571045945</v>
      </c>
      <c r="O1638" s="1628"/>
    </row>
    <row r="1639" spans="11:15">
      <c r="K1639" s="1625">
        <v>43696</v>
      </c>
      <c r="L1639" s="1626" t="s">
        <v>2301</v>
      </c>
      <c r="M1639" s="1627">
        <v>2.2751E-2</v>
      </c>
      <c r="N1639" s="1628">
        <v>1.5437950060165244</v>
      </c>
      <c r="O1639" s="1628"/>
    </row>
    <row r="1640" spans="11:15">
      <c r="K1640" s="1625">
        <v>43697</v>
      </c>
      <c r="L1640" s="1626" t="s">
        <v>2301</v>
      </c>
      <c r="M1640" s="1627">
        <v>2.2751E-2</v>
      </c>
      <c r="N1640" s="1628">
        <v>1.5441462348183432</v>
      </c>
      <c r="O1640" s="1628"/>
    </row>
    <row r="1641" spans="11:15">
      <c r="K1641" s="1625">
        <v>43698</v>
      </c>
      <c r="L1641" s="1626" t="s">
        <v>2301</v>
      </c>
      <c r="M1641" s="1627">
        <v>2.2751E-2</v>
      </c>
      <c r="N1641" s="1628">
        <v>1.5444975435282267</v>
      </c>
      <c r="O1641" s="1628"/>
    </row>
    <row r="1642" spans="11:15">
      <c r="K1642" s="1625">
        <v>43699</v>
      </c>
      <c r="L1642" s="1626" t="s">
        <v>2301</v>
      </c>
      <c r="M1642" s="1627">
        <v>2.2751E-2</v>
      </c>
      <c r="N1642" s="1628">
        <v>1.5448489321643548</v>
      </c>
      <c r="O1642" s="1628"/>
    </row>
    <row r="1643" spans="11:15">
      <c r="K1643" s="1625">
        <v>43700</v>
      </c>
      <c r="L1643" s="1626" t="s">
        <v>2301</v>
      </c>
      <c r="M1643" s="1627">
        <v>2.2751E-2</v>
      </c>
      <c r="N1643" s="1628">
        <v>1.5452004007449116</v>
      </c>
      <c r="O1643" s="1628"/>
    </row>
    <row r="1644" spans="11:15">
      <c r="K1644" s="1625">
        <v>43701</v>
      </c>
      <c r="L1644" s="1626"/>
      <c r="M1644" s="1627">
        <v>0</v>
      </c>
      <c r="N1644" s="1628">
        <v>1.5452004007449116</v>
      </c>
      <c r="O1644" s="1628"/>
    </row>
    <row r="1645" spans="11:15">
      <c r="K1645" s="1625">
        <v>43702</v>
      </c>
      <c r="L1645" s="1626"/>
      <c r="M1645" s="1627">
        <v>0</v>
      </c>
      <c r="N1645" s="1628">
        <v>1.5452004007449116</v>
      </c>
      <c r="O1645" s="1628"/>
    </row>
    <row r="1646" spans="11:15">
      <c r="K1646" s="1625">
        <v>43703</v>
      </c>
      <c r="L1646" s="1626" t="s">
        <v>2301</v>
      </c>
      <c r="M1646" s="1627">
        <v>2.2751E-2</v>
      </c>
      <c r="N1646" s="1628">
        <v>1.5455519492880851</v>
      </c>
      <c r="O1646" s="1628"/>
    </row>
    <row r="1647" spans="11:15">
      <c r="K1647" s="1625">
        <v>43704</v>
      </c>
      <c r="L1647" s="1626" t="s">
        <v>2301</v>
      </c>
      <c r="M1647" s="1627">
        <v>2.2751E-2</v>
      </c>
      <c r="N1647" s="1628">
        <v>1.5459035778120676</v>
      </c>
      <c r="O1647" s="1628"/>
    </row>
    <row r="1648" spans="11:15">
      <c r="K1648" s="1625">
        <v>43705</v>
      </c>
      <c r="L1648" s="1626" t="s">
        <v>2301</v>
      </c>
      <c r="M1648" s="1627">
        <v>2.2751E-2</v>
      </c>
      <c r="N1648" s="1628">
        <v>1.5462552863350556</v>
      </c>
      <c r="O1648" s="1628"/>
    </row>
    <row r="1649" spans="11:15">
      <c r="K1649" s="1625">
        <v>43706</v>
      </c>
      <c r="L1649" s="1626" t="s">
        <v>2301</v>
      </c>
      <c r="M1649" s="1627">
        <v>2.2751E-2</v>
      </c>
      <c r="N1649" s="1628">
        <v>1.5466070748752496</v>
      </c>
      <c r="O1649" s="1628"/>
    </row>
    <row r="1650" spans="11:15">
      <c r="K1650" s="1625">
        <v>43707</v>
      </c>
      <c r="L1650" s="1626" t="s">
        <v>2301</v>
      </c>
      <c r="M1650" s="1627">
        <v>2.2751E-2</v>
      </c>
      <c r="N1650" s="1628">
        <v>1.5469589434508544</v>
      </c>
      <c r="O1650" s="1628"/>
    </row>
    <row r="1651" spans="11:15">
      <c r="K1651" s="1625">
        <v>43708</v>
      </c>
      <c r="L1651" s="1626"/>
      <c r="M1651" s="1627">
        <v>0</v>
      </c>
      <c r="N1651" s="1628">
        <v>1.5469589434508544</v>
      </c>
      <c r="O1651" s="1628"/>
    </row>
    <row r="1652" spans="11:15">
      <c r="K1652" s="1625">
        <v>43709</v>
      </c>
      <c r="L1652" s="1626"/>
      <c r="M1652" s="1627">
        <v>0</v>
      </c>
      <c r="N1652" s="1628">
        <v>1.5469589434508544</v>
      </c>
      <c r="O1652" s="1628"/>
    </row>
    <row r="1653" spans="11:15">
      <c r="K1653" s="1625">
        <v>43710</v>
      </c>
      <c r="L1653" s="1626" t="s">
        <v>2301</v>
      </c>
      <c r="M1653" s="1627">
        <v>2.2751E-2</v>
      </c>
      <c r="N1653" s="1628">
        <v>1.5473108920800789</v>
      </c>
      <c r="O1653" s="1628"/>
    </row>
    <row r="1654" spans="11:15">
      <c r="K1654" s="1625">
        <v>43711</v>
      </c>
      <c r="L1654" s="1626" t="s">
        <v>2301</v>
      </c>
      <c r="M1654" s="1627">
        <v>2.2751E-2</v>
      </c>
      <c r="N1654" s="1628">
        <v>1.5476629207811361</v>
      </c>
      <c r="O1654" s="1628"/>
    </row>
    <row r="1655" spans="11:15">
      <c r="K1655" s="1625">
        <v>43712</v>
      </c>
      <c r="L1655" s="1626" t="s">
        <v>2301</v>
      </c>
      <c r="M1655" s="1627">
        <v>2.2751E-2</v>
      </c>
      <c r="N1655" s="1628">
        <v>1.548015029572243</v>
      </c>
      <c r="O1655" s="1628"/>
    </row>
    <row r="1656" spans="11:15">
      <c r="K1656" s="1625">
        <v>43713</v>
      </c>
      <c r="L1656" s="1626" t="s">
        <v>2301</v>
      </c>
      <c r="M1656" s="1627">
        <v>2.2751E-2</v>
      </c>
      <c r="N1656" s="1628">
        <v>1.5483672184716211</v>
      </c>
      <c r="O1656" s="1628"/>
    </row>
    <row r="1657" spans="11:15">
      <c r="K1657" s="1625">
        <v>43714</v>
      </c>
      <c r="L1657" s="1626" t="s">
        <v>2301</v>
      </c>
      <c r="M1657" s="1627">
        <v>2.2751E-2</v>
      </c>
      <c r="N1657" s="1628">
        <v>1.5487194874974954</v>
      </c>
      <c r="O1657" s="1628"/>
    </row>
    <row r="1658" spans="11:15">
      <c r="K1658" s="1625">
        <v>43715</v>
      </c>
      <c r="L1658" s="1626"/>
      <c r="M1658" s="1627">
        <v>0</v>
      </c>
      <c r="N1658" s="1628">
        <v>1.5487194874974954</v>
      </c>
      <c r="O1658" s="1628"/>
    </row>
    <row r="1659" spans="11:15">
      <c r="K1659" s="1625">
        <v>43716</v>
      </c>
      <c r="L1659" s="1626"/>
      <c r="M1659" s="1627">
        <v>0</v>
      </c>
      <c r="N1659" s="1628">
        <v>1.5487194874974954</v>
      </c>
      <c r="O1659" s="1628"/>
    </row>
    <row r="1660" spans="11:15">
      <c r="K1660" s="1625">
        <v>43717</v>
      </c>
      <c r="L1660" s="1626" t="s">
        <v>2301</v>
      </c>
      <c r="M1660" s="1627">
        <v>2.2751E-2</v>
      </c>
      <c r="N1660" s="1628">
        <v>1.549071836668096</v>
      </c>
      <c r="O1660" s="1628"/>
    </row>
    <row r="1661" spans="11:15">
      <c r="K1661" s="1625">
        <v>43718</v>
      </c>
      <c r="L1661" s="1626" t="s">
        <v>2301</v>
      </c>
      <c r="M1661" s="1627">
        <v>2.2751E-2</v>
      </c>
      <c r="N1661" s="1628">
        <v>1.5494242660016564</v>
      </c>
      <c r="O1661" s="1628"/>
    </row>
    <row r="1662" spans="11:15">
      <c r="K1662" s="1625">
        <v>43719</v>
      </c>
      <c r="L1662" s="1626" t="s">
        <v>2301</v>
      </c>
      <c r="M1662" s="1627">
        <v>2.2751E-2</v>
      </c>
      <c r="N1662" s="1628">
        <v>1.5497767755164145</v>
      </c>
      <c r="O1662" s="1628"/>
    </row>
    <row r="1663" spans="11:15">
      <c r="K1663" s="1625">
        <v>43720</v>
      </c>
      <c r="L1663" s="1626" t="s">
        <v>2301</v>
      </c>
      <c r="M1663" s="1627">
        <v>2.2751E-2</v>
      </c>
      <c r="N1663" s="1628">
        <v>1.5501293652306123</v>
      </c>
      <c r="O1663" s="1628"/>
    </row>
    <row r="1664" spans="11:15">
      <c r="K1664" s="1625">
        <v>43721</v>
      </c>
      <c r="L1664" s="1626" t="s">
        <v>2301</v>
      </c>
      <c r="M1664" s="1627">
        <v>2.2751E-2</v>
      </c>
      <c r="N1664" s="1628">
        <v>1.5504820351624959</v>
      </c>
      <c r="O1664" s="1628"/>
    </row>
    <row r="1665" spans="11:15">
      <c r="K1665" s="1625">
        <v>43722</v>
      </c>
      <c r="L1665" s="1626"/>
      <c r="M1665" s="1627">
        <v>0</v>
      </c>
      <c r="N1665" s="1628">
        <v>1.5504820351624959</v>
      </c>
      <c r="O1665" s="1628"/>
    </row>
    <row r="1666" spans="11:15">
      <c r="K1666" s="1625">
        <v>43723</v>
      </c>
      <c r="L1666" s="1626"/>
      <c r="M1666" s="1627">
        <v>0</v>
      </c>
      <c r="N1666" s="1628">
        <v>1.5504820351624959</v>
      </c>
      <c r="O1666" s="1628"/>
    </row>
    <row r="1667" spans="11:15">
      <c r="K1667" s="1625">
        <v>43724</v>
      </c>
      <c r="L1667" s="1626" t="s">
        <v>2301</v>
      </c>
      <c r="M1667" s="1627">
        <v>2.2751E-2</v>
      </c>
      <c r="N1667" s="1628">
        <v>1.5508347853303157</v>
      </c>
      <c r="O1667" s="1628"/>
    </row>
    <row r="1668" spans="11:15">
      <c r="K1668" s="1625">
        <v>43725</v>
      </c>
      <c r="L1668" s="1626" t="s">
        <v>2301</v>
      </c>
      <c r="M1668" s="1627">
        <v>2.2751E-2</v>
      </c>
      <c r="N1668" s="1628">
        <v>1.5511876157523261</v>
      </c>
      <c r="O1668" s="1628"/>
    </row>
    <row r="1669" spans="11:15">
      <c r="K1669" s="1625">
        <v>43726</v>
      </c>
      <c r="L1669" s="1626" t="s">
        <v>2301</v>
      </c>
      <c r="M1669" s="1627">
        <v>2.2751E-2</v>
      </c>
      <c r="N1669" s="1628">
        <v>1.5515405264467859</v>
      </c>
      <c r="O1669" s="1628"/>
    </row>
    <row r="1670" spans="11:15">
      <c r="K1670" s="1625">
        <v>43727</v>
      </c>
      <c r="L1670" s="1626" t="s">
        <v>2301</v>
      </c>
      <c r="M1670" s="1627">
        <v>2.0872000000000002E-2</v>
      </c>
      <c r="N1670" s="1628">
        <v>1.5518643639854659</v>
      </c>
      <c r="O1670" s="1628"/>
    </row>
    <row r="1671" spans="11:15">
      <c r="K1671" s="1625">
        <v>43728</v>
      </c>
      <c r="L1671" s="1626" t="s">
        <v>2301</v>
      </c>
      <c r="M1671" s="1627">
        <v>2.0872000000000002E-2</v>
      </c>
      <c r="N1671" s="1628">
        <v>1.5521882691155171</v>
      </c>
      <c r="O1671" s="1628"/>
    </row>
    <row r="1672" spans="11:15">
      <c r="K1672" s="1625">
        <v>43729</v>
      </c>
      <c r="L1672" s="1626"/>
      <c r="M1672" s="1627">
        <v>0</v>
      </c>
      <c r="N1672" s="1628">
        <v>1.5521882691155171</v>
      </c>
      <c r="O1672" s="1628"/>
    </row>
    <row r="1673" spans="11:15">
      <c r="K1673" s="1625">
        <v>43730</v>
      </c>
      <c r="L1673" s="1626"/>
      <c r="M1673" s="1627">
        <v>0</v>
      </c>
      <c r="N1673" s="1628">
        <v>1.5521882691155171</v>
      </c>
      <c r="O1673" s="1628"/>
    </row>
    <row r="1674" spans="11:15">
      <c r="K1674" s="1625">
        <v>43731</v>
      </c>
      <c r="L1674" s="1626" t="s">
        <v>2301</v>
      </c>
      <c r="M1674" s="1627">
        <v>2.0872000000000002E-2</v>
      </c>
      <c r="N1674" s="1628">
        <v>1.5525122418510471</v>
      </c>
      <c r="O1674" s="1628"/>
    </row>
    <row r="1675" spans="11:15">
      <c r="K1675" s="1625">
        <v>43732</v>
      </c>
      <c r="L1675" s="1626" t="s">
        <v>2301</v>
      </c>
      <c r="M1675" s="1627">
        <v>2.0872000000000002E-2</v>
      </c>
      <c r="N1675" s="1628">
        <v>1.5528362822061663</v>
      </c>
      <c r="O1675" s="1628"/>
    </row>
    <row r="1676" spans="11:15">
      <c r="K1676" s="1625">
        <v>43733</v>
      </c>
      <c r="L1676" s="1626" t="s">
        <v>2301</v>
      </c>
      <c r="M1676" s="1627">
        <v>2.0872000000000002E-2</v>
      </c>
      <c r="N1676" s="1628">
        <v>1.5531603901949884</v>
      </c>
      <c r="O1676" s="1628"/>
    </row>
    <row r="1677" spans="11:15">
      <c r="K1677" s="1625">
        <v>43734</v>
      </c>
      <c r="L1677" s="1626" t="s">
        <v>2301</v>
      </c>
      <c r="M1677" s="1627">
        <v>2.0872000000000002E-2</v>
      </c>
      <c r="N1677" s="1628">
        <v>1.5534845658316301</v>
      </c>
      <c r="O1677" s="1628"/>
    </row>
    <row r="1678" spans="11:15">
      <c r="K1678" s="1625">
        <v>43735</v>
      </c>
      <c r="L1678" s="1626" t="s">
        <v>2301</v>
      </c>
      <c r="M1678" s="1627">
        <v>2.0872000000000002E-2</v>
      </c>
      <c r="N1678" s="1628">
        <v>1.5538088091302105</v>
      </c>
      <c r="O1678" s="1628"/>
    </row>
    <row r="1679" spans="11:15">
      <c r="K1679" s="1625">
        <v>43736</v>
      </c>
      <c r="L1679" s="1626"/>
      <c r="M1679" s="1627">
        <v>0</v>
      </c>
      <c r="N1679" s="1628">
        <v>1.5538088091302105</v>
      </c>
      <c r="O1679" s="1628"/>
    </row>
    <row r="1680" spans="11:15">
      <c r="K1680" s="1625">
        <v>43737</v>
      </c>
      <c r="L1680" s="1626"/>
      <c r="M1680" s="1627">
        <v>0</v>
      </c>
      <c r="N1680" s="1628">
        <v>1.5538088091302105</v>
      </c>
      <c r="O1680" s="1628"/>
    </row>
    <row r="1681" spans="11:15">
      <c r="K1681" s="1625">
        <v>43738</v>
      </c>
      <c r="L1681" s="1626" t="s">
        <v>2301</v>
      </c>
      <c r="M1681" s="1627">
        <v>2.0872000000000002E-2</v>
      </c>
      <c r="N1681" s="1628">
        <v>1.5541331201048523</v>
      </c>
      <c r="O1681" s="1628"/>
    </row>
    <row r="1682" spans="11:15">
      <c r="K1682" s="1625">
        <v>43739</v>
      </c>
      <c r="L1682" s="1626" t="s">
        <v>2301</v>
      </c>
      <c r="M1682" s="1627">
        <v>2.0872000000000002E-2</v>
      </c>
      <c r="N1682" s="1628">
        <v>1.5544574987696806</v>
      </c>
      <c r="O1682" s="1628"/>
    </row>
    <row r="1683" spans="11:15">
      <c r="K1683" s="1625">
        <v>43740</v>
      </c>
      <c r="L1683" s="1626" t="s">
        <v>2301</v>
      </c>
      <c r="M1683" s="1627">
        <v>2.0872000000000002E-2</v>
      </c>
      <c r="N1683" s="1628">
        <v>1.5547819451388238</v>
      </c>
      <c r="O1683" s="1628"/>
    </row>
    <row r="1684" spans="11:15">
      <c r="K1684" s="1625">
        <v>43741</v>
      </c>
      <c r="L1684" s="1626" t="s">
        <v>2301</v>
      </c>
      <c r="M1684" s="1627">
        <v>2.0872000000000002E-2</v>
      </c>
      <c r="N1684" s="1628">
        <v>1.5551064592264132</v>
      </c>
      <c r="O1684" s="1628"/>
    </row>
    <row r="1685" spans="11:15">
      <c r="K1685" s="1625">
        <v>43742</v>
      </c>
      <c r="L1685" s="1626" t="s">
        <v>2301</v>
      </c>
      <c r="M1685" s="1627">
        <v>2.0872000000000002E-2</v>
      </c>
      <c r="N1685" s="1628">
        <v>1.555431041046583</v>
      </c>
      <c r="O1685" s="1628"/>
    </row>
    <row r="1686" spans="11:15">
      <c r="K1686" s="1625">
        <v>43743</v>
      </c>
      <c r="L1686" s="1626"/>
      <c r="M1686" s="1627">
        <v>0</v>
      </c>
      <c r="N1686" s="1628">
        <v>1.555431041046583</v>
      </c>
      <c r="O1686" s="1628"/>
    </row>
    <row r="1687" spans="11:15">
      <c r="K1687" s="1625">
        <v>43744</v>
      </c>
      <c r="L1687" s="1626"/>
      <c r="M1687" s="1627">
        <v>0</v>
      </c>
      <c r="N1687" s="1628">
        <v>1.555431041046583</v>
      </c>
      <c r="O1687" s="1628"/>
    </row>
    <row r="1688" spans="11:15">
      <c r="K1688" s="1625">
        <v>43745</v>
      </c>
      <c r="L1688" s="1626" t="s">
        <v>2301</v>
      </c>
      <c r="M1688" s="1627">
        <v>2.0872000000000002E-2</v>
      </c>
      <c r="N1688" s="1628">
        <v>1.5557556906134704</v>
      </c>
      <c r="O1688" s="1628"/>
    </row>
    <row r="1689" spans="11:15">
      <c r="K1689" s="1625">
        <v>43746</v>
      </c>
      <c r="L1689" s="1626" t="s">
        <v>2301</v>
      </c>
      <c r="M1689" s="1627">
        <v>2.0872000000000002E-2</v>
      </c>
      <c r="N1689" s="1628">
        <v>1.5560804079412154</v>
      </c>
      <c r="O1689" s="1628"/>
    </row>
    <row r="1690" spans="11:15">
      <c r="K1690" s="1625">
        <v>43747</v>
      </c>
      <c r="L1690" s="1626" t="s">
        <v>2301</v>
      </c>
      <c r="M1690" s="1627">
        <v>2.0872000000000002E-2</v>
      </c>
      <c r="N1690" s="1628">
        <v>1.5564051930439609</v>
      </c>
      <c r="O1690" s="1628"/>
    </row>
    <row r="1691" spans="11:15">
      <c r="K1691" s="1625">
        <v>43748</v>
      </c>
      <c r="L1691" s="1626" t="s">
        <v>2301</v>
      </c>
      <c r="M1691" s="1627">
        <v>2.0872000000000002E-2</v>
      </c>
      <c r="N1691" s="1628">
        <v>1.5567300459358531</v>
      </c>
      <c r="O1691" s="1628"/>
    </row>
    <row r="1692" spans="11:15">
      <c r="K1692" s="1625">
        <v>43749</v>
      </c>
      <c r="L1692" s="1626" t="s">
        <v>2301</v>
      </c>
      <c r="M1692" s="1627">
        <v>2.0872000000000002E-2</v>
      </c>
      <c r="N1692" s="1628">
        <v>1.5570549666310409</v>
      </c>
      <c r="O1692" s="1628"/>
    </row>
    <row r="1693" spans="11:15">
      <c r="K1693" s="1625">
        <v>43750</v>
      </c>
      <c r="L1693" s="1626"/>
      <c r="M1693" s="1627">
        <v>0</v>
      </c>
      <c r="N1693" s="1628">
        <v>1.5570549666310409</v>
      </c>
      <c r="O1693" s="1628"/>
    </row>
    <row r="1694" spans="11:15">
      <c r="K1694" s="1625">
        <v>43751</v>
      </c>
      <c r="L1694" s="1626"/>
      <c r="M1694" s="1627">
        <v>0</v>
      </c>
      <c r="N1694" s="1628">
        <v>1.5570549666310409</v>
      </c>
      <c r="O1694" s="1628"/>
    </row>
    <row r="1695" spans="11:15">
      <c r="K1695" s="1625">
        <v>43752</v>
      </c>
      <c r="L1695" s="1626" t="s">
        <v>2301</v>
      </c>
      <c r="M1695" s="1627">
        <v>2.0872000000000002E-2</v>
      </c>
      <c r="N1695" s="1628">
        <v>1.5573799551436762</v>
      </c>
      <c r="O1695" s="1628"/>
    </row>
    <row r="1696" spans="11:15">
      <c r="K1696" s="1625">
        <v>43753</v>
      </c>
      <c r="L1696" s="1626" t="s">
        <v>2301</v>
      </c>
      <c r="M1696" s="1627">
        <v>2.0872000000000002E-2</v>
      </c>
      <c r="N1696" s="1628">
        <v>1.5577050114879138</v>
      </c>
      <c r="O1696" s="1628"/>
    </row>
    <row r="1697" spans="11:15">
      <c r="K1697" s="1625">
        <v>43754</v>
      </c>
      <c r="L1697" s="1626" t="s">
        <v>2301</v>
      </c>
      <c r="M1697" s="1627">
        <v>2.0872000000000002E-2</v>
      </c>
      <c r="N1697" s="1628">
        <v>1.5580301356779116</v>
      </c>
      <c r="O1697" s="1628"/>
    </row>
    <row r="1698" spans="11:15">
      <c r="K1698" s="1625">
        <v>43755</v>
      </c>
      <c r="L1698" s="1626" t="s">
        <v>2301</v>
      </c>
      <c r="M1698" s="1627">
        <v>2.0872000000000002E-2</v>
      </c>
      <c r="N1698" s="1628">
        <v>1.5583553277278304</v>
      </c>
      <c r="O1698" s="1628"/>
    </row>
    <row r="1699" spans="11:15">
      <c r="K1699" s="1625">
        <v>43756</v>
      </c>
      <c r="L1699" s="1626" t="s">
        <v>2301</v>
      </c>
      <c r="M1699" s="1627">
        <v>2.0872000000000002E-2</v>
      </c>
      <c r="N1699" s="1628">
        <v>1.5586805876518337</v>
      </c>
      <c r="O1699" s="1628"/>
    </row>
    <row r="1700" spans="11:15">
      <c r="K1700" s="1625">
        <v>43757</v>
      </c>
      <c r="L1700" s="1626"/>
      <c r="M1700" s="1627">
        <v>0</v>
      </c>
      <c r="N1700" s="1628">
        <v>1.5586805876518337</v>
      </c>
      <c r="O1700" s="1628"/>
    </row>
    <row r="1701" spans="11:15">
      <c r="K1701" s="1625">
        <v>43758</v>
      </c>
      <c r="L1701" s="1626"/>
      <c r="M1701" s="1627">
        <v>0</v>
      </c>
      <c r="N1701" s="1628">
        <v>1.5586805876518337</v>
      </c>
      <c r="O1701" s="1628"/>
    </row>
    <row r="1702" spans="11:15">
      <c r="K1702" s="1625">
        <v>43759</v>
      </c>
      <c r="L1702" s="1626" t="s">
        <v>2301</v>
      </c>
      <c r="M1702" s="1627">
        <v>2.0872000000000002E-2</v>
      </c>
      <c r="N1702" s="1628">
        <v>1.5590059154640885</v>
      </c>
      <c r="O1702" s="1628"/>
    </row>
    <row r="1703" spans="11:15">
      <c r="K1703" s="1625">
        <v>43760</v>
      </c>
      <c r="L1703" s="1626" t="s">
        <v>2301</v>
      </c>
      <c r="M1703" s="1627">
        <v>2.0872000000000002E-2</v>
      </c>
      <c r="N1703" s="1628">
        <v>1.5593313111787643</v>
      </c>
      <c r="O1703" s="1628"/>
    </row>
    <row r="1704" spans="11:15">
      <c r="K1704" s="1625">
        <v>43761</v>
      </c>
      <c r="L1704" s="1626" t="s">
        <v>2301</v>
      </c>
      <c r="M1704" s="1627">
        <v>2.0872000000000002E-2</v>
      </c>
      <c r="N1704" s="1628">
        <v>1.5596567748100336</v>
      </c>
      <c r="O1704" s="1628"/>
    </row>
    <row r="1705" spans="11:15">
      <c r="K1705" s="1625">
        <v>43762</v>
      </c>
      <c r="L1705" s="1626" t="s">
        <v>2301</v>
      </c>
      <c r="M1705" s="1627">
        <v>2.0872000000000002E-2</v>
      </c>
      <c r="N1705" s="1628">
        <v>1.5599823063720721</v>
      </c>
      <c r="O1705" s="1628"/>
    </row>
    <row r="1706" spans="11:15">
      <c r="K1706" s="1625">
        <v>43763</v>
      </c>
      <c r="L1706" s="1626" t="s">
        <v>2301</v>
      </c>
      <c r="M1706" s="1627">
        <v>2.0872000000000002E-2</v>
      </c>
      <c r="N1706" s="1628">
        <v>1.5603079058790581</v>
      </c>
      <c r="O1706" s="1628"/>
    </row>
    <row r="1707" spans="11:15">
      <c r="K1707" s="1625">
        <v>43764</v>
      </c>
      <c r="L1707" s="1626"/>
      <c r="M1707" s="1627">
        <v>0</v>
      </c>
      <c r="N1707" s="1628">
        <v>1.5603079058790581</v>
      </c>
      <c r="O1707" s="1628"/>
    </row>
    <row r="1708" spans="11:15">
      <c r="K1708" s="1625">
        <v>43765</v>
      </c>
      <c r="L1708" s="1626"/>
      <c r="M1708" s="1627">
        <v>0</v>
      </c>
      <c r="N1708" s="1628">
        <v>1.5603079058790581</v>
      </c>
      <c r="O1708" s="1628"/>
    </row>
    <row r="1709" spans="11:15">
      <c r="K1709" s="1625">
        <v>43766</v>
      </c>
      <c r="L1709" s="1626" t="s">
        <v>2301</v>
      </c>
      <c r="M1709" s="1627">
        <v>2.0872000000000002E-2</v>
      </c>
      <c r="N1709" s="1628">
        <v>1.5606335733451733</v>
      </c>
      <c r="O1709" s="1628"/>
    </row>
    <row r="1710" spans="11:15">
      <c r="K1710" s="1625">
        <v>43767</v>
      </c>
      <c r="L1710" s="1626" t="s">
        <v>2301</v>
      </c>
      <c r="M1710" s="1627">
        <v>2.0872000000000002E-2</v>
      </c>
      <c r="N1710" s="1628">
        <v>1.5609593087846019</v>
      </c>
      <c r="O1710" s="1628"/>
    </row>
    <row r="1711" spans="11:15">
      <c r="K1711" s="1625">
        <v>43768</v>
      </c>
      <c r="L1711" s="1626" t="s">
        <v>2301</v>
      </c>
      <c r="M1711" s="1627">
        <v>2.0872000000000002E-2</v>
      </c>
      <c r="N1711" s="1628">
        <v>1.5612851122115314</v>
      </c>
      <c r="O1711" s="1628"/>
    </row>
    <row r="1712" spans="11:15">
      <c r="K1712" s="1625">
        <v>43769</v>
      </c>
      <c r="L1712" s="1626" t="s">
        <v>2301</v>
      </c>
      <c r="M1712" s="1627">
        <v>1.8984999999999998E-2</v>
      </c>
      <c r="N1712" s="1628">
        <v>1.5615815221900846</v>
      </c>
      <c r="O1712" s="1628"/>
    </row>
    <row r="1713" spans="11:15">
      <c r="K1713" s="1625">
        <v>43770</v>
      </c>
      <c r="L1713" s="1626" t="s">
        <v>2301</v>
      </c>
      <c r="M1713" s="1627">
        <v>1.8984999999999998E-2</v>
      </c>
      <c r="N1713" s="1628">
        <v>1.5618779884420724</v>
      </c>
      <c r="O1713" s="1628"/>
    </row>
    <row r="1714" spans="11:15">
      <c r="K1714" s="1625">
        <v>43771</v>
      </c>
      <c r="L1714" s="1626"/>
      <c r="M1714" s="1627">
        <v>0</v>
      </c>
      <c r="N1714" s="1628">
        <v>1.5618779884420724</v>
      </c>
      <c r="O1714" s="1628"/>
    </row>
    <row r="1715" spans="11:15">
      <c r="K1715" s="1625">
        <v>43772</v>
      </c>
      <c r="L1715" s="1626"/>
      <c r="M1715" s="1627">
        <v>0</v>
      </c>
      <c r="N1715" s="1628">
        <v>1.5618779884420724</v>
      </c>
      <c r="O1715" s="1628"/>
    </row>
    <row r="1716" spans="11:15">
      <c r="K1716" s="1625">
        <v>43773</v>
      </c>
      <c r="L1716" s="1626" t="s">
        <v>2301</v>
      </c>
      <c r="M1716" s="1627">
        <v>1.8984999999999998E-2</v>
      </c>
      <c r="N1716" s="1628">
        <v>1.5621745109781779</v>
      </c>
      <c r="O1716" s="1628"/>
    </row>
    <row r="1717" spans="11:15">
      <c r="K1717" s="1625">
        <v>43774</v>
      </c>
      <c r="L1717" s="1626" t="s">
        <v>2301</v>
      </c>
      <c r="M1717" s="1627">
        <v>1.8984999999999998E-2</v>
      </c>
      <c r="N1717" s="1628">
        <v>1.562471089809087</v>
      </c>
      <c r="O1717" s="1628"/>
    </row>
    <row r="1718" spans="11:15">
      <c r="K1718" s="1625">
        <v>43775</v>
      </c>
      <c r="L1718" s="1626" t="s">
        <v>2301</v>
      </c>
      <c r="M1718" s="1627">
        <v>1.8984999999999998E-2</v>
      </c>
      <c r="N1718" s="1628">
        <v>1.5627677249454872</v>
      </c>
      <c r="O1718" s="1628"/>
    </row>
    <row r="1719" spans="11:15">
      <c r="K1719" s="1625">
        <v>43776</v>
      </c>
      <c r="L1719" s="1626" t="s">
        <v>2301</v>
      </c>
      <c r="M1719" s="1627">
        <v>1.8984999999999998E-2</v>
      </c>
      <c r="N1719" s="1628">
        <v>1.563064416398068</v>
      </c>
      <c r="O1719" s="1628"/>
    </row>
    <row r="1720" spans="11:15">
      <c r="K1720" s="1625">
        <v>43777</v>
      </c>
      <c r="L1720" s="1626" t="s">
        <v>2301</v>
      </c>
      <c r="M1720" s="1627">
        <v>1.8984999999999998E-2</v>
      </c>
      <c r="N1720" s="1628">
        <v>1.5633611641775211</v>
      </c>
      <c r="O1720" s="1628"/>
    </row>
    <row r="1721" spans="11:15">
      <c r="K1721" s="1625">
        <v>43778</v>
      </c>
      <c r="L1721" s="1626"/>
      <c r="M1721" s="1627">
        <v>0</v>
      </c>
      <c r="N1721" s="1628">
        <v>1.5633611641775211</v>
      </c>
      <c r="O1721" s="1628"/>
    </row>
    <row r="1722" spans="11:15">
      <c r="K1722" s="1625">
        <v>43779</v>
      </c>
      <c r="L1722" s="1626"/>
      <c r="M1722" s="1627">
        <v>0</v>
      </c>
      <c r="N1722" s="1628">
        <v>1.5633611641775211</v>
      </c>
      <c r="O1722" s="1628"/>
    </row>
    <row r="1723" spans="11:15">
      <c r="K1723" s="1625">
        <v>43780</v>
      </c>
      <c r="L1723" s="1626" t="s">
        <v>2301</v>
      </c>
      <c r="M1723" s="1627">
        <v>1.8984999999999998E-2</v>
      </c>
      <c r="N1723" s="1628">
        <v>1.5636579682945402</v>
      </c>
      <c r="O1723" s="1628"/>
    </row>
    <row r="1724" spans="11:15">
      <c r="K1724" s="1625">
        <v>43781</v>
      </c>
      <c r="L1724" s="1626" t="s">
        <v>2301</v>
      </c>
      <c r="M1724" s="1627">
        <v>1.8984999999999998E-2</v>
      </c>
      <c r="N1724" s="1628">
        <v>1.5639548287598208</v>
      </c>
      <c r="O1724" s="1628"/>
    </row>
    <row r="1725" spans="11:15">
      <c r="K1725" s="1625">
        <v>43782</v>
      </c>
      <c r="L1725" s="1626" t="s">
        <v>2301</v>
      </c>
      <c r="M1725" s="1627">
        <v>1.8984999999999998E-2</v>
      </c>
      <c r="N1725" s="1628">
        <v>1.5642517455840608</v>
      </c>
      <c r="O1725" s="1628"/>
    </row>
    <row r="1726" spans="11:15">
      <c r="K1726" s="1625">
        <v>43783</v>
      </c>
      <c r="L1726" s="1626" t="s">
        <v>2301</v>
      </c>
      <c r="M1726" s="1627">
        <v>1.8984999999999998E-2</v>
      </c>
      <c r="N1726" s="1628">
        <v>1.5645487187779599</v>
      </c>
      <c r="O1726" s="1628"/>
    </row>
    <row r="1727" spans="11:15">
      <c r="K1727" s="1625">
        <v>43784</v>
      </c>
      <c r="L1727" s="1626"/>
      <c r="M1727" s="1627">
        <v>0</v>
      </c>
      <c r="N1727" s="1628">
        <v>1.5645487187779599</v>
      </c>
      <c r="O1727" s="1628"/>
    </row>
    <row r="1728" spans="11:15">
      <c r="K1728" s="1625">
        <v>43785</v>
      </c>
      <c r="L1728" s="1626"/>
      <c r="M1728" s="1627">
        <v>0</v>
      </c>
      <c r="N1728" s="1628">
        <v>1.5645487187779599</v>
      </c>
      <c r="O1728" s="1628"/>
    </row>
    <row r="1729" spans="11:15">
      <c r="K1729" s="1625">
        <v>43786</v>
      </c>
      <c r="L1729" s="1626"/>
      <c r="M1729" s="1627">
        <v>0</v>
      </c>
      <c r="N1729" s="1628">
        <v>1.5645487187779599</v>
      </c>
      <c r="O1729" s="1628"/>
    </row>
    <row r="1730" spans="11:15">
      <c r="K1730" s="1625">
        <v>43787</v>
      </c>
      <c r="L1730" s="1626" t="s">
        <v>2301</v>
      </c>
      <c r="M1730" s="1627">
        <v>1.8984999999999998E-2</v>
      </c>
      <c r="N1730" s="1628">
        <v>1.5648457483522198</v>
      </c>
      <c r="O1730" s="1628"/>
    </row>
    <row r="1731" spans="11:15">
      <c r="K1731" s="1625">
        <v>43788</v>
      </c>
      <c r="L1731" s="1626" t="s">
        <v>2301</v>
      </c>
      <c r="M1731" s="1627">
        <v>1.8984999999999998E-2</v>
      </c>
      <c r="N1731" s="1628">
        <v>1.5651428343175444</v>
      </c>
      <c r="O1731" s="1628"/>
    </row>
    <row r="1732" spans="11:15">
      <c r="K1732" s="1625">
        <v>43789</v>
      </c>
      <c r="L1732" s="1626" t="s">
        <v>2301</v>
      </c>
      <c r="M1732" s="1627">
        <v>1.8984999999999998E-2</v>
      </c>
      <c r="N1732" s="1628">
        <v>1.5654399766846394</v>
      </c>
      <c r="O1732" s="1628"/>
    </row>
    <row r="1733" spans="11:15">
      <c r="K1733" s="1625">
        <v>43790</v>
      </c>
      <c r="L1733" s="1626" t="s">
        <v>2301</v>
      </c>
      <c r="M1733" s="1627">
        <v>1.8984999999999998E-2</v>
      </c>
      <c r="N1733" s="1628">
        <v>1.5657371754642129</v>
      </c>
      <c r="O1733" s="1628"/>
    </row>
    <row r="1734" spans="11:15">
      <c r="K1734" s="1625">
        <v>43791</v>
      </c>
      <c r="L1734" s="1626" t="s">
        <v>2301</v>
      </c>
      <c r="M1734" s="1627">
        <v>1.8984999999999998E-2</v>
      </c>
      <c r="N1734" s="1628">
        <v>1.5660344306669747</v>
      </c>
      <c r="O1734" s="1628"/>
    </row>
    <row r="1735" spans="11:15">
      <c r="K1735" s="1625">
        <v>43792</v>
      </c>
      <c r="L1735" s="1626"/>
      <c r="M1735" s="1627">
        <v>0</v>
      </c>
      <c r="N1735" s="1628">
        <v>1.5660344306669747</v>
      </c>
      <c r="O1735" s="1628"/>
    </row>
    <row r="1736" spans="11:15">
      <c r="K1736" s="1625">
        <v>43793</v>
      </c>
      <c r="L1736" s="1626"/>
      <c r="M1736" s="1627">
        <v>0</v>
      </c>
      <c r="N1736" s="1628">
        <v>1.5660344306669747</v>
      </c>
      <c r="O1736" s="1628"/>
    </row>
    <row r="1737" spans="11:15">
      <c r="K1737" s="1625">
        <v>43794</v>
      </c>
      <c r="L1737" s="1626" t="s">
        <v>2301</v>
      </c>
      <c r="M1737" s="1627">
        <v>1.8984999999999998E-2</v>
      </c>
      <c r="N1737" s="1628">
        <v>1.5663317423036367</v>
      </c>
      <c r="O1737" s="1628"/>
    </row>
    <row r="1738" spans="11:15">
      <c r="K1738" s="1625">
        <v>43795</v>
      </c>
      <c r="L1738" s="1626" t="s">
        <v>2301</v>
      </c>
      <c r="M1738" s="1627">
        <v>1.8984999999999998E-2</v>
      </c>
      <c r="N1738" s="1628">
        <v>1.566629110384913</v>
      </c>
      <c r="O1738" s="1628"/>
    </row>
    <row r="1739" spans="11:15">
      <c r="K1739" s="1625">
        <v>43796</v>
      </c>
      <c r="L1739" s="1626" t="s">
        <v>2301</v>
      </c>
      <c r="M1739" s="1627">
        <v>1.8984999999999998E-2</v>
      </c>
      <c r="N1739" s="1628">
        <v>1.5669265349215196</v>
      </c>
      <c r="O1739" s="1628"/>
    </row>
    <row r="1740" spans="11:15">
      <c r="K1740" s="1625">
        <v>43797</v>
      </c>
      <c r="L1740" s="1626" t="s">
        <v>2301</v>
      </c>
      <c r="M1740" s="1627">
        <v>1.8984999999999998E-2</v>
      </c>
      <c r="N1740" s="1628">
        <v>1.5672240159241744</v>
      </c>
      <c r="O1740" s="1628"/>
    </row>
    <row r="1741" spans="11:15">
      <c r="K1741" s="1625">
        <v>43798</v>
      </c>
      <c r="L1741" s="1626" t="s">
        <v>2301</v>
      </c>
      <c r="M1741" s="1627">
        <v>1.8984999999999998E-2</v>
      </c>
      <c r="N1741" s="1628">
        <v>1.5675215534035976</v>
      </c>
      <c r="O1741" s="1628"/>
    </row>
    <row r="1742" spans="11:15">
      <c r="K1742" s="1625">
        <v>43799</v>
      </c>
      <c r="L1742" s="1626"/>
      <c r="M1742" s="1627">
        <v>0</v>
      </c>
      <c r="N1742" s="1628">
        <v>1.5675215534035976</v>
      </c>
      <c r="O1742" s="1628"/>
    </row>
    <row r="1743" spans="11:15">
      <c r="K1743" s="1625">
        <v>43800</v>
      </c>
      <c r="L1743" s="1626"/>
      <c r="M1743" s="1627">
        <v>0</v>
      </c>
      <c r="N1743" s="1628">
        <v>1.5675215534035976</v>
      </c>
      <c r="O1743" s="1628"/>
    </row>
    <row r="1744" spans="11:15">
      <c r="K1744" s="1625">
        <v>43801</v>
      </c>
      <c r="L1744" s="1626" t="s">
        <v>2301</v>
      </c>
      <c r="M1744" s="1627">
        <v>1.8984999999999998E-2</v>
      </c>
      <c r="N1744" s="1628">
        <v>1.5678191473705112</v>
      </c>
      <c r="O1744" s="1628"/>
    </row>
    <row r="1745" spans="11:15">
      <c r="K1745" s="1625">
        <v>43802</v>
      </c>
      <c r="L1745" s="1626" t="s">
        <v>2301</v>
      </c>
      <c r="M1745" s="1627">
        <v>1.8984999999999998E-2</v>
      </c>
      <c r="N1745" s="1628">
        <v>1.5681167978356394</v>
      </c>
      <c r="O1745" s="1628"/>
    </row>
    <row r="1746" spans="11:15">
      <c r="K1746" s="1625">
        <v>43803</v>
      </c>
      <c r="L1746" s="1626" t="s">
        <v>2301</v>
      </c>
      <c r="M1746" s="1627">
        <v>1.8984999999999998E-2</v>
      </c>
      <c r="N1746" s="1628">
        <v>1.5684145048097085</v>
      </c>
      <c r="O1746" s="1628"/>
    </row>
    <row r="1747" spans="11:15">
      <c r="K1747" s="1625">
        <v>43804</v>
      </c>
      <c r="L1747" s="1626" t="s">
        <v>2301</v>
      </c>
      <c r="M1747" s="1627">
        <v>1.8984999999999998E-2</v>
      </c>
      <c r="N1747" s="1628">
        <v>1.5687122683034465</v>
      </c>
      <c r="O1747" s="1628"/>
    </row>
    <row r="1748" spans="11:15">
      <c r="K1748" s="1625">
        <v>43805</v>
      </c>
      <c r="L1748" s="1626" t="s">
        <v>2301</v>
      </c>
      <c r="M1748" s="1627">
        <v>1.8984999999999998E-2</v>
      </c>
      <c r="N1748" s="1628">
        <v>1.5690100883275837</v>
      </c>
      <c r="O1748" s="1628"/>
    </row>
    <row r="1749" spans="11:15">
      <c r="K1749" s="1625">
        <v>43806</v>
      </c>
      <c r="L1749" s="1626"/>
      <c r="M1749" s="1627">
        <v>0</v>
      </c>
      <c r="N1749" s="1628">
        <v>1.5690100883275837</v>
      </c>
      <c r="O1749" s="1628"/>
    </row>
    <row r="1750" spans="11:15">
      <c r="K1750" s="1625">
        <v>43807</v>
      </c>
      <c r="L1750" s="1626"/>
      <c r="M1750" s="1627">
        <v>0</v>
      </c>
      <c r="N1750" s="1628">
        <v>1.5690100883275837</v>
      </c>
      <c r="O1750" s="1628"/>
    </row>
    <row r="1751" spans="11:15">
      <c r="K1751" s="1625">
        <v>43808</v>
      </c>
      <c r="L1751" s="1626" t="s">
        <v>2301</v>
      </c>
      <c r="M1751" s="1627">
        <v>1.8984999999999998E-2</v>
      </c>
      <c r="N1751" s="1628">
        <v>1.5693079648928525</v>
      </c>
      <c r="O1751" s="1628"/>
    </row>
    <row r="1752" spans="11:15">
      <c r="K1752" s="1625">
        <v>43809</v>
      </c>
      <c r="L1752" s="1626" t="s">
        <v>2301</v>
      </c>
      <c r="M1752" s="1627">
        <v>1.8984999999999998E-2</v>
      </c>
      <c r="N1752" s="1628">
        <v>1.5696058980099874</v>
      </c>
      <c r="O1752" s="1628"/>
    </row>
    <row r="1753" spans="11:15">
      <c r="K1753" s="1625">
        <v>43810</v>
      </c>
      <c r="L1753" s="1626" t="s">
        <v>2301</v>
      </c>
      <c r="M1753" s="1627">
        <v>1.8984999999999998E-2</v>
      </c>
      <c r="N1753" s="1628">
        <v>1.5699038876897244</v>
      </c>
      <c r="O1753" s="1628"/>
    </row>
    <row r="1754" spans="11:15">
      <c r="K1754" s="1625">
        <v>43811</v>
      </c>
      <c r="L1754" s="1626" t="s">
        <v>2301</v>
      </c>
      <c r="M1754" s="1627">
        <v>1.7089E-2</v>
      </c>
      <c r="N1754" s="1628">
        <v>1.5701721685650916</v>
      </c>
      <c r="O1754" s="1628"/>
    </row>
    <row r="1755" spans="11:15">
      <c r="K1755" s="1625">
        <v>43812</v>
      </c>
      <c r="L1755" s="1626" t="s">
        <v>2301</v>
      </c>
      <c r="M1755" s="1627">
        <v>1.7089E-2</v>
      </c>
      <c r="N1755" s="1628">
        <v>1.5704404952869775</v>
      </c>
      <c r="O1755" s="1628"/>
    </row>
    <row r="1756" spans="11:15">
      <c r="K1756" s="1625">
        <v>43813</v>
      </c>
      <c r="L1756" s="1626"/>
      <c r="M1756" s="1627">
        <v>0</v>
      </c>
      <c r="N1756" s="1628">
        <v>1.5704404952869775</v>
      </c>
      <c r="O1756" s="1628"/>
    </row>
    <row r="1757" spans="11:15">
      <c r="K1757" s="1625">
        <v>43814</v>
      </c>
      <c r="L1757" s="1626"/>
      <c r="M1757" s="1627">
        <v>0</v>
      </c>
      <c r="N1757" s="1628">
        <v>1.5704404952869775</v>
      </c>
      <c r="O1757" s="1628"/>
    </row>
    <row r="1758" spans="11:15">
      <c r="K1758" s="1625">
        <v>43815</v>
      </c>
      <c r="L1758" s="1626" t="s">
        <v>2301</v>
      </c>
      <c r="M1758" s="1627">
        <v>1.7089E-2</v>
      </c>
      <c r="N1758" s="1628">
        <v>1.5707088678632171</v>
      </c>
      <c r="O1758" s="1628"/>
    </row>
    <row r="1759" spans="11:15">
      <c r="K1759" s="1625">
        <v>43816</v>
      </c>
      <c r="L1759" s="1626" t="s">
        <v>2301</v>
      </c>
      <c r="M1759" s="1627">
        <v>1.7089E-2</v>
      </c>
      <c r="N1759" s="1628">
        <v>1.570977286301646</v>
      </c>
      <c r="O1759" s="1628"/>
    </row>
    <row r="1760" spans="11:15">
      <c r="K1760" s="1625">
        <v>43817</v>
      </c>
      <c r="L1760" s="1626" t="s">
        <v>2301</v>
      </c>
      <c r="M1760" s="1627">
        <v>1.7089E-2</v>
      </c>
      <c r="N1760" s="1628">
        <v>1.5712457506101021</v>
      </c>
      <c r="O1760" s="1628"/>
    </row>
    <row r="1761" spans="11:15">
      <c r="K1761" s="1625">
        <v>43818</v>
      </c>
      <c r="L1761" s="1626" t="s">
        <v>2301</v>
      </c>
      <c r="M1761" s="1627">
        <v>1.7089E-2</v>
      </c>
      <c r="N1761" s="1628">
        <v>1.5715142607964236</v>
      </c>
      <c r="O1761" s="1628"/>
    </row>
    <row r="1762" spans="11:15">
      <c r="K1762" s="1625">
        <v>43819</v>
      </c>
      <c r="L1762" s="1626" t="s">
        <v>2301</v>
      </c>
      <c r="M1762" s="1627">
        <v>1.7089E-2</v>
      </c>
      <c r="N1762" s="1628">
        <v>1.5717828168684511</v>
      </c>
      <c r="O1762" s="1628"/>
    </row>
    <row r="1763" spans="11:15">
      <c r="K1763" s="1625">
        <v>43820</v>
      </c>
      <c r="L1763" s="1626"/>
      <c r="M1763" s="1627">
        <v>0</v>
      </c>
      <c r="N1763" s="1628">
        <v>1.5717828168684511</v>
      </c>
      <c r="O1763" s="1628"/>
    </row>
    <row r="1764" spans="11:15">
      <c r="K1764" s="1625">
        <v>43821</v>
      </c>
      <c r="L1764" s="1626"/>
      <c r="M1764" s="1627">
        <v>0</v>
      </c>
      <c r="N1764" s="1628">
        <v>1.5717828168684511</v>
      </c>
      <c r="O1764" s="1628"/>
    </row>
    <row r="1765" spans="11:15">
      <c r="K1765" s="1625">
        <v>43822</v>
      </c>
      <c r="L1765" s="1626" t="s">
        <v>2301</v>
      </c>
      <c r="M1765" s="1627">
        <v>1.7089E-2</v>
      </c>
      <c r="N1765" s="1628">
        <v>1.5720514188340255</v>
      </c>
      <c r="O1765" s="1628"/>
    </row>
    <row r="1766" spans="11:15">
      <c r="K1766" s="1625">
        <v>43823</v>
      </c>
      <c r="L1766" s="1626" t="s">
        <v>2301</v>
      </c>
      <c r="M1766" s="1627">
        <v>1.7089E-2</v>
      </c>
      <c r="N1766" s="1628">
        <v>1.57232006670099</v>
      </c>
      <c r="O1766" s="1628"/>
    </row>
    <row r="1767" spans="11:15">
      <c r="K1767" s="1625">
        <v>43824</v>
      </c>
      <c r="L1767" s="1626"/>
      <c r="M1767" s="1627">
        <v>0</v>
      </c>
      <c r="N1767" s="1628">
        <v>1.57232006670099</v>
      </c>
      <c r="O1767" s="1628"/>
    </row>
    <row r="1768" spans="11:15">
      <c r="K1768" s="1625">
        <v>43825</v>
      </c>
      <c r="L1768" s="1626" t="s">
        <v>2301</v>
      </c>
      <c r="M1768" s="1627">
        <v>1.7089E-2</v>
      </c>
      <c r="N1768" s="1628">
        <v>1.5725887604771884</v>
      </c>
      <c r="O1768" s="1628"/>
    </row>
    <row r="1769" spans="11:15">
      <c r="K1769" s="1625">
        <v>43826</v>
      </c>
      <c r="L1769" s="1626" t="s">
        <v>2301</v>
      </c>
      <c r="M1769" s="1627">
        <v>1.7089E-2</v>
      </c>
      <c r="N1769" s="1628">
        <v>1.5728575001704663</v>
      </c>
      <c r="O1769" s="1628"/>
    </row>
    <row r="1770" spans="11:15">
      <c r="K1770" s="1625">
        <v>43827</v>
      </c>
      <c r="L1770" s="1626"/>
      <c r="M1770" s="1627">
        <v>0</v>
      </c>
      <c r="N1770" s="1628">
        <v>1.5728575001704663</v>
      </c>
      <c r="O1770" s="1628"/>
    </row>
    <row r="1771" spans="11:15">
      <c r="K1771" s="1625">
        <v>43828</v>
      </c>
      <c r="L1771" s="1626"/>
      <c r="M1771" s="1627">
        <v>0</v>
      </c>
      <c r="N1771" s="1628">
        <v>1.5728575001704663</v>
      </c>
      <c r="O1771" s="1628"/>
    </row>
    <row r="1772" spans="11:15">
      <c r="K1772" s="1625">
        <v>43829</v>
      </c>
      <c r="L1772" s="1626" t="s">
        <v>2301</v>
      </c>
      <c r="M1772" s="1627">
        <v>1.7089E-2</v>
      </c>
      <c r="N1772" s="1628">
        <v>1.5731262857886703</v>
      </c>
      <c r="O1772" s="1628"/>
    </row>
    <row r="1773" spans="11:15">
      <c r="K1773" s="1625">
        <v>43830</v>
      </c>
      <c r="L1773" s="1626" t="s">
        <v>2301</v>
      </c>
      <c r="M1773" s="1627">
        <v>1.7089E-2</v>
      </c>
      <c r="N1773" s="1628">
        <v>1.5733951173396485</v>
      </c>
      <c r="O1773" s="1628"/>
    </row>
    <row r="1774" spans="11:15">
      <c r="K1774" s="1625">
        <v>43831</v>
      </c>
      <c r="L1774" s="1626"/>
      <c r="M1774" s="1627">
        <v>0</v>
      </c>
      <c r="N1774" s="1628">
        <v>1.5733951173396485</v>
      </c>
      <c r="O1774" s="1628"/>
    </row>
    <row r="1775" spans="11:15">
      <c r="K1775" s="1625">
        <v>43832</v>
      </c>
      <c r="L1775" s="1626" t="s">
        <v>2301</v>
      </c>
      <c r="M1775" s="1627">
        <v>1.7089E-2</v>
      </c>
      <c r="N1775" s="1628">
        <v>1.5736639948312505</v>
      </c>
      <c r="O1775" s="1628"/>
    </row>
    <row r="1776" spans="11:15">
      <c r="K1776" s="1625">
        <v>43833</v>
      </c>
      <c r="L1776" s="1626" t="s">
        <v>2301</v>
      </c>
      <c r="M1776" s="1627">
        <v>1.7089E-2</v>
      </c>
      <c r="N1776" s="1628">
        <v>1.5739329182713271</v>
      </c>
      <c r="O1776" s="1628"/>
    </row>
    <row r="1777" spans="11:15">
      <c r="K1777" s="1625">
        <v>43834</v>
      </c>
      <c r="L1777" s="1626"/>
      <c r="M1777" s="1627">
        <v>0</v>
      </c>
      <c r="N1777" s="1628">
        <v>1.5739329182713271</v>
      </c>
      <c r="O1777" s="1628"/>
    </row>
    <row r="1778" spans="11:15">
      <c r="K1778" s="1625">
        <v>43835</v>
      </c>
      <c r="L1778" s="1626"/>
      <c r="M1778" s="1627">
        <v>0</v>
      </c>
      <c r="N1778" s="1628">
        <v>1.5739329182713271</v>
      </c>
      <c r="O1778" s="1628"/>
    </row>
    <row r="1779" spans="11:15">
      <c r="K1779" s="1625">
        <v>43836</v>
      </c>
      <c r="L1779" s="1626" t="s">
        <v>2301</v>
      </c>
      <c r="M1779" s="1627">
        <v>1.7089E-2</v>
      </c>
      <c r="N1779" s="1628">
        <v>1.5742018876677304</v>
      </c>
      <c r="O1779" s="1628"/>
    </row>
    <row r="1780" spans="11:15">
      <c r="K1780" s="1625">
        <v>43837</v>
      </c>
      <c r="L1780" s="1626" t="s">
        <v>2301</v>
      </c>
      <c r="M1780" s="1627">
        <v>1.7089E-2</v>
      </c>
      <c r="N1780" s="1628">
        <v>1.5744709030283137</v>
      </c>
      <c r="O1780" s="1628"/>
    </row>
    <row r="1781" spans="11:15">
      <c r="K1781" s="1625">
        <v>43838</v>
      </c>
      <c r="L1781" s="1626" t="s">
        <v>2301</v>
      </c>
      <c r="M1781" s="1627">
        <v>1.7089E-2</v>
      </c>
      <c r="N1781" s="1628">
        <v>1.5747399643609321</v>
      </c>
      <c r="O1781" s="1628"/>
    </row>
    <row r="1782" spans="11:15">
      <c r="K1782" s="1625">
        <v>43839</v>
      </c>
      <c r="L1782" s="1626" t="s">
        <v>2301</v>
      </c>
      <c r="M1782" s="1627">
        <v>1.7089E-2</v>
      </c>
      <c r="N1782" s="1628">
        <v>1.5750090716734417</v>
      </c>
      <c r="O1782" s="1628"/>
    </row>
    <row r="1783" spans="11:15">
      <c r="K1783" s="1625">
        <v>43840</v>
      </c>
      <c r="L1783" s="1626" t="s">
        <v>2301</v>
      </c>
      <c r="M1783" s="1627">
        <v>1.7089E-2</v>
      </c>
      <c r="N1783" s="1628">
        <v>1.5752782249736998</v>
      </c>
      <c r="O1783" s="1628"/>
    </row>
    <row r="1784" spans="11:15">
      <c r="K1784" s="1625">
        <v>43841</v>
      </c>
      <c r="L1784" s="1626"/>
      <c r="M1784" s="1627">
        <v>0</v>
      </c>
      <c r="N1784" s="1628">
        <v>1.5752782249736998</v>
      </c>
      <c r="O1784" s="1628"/>
    </row>
    <row r="1785" spans="11:15">
      <c r="K1785" s="1625">
        <v>43842</v>
      </c>
      <c r="L1785" s="1626"/>
      <c r="M1785" s="1627">
        <v>0</v>
      </c>
      <c r="N1785" s="1628">
        <v>1.5752782249736998</v>
      </c>
      <c r="O1785" s="1628"/>
    </row>
    <row r="1786" spans="11:15">
      <c r="K1786" s="1625">
        <v>43843</v>
      </c>
      <c r="L1786" s="1626" t="s">
        <v>2301</v>
      </c>
      <c r="M1786" s="1627">
        <v>1.7089E-2</v>
      </c>
      <c r="N1786" s="1628">
        <v>1.5755474242695655</v>
      </c>
      <c r="O1786" s="1628"/>
    </row>
    <row r="1787" spans="11:15">
      <c r="K1787" s="1625">
        <v>43844</v>
      </c>
      <c r="L1787" s="1626" t="s">
        <v>2301</v>
      </c>
      <c r="M1787" s="1627">
        <v>1.7089E-2</v>
      </c>
      <c r="N1787" s="1628">
        <v>1.5758166695688989</v>
      </c>
      <c r="O1787" s="1628"/>
    </row>
    <row r="1788" spans="11:15">
      <c r="K1788" s="1625">
        <v>43845</v>
      </c>
      <c r="L1788" s="1626" t="s">
        <v>2301</v>
      </c>
      <c r="M1788" s="1627">
        <v>1.7089E-2</v>
      </c>
      <c r="N1788" s="1628">
        <v>1.5760859608795614</v>
      </c>
      <c r="O1788" s="1628"/>
    </row>
    <row r="1789" spans="11:15">
      <c r="K1789" s="1625">
        <v>43846</v>
      </c>
      <c r="L1789" s="1626" t="s">
        <v>2301</v>
      </c>
      <c r="M1789" s="1627">
        <v>1.7089E-2</v>
      </c>
      <c r="N1789" s="1628">
        <v>1.576355298209416</v>
      </c>
      <c r="O1789" s="1628"/>
    </row>
    <row r="1790" spans="11:15">
      <c r="K1790" s="1625">
        <v>43847</v>
      </c>
      <c r="L1790" s="1626" t="s">
        <v>2301</v>
      </c>
      <c r="M1790" s="1627">
        <v>1.7089E-2</v>
      </c>
      <c r="N1790" s="1628">
        <v>1.576624681566327</v>
      </c>
      <c r="O1790" s="1628"/>
    </row>
    <row r="1791" spans="11:15">
      <c r="K1791" s="1625">
        <v>43848</v>
      </c>
      <c r="L1791" s="1626"/>
      <c r="M1791" s="1627">
        <v>0</v>
      </c>
      <c r="N1791" s="1628">
        <v>1.576624681566327</v>
      </c>
      <c r="O1791" s="1628"/>
    </row>
    <row r="1792" spans="11:15">
      <c r="K1792" s="1625">
        <v>43849</v>
      </c>
      <c r="L1792" s="1626"/>
      <c r="M1792" s="1627">
        <v>0</v>
      </c>
      <c r="N1792" s="1628">
        <v>1.576624681566327</v>
      </c>
      <c r="O1792" s="1628"/>
    </row>
    <row r="1793" spans="11:15">
      <c r="K1793" s="1625">
        <v>43850</v>
      </c>
      <c r="L1793" s="1626" t="s">
        <v>2301</v>
      </c>
      <c r="M1793" s="1627">
        <v>1.7089E-2</v>
      </c>
      <c r="N1793" s="1628">
        <v>1.5768941109581598</v>
      </c>
      <c r="O1793" s="1628"/>
    </row>
    <row r="1794" spans="11:15">
      <c r="K1794" s="1625">
        <v>43851</v>
      </c>
      <c r="L1794" s="1626" t="s">
        <v>2301</v>
      </c>
      <c r="M1794" s="1627">
        <v>1.7089E-2</v>
      </c>
      <c r="N1794" s="1628">
        <v>1.5771635863927813</v>
      </c>
      <c r="O1794" s="1628"/>
    </row>
    <row r="1795" spans="11:15">
      <c r="K1795" s="1625">
        <v>43852</v>
      </c>
      <c r="L1795" s="1626" t="s">
        <v>2301</v>
      </c>
      <c r="M1795" s="1627">
        <v>1.7089E-2</v>
      </c>
      <c r="N1795" s="1628">
        <v>1.5774331078780599</v>
      </c>
      <c r="O1795" s="1628"/>
    </row>
    <row r="1796" spans="11:15">
      <c r="K1796" s="1625">
        <v>43853</v>
      </c>
      <c r="L1796" s="1626" t="s">
        <v>2301</v>
      </c>
      <c r="M1796" s="1627">
        <v>1.7089E-2</v>
      </c>
      <c r="N1796" s="1628">
        <v>1.577702675421865</v>
      </c>
      <c r="O1796" s="1628"/>
    </row>
    <row r="1797" spans="11:15">
      <c r="K1797" s="1625">
        <v>43854</v>
      </c>
      <c r="L1797" s="1626" t="s">
        <v>2301</v>
      </c>
      <c r="M1797" s="1627">
        <v>1.7089E-2</v>
      </c>
      <c r="N1797" s="1628">
        <v>1.5779722890320678</v>
      </c>
      <c r="O1797" s="1628"/>
    </row>
    <row r="1798" spans="11:15">
      <c r="K1798" s="1625">
        <v>43855</v>
      </c>
      <c r="L1798" s="1626"/>
      <c r="M1798" s="1627">
        <v>0</v>
      </c>
      <c r="N1798" s="1628">
        <v>1.5779722890320678</v>
      </c>
      <c r="O1798" s="1628"/>
    </row>
    <row r="1799" spans="11:15">
      <c r="K1799" s="1625">
        <v>43856</v>
      </c>
      <c r="L1799" s="1626"/>
      <c r="M1799" s="1627">
        <v>0</v>
      </c>
      <c r="N1799" s="1628">
        <v>1.5779722890320678</v>
      </c>
      <c r="O1799" s="1628"/>
    </row>
    <row r="1800" spans="11:15">
      <c r="K1800" s="1625">
        <v>43857</v>
      </c>
      <c r="L1800" s="1626" t="s">
        <v>2301</v>
      </c>
      <c r="M1800" s="1627">
        <v>1.7089E-2</v>
      </c>
      <c r="N1800" s="1628">
        <v>1.5782419487165404</v>
      </c>
      <c r="O1800" s="1628"/>
    </row>
    <row r="1801" spans="11:15">
      <c r="K1801" s="1625">
        <v>43858</v>
      </c>
      <c r="L1801" s="1626" t="s">
        <v>2301</v>
      </c>
      <c r="M1801" s="1627">
        <v>1.7089E-2</v>
      </c>
      <c r="N1801" s="1628">
        <v>1.5785116544831566</v>
      </c>
      <c r="O1801" s="1628"/>
    </row>
    <row r="1802" spans="11:15">
      <c r="K1802" s="1625">
        <v>43859</v>
      </c>
      <c r="L1802" s="1626" t="s">
        <v>2301</v>
      </c>
      <c r="M1802" s="1627">
        <v>1.7089E-2</v>
      </c>
      <c r="N1802" s="1628">
        <v>1.5787814063397911</v>
      </c>
      <c r="O1802" s="1628"/>
    </row>
    <row r="1803" spans="11:15">
      <c r="K1803" s="1625">
        <v>43860</v>
      </c>
      <c r="L1803" s="1626" t="s">
        <v>2301</v>
      </c>
      <c r="M1803" s="1627">
        <v>1.7089E-2</v>
      </c>
      <c r="N1803" s="1628">
        <v>1.5790512042943203</v>
      </c>
      <c r="O1803" s="1628"/>
    </row>
    <row r="1804" spans="11:15">
      <c r="K1804" s="1625">
        <v>43861</v>
      </c>
      <c r="L1804" s="1626" t="s">
        <v>2301</v>
      </c>
      <c r="M1804" s="1627">
        <v>1.7089E-2</v>
      </c>
      <c r="N1804" s="1628">
        <v>1.5793210483546221</v>
      </c>
      <c r="O1804" s="1628"/>
    </row>
    <row r="1805" spans="11:15">
      <c r="K1805" s="1625">
        <v>43862</v>
      </c>
      <c r="L1805" s="1626"/>
      <c r="M1805" s="1627">
        <v>0</v>
      </c>
      <c r="N1805" s="1628">
        <v>1.5793210483546221</v>
      </c>
      <c r="O1805" s="1628"/>
    </row>
    <row r="1806" spans="11:15">
      <c r="K1806" s="1625">
        <v>43863</v>
      </c>
      <c r="L1806" s="1626"/>
      <c r="M1806" s="1627">
        <v>0</v>
      </c>
      <c r="N1806" s="1628">
        <v>1.5793210483546221</v>
      </c>
      <c r="O1806" s="1628"/>
    </row>
    <row r="1807" spans="11:15">
      <c r="K1807" s="1625">
        <v>43864</v>
      </c>
      <c r="L1807" s="1626" t="s">
        <v>2301</v>
      </c>
      <c r="M1807" s="1627">
        <v>1.7089E-2</v>
      </c>
      <c r="N1807" s="1628">
        <v>1.5795909385285754</v>
      </c>
      <c r="O1807" s="1628"/>
    </row>
    <row r="1808" spans="11:15">
      <c r="K1808" s="1625">
        <v>43865</v>
      </c>
      <c r="L1808" s="1626" t="s">
        <v>2301</v>
      </c>
      <c r="M1808" s="1627">
        <v>1.7089E-2</v>
      </c>
      <c r="N1808" s="1628">
        <v>1.5798608748240603</v>
      </c>
      <c r="O1808" s="1628"/>
    </row>
    <row r="1809" spans="11:15">
      <c r="K1809" s="1625">
        <v>43866</v>
      </c>
      <c r="L1809" s="1626" t="s">
        <v>2301</v>
      </c>
      <c r="M1809" s="1627">
        <v>1.7089E-2</v>
      </c>
      <c r="N1809" s="1628">
        <v>1.580130857248959</v>
      </c>
      <c r="O1809" s="1628"/>
    </row>
    <row r="1810" spans="11:15">
      <c r="K1810" s="1625">
        <v>43867</v>
      </c>
      <c r="L1810" s="1626" t="s">
        <v>2301</v>
      </c>
      <c r="M1810" s="1627">
        <v>1.6136999999999999E-2</v>
      </c>
      <c r="N1810" s="1628">
        <v>1.5803858429653934</v>
      </c>
      <c r="O1810" s="1628"/>
    </row>
    <row r="1811" spans="11:15">
      <c r="K1811" s="1625">
        <v>43868</v>
      </c>
      <c r="L1811" s="1626" t="s">
        <v>2301</v>
      </c>
      <c r="M1811" s="1627">
        <v>1.6136999999999999E-2</v>
      </c>
      <c r="N1811" s="1628">
        <v>1.5806408698288728</v>
      </c>
      <c r="O1811" s="1628"/>
    </row>
    <row r="1812" spans="11:15">
      <c r="K1812" s="1625">
        <v>43869</v>
      </c>
      <c r="L1812" s="1626"/>
      <c r="M1812" s="1627">
        <v>0</v>
      </c>
      <c r="N1812" s="1628">
        <v>1.5806408698288728</v>
      </c>
      <c r="O1812" s="1628"/>
    </row>
    <row r="1813" spans="11:15">
      <c r="K1813" s="1625">
        <v>43870</v>
      </c>
      <c r="L1813" s="1626"/>
      <c r="M1813" s="1627">
        <v>0</v>
      </c>
      <c r="N1813" s="1628">
        <v>1.5806408698288728</v>
      </c>
      <c r="O1813" s="1628"/>
    </row>
    <row r="1814" spans="11:15">
      <c r="K1814" s="1625">
        <v>43871</v>
      </c>
      <c r="L1814" s="1626" t="s">
        <v>2301</v>
      </c>
      <c r="M1814" s="1627">
        <v>1.6136999999999999E-2</v>
      </c>
      <c r="N1814" s="1628">
        <v>1.5808959378460372</v>
      </c>
      <c r="O1814" s="1628"/>
    </row>
    <row r="1815" spans="11:15">
      <c r="K1815" s="1625">
        <v>43872</v>
      </c>
      <c r="L1815" s="1626" t="s">
        <v>2301</v>
      </c>
      <c r="M1815" s="1627">
        <v>1.6136999999999999E-2</v>
      </c>
      <c r="N1815" s="1628">
        <v>1.5811510470235275</v>
      </c>
      <c r="O1815" s="1628"/>
    </row>
    <row r="1816" spans="11:15">
      <c r="K1816" s="1625">
        <v>43873</v>
      </c>
      <c r="L1816" s="1626" t="s">
        <v>2301</v>
      </c>
      <c r="M1816" s="1627">
        <v>1.6136999999999999E-2</v>
      </c>
      <c r="N1816" s="1628">
        <v>1.5814061973679858</v>
      </c>
      <c r="O1816" s="1628"/>
    </row>
    <row r="1817" spans="11:15">
      <c r="K1817" s="1625">
        <v>43874</v>
      </c>
      <c r="L1817" s="1626" t="s">
        <v>2301</v>
      </c>
      <c r="M1817" s="1627">
        <v>1.6136999999999999E-2</v>
      </c>
      <c r="N1817" s="1628">
        <v>1.5816613888860551</v>
      </c>
      <c r="O1817" s="1628"/>
    </row>
    <row r="1818" spans="11:15">
      <c r="K1818" s="1625">
        <v>43875</v>
      </c>
      <c r="L1818" s="1626" t="s">
        <v>2301</v>
      </c>
      <c r="M1818" s="1627">
        <v>1.6136999999999999E-2</v>
      </c>
      <c r="N1818" s="1628">
        <v>1.5819166215843798</v>
      </c>
      <c r="O1818" s="1628"/>
    </row>
    <row r="1819" spans="11:15">
      <c r="K1819" s="1625">
        <v>43876</v>
      </c>
      <c r="L1819" s="1626"/>
      <c r="M1819" s="1627">
        <v>0</v>
      </c>
      <c r="N1819" s="1628">
        <v>1.5819166215843798</v>
      </c>
      <c r="O1819" s="1628"/>
    </row>
    <row r="1820" spans="11:15">
      <c r="K1820" s="1625">
        <v>43877</v>
      </c>
      <c r="L1820" s="1626"/>
      <c r="M1820" s="1627">
        <v>0</v>
      </c>
      <c r="N1820" s="1628">
        <v>1.5819166215843798</v>
      </c>
      <c r="O1820" s="1628"/>
    </row>
    <row r="1821" spans="11:15">
      <c r="K1821" s="1625">
        <v>43878</v>
      </c>
      <c r="L1821" s="1626" t="s">
        <v>2301</v>
      </c>
      <c r="M1821" s="1627">
        <v>1.6136999999999999E-2</v>
      </c>
      <c r="N1821" s="1628">
        <v>1.5821718954696049</v>
      </c>
      <c r="O1821" s="1628"/>
    </row>
    <row r="1822" spans="11:15">
      <c r="K1822" s="1625">
        <v>43879</v>
      </c>
      <c r="L1822" s="1626" t="s">
        <v>2301</v>
      </c>
      <c r="M1822" s="1627">
        <v>1.6136999999999999E-2</v>
      </c>
      <c r="N1822" s="1628">
        <v>1.582427210548377</v>
      </c>
      <c r="O1822" s="1628"/>
    </row>
    <row r="1823" spans="11:15">
      <c r="K1823" s="1625">
        <v>43880</v>
      </c>
      <c r="L1823" s="1626" t="s">
        <v>2301</v>
      </c>
      <c r="M1823" s="1627">
        <v>1.6136999999999999E-2</v>
      </c>
      <c r="N1823" s="1628">
        <v>1.5826825668273432</v>
      </c>
      <c r="O1823" s="1628"/>
    </row>
    <row r="1824" spans="11:15">
      <c r="K1824" s="1625">
        <v>43881</v>
      </c>
      <c r="L1824" s="1626" t="s">
        <v>2301</v>
      </c>
      <c r="M1824" s="1627">
        <v>1.6136999999999999E-2</v>
      </c>
      <c r="N1824" s="1628">
        <v>1.5829379643131523</v>
      </c>
      <c r="O1824" s="1628"/>
    </row>
    <row r="1825" spans="11:15">
      <c r="K1825" s="1625">
        <v>43882</v>
      </c>
      <c r="L1825" s="1626" t="s">
        <v>2301</v>
      </c>
      <c r="M1825" s="1627">
        <v>1.6136999999999999E-2</v>
      </c>
      <c r="N1825" s="1628">
        <v>1.5831934030124535</v>
      </c>
      <c r="O1825" s="1628"/>
    </row>
    <row r="1826" spans="11:15">
      <c r="K1826" s="1625">
        <v>43883</v>
      </c>
      <c r="L1826" s="1626"/>
      <c r="M1826" s="1627">
        <v>0</v>
      </c>
      <c r="N1826" s="1628">
        <v>1.5831934030124535</v>
      </c>
      <c r="O1826" s="1628"/>
    </row>
    <row r="1827" spans="11:15">
      <c r="K1827" s="1625">
        <v>43884</v>
      </c>
      <c r="L1827" s="1626"/>
      <c r="M1827" s="1627">
        <v>0</v>
      </c>
      <c r="N1827" s="1628">
        <v>1.5831934030124535</v>
      </c>
      <c r="O1827" s="1628"/>
    </row>
    <row r="1828" spans="11:15">
      <c r="K1828" s="1625">
        <v>43885</v>
      </c>
      <c r="L1828" s="1626"/>
      <c r="M1828" s="1627">
        <v>0</v>
      </c>
      <c r="N1828" s="1628">
        <v>1.5831934030124535</v>
      </c>
      <c r="O1828" s="1628"/>
    </row>
    <row r="1829" spans="11:15">
      <c r="K1829" s="1625">
        <v>43886</v>
      </c>
      <c r="L1829" s="1626"/>
      <c r="M1829" s="1627">
        <v>0</v>
      </c>
      <c r="N1829" s="1628">
        <v>1.5831934030124535</v>
      </c>
      <c r="O1829" s="1628"/>
    </row>
    <row r="1830" spans="11:15">
      <c r="K1830" s="1625">
        <v>43887</v>
      </c>
      <c r="L1830" s="1626" t="s">
        <v>2301</v>
      </c>
      <c r="M1830" s="1627">
        <v>1.6136999999999999E-2</v>
      </c>
      <c r="N1830" s="1628">
        <v>1.5834488829318978</v>
      </c>
      <c r="O1830" s="1628"/>
    </row>
    <row r="1831" spans="11:15">
      <c r="K1831" s="1625">
        <v>43888</v>
      </c>
      <c r="L1831" s="1626" t="s">
        <v>2301</v>
      </c>
      <c r="M1831" s="1627">
        <v>1.6136999999999999E-2</v>
      </c>
      <c r="N1831" s="1628">
        <v>1.5837044040781365</v>
      </c>
      <c r="O1831" s="1628"/>
    </row>
    <row r="1832" spans="11:15">
      <c r="K1832" s="1625">
        <v>43889</v>
      </c>
      <c r="L1832" s="1626" t="s">
        <v>2301</v>
      </c>
      <c r="M1832" s="1627">
        <v>1.6136999999999999E-2</v>
      </c>
      <c r="N1832" s="1628">
        <v>1.5839599664578228</v>
      </c>
      <c r="O1832" s="1628"/>
    </row>
    <row r="1833" spans="11:15">
      <c r="K1833" s="1625">
        <v>43890</v>
      </c>
      <c r="L1833" s="1626"/>
      <c r="M1833" s="1627">
        <v>0</v>
      </c>
      <c r="N1833" s="1628">
        <v>1.5839599664578228</v>
      </c>
      <c r="O1833" s="1628"/>
    </row>
    <row r="1834" spans="11:15">
      <c r="K1834" s="1625">
        <v>43891</v>
      </c>
      <c r="L1834" s="1626"/>
      <c r="M1834" s="1627">
        <v>0</v>
      </c>
      <c r="N1834" s="1628">
        <v>1.5839599664578228</v>
      </c>
      <c r="O1834" s="1628"/>
    </row>
    <row r="1835" spans="11:15">
      <c r="K1835" s="1625">
        <v>43892</v>
      </c>
      <c r="L1835" s="1626" t="s">
        <v>2301</v>
      </c>
      <c r="M1835" s="1627">
        <v>1.6136999999999999E-2</v>
      </c>
      <c r="N1835" s="1628">
        <v>1.5842155700776102</v>
      </c>
      <c r="O1835" s="1628"/>
    </row>
    <row r="1836" spans="11:15">
      <c r="K1836" s="1625">
        <v>43893</v>
      </c>
      <c r="L1836" s="1626" t="s">
        <v>2301</v>
      </c>
      <c r="M1836" s="1627">
        <v>1.6136999999999999E-2</v>
      </c>
      <c r="N1836" s="1628">
        <v>1.5844712149441535</v>
      </c>
      <c r="O1836" s="1628"/>
    </row>
    <row r="1837" spans="11:15">
      <c r="K1837" s="1625">
        <v>43894</v>
      </c>
      <c r="L1837" s="1626" t="s">
        <v>2301</v>
      </c>
      <c r="M1837" s="1627">
        <v>1.6136999999999999E-2</v>
      </c>
      <c r="N1837" s="1628">
        <v>1.5847269010641092</v>
      </c>
      <c r="O1837" s="1628"/>
    </row>
    <row r="1838" spans="11:15">
      <c r="K1838" s="1625">
        <v>43895</v>
      </c>
      <c r="L1838" s="1626" t="s">
        <v>2301</v>
      </c>
      <c r="M1838" s="1627">
        <v>1.6136999999999999E-2</v>
      </c>
      <c r="N1838" s="1628">
        <v>1.584982628444134</v>
      </c>
      <c r="O1838" s="1628"/>
    </row>
    <row r="1839" spans="11:15">
      <c r="K1839" s="1625">
        <v>43896</v>
      </c>
      <c r="L1839" s="1626" t="s">
        <v>2301</v>
      </c>
      <c r="M1839" s="1627">
        <v>1.6136999999999999E-2</v>
      </c>
      <c r="N1839" s="1628">
        <v>1.5852383970908861</v>
      </c>
      <c r="O1839" s="1628"/>
    </row>
    <row r="1840" spans="11:15">
      <c r="K1840" s="1625">
        <v>43897</v>
      </c>
      <c r="L1840" s="1626"/>
      <c r="M1840" s="1627">
        <v>0</v>
      </c>
      <c r="N1840" s="1628">
        <v>1.5852383970908861</v>
      </c>
      <c r="O1840" s="1628"/>
    </row>
    <row r="1841" spans="11:15">
      <c r="K1841" s="1625">
        <v>43898</v>
      </c>
      <c r="L1841" s="1626"/>
      <c r="M1841" s="1627">
        <v>0</v>
      </c>
      <c r="N1841" s="1628">
        <v>1.5852383970908861</v>
      </c>
      <c r="O1841" s="1628"/>
    </row>
    <row r="1842" spans="11:15">
      <c r="K1842" s="1625">
        <v>43899</v>
      </c>
      <c r="L1842" s="1626" t="s">
        <v>2301</v>
      </c>
      <c r="M1842" s="1627">
        <v>1.6136999999999999E-2</v>
      </c>
      <c r="N1842" s="1628">
        <v>1.5854942070110247</v>
      </c>
      <c r="O1842" s="1628"/>
    </row>
    <row r="1843" spans="11:15">
      <c r="K1843" s="1625">
        <v>43900</v>
      </c>
      <c r="L1843" s="1626" t="s">
        <v>2301</v>
      </c>
      <c r="M1843" s="1627">
        <v>1.6136999999999999E-2</v>
      </c>
      <c r="N1843" s="1628">
        <v>1.5857500582112101</v>
      </c>
      <c r="O1843" s="1628"/>
    </row>
    <row r="1844" spans="11:15">
      <c r="K1844" s="1625">
        <v>43901</v>
      </c>
      <c r="L1844" s="1626" t="s">
        <v>2301</v>
      </c>
      <c r="M1844" s="1627">
        <v>1.6136999999999999E-2</v>
      </c>
      <c r="N1844" s="1628">
        <v>1.5860059506981037</v>
      </c>
      <c r="O1844" s="1628"/>
    </row>
    <row r="1845" spans="11:15">
      <c r="K1845" s="1625">
        <v>43902</v>
      </c>
      <c r="L1845" s="1626" t="s">
        <v>2301</v>
      </c>
      <c r="M1845" s="1627">
        <v>1.6136999999999999E-2</v>
      </c>
      <c r="N1845" s="1628">
        <v>1.586261884478368</v>
      </c>
      <c r="O1845" s="1628"/>
    </row>
    <row r="1846" spans="11:15">
      <c r="K1846" s="1625">
        <v>43903</v>
      </c>
      <c r="L1846" s="1626" t="s">
        <v>2301</v>
      </c>
      <c r="M1846" s="1627">
        <v>1.6136999999999999E-2</v>
      </c>
      <c r="N1846" s="1628">
        <v>1.5865178595586664</v>
      </c>
      <c r="O1846" s="1628"/>
    </row>
    <row r="1847" spans="11:15">
      <c r="K1847" s="1625">
        <v>43904</v>
      </c>
      <c r="L1847" s="1626"/>
      <c r="M1847" s="1627">
        <v>0</v>
      </c>
      <c r="N1847" s="1628">
        <v>1.5865178595586664</v>
      </c>
      <c r="O1847" s="1628"/>
    </row>
    <row r="1848" spans="11:15">
      <c r="K1848" s="1625">
        <v>43905</v>
      </c>
      <c r="L1848" s="1626"/>
      <c r="M1848" s="1627">
        <v>0</v>
      </c>
      <c r="N1848" s="1628">
        <v>1.5865178595586664</v>
      </c>
      <c r="O1848" s="1628"/>
    </row>
    <row r="1849" spans="11:15">
      <c r="K1849" s="1625">
        <v>43906</v>
      </c>
      <c r="L1849" s="1626" t="s">
        <v>2301</v>
      </c>
      <c r="M1849" s="1627">
        <v>1.6136999999999999E-2</v>
      </c>
      <c r="N1849" s="1628">
        <v>1.5867738759456635</v>
      </c>
      <c r="O1849" s="1628"/>
    </row>
    <row r="1850" spans="11:15">
      <c r="K1850" s="1625">
        <v>43907</v>
      </c>
      <c r="L1850" s="1626" t="s">
        <v>2301</v>
      </c>
      <c r="M1850" s="1627">
        <v>1.6136999999999999E-2</v>
      </c>
      <c r="N1850" s="1628">
        <v>1.587029933646025</v>
      </c>
      <c r="O1850" s="1628"/>
    </row>
    <row r="1851" spans="11:15">
      <c r="K1851" s="1625">
        <v>43908</v>
      </c>
      <c r="L1851" s="1626" t="s">
        <v>2301</v>
      </c>
      <c r="M1851" s="1627">
        <v>1.6136999999999999E-2</v>
      </c>
      <c r="N1851" s="1628">
        <v>1.5872860326664175</v>
      </c>
      <c r="O1851" s="1628"/>
    </row>
    <row r="1852" spans="11:15">
      <c r="K1852" s="1625">
        <v>43909</v>
      </c>
      <c r="L1852" s="1626" t="s">
        <v>2301</v>
      </c>
      <c r="M1852" s="1627">
        <v>1.4227E-2</v>
      </c>
      <c r="N1852" s="1628">
        <v>1.587511855850285</v>
      </c>
      <c r="O1852" s="1628"/>
    </row>
    <row r="1853" spans="11:15">
      <c r="K1853" s="1625">
        <v>43910</v>
      </c>
      <c r="L1853" s="1626" t="s">
        <v>2301</v>
      </c>
      <c r="M1853" s="1627">
        <v>1.4227E-2</v>
      </c>
      <c r="N1853" s="1628">
        <v>1.5877377111620168</v>
      </c>
      <c r="O1853" s="1628"/>
    </row>
    <row r="1854" spans="11:15">
      <c r="K1854" s="1625">
        <v>43911</v>
      </c>
      <c r="L1854" s="1626"/>
      <c r="M1854" s="1627">
        <v>0</v>
      </c>
      <c r="N1854" s="1628">
        <v>1.5877377111620168</v>
      </c>
      <c r="O1854" s="1628"/>
    </row>
    <row r="1855" spans="11:15">
      <c r="K1855" s="1625">
        <v>43912</v>
      </c>
      <c r="L1855" s="1626"/>
      <c r="M1855" s="1627">
        <v>0</v>
      </c>
      <c r="N1855" s="1628">
        <v>1.5877377111620168</v>
      </c>
      <c r="O1855" s="1628"/>
    </row>
    <row r="1856" spans="11:15">
      <c r="K1856" s="1625">
        <v>43913</v>
      </c>
      <c r="L1856" s="1626" t="s">
        <v>2301</v>
      </c>
      <c r="M1856" s="1627">
        <v>1.4227E-2</v>
      </c>
      <c r="N1856" s="1628">
        <v>1.5879635986061837</v>
      </c>
      <c r="O1856" s="1628"/>
    </row>
    <row r="1857" spans="11:15">
      <c r="K1857" s="1625">
        <v>43914</v>
      </c>
      <c r="L1857" s="1626" t="s">
        <v>2301</v>
      </c>
      <c r="M1857" s="1627">
        <v>1.4227E-2</v>
      </c>
      <c r="N1857" s="1628">
        <v>1.5881895181873575</v>
      </c>
      <c r="O1857" s="1628"/>
    </row>
    <row r="1858" spans="11:15">
      <c r="K1858" s="1625">
        <v>43915</v>
      </c>
      <c r="L1858" s="1626" t="s">
        <v>2301</v>
      </c>
      <c r="M1858" s="1627">
        <v>1.4227E-2</v>
      </c>
      <c r="N1858" s="1628">
        <v>1.5884154699101101</v>
      </c>
      <c r="O1858" s="1628"/>
    </row>
    <row r="1859" spans="11:15">
      <c r="K1859" s="1625">
        <v>43916</v>
      </c>
      <c r="L1859" s="1626" t="s">
        <v>2301</v>
      </c>
      <c r="M1859" s="1627">
        <v>1.4227E-2</v>
      </c>
      <c r="N1859" s="1628">
        <v>1.5886414537790141</v>
      </c>
      <c r="O1859" s="1628"/>
    </row>
    <row r="1860" spans="11:15">
      <c r="K1860" s="1625">
        <v>43917</v>
      </c>
      <c r="L1860" s="1626" t="s">
        <v>2301</v>
      </c>
      <c r="M1860" s="1627">
        <v>1.4227E-2</v>
      </c>
      <c r="N1860" s="1628">
        <v>1.5888674697986434</v>
      </c>
      <c r="O1860" s="1628"/>
    </row>
    <row r="1861" spans="11:15">
      <c r="K1861" s="1625">
        <v>43918</v>
      </c>
      <c r="L1861" s="1626"/>
      <c r="M1861" s="1627">
        <v>0</v>
      </c>
      <c r="N1861" s="1628">
        <v>1.5888674697986434</v>
      </c>
      <c r="O1861" s="1628"/>
    </row>
    <row r="1862" spans="11:15">
      <c r="K1862" s="1625">
        <v>43919</v>
      </c>
      <c r="L1862" s="1626"/>
      <c r="M1862" s="1627">
        <v>0</v>
      </c>
      <c r="N1862" s="1628">
        <v>1.5888674697986434</v>
      </c>
      <c r="O1862" s="1628"/>
    </row>
    <row r="1863" spans="11:15">
      <c r="K1863" s="1625">
        <v>43920</v>
      </c>
      <c r="L1863" s="1626" t="s">
        <v>2301</v>
      </c>
      <c r="M1863" s="1627">
        <v>1.4227E-2</v>
      </c>
      <c r="N1863" s="1628">
        <v>1.5890935179735717</v>
      </c>
      <c r="O1863" s="1628"/>
    </row>
    <row r="1864" spans="11:15">
      <c r="K1864" s="1625">
        <v>43921</v>
      </c>
      <c r="L1864" s="1626" t="s">
        <v>2301</v>
      </c>
      <c r="M1864" s="1627">
        <v>1.4227E-2</v>
      </c>
      <c r="N1864" s="1628">
        <v>1.5893195983083739</v>
      </c>
      <c r="O1864" s="1628"/>
    </row>
    <row r="1865" spans="11:15">
      <c r="K1865" s="1625">
        <v>43922</v>
      </c>
      <c r="L1865" s="1626" t="s">
        <v>2301</v>
      </c>
      <c r="M1865" s="1627">
        <v>1.4227E-2</v>
      </c>
      <c r="N1865" s="1628">
        <v>1.5895457108076252</v>
      </c>
      <c r="O1865" s="1628"/>
    </row>
    <row r="1866" spans="11:15">
      <c r="K1866" s="1625">
        <v>43923</v>
      </c>
      <c r="L1866" s="1626" t="s">
        <v>2301</v>
      </c>
      <c r="M1866" s="1627">
        <v>1.4227E-2</v>
      </c>
      <c r="N1866" s="1628">
        <v>1.5897718554759017</v>
      </c>
      <c r="O1866" s="1628"/>
    </row>
    <row r="1867" spans="11:15">
      <c r="K1867" s="1625">
        <v>43924</v>
      </c>
      <c r="L1867" s="1626" t="s">
        <v>2301</v>
      </c>
      <c r="M1867" s="1627">
        <v>1.4227E-2</v>
      </c>
      <c r="N1867" s="1628">
        <v>1.5899980323177803</v>
      </c>
      <c r="O1867" s="1628"/>
    </row>
    <row r="1868" spans="11:15">
      <c r="K1868" s="1625">
        <v>43925</v>
      </c>
      <c r="L1868" s="1626"/>
      <c r="M1868" s="1627">
        <v>0</v>
      </c>
      <c r="N1868" s="1628">
        <v>1.5899980323177803</v>
      </c>
      <c r="O1868" s="1628"/>
    </row>
    <row r="1869" spans="11:15">
      <c r="K1869" s="1625">
        <v>43926</v>
      </c>
      <c r="L1869" s="1626"/>
      <c r="M1869" s="1627">
        <v>0</v>
      </c>
      <c r="N1869" s="1628">
        <v>1.5899980323177803</v>
      </c>
      <c r="O1869" s="1628"/>
    </row>
    <row r="1870" spans="11:15">
      <c r="K1870" s="1625">
        <v>43927</v>
      </c>
      <c r="L1870" s="1626" t="s">
        <v>2301</v>
      </c>
      <c r="M1870" s="1627">
        <v>1.4227E-2</v>
      </c>
      <c r="N1870" s="1628">
        <v>1.590224241337838</v>
      </c>
      <c r="O1870" s="1628"/>
    </row>
    <row r="1871" spans="11:15">
      <c r="K1871" s="1625">
        <v>43928</v>
      </c>
      <c r="L1871" s="1626" t="s">
        <v>2301</v>
      </c>
      <c r="M1871" s="1627">
        <v>1.4227E-2</v>
      </c>
      <c r="N1871" s="1628">
        <v>1.5904504825406531</v>
      </c>
      <c r="O1871" s="1628"/>
    </row>
    <row r="1872" spans="11:15">
      <c r="K1872" s="1625">
        <v>43929</v>
      </c>
      <c r="L1872" s="1626" t="s">
        <v>2301</v>
      </c>
      <c r="M1872" s="1627">
        <v>1.4227E-2</v>
      </c>
      <c r="N1872" s="1628">
        <v>1.5906767559308042</v>
      </c>
      <c r="O1872" s="1628"/>
    </row>
    <row r="1873" spans="11:15">
      <c r="K1873" s="1625">
        <v>43930</v>
      </c>
      <c r="L1873" s="1626" t="s">
        <v>2301</v>
      </c>
      <c r="M1873" s="1627">
        <v>1.4227E-2</v>
      </c>
      <c r="N1873" s="1628">
        <v>1.5909030615128705</v>
      </c>
      <c r="O1873" s="1628"/>
    </row>
    <row r="1874" spans="11:15">
      <c r="K1874" s="1625">
        <v>43931</v>
      </c>
      <c r="L1874" s="1626"/>
      <c r="M1874" s="1627">
        <v>0</v>
      </c>
      <c r="N1874" s="1628">
        <v>1.5909030615128705</v>
      </c>
      <c r="O1874" s="1628"/>
    </row>
    <row r="1875" spans="11:15">
      <c r="K1875" s="1625">
        <v>43932</v>
      </c>
      <c r="L1875" s="1626"/>
      <c r="M1875" s="1627">
        <v>0</v>
      </c>
      <c r="N1875" s="1628">
        <v>1.5909030615128705</v>
      </c>
      <c r="O1875" s="1628"/>
    </row>
    <row r="1876" spans="11:15">
      <c r="K1876" s="1625">
        <v>43933</v>
      </c>
      <c r="L1876" s="1626"/>
      <c r="M1876" s="1627">
        <v>0</v>
      </c>
      <c r="N1876" s="1628">
        <v>1.5909030615128705</v>
      </c>
      <c r="O1876" s="1628"/>
    </row>
    <row r="1877" spans="11:15">
      <c r="K1877" s="1625">
        <v>43934</v>
      </c>
      <c r="L1877" s="1626" t="s">
        <v>2301</v>
      </c>
      <c r="M1877" s="1627">
        <v>1.4227E-2</v>
      </c>
      <c r="N1877" s="1628">
        <v>1.5911293992914319</v>
      </c>
      <c r="O1877" s="1628"/>
    </row>
    <row r="1878" spans="11:15">
      <c r="K1878" s="1625">
        <v>43935</v>
      </c>
      <c r="L1878" s="1626" t="s">
        <v>2301</v>
      </c>
      <c r="M1878" s="1627">
        <v>1.4227E-2</v>
      </c>
      <c r="N1878" s="1628">
        <v>1.5913557692710691</v>
      </c>
      <c r="O1878" s="1628"/>
    </row>
    <row r="1879" spans="11:15">
      <c r="K1879" s="1625">
        <v>43936</v>
      </c>
      <c r="L1879" s="1626" t="s">
        <v>2301</v>
      </c>
      <c r="M1879" s="1627">
        <v>1.4227E-2</v>
      </c>
      <c r="N1879" s="1628">
        <v>1.5915821714563634</v>
      </c>
      <c r="O1879" s="1628"/>
    </row>
    <row r="1880" spans="11:15">
      <c r="K1880" s="1625">
        <v>43937</v>
      </c>
      <c r="L1880" s="1626" t="s">
        <v>2301</v>
      </c>
      <c r="M1880" s="1627">
        <v>1.4227E-2</v>
      </c>
      <c r="N1880" s="1628">
        <v>1.5918086058518965</v>
      </c>
      <c r="O1880" s="1628"/>
    </row>
    <row r="1881" spans="11:15">
      <c r="K1881" s="1625">
        <v>43938</v>
      </c>
      <c r="L1881" s="1626" t="s">
        <v>2301</v>
      </c>
      <c r="M1881" s="1627">
        <v>1.4227E-2</v>
      </c>
      <c r="N1881" s="1628">
        <v>1.5920350724622512</v>
      </c>
      <c r="O1881" s="1628"/>
    </row>
    <row r="1882" spans="11:15">
      <c r="K1882" s="1625">
        <v>43939</v>
      </c>
      <c r="L1882" s="1626"/>
      <c r="M1882" s="1627">
        <v>0</v>
      </c>
      <c r="N1882" s="1628">
        <v>1.5920350724622512</v>
      </c>
      <c r="O1882" s="1628"/>
    </row>
    <row r="1883" spans="11:15">
      <c r="K1883" s="1625">
        <v>43940</v>
      </c>
      <c r="L1883" s="1626"/>
      <c r="M1883" s="1627">
        <v>0</v>
      </c>
      <c r="N1883" s="1628">
        <v>1.5920350724622512</v>
      </c>
      <c r="O1883" s="1628"/>
    </row>
    <row r="1884" spans="11:15">
      <c r="K1884" s="1625">
        <v>43941</v>
      </c>
      <c r="L1884" s="1626" t="s">
        <v>2301</v>
      </c>
      <c r="M1884" s="1627">
        <v>1.4227E-2</v>
      </c>
      <c r="N1884" s="1628">
        <v>1.5922615712920103</v>
      </c>
      <c r="O1884" s="1628"/>
    </row>
    <row r="1885" spans="11:15">
      <c r="K1885" s="1625">
        <v>43942</v>
      </c>
      <c r="L1885" s="1626"/>
      <c r="M1885" s="1627">
        <v>0</v>
      </c>
      <c r="N1885" s="1628">
        <v>1.5922615712920103</v>
      </c>
      <c r="O1885" s="1628"/>
    </row>
    <row r="1886" spans="11:15">
      <c r="K1886" s="1625">
        <v>43943</v>
      </c>
      <c r="L1886" s="1626" t="s">
        <v>2301</v>
      </c>
      <c r="M1886" s="1627">
        <v>1.4227E-2</v>
      </c>
      <c r="N1886" s="1628">
        <v>1.592488102345758</v>
      </c>
      <c r="O1886" s="1628"/>
    </row>
    <row r="1887" spans="11:15">
      <c r="K1887" s="1625">
        <v>43944</v>
      </c>
      <c r="L1887" s="1626" t="s">
        <v>2301</v>
      </c>
      <c r="M1887" s="1627">
        <v>1.4227E-2</v>
      </c>
      <c r="N1887" s="1628">
        <v>1.5927146656280786</v>
      </c>
      <c r="O1887" s="1628"/>
    </row>
    <row r="1888" spans="11:15">
      <c r="K1888" s="1625">
        <v>43945</v>
      </c>
      <c r="L1888" s="1626" t="s">
        <v>2301</v>
      </c>
      <c r="M1888" s="1627">
        <v>1.4227E-2</v>
      </c>
      <c r="N1888" s="1628">
        <v>1.5929412611435576</v>
      </c>
      <c r="O1888" s="1628"/>
    </row>
    <row r="1889" spans="11:15">
      <c r="K1889" s="1625">
        <v>43946</v>
      </c>
      <c r="L1889" s="1626"/>
      <c r="M1889" s="1627">
        <v>0</v>
      </c>
      <c r="N1889" s="1628">
        <v>1.5929412611435576</v>
      </c>
      <c r="O1889" s="1628"/>
    </row>
    <row r="1890" spans="11:15">
      <c r="K1890" s="1625">
        <v>43947</v>
      </c>
      <c r="L1890" s="1626"/>
      <c r="M1890" s="1627">
        <v>0</v>
      </c>
      <c r="N1890" s="1628">
        <v>1.5929412611435576</v>
      </c>
      <c r="O1890" s="1628"/>
    </row>
    <row r="1891" spans="11:15">
      <c r="K1891" s="1625">
        <v>43948</v>
      </c>
      <c r="L1891" s="1626" t="s">
        <v>2301</v>
      </c>
      <c r="M1891" s="1627">
        <v>1.4227E-2</v>
      </c>
      <c r="N1891" s="1628">
        <v>1.5931678888967804</v>
      </c>
      <c r="O1891" s="1628"/>
    </row>
    <row r="1892" spans="11:15">
      <c r="K1892" s="1625">
        <v>43949</v>
      </c>
      <c r="L1892" s="1626" t="s">
        <v>2301</v>
      </c>
      <c r="M1892" s="1627">
        <v>1.4227E-2</v>
      </c>
      <c r="N1892" s="1628">
        <v>1.5933945488923338</v>
      </c>
      <c r="O1892" s="1628"/>
    </row>
    <row r="1893" spans="11:15">
      <c r="K1893" s="1625">
        <v>43950</v>
      </c>
      <c r="L1893" s="1626" t="s">
        <v>2301</v>
      </c>
      <c r="M1893" s="1627">
        <v>1.4227E-2</v>
      </c>
      <c r="N1893" s="1628">
        <v>1.5936212411348047</v>
      </c>
      <c r="O1893" s="1628"/>
    </row>
    <row r="1894" spans="11:15">
      <c r="K1894" s="1625">
        <v>43951</v>
      </c>
      <c r="L1894" s="1626" t="s">
        <v>2301</v>
      </c>
      <c r="M1894" s="1627">
        <v>1.4227E-2</v>
      </c>
      <c r="N1894" s="1628">
        <v>1.5938479656287809</v>
      </c>
      <c r="O1894" s="1628"/>
    </row>
    <row r="1895" spans="11:15">
      <c r="K1895" s="1625">
        <v>43952</v>
      </c>
      <c r="L1895" s="1626"/>
      <c r="M1895" s="1627">
        <v>0</v>
      </c>
      <c r="N1895" s="1628">
        <v>1.5938479656287809</v>
      </c>
      <c r="O1895" s="1628"/>
    </row>
    <row r="1896" spans="11:15">
      <c r="K1896" s="1625">
        <v>43953</v>
      </c>
      <c r="L1896" s="1626"/>
      <c r="M1896" s="1627">
        <v>0</v>
      </c>
      <c r="N1896" s="1628">
        <v>1.5938479656287809</v>
      </c>
      <c r="O1896" s="1628"/>
    </row>
    <row r="1897" spans="11:15">
      <c r="K1897" s="1625">
        <v>43954</v>
      </c>
      <c r="L1897" s="1626"/>
      <c r="M1897" s="1627">
        <v>0</v>
      </c>
      <c r="N1897" s="1628">
        <v>1.5938479656287809</v>
      </c>
      <c r="O1897" s="1628"/>
    </row>
    <row r="1898" spans="11:15">
      <c r="K1898" s="1625">
        <v>43955</v>
      </c>
      <c r="L1898" s="1626" t="s">
        <v>2301</v>
      </c>
      <c r="M1898" s="1627">
        <v>1.4227E-2</v>
      </c>
      <c r="N1898" s="1628">
        <v>1.594074722378851</v>
      </c>
      <c r="O1898" s="1628"/>
    </row>
    <row r="1899" spans="11:15">
      <c r="K1899" s="1625">
        <v>43956</v>
      </c>
      <c r="L1899" s="1626" t="s">
        <v>2301</v>
      </c>
      <c r="M1899" s="1627">
        <v>1.4227E-2</v>
      </c>
      <c r="N1899" s="1628">
        <v>1.5943015113896037</v>
      </c>
      <c r="O1899" s="1628"/>
    </row>
    <row r="1900" spans="11:15">
      <c r="K1900" s="1625">
        <v>43957</v>
      </c>
      <c r="L1900" s="1626" t="s">
        <v>2301</v>
      </c>
      <c r="M1900" s="1627">
        <v>1.4227E-2</v>
      </c>
      <c r="N1900" s="1628">
        <v>1.5945283326656292</v>
      </c>
      <c r="O1900" s="1628"/>
    </row>
    <row r="1901" spans="11:15">
      <c r="K1901" s="1625">
        <v>43958</v>
      </c>
      <c r="L1901" s="1626" t="s">
        <v>2301</v>
      </c>
      <c r="M1901" s="1627">
        <v>1.1344999999999999E-2</v>
      </c>
      <c r="N1901" s="1628">
        <v>1.59470923190497</v>
      </c>
      <c r="O1901" s="1628"/>
    </row>
    <row r="1902" spans="11:15">
      <c r="K1902" s="1625">
        <v>43959</v>
      </c>
      <c r="L1902" s="1626" t="s">
        <v>2301</v>
      </c>
      <c r="M1902" s="1627">
        <v>1.1344999999999999E-2</v>
      </c>
      <c r="N1902" s="1628">
        <v>1.5948901516673295</v>
      </c>
      <c r="O1902" s="1628"/>
    </row>
    <row r="1903" spans="11:15">
      <c r="K1903" s="1625">
        <v>43960</v>
      </c>
      <c r="L1903" s="1626"/>
      <c r="M1903" s="1627">
        <v>0</v>
      </c>
      <c r="N1903" s="1628">
        <v>1.5948901516673295</v>
      </c>
      <c r="O1903" s="1628"/>
    </row>
    <row r="1904" spans="11:15">
      <c r="K1904" s="1625">
        <v>43961</v>
      </c>
      <c r="L1904" s="1626"/>
      <c r="M1904" s="1627">
        <v>0</v>
      </c>
      <c r="N1904" s="1628">
        <v>1.5948901516673295</v>
      </c>
      <c r="O1904" s="1628"/>
    </row>
    <row r="1905" spans="11:15">
      <c r="K1905" s="1625">
        <v>43962</v>
      </c>
      <c r="L1905" s="1626" t="s">
        <v>2301</v>
      </c>
      <c r="M1905" s="1627">
        <v>1.1344999999999999E-2</v>
      </c>
      <c r="N1905" s="1628">
        <v>1.5950710919550362</v>
      </c>
      <c r="O1905" s="1628"/>
    </row>
    <row r="1906" spans="11:15">
      <c r="K1906" s="1625">
        <v>43963</v>
      </c>
      <c r="L1906" s="1626" t="s">
        <v>2301</v>
      </c>
      <c r="M1906" s="1627">
        <v>1.1344999999999999E-2</v>
      </c>
      <c r="N1906" s="1628">
        <v>1.5952520527704184</v>
      </c>
      <c r="O1906" s="1628"/>
    </row>
    <row r="1907" spans="11:15">
      <c r="K1907" s="1625">
        <v>43964</v>
      </c>
      <c r="L1907" s="1626" t="s">
        <v>2301</v>
      </c>
      <c r="M1907" s="1627">
        <v>1.1344999999999999E-2</v>
      </c>
      <c r="N1907" s="1628">
        <v>1.5954330341158052</v>
      </c>
      <c r="O1907" s="1628"/>
    </row>
    <row r="1908" spans="11:15">
      <c r="K1908" s="1625">
        <v>43965</v>
      </c>
      <c r="L1908" s="1626" t="s">
        <v>2301</v>
      </c>
      <c r="M1908" s="1627">
        <v>1.1344999999999999E-2</v>
      </c>
      <c r="N1908" s="1628">
        <v>1.5956140359935256</v>
      </c>
      <c r="O1908" s="1628"/>
    </row>
    <row r="1909" spans="11:15">
      <c r="K1909" s="1625">
        <v>43966</v>
      </c>
      <c r="L1909" s="1626" t="s">
        <v>2301</v>
      </c>
      <c r="M1909" s="1627">
        <v>1.1344999999999999E-2</v>
      </c>
      <c r="N1909" s="1628">
        <v>1.5957950584059091</v>
      </c>
      <c r="O1909" s="1628"/>
    </row>
    <row r="1910" spans="11:15">
      <c r="K1910" s="1625">
        <v>43967</v>
      </c>
      <c r="L1910" s="1626"/>
      <c r="M1910" s="1627">
        <v>0</v>
      </c>
      <c r="N1910" s="1628">
        <v>1.5957950584059091</v>
      </c>
      <c r="O1910" s="1628"/>
    </row>
    <row r="1911" spans="11:15">
      <c r="K1911" s="1625">
        <v>43968</v>
      </c>
      <c r="L1911" s="1626"/>
      <c r="M1911" s="1627">
        <v>0</v>
      </c>
      <c r="N1911" s="1628">
        <v>1.5957950584059091</v>
      </c>
      <c r="O1911" s="1628"/>
    </row>
    <row r="1912" spans="11:15">
      <c r="K1912" s="1625">
        <v>43969</v>
      </c>
      <c r="L1912" s="1626" t="s">
        <v>2301</v>
      </c>
      <c r="M1912" s="1627">
        <v>1.1344999999999999E-2</v>
      </c>
      <c r="N1912" s="1628">
        <v>1.5959761013552851</v>
      </c>
      <c r="O1912" s="1628"/>
    </row>
    <row r="1913" spans="11:15">
      <c r="K1913" s="1625">
        <v>43970</v>
      </c>
      <c r="L1913" s="1626" t="s">
        <v>2301</v>
      </c>
      <c r="M1913" s="1627">
        <v>1.1344999999999999E-2</v>
      </c>
      <c r="N1913" s="1628">
        <v>1.5961571648439838</v>
      </c>
      <c r="O1913" s="1628"/>
    </row>
    <row r="1914" spans="11:15">
      <c r="K1914" s="1625">
        <v>43971</v>
      </c>
      <c r="L1914" s="1626" t="s">
        <v>2301</v>
      </c>
      <c r="M1914" s="1627">
        <v>1.1344999999999999E-2</v>
      </c>
      <c r="N1914" s="1628">
        <v>1.5963382488743354</v>
      </c>
      <c r="O1914" s="1628"/>
    </row>
    <row r="1915" spans="11:15">
      <c r="K1915" s="1625">
        <v>43972</v>
      </c>
      <c r="L1915" s="1626" t="s">
        <v>2301</v>
      </c>
      <c r="M1915" s="1627">
        <v>1.1344999999999999E-2</v>
      </c>
      <c r="N1915" s="1628">
        <v>1.5965193534486701</v>
      </c>
      <c r="O1915" s="1628"/>
    </row>
    <row r="1916" spans="11:15">
      <c r="K1916" s="1625">
        <v>43973</v>
      </c>
      <c r="L1916" s="1626" t="s">
        <v>2301</v>
      </c>
      <c r="M1916" s="1627">
        <v>1.1344999999999999E-2</v>
      </c>
      <c r="N1916" s="1628">
        <v>1.5967004785693188</v>
      </c>
      <c r="O1916" s="1628"/>
    </row>
    <row r="1917" spans="11:15">
      <c r="K1917" s="1625">
        <v>43974</v>
      </c>
      <c r="L1917" s="1626"/>
      <c r="M1917" s="1627">
        <v>0</v>
      </c>
      <c r="N1917" s="1628">
        <v>1.5967004785693188</v>
      </c>
      <c r="O1917" s="1628"/>
    </row>
    <row r="1918" spans="11:15">
      <c r="K1918" s="1625">
        <v>43975</v>
      </c>
      <c r="L1918" s="1626"/>
      <c r="M1918" s="1627">
        <v>0</v>
      </c>
      <c r="N1918" s="1628">
        <v>1.5967004785693188</v>
      </c>
      <c r="O1918" s="1628"/>
    </row>
    <row r="1919" spans="11:15">
      <c r="K1919" s="1625">
        <v>43976</v>
      </c>
      <c r="L1919" s="1626" t="s">
        <v>2301</v>
      </c>
      <c r="M1919" s="1627">
        <v>1.1344999999999999E-2</v>
      </c>
      <c r="N1919" s="1628">
        <v>1.5968816242386126</v>
      </c>
      <c r="O1919" s="1628"/>
    </row>
    <row r="1920" spans="11:15">
      <c r="K1920" s="1625">
        <v>43977</v>
      </c>
      <c r="L1920" s="1626" t="s">
        <v>2301</v>
      </c>
      <c r="M1920" s="1627">
        <v>1.1344999999999999E-2</v>
      </c>
      <c r="N1920" s="1628">
        <v>1.5970627904588823</v>
      </c>
      <c r="O1920" s="1628"/>
    </row>
    <row r="1921" spans="11:15">
      <c r="K1921" s="1625">
        <v>43978</v>
      </c>
      <c r="L1921" s="1626" t="s">
        <v>2301</v>
      </c>
      <c r="M1921" s="1627">
        <v>1.1344999999999999E-2</v>
      </c>
      <c r="N1921" s="1628">
        <v>1.5972439772324598</v>
      </c>
      <c r="O1921" s="1628"/>
    </row>
    <row r="1922" spans="11:15">
      <c r="K1922" s="1625">
        <v>43979</v>
      </c>
      <c r="L1922" s="1626" t="s">
        <v>2301</v>
      </c>
      <c r="M1922" s="1627">
        <v>1.1344999999999999E-2</v>
      </c>
      <c r="N1922" s="1628">
        <v>1.5974251845616767</v>
      </c>
      <c r="O1922" s="1628"/>
    </row>
    <row r="1923" spans="11:15">
      <c r="K1923" s="1625">
        <v>43980</v>
      </c>
      <c r="L1923" s="1626" t="s">
        <v>2301</v>
      </c>
      <c r="M1923" s="1627">
        <v>1.1344999999999999E-2</v>
      </c>
      <c r="N1923" s="1628">
        <v>1.5976064124488651</v>
      </c>
      <c r="O1923" s="1628"/>
    </row>
    <row r="1924" spans="11:15">
      <c r="K1924" s="1625">
        <v>43981</v>
      </c>
      <c r="L1924" s="1626"/>
      <c r="M1924" s="1627">
        <v>0</v>
      </c>
      <c r="N1924" s="1628">
        <v>1.5976064124488651</v>
      </c>
      <c r="O1924" s="1628"/>
    </row>
    <row r="1925" spans="11:15">
      <c r="K1925" s="1625">
        <v>43982</v>
      </c>
      <c r="L1925" s="1626"/>
      <c r="M1925" s="1627">
        <v>0</v>
      </c>
      <c r="N1925" s="1628">
        <v>1.5976064124488651</v>
      </c>
      <c r="O1925" s="1628"/>
    </row>
    <row r="1926" spans="11:15">
      <c r="K1926" s="1625">
        <v>43983</v>
      </c>
      <c r="L1926" s="1626" t="s">
        <v>2301</v>
      </c>
      <c r="M1926" s="1627">
        <v>1.1344999999999999E-2</v>
      </c>
      <c r="N1926" s="1628">
        <v>1.5977876608963575</v>
      </c>
      <c r="O1926" s="1628"/>
    </row>
    <row r="1927" spans="11:15">
      <c r="K1927" s="1625">
        <v>43984</v>
      </c>
      <c r="L1927" s="1626" t="s">
        <v>2301</v>
      </c>
      <c r="M1927" s="1627">
        <v>1.1344999999999999E-2</v>
      </c>
      <c r="N1927" s="1628">
        <v>1.5979689299064861</v>
      </c>
      <c r="O1927" s="1628"/>
    </row>
    <row r="1928" spans="11:15">
      <c r="K1928" s="1625">
        <v>43985</v>
      </c>
      <c r="L1928" s="1626" t="s">
        <v>2301</v>
      </c>
      <c r="M1928" s="1627">
        <v>1.1344999999999999E-2</v>
      </c>
      <c r="N1928" s="1628">
        <v>1.598150219481584</v>
      </c>
      <c r="O1928" s="1628"/>
    </row>
    <row r="1929" spans="11:15">
      <c r="K1929" s="1625">
        <v>43986</v>
      </c>
      <c r="L1929" s="1626" t="s">
        <v>2301</v>
      </c>
      <c r="M1929" s="1627">
        <v>1.1344999999999999E-2</v>
      </c>
      <c r="N1929" s="1628">
        <v>1.5983315296239842</v>
      </c>
      <c r="O1929" s="1628"/>
    </row>
    <row r="1930" spans="11:15">
      <c r="K1930" s="1625">
        <v>43987</v>
      </c>
      <c r="L1930" s="1626" t="s">
        <v>2301</v>
      </c>
      <c r="M1930" s="1627">
        <v>1.1344999999999999E-2</v>
      </c>
      <c r="N1930" s="1628">
        <v>1.5985128603360199</v>
      </c>
      <c r="O1930" s="1628"/>
    </row>
    <row r="1931" spans="11:15">
      <c r="K1931" s="1625">
        <v>43988</v>
      </c>
      <c r="L1931" s="1626"/>
      <c r="M1931" s="1627">
        <v>0</v>
      </c>
      <c r="N1931" s="1628">
        <v>1.5985128603360199</v>
      </c>
      <c r="O1931" s="1628"/>
    </row>
    <row r="1932" spans="11:15">
      <c r="K1932" s="1625">
        <v>43989</v>
      </c>
      <c r="L1932" s="1626"/>
      <c r="M1932" s="1627">
        <v>0</v>
      </c>
      <c r="N1932" s="1628">
        <v>1.5985128603360199</v>
      </c>
      <c r="O1932" s="1628"/>
    </row>
    <row r="1933" spans="11:15">
      <c r="K1933" s="1625">
        <v>43990</v>
      </c>
      <c r="L1933" s="1626" t="s">
        <v>2301</v>
      </c>
      <c r="M1933" s="1627">
        <v>1.1344999999999999E-2</v>
      </c>
      <c r="N1933" s="1628">
        <v>1.5986942116200249</v>
      </c>
      <c r="O1933" s="1628"/>
    </row>
    <row r="1934" spans="11:15">
      <c r="K1934" s="1625">
        <v>43991</v>
      </c>
      <c r="L1934" s="1626" t="s">
        <v>2301</v>
      </c>
      <c r="M1934" s="1627">
        <v>1.1344999999999999E-2</v>
      </c>
      <c r="N1934" s="1628">
        <v>1.598875583478333</v>
      </c>
      <c r="O1934" s="1628"/>
    </row>
    <row r="1935" spans="11:15">
      <c r="K1935" s="1625">
        <v>43992</v>
      </c>
      <c r="L1935" s="1626" t="s">
        <v>2301</v>
      </c>
      <c r="M1935" s="1627">
        <v>1.1344999999999999E-2</v>
      </c>
      <c r="N1935" s="1628">
        <v>1.5990569759132787</v>
      </c>
      <c r="O1935" s="1628"/>
    </row>
    <row r="1936" spans="11:15">
      <c r="K1936" s="1625">
        <v>43993</v>
      </c>
      <c r="L1936" s="1626"/>
      <c r="M1936" s="1627">
        <v>0</v>
      </c>
      <c r="N1936" s="1628">
        <v>1.5990569759132787</v>
      </c>
      <c r="O1936" s="1628"/>
    </row>
    <row r="1937" spans="11:15">
      <c r="K1937" s="1625">
        <v>43994</v>
      </c>
      <c r="L1937" s="1626" t="s">
        <v>2301</v>
      </c>
      <c r="M1937" s="1627">
        <v>1.1344999999999999E-2</v>
      </c>
      <c r="N1937" s="1628">
        <v>1.5992383889271959</v>
      </c>
      <c r="O1937" s="1628"/>
    </row>
    <row r="1938" spans="11:15">
      <c r="K1938" s="1625">
        <v>43995</v>
      </c>
      <c r="L1938" s="1626"/>
      <c r="M1938" s="1627">
        <v>0</v>
      </c>
      <c r="N1938" s="1628">
        <v>1.5992383889271959</v>
      </c>
      <c r="O1938" s="1628"/>
    </row>
    <row r="1939" spans="11:15">
      <c r="K1939" s="1625">
        <v>43996</v>
      </c>
      <c r="L1939" s="1626"/>
      <c r="M1939" s="1627">
        <v>0</v>
      </c>
      <c r="N1939" s="1628">
        <v>1.5992383889271959</v>
      </c>
      <c r="O1939" s="1628"/>
    </row>
    <row r="1940" spans="11:15">
      <c r="K1940" s="1625">
        <v>43997</v>
      </c>
      <c r="L1940" s="1626" t="s">
        <v>2301</v>
      </c>
      <c r="M1940" s="1627">
        <v>1.1344999999999999E-2</v>
      </c>
      <c r="N1940" s="1628">
        <v>1.5994198225224197</v>
      </c>
      <c r="O1940" s="1628"/>
    </row>
    <row r="1941" spans="11:15">
      <c r="K1941" s="1625">
        <v>43998</v>
      </c>
      <c r="L1941" s="1626" t="s">
        <v>2301</v>
      </c>
      <c r="M1941" s="1627">
        <v>1.1344999999999999E-2</v>
      </c>
      <c r="N1941" s="1628">
        <v>1.5996012767012848</v>
      </c>
      <c r="O1941" s="1628"/>
    </row>
    <row r="1942" spans="11:15">
      <c r="K1942" s="1625">
        <v>43999</v>
      </c>
      <c r="L1942" s="1626" t="s">
        <v>2301</v>
      </c>
      <c r="M1942" s="1627">
        <v>1.1344999999999999E-2</v>
      </c>
      <c r="N1942" s="1628">
        <v>1.5997827514661265</v>
      </c>
      <c r="O1942" s="1628"/>
    </row>
    <row r="1943" spans="11:15">
      <c r="K1943" s="1625">
        <v>44000</v>
      </c>
      <c r="L1943" s="1626" t="s">
        <v>2301</v>
      </c>
      <c r="M1943" s="1627">
        <v>8.4419999999999999E-3</v>
      </c>
      <c r="N1943" s="1628">
        <v>1.5999178051260055</v>
      </c>
      <c r="O1943" s="1628"/>
    </row>
    <row r="1944" spans="11:15">
      <c r="K1944" s="1625">
        <v>44001</v>
      </c>
      <c r="L1944" s="1626" t="s">
        <v>2301</v>
      </c>
      <c r="M1944" s="1627">
        <v>8.4419999999999999E-3</v>
      </c>
      <c r="N1944" s="1628">
        <v>1.6000528701871144</v>
      </c>
      <c r="O1944" s="1628"/>
    </row>
    <row r="1945" spans="11:15">
      <c r="K1945" s="1625">
        <v>44002</v>
      </c>
      <c r="L1945" s="1626"/>
      <c r="M1945" s="1627">
        <v>0</v>
      </c>
      <c r="N1945" s="1628">
        <v>1.6000528701871144</v>
      </c>
      <c r="O1945" s="1628"/>
    </row>
    <row r="1946" spans="11:15">
      <c r="K1946" s="1625">
        <v>44003</v>
      </c>
      <c r="L1946" s="1626"/>
      <c r="M1946" s="1627">
        <v>0</v>
      </c>
      <c r="N1946" s="1628">
        <v>1.6000528701871144</v>
      </c>
      <c r="O1946" s="1628"/>
    </row>
    <row r="1947" spans="11:15">
      <c r="K1947" s="1625">
        <v>44004</v>
      </c>
      <c r="L1947" s="1626" t="s">
        <v>2301</v>
      </c>
      <c r="M1947" s="1627">
        <v>8.4419999999999999E-3</v>
      </c>
      <c r="N1947" s="1628">
        <v>1.6001879466504156</v>
      </c>
      <c r="O1947" s="1628"/>
    </row>
    <row r="1948" spans="11:15">
      <c r="K1948" s="1625">
        <v>44005</v>
      </c>
      <c r="L1948" s="1626" t="s">
        <v>2301</v>
      </c>
      <c r="M1948" s="1627">
        <v>8.4419999999999999E-3</v>
      </c>
      <c r="N1948" s="1628">
        <v>1.600323034516872</v>
      </c>
      <c r="O1948" s="1628"/>
    </row>
    <row r="1949" spans="11:15">
      <c r="K1949" s="1625">
        <v>44006</v>
      </c>
      <c r="L1949" s="1626" t="s">
        <v>2301</v>
      </c>
      <c r="M1949" s="1627">
        <v>8.4419999999999999E-3</v>
      </c>
      <c r="N1949" s="1628">
        <v>1.6004581337874459</v>
      </c>
      <c r="O1949" s="1628"/>
    </row>
    <row r="1950" spans="11:15">
      <c r="K1950" s="1625">
        <v>44007</v>
      </c>
      <c r="L1950" s="1626" t="s">
        <v>2301</v>
      </c>
      <c r="M1950" s="1627">
        <v>8.4419999999999999E-3</v>
      </c>
      <c r="N1950" s="1628">
        <v>1.6005932444631004</v>
      </c>
      <c r="O1950" s="1628"/>
    </row>
    <row r="1951" spans="11:15">
      <c r="K1951" s="1625">
        <v>44008</v>
      </c>
      <c r="L1951" s="1626" t="s">
        <v>2301</v>
      </c>
      <c r="M1951" s="1627">
        <v>8.4419999999999999E-3</v>
      </c>
      <c r="N1951" s="1628">
        <v>1.600728366544798</v>
      </c>
      <c r="O1951" s="1628"/>
    </row>
    <row r="1952" spans="11:15">
      <c r="K1952" s="1625">
        <v>44009</v>
      </c>
      <c r="L1952" s="1626"/>
      <c r="M1952" s="1627">
        <v>0</v>
      </c>
      <c r="N1952" s="1628">
        <v>1.600728366544798</v>
      </c>
      <c r="O1952" s="1628"/>
    </row>
    <row r="1953" spans="11:15">
      <c r="K1953" s="1625">
        <v>44010</v>
      </c>
      <c r="L1953" s="1626"/>
      <c r="M1953" s="1627">
        <v>0</v>
      </c>
      <c r="N1953" s="1628">
        <v>1.600728366544798</v>
      </c>
      <c r="O1953" s="1628"/>
    </row>
    <row r="1954" spans="11:15">
      <c r="K1954" s="1625">
        <v>44011</v>
      </c>
      <c r="L1954" s="1626" t="s">
        <v>2301</v>
      </c>
      <c r="M1954" s="1627">
        <v>8.4419999999999999E-3</v>
      </c>
      <c r="N1954" s="1628">
        <v>1.6008635000335019</v>
      </c>
      <c r="O1954" s="1628"/>
    </row>
    <row r="1955" spans="11:15">
      <c r="K1955" s="1625">
        <v>44012</v>
      </c>
      <c r="L1955" s="1626" t="s">
        <v>2301</v>
      </c>
      <c r="M1955" s="1627">
        <v>8.4419999999999999E-3</v>
      </c>
      <c r="N1955" s="1628">
        <v>1.6009986449301747</v>
      </c>
      <c r="O1955" s="1628"/>
    </row>
    <row r="1956" spans="11:15">
      <c r="K1956" s="1625">
        <v>44013</v>
      </c>
      <c r="L1956" s="1626" t="s">
        <v>2301</v>
      </c>
      <c r="M1956" s="1627">
        <v>8.4419999999999999E-3</v>
      </c>
      <c r="N1956" s="1628">
        <v>1.6011338012357799</v>
      </c>
      <c r="O1956" s="1628"/>
    </row>
    <row r="1957" spans="11:15">
      <c r="K1957" s="1625">
        <v>44014</v>
      </c>
      <c r="L1957" s="1626" t="s">
        <v>2301</v>
      </c>
      <c r="M1957" s="1627">
        <v>8.4419999999999999E-3</v>
      </c>
      <c r="N1957" s="1628">
        <v>1.6012689689512802</v>
      </c>
      <c r="O1957" s="1628"/>
    </row>
    <row r="1958" spans="11:15">
      <c r="K1958" s="1625">
        <v>44015</v>
      </c>
      <c r="L1958" s="1626" t="s">
        <v>2301</v>
      </c>
      <c r="M1958" s="1627">
        <v>8.4419999999999999E-3</v>
      </c>
      <c r="N1958" s="1628">
        <v>1.6014041480776393</v>
      </c>
      <c r="O1958" s="1628"/>
    </row>
    <row r="1959" spans="11:15">
      <c r="K1959" s="1625">
        <v>44016</v>
      </c>
      <c r="L1959" s="1626"/>
      <c r="M1959" s="1627">
        <v>0</v>
      </c>
      <c r="N1959" s="1628">
        <v>1.6014041480776393</v>
      </c>
      <c r="O1959" s="1628"/>
    </row>
    <row r="1960" spans="11:15">
      <c r="K1960" s="1625">
        <v>44017</v>
      </c>
      <c r="L1960" s="1626"/>
      <c r="M1960" s="1627">
        <v>0</v>
      </c>
      <c r="N1960" s="1628">
        <v>1.6014041480776393</v>
      </c>
      <c r="O1960" s="1628"/>
    </row>
    <row r="1961" spans="11:15">
      <c r="K1961" s="1625">
        <v>44018</v>
      </c>
      <c r="L1961" s="1626" t="s">
        <v>2301</v>
      </c>
      <c r="M1961" s="1627">
        <v>8.4419999999999999E-3</v>
      </c>
      <c r="N1961" s="1628">
        <v>1.6015393386158201</v>
      </c>
      <c r="O1961" s="1628"/>
    </row>
    <row r="1962" spans="11:15">
      <c r="K1962" s="1625">
        <v>44019</v>
      </c>
      <c r="L1962" s="1626" t="s">
        <v>2301</v>
      </c>
      <c r="M1962" s="1627">
        <v>8.4419999999999999E-3</v>
      </c>
      <c r="N1962" s="1628">
        <v>1.6016745405667863</v>
      </c>
      <c r="O1962" s="1628"/>
    </row>
    <row r="1963" spans="11:15">
      <c r="K1963" s="1625">
        <v>44020</v>
      </c>
      <c r="L1963" s="1626" t="s">
        <v>2301</v>
      </c>
      <c r="M1963" s="1627">
        <v>8.4419999999999999E-3</v>
      </c>
      <c r="N1963" s="1628">
        <v>1.601809753931501</v>
      </c>
      <c r="O1963" s="1628"/>
    </row>
    <row r="1964" spans="11:15">
      <c r="K1964" s="1625">
        <v>44021</v>
      </c>
      <c r="L1964" s="1626" t="s">
        <v>2301</v>
      </c>
      <c r="M1964" s="1627">
        <v>8.4419999999999999E-3</v>
      </c>
      <c r="N1964" s="1628">
        <v>1.6019449787109281</v>
      </c>
      <c r="O1964" s="1628"/>
    </row>
    <row r="1965" spans="11:15">
      <c r="K1965" s="1625">
        <v>44022</v>
      </c>
      <c r="L1965" s="1626" t="s">
        <v>2301</v>
      </c>
      <c r="M1965" s="1627">
        <v>8.4419999999999999E-3</v>
      </c>
      <c r="N1965" s="1628">
        <v>1.6020802149060309</v>
      </c>
      <c r="O1965" s="1628"/>
    </row>
    <row r="1966" spans="11:15">
      <c r="K1966" s="1625">
        <v>44023</v>
      </c>
      <c r="L1966" s="1626"/>
      <c r="M1966" s="1627">
        <v>0</v>
      </c>
      <c r="N1966" s="1628">
        <v>1.6020802149060309</v>
      </c>
      <c r="O1966" s="1628"/>
    </row>
    <row r="1967" spans="11:15">
      <c r="K1967" s="1625">
        <v>44024</v>
      </c>
      <c r="L1967" s="1626"/>
      <c r="M1967" s="1627">
        <v>0</v>
      </c>
      <c r="N1967" s="1628">
        <v>1.6020802149060309</v>
      </c>
      <c r="O1967" s="1628"/>
    </row>
    <row r="1968" spans="11:15">
      <c r="K1968" s="1625">
        <v>44025</v>
      </c>
      <c r="L1968" s="1626" t="s">
        <v>2301</v>
      </c>
      <c r="M1968" s="1627">
        <v>8.4419999999999999E-3</v>
      </c>
      <c r="N1968" s="1628">
        <v>1.6022154625177734</v>
      </c>
      <c r="O1968" s="1628"/>
    </row>
    <row r="1969" spans="11:15">
      <c r="K1969" s="1625">
        <v>44026</v>
      </c>
      <c r="L1969" s="1626" t="s">
        <v>2301</v>
      </c>
      <c r="M1969" s="1627">
        <v>8.4419999999999999E-3</v>
      </c>
      <c r="N1969" s="1628">
        <v>1.6023507215471193</v>
      </c>
      <c r="O1969" s="1628"/>
    </row>
    <row r="1970" spans="11:15">
      <c r="K1970" s="1625">
        <v>44027</v>
      </c>
      <c r="L1970" s="1626" t="s">
        <v>2301</v>
      </c>
      <c r="M1970" s="1627">
        <v>8.4419999999999999E-3</v>
      </c>
      <c r="N1970" s="1628">
        <v>1.6024859919950325</v>
      </c>
      <c r="O1970" s="1628"/>
    </row>
    <row r="1971" spans="11:15">
      <c r="K1971" s="1625">
        <v>44028</v>
      </c>
      <c r="L1971" s="1626" t="s">
        <v>2301</v>
      </c>
      <c r="M1971" s="1627">
        <v>8.4419999999999999E-3</v>
      </c>
      <c r="N1971" s="1628">
        <v>1.6026212738624768</v>
      </c>
      <c r="O1971" s="1628"/>
    </row>
    <row r="1972" spans="11:15">
      <c r="K1972" s="1625">
        <v>44029</v>
      </c>
      <c r="L1972" s="1626" t="s">
        <v>2301</v>
      </c>
      <c r="M1972" s="1627">
        <v>8.4419999999999999E-3</v>
      </c>
      <c r="N1972" s="1628">
        <v>1.6027565671504165</v>
      </c>
      <c r="O1972" s="1628"/>
    </row>
    <row r="1973" spans="11:15">
      <c r="K1973" s="1625">
        <v>44030</v>
      </c>
      <c r="L1973" s="1626"/>
      <c r="M1973" s="1627">
        <v>0</v>
      </c>
      <c r="N1973" s="1628">
        <v>1.6027565671504165</v>
      </c>
      <c r="O1973" s="1628"/>
    </row>
    <row r="1974" spans="11:15">
      <c r="K1974" s="1625">
        <v>44031</v>
      </c>
      <c r="L1974" s="1626"/>
      <c r="M1974" s="1627">
        <v>0</v>
      </c>
      <c r="N1974" s="1628">
        <v>1.6027565671504165</v>
      </c>
      <c r="O1974" s="1628"/>
    </row>
    <row r="1975" spans="11:15">
      <c r="K1975" s="1625">
        <v>44032</v>
      </c>
      <c r="L1975" s="1626" t="s">
        <v>2301</v>
      </c>
      <c r="M1975" s="1627">
        <v>8.4419999999999999E-3</v>
      </c>
      <c r="N1975" s="1628">
        <v>1.6028918718598155</v>
      </c>
      <c r="O1975" s="1628"/>
    </row>
    <row r="1976" spans="11:15">
      <c r="K1976" s="1625">
        <v>44033</v>
      </c>
      <c r="L1976" s="1626" t="s">
        <v>2301</v>
      </c>
      <c r="M1976" s="1627">
        <v>8.4419999999999999E-3</v>
      </c>
      <c r="N1976" s="1628">
        <v>1.603027187991638</v>
      </c>
      <c r="O1976" s="1628"/>
    </row>
    <row r="1977" spans="11:15">
      <c r="K1977" s="1625">
        <v>44034</v>
      </c>
      <c r="L1977" s="1626" t="s">
        <v>2301</v>
      </c>
      <c r="M1977" s="1627">
        <v>8.4419999999999999E-3</v>
      </c>
      <c r="N1977" s="1628">
        <v>1.6031625155468483</v>
      </c>
      <c r="O1977" s="1628"/>
    </row>
    <row r="1978" spans="11:15">
      <c r="K1978" s="1625">
        <v>44035</v>
      </c>
      <c r="L1978" s="1626" t="s">
        <v>2301</v>
      </c>
      <c r="M1978" s="1627">
        <v>8.4419999999999999E-3</v>
      </c>
      <c r="N1978" s="1628">
        <v>1.6032978545264109</v>
      </c>
      <c r="O1978" s="1628"/>
    </row>
    <row r="1979" spans="11:15">
      <c r="K1979" s="1625">
        <v>44036</v>
      </c>
      <c r="L1979" s="1626" t="s">
        <v>2301</v>
      </c>
      <c r="M1979" s="1627">
        <v>8.4419999999999999E-3</v>
      </c>
      <c r="N1979" s="1628">
        <v>1.6034332049312903</v>
      </c>
      <c r="O1979" s="1628"/>
    </row>
    <row r="1980" spans="11:15">
      <c r="K1980" s="1625">
        <v>44037</v>
      </c>
      <c r="L1980" s="1626"/>
      <c r="M1980" s="1627">
        <v>0</v>
      </c>
      <c r="N1980" s="1628">
        <v>1.6034332049312903</v>
      </c>
      <c r="O1980" s="1628"/>
    </row>
    <row r="1981" spans="11:15">
      <c r="K1981" s="1625">
        <v>44038</v>
      </c>
      <c r="L1981" s="1626"/>
      <c r="M1981" s="1627">
        <v>0</v>
      </c>
      <c r="N1981" s="1628">
        <v>1.6034332049312903</v>
      </c>
      <c r="O1981" s="1628"/>
    </row>
    <row r="1982" spans="11:15">
      <c r="K1982" s="1625">
        <v>44039</v>
      </c>
      <c r="L1982" s="1626" t="s">
        <v>2301</v>
      </c>
      <c r="M1982" s="1627">
        <v>8.4419999999999999E-3</v>
      </c>
      <c r="N1982" s="1628">
        <v>1.6035685667624506</v>
      </c>
      <c r="O1982" s="1628"/>
    </row>
    <row r="1983" spans="11:15">
      <c r="K1983" s="1625">
        <v>44040</v>
      </c>
      <c r="L1983" s="1626" t="s">
        <v>2301</v>
      </c>
      <c r="M1983" s="1627">
        <v>8.4419999999999999E-3</v>
      </c>
      <c r="N1983" s="1628">
        <v>1.6037039400208568</v>
      </c>
      <c r="O1983" s="1628"/>
    </row>
    <row r="1984" spans="11:15">
      <c r="K1984" s="1625">
        <v>44041</v>
      </c>
      <c r="L1984" s="1626" t="s">
        <v>2301</v>
      </c>
      <c r="M1984" s="1627">
        <v>8.4419999999999999E-3</v>
      </c>
      <c r="N1984" s="1628">
        <v>1.6038393247074736</v>
      </c>
      <c r="O1984" s="1628"/>
    </row>
    <row r="1985" spans="11:15">
      <c r="K1985" s="1625">
        <v>44042</v>
      </c>
      <c r="L1985" s="1626" t="s">
        <v>2301</v>
      </c>
      <c r="M1985" s="1627">
        <v>8.4419999999999999E-3</v>
      </c>
      <c r="N1985" s="1628">
        <v>1.6039747208232655</v>
      </c>
      <c r="O1985" s="1628"/>
    </row>
    <row r="1986" spans="11:15">
      <c r="K1986" s="1625">
        <v>44043</v>
      </c>
      <c r="L1986" s="1626" t="s">
        <v>2301</v>
      </c>
      <c r="M1986" s="1627">
        <v>8.4419999999999999E-3</v>
      </c>
      <c r="N1986" s="1628">
        <v>1.6041101283691976</v>
      </c>
      <c r="O1986" s="1628"/>
    </row>
    <row r="1987" spans="11:15">
      <c r="K1987" s="1625">
        <v>44044</v>
      </c>
      <c r="L1987" s="1626"/>
      <c r="M1987" s="1627">
        <v>0</v>
      </c>
      <c r="N1987" s="1628">
        <v>1.6041101283691976</v>
      </c>
      <c r="O1987" s="1628"/>
    </row>
    <row r="1988" spans="11:15">
      <c r="K1988" s="1625">
        <v>44045</v>
      </c>
      <c r="L1988" s="1626"/>
      <c r="M1988" s="1627">
        <v>0</v>
      </c>
      <c r="N1988" s="1628">
        <v>1.6041101283691976</v>
      </c>
      <c r="O1988" s="1628"/>
    </row>
    <row r="1989" spans="11:15">
      <c r="K1989" s="1625">
        <v>44046</v>
      </c>
      <c r="L1989" s="1626" t="s">
        <v>2301</v>
      </c>
      <c r="M1989" s="1627">
        <v>8.4419999999999999E-3</v>
      </c>
      <c r="N1989" s="1628">
        <v>1.6042455473462347</v>
      </c>
      <c r="O1989" s="1628"/>
    </row>
    <row r="1990" spans="11:15">
      <c r="K1990" s="1625">
        <v>44047</v>
      </c>
      <c r="L1990" s="1626" t="s">
        <v>2301</v>
      </c>
      <c r="M1990" s="1627">
        <v>8.4419999999999999E-3</v>
      </c>
      <c r="N1990" s="1628">
        <v>1.6043809777553417</v>
      </c>
      <c r="O1990" s="1628"/>
    </row>
    <row r="1991" spans="11:15">
      <c r="K1991" s="1625">
        <v>44048</v>
      </c>
      <c r="L1991" s="1626" t="s">
        <v>2301</v>
      </c>
      <c r="M1991" s="1627">
        <v>8.4419999999999999E-3</v>
      </c>
      <c r="N1991" s="1628">
        <v>1.6045164195974839</v>
      </c>
      <c r="O1991" s="1628"/>
    </row>
    <row r="1992" spans="11:15">
      <c r="K1992" s="1625">
        <v>44049</v>
      </c>
      <c r="L1992" s="1626" t="s">
        <v>2301</v>
      </c>
      <c r="M1992" s="1627">
        <v>7.4689999999999999E-3</v>
      </c>
      <c r="N1992" s="1628">
        <v>1.6046362609288636</v>
      </c>
      <c r="O1992" s="1628"/>
    </row>
    <row r="1993" spans="11:15">
      <c r="K1993" s="1625">
        <v>44050</v>
      </c>
      <c r="L1993" s="1626" t="s">
        <v>2301</v>
      </c>
      <c r="M1993" s="1627">
        <v>7.4689999999999999E-3</v>
      </c>
      <c r="N1993" s="1628">
        <v>1.6047561112111923</v>
      </c>
      <c r="O1993" s="1628"/>
    </row>
    <row r="1994" spans="11:15">
      <c r="K1994" s="1625">
        <v>44051</v>
      </c>
      <c r="L1994" s="1626"/>
      <c r="M1994" s="1627">
        <v>0</v>
      </c>
      <c r="N1994" s="1628">
        <v>1.6047561112111923</v>
      </c>
      <c r="O1994" s="1628"/>
    </row>
    <row r="1995" spans="11:15">
      <c r="K1995" s="1625">
        <v>44052</v>
      </c>
      <c r="L1995" s="1626"/>
      <c r="M1995" s="1627">
        <v>0</v>
      </c>
      <c r="N1995" s="1628">
        <v>1.6047561112111923</v>
      </c>
      <c r="O1995" s="1628"/>
    </row>
    <row r="1996" spans="11:15">
      <c r="K1996" s="1625">
        <v>44053</v>
      </c>
      <c r="L1996" s="1626" t="s">
        <v>2301</v>
      </c>
      <c r="M1996" s="1627">
        <v>7.4689999999999999E-3</v>
      </c>
      <c r="N1996" s="1628">
        <v>1.6048759704451385</v>
      </c>
      <c r="O1996" s="1628"/>
    </row>
    <row r="1997" spans="11:15">
      <c r="K1997" s="1625">
        <v>44054</v>
      </c>
      <c r="L1997" s="1626" t="s">
        <v>2301</v>
      </c>
      <c r="M1997" s="1627">
        <v>7.4689999999999999E-3</v>
      </c>
      <c r="N1997" s="1628">
        <v>1.604995838631371</v>
      </c>
      <c r="O1997" s="1628"/>
    </row>
    <row r="1998" spans="11:15">
      <c r="K1998" s="1625">
        <v>44055</v>
      </c>
      <c r="L1998" s="1626" t="s">
        <v>2301</v>
      </c>
      <c r="M1998" s="1627">
        <v>7.4689999999999999E-3</v>
      </c>
      <c r="N1998" s="1628">
        <v>1.6051157157705582</v>
      </c>
      <c r="O1998" s="1628"/>
    </row>
    <row r="1999" spans="11:15">
      <c r="K1999" s="1625">
        <v>44056</v>
      </c>
      <c r="L1999" s="1626" t="s">
        <v>2301</v>
      </c>
      <c r="M1999" s="1627">
        <v>7.4689999999999999E-3</v>
      </c>
      <c r="N1999" s="1628">
        <v>1.6052356018633691</v>
      </c>
      <c r="O1999" s="1628"/>
    </row>
    <row r="2000" spans="11:15">
      <c r="K2000" s="1625">
        <v>44057</v>
      </c>
      <c r="L2000" s="1626" t="s">
        <v>2301</v>
      </c>
      <c r="M2000" s="1627">
        <v>7.4689999999999999E-3</v>
      </c>
      <c r="N2000" s="1628">
        <v>1.6053554969104722</v>
      </c>
      <c r="O2000" s="1628"/>
    </row>
    <row r="2001" spans="11:15">
      <c r="K2001" s="1625">
        <v>44058</v>
      </c>
      <c r="L2001" s="1626"/>
      <c r="M2001" s="1627">
        <v>0</v>
      </c>
      <c r="N2001" s="1628">
        <v>1.6053554969104722</v>
      </c>
      <c r="O2001" s="1628"/>
    </row>
    <row r="2002" spans="11:15">
      <c r="K2002" s="1625">
        <v>44059</v>
      </c>
      <c r="L2002" s="1626"/>
      <c r="M2002" s="1627">
        <v>0</v>
      </c>
      <c r="N2002" s="1628">
        <v>1.6053554969104722</v>
      </c>
      <c r="O2002" s="1628"/>
    </row>
    <row r="2003" spans="11:15">
      <c r="K2003" s="1625">
        <v>44060</v>
      </c>
      <c r="L2003" s="1626" t="s">
        <v>2301</v>
      </c>
      <c r="M2003" s="1627">
        <v>7.4689999999999999E-3</v>
      </c>
      <c r="N2003" s="1628">
        <v>1.6054754009125363</v>
      </c>
      <c r="O2003" s="1628"/>
    </row>
    <row r="2004" spans="11:15">
      <c r="K2004" s="1625">
        <v>44061</v>
      </c>
      <c r="L2004" s="1626" t="s">
        <v>2301</v>
      </c>
      <c r="M2004" s="1627">
        <v>7.4689999999999999E-3</v>
      </c>
      <c r="N2004" s="1628">
        <v>1.6055953138702304</v>
      </c>
      <c r="O2004" s="1628"/>
    </row>
    <row r="2005" spans="11:15">
      <c r="K2005" s="1625">
        <v>44062</v>
      </c>
      <c r="L2005" s="1626" t="s">
        <v>2301</v>
      </c>
      <c r="M2005" s="1627">
        <v>7.4689999999999999E-3</v>
      </c>
      <c r="N2005" s="1628">
        <v>1.6057152357842233</v>
      </c>
      <c r="O2005" s="1628"/>
    </row>
    <row r="2006" spans="11:15">
      <c r="K2006" s="1625">
        <v>44063</v>
      </c>
      <c r="L2006" s="1626" t="s">
        <v>2301</v>
      </c>
      <c r="M2006" s="1627">
        <v>7.4689999999999999E-3</v>
      </c>
      <c r="N2006" s="1628">
        <v>1.6058351666551838</v>
      </c>
      <c r="O2006" s="1628"/>
    </row>
    <row r="2007" spans="11:15">
      <c r="K2007" s="1625">
        <v>44064</v>
      </c>
      <c r="L2007" s="1626" t="s">
        <v>2301</v>
      </c>
      <c r="M2007" s="1627">
        <v>7.4689999999999999E-3</v>
      </c>
      <c r="N2007" s="1628">
        <v>1.6059551064837811</v>
      </c>
      <c r="O2007" s="1628"/>
    </row>
    <row r="2008" spans="11:15">
      <c r="K2008" s="1625">
        <v>44065</v>
      </c>
      <c r="L2008" s="1626"/>
      <c r="M2008" s="1627">
        <v>0</v>
      </c>
      <c r="N2008" s="1628">
        <v>1.6059551064837811</v>
      </c>
      <c r="O2008" s="1628"/>
    </row>
    <row r="2009" spans="11:15">
      <c r="K2009" s="1625">
        <v>44066</v>
      </c>
      <c r="L2009" s="1626"/>
      <c r="M2009" s="1627">
        <v>0</v>
      </c>
      <c r="N2009" s="1628">
        <v>1.6059551064837811</v>
      </c>
      <c r="O2009" s="1628"/>
    </row>
    <row r="2010" spans="11:15">
      <c r="K2010" s="1625">
        <v>44067</v>
      </c>
      <c r="L2010" s="1626" t="s">
        <v>2301</v>
      </c>
      <c r="M2010" s="1627">
        <v>7.4689999999999999E-3</v>
      </c>
      <c r="N2010" s="1628">
        <v>1.6060750552706844</v>
      </c>
      <c r="O2010" s="1628"/>
    </row>
    <row r="2011" spans="11:15">
      <c r="K2011" s="1625">
        <v>44068</v>
      </c>
      <c r="L2011" s="1626" t="s">
        <v>2301</v>
      </c>
      <c r="M2011" s="1627">
        <v>7.4689999999999999E-3</v>
      </c>
      <c r="N2011" s="1628">
        <v>1.6061950130165625</v>
      </c>
      <c r="O2011" s="1628"/>
    </row>
    <row r="2012" spans="11:15">
      <c r="K2012" s="1625">
        <v>44069</v>
      </c>
      <c r="L2012" s="1626" t="s">
        <v>2301</v>
      </c>
      <c r="M2012" s="1627">
        <v>7.4689999999999999E-3</v>
      </c>
      <c r="N2012" s="1628">
        <v>1.6063149797220846</v>
      </c>
      <c r="O2012" s="1628"/>
    </row>
    <row r="2013" spans="11:15">
      <c r="K2013" s="1625">
        <v>44070</v>
      </c>
      <c r="L2013" s="1626" t="s">
        <v>2301</v>
      </c>
      <c r="M2013" s="1627">
        <v>7.4689999999999999E-3</v>
      </c>
      <c r="N2013" s="1628">
        <v>1.60643495538792</v>
      </c>
      <c r="O2013" s="1628"/>
    </row>
    <row r="2014" spans="11:15">
      <c r="K2014" s="1625">
        <v>44071</v>
      </c>
      <c r="L2014" s="1626" t="s">
        <v>2301</v>
      </c>
      <c r="M2014" s="1627">
        <v>7.4689999999999999E-3</v>
      </c>
      <c r="N2014" s="1628">
        <v>1.6065549400147379</v>
      </c>
      <c r="O2014" s="1628"/>
    </row>
    <row r="2015" spans="11:15">
      <c r="K2015" s="1625">
        <v>44072</v>
      </c>
      <c r="L2015" s="1626"/>
      <c r="M2015" s="1627">
        <v>0</v>
      </c>
      <c r="N2015" s="1628">
        <v>1.6065549400147379</v>
      </c>
      <c r="O2015" s="1628"/>
    </row>
    <row r="2016" spans="11:15">
      <c r="K2016" s="1625">
        <v>44073</v>
      </c>
      <c r="L2016" s="1626"/>
      <c r="M2016" s="1627">
        <v>0</v>
      </c>
      <c r="N2016" s="1628">
        <v>1.6065549400147379</v>
      </c>
      <c r="O2016" s="1628"/>
    </row>
    <row r="2017" spans="11:15">
      <c r="K2017" s="1625">
        <v>44074</v>
      </c>
      <c r="L2017" s="1626" t="s">
        <v>2301</v>
      </c>
      <c r="M2017" s="1627">
        <v>7.4689999999999999E-3</v>
      </c>
      <c r="N2017" s="1628">
        <v>1.6066749336032076</v>
      </c>
      <c r="O2017" s="1628"/>
    </row>
    <row r="2018" spans="11:15">
      <c r="K2018" s="1625">
        <v>44075</v>
      </c>
      <c r="L2018" s="1626" t="s">
        <v>2301</v>
      </c>
      <c r="M2018" s="1627">
        <v>7.4689999999999999E-3</v>
      </c>
      <c r="N2018" s="1628">
        <v>1.6067949361539984</v>
      </c>
      <c r="O2018" s="1628"/>
    </row>
    <row r="2019" spans="11:15">
      <c r="K2019" s="1625">
        <v>44076</v>
      </c>
      <c r="L2019" s="1626" t="s">
        <v>2301</v>
      </c>
      <c r="M2019" s="1627">
        <v>7.4689999999999999E-3</v>
      </c>
      <c r="N2019" s="1628">
        <v>1.6069149476677795</v>
      </c>
      <c r="O2019" s="1628"/>
    </row>
    <row r="2020" spans="11:15">
      <c r="K2020" s="1625">
        <v>44077</v>
      </c>
      <c r="L2020" s="1626" t="s">
        <v>2301</v>
      </c>
      <c r="M2020" s="1627">
        <v>7.4689999999999999E-3</v>
      </c>
      <c r="N2020" s="1628">
        <v>1.6070349681452207</v>
      </c>
      <c r="O2020" s="1628"/>
    </row>
    <row r="2021" spans="11:15">
      <c r="K2021" s="1625">
        <v>44078</v>
      </c>
      <c r="L2021" s="1626" t="s">
        <v>2301</v>
      </c>
      <c r="M2021" s="1627">
        <v>7.4689999999999999E-3</v>
      </c>
      <c r="N2021" s="1628">
        <v>1.6071549975869914</v>
      </c>
      <c r="O2021" s="1628"/>
    </row>
    <row r="2022" spans="11:15">
      <c r="K2022" s="1625">
        <v>44079</v>
      </c>
      <c r="L2022" s="1626"/>
      <c r="M2022" s="1627">
        <v>0</v>
      </c>
      <c r="N2022" s="1628">
        <v>1.6071549975869914</v>
      </c>
      <c r="O2022" s="1628"/>
    </row>
    <row r="2023" spans="11:15">
      <c r="K2023" s="1625">
        <v>44080</v>
      </c>
      <c r="L2023" s="1626"/>
      <c r="M2023" s="1627">
        <v>0</v>
      </c>
      <c r="N2023" s="1628">
        <v>1.6071549975869914</v>
      </c>
      <c r="O2023" s="1628"/>
    </row>
    <row r="2024" spans="11:15">
      <c r="K2024" s="1625">
        <v>44081</v>
      </c>
      <c r="L2024" s="1626"/>
      <c r="M2024" s="1627">
        <v>0</v>
      </c>
      <c r="N2024" s="1628">
        <v>1.6071549975869914</v>
      </c>
      <c r="O2024" s="1628"/>
    </row>
    <row r="2025" spans="11:15">
      <c r="K2025" s="1625">
        <v>44082</v>
      </c>
      <c r="L2025" s="1626" t="s">
        <v>2301</v>
      </c>
      <c r="M2025" s="1627">
        <v>7.4689999999999999E-3</v>
      </c>
      <c r="N2025" s="1628">
        <v>1.6072750359937611</v>
      </c>
      <c r="O2025" s="1628"/>
    </row>
    <row r="2026" spans="11:15">
      <c r="K2026" s="1625">
        <v>44083</v>
      </c>
      <c r="L2026" s="1626" t="s">
        <v>2301</v>
      </c>
      <c r="M2026" s="1627">
        <v>7.4689999999999999E-3</v>
      </c>
      <c r="N2026" s="1628">
        <v>1.6073950833661994</v>
      </c>
      <c r="O2026" s="1628"/>
    </row>
    <row r="2027" spans="11:15">
      <c r="K2027" s="1625">
        <v>44084</v>
      </c>
      <c r="L2027" s="1626" t="s">
        <v>2301</v>
      </c>
      <c r="M2027" s="1627">
        <v>7.4689999999999999E-3</v>
      </c>
      <c r="N2027" s="1628">
        <v>1.6075151397049758</v>
      </c>
      <c r="O2027" s="1628"/>
    </row>
    <row r="2028" spans="11:15">
      <c r="K2028" s="1625">
        <v>44085</v>
      </c>
      <c r="L2028" s="1626" t="s">
        <v>2301</v>
      </c>
      <c r="M2028" s="1627">
        <v>7.4689999999999999E-3</v>
      </c>
      <c r="N2028" s="1628">
        <v>1.6076352050107603</v>
      </c>
      <c r="O2028" s="1628"/>
    </row>
    <row r="2029" spans="11:15">
      <c r="K2029" s="1625">
        <v>44086</v>
      </c>
      <c r="L2029" s="1626"/>
      <c r="M2029" s="1627">
        <v>0</v>
      </c>
      <c r="N2029" s="1628">
        <v>1.6076352050107603</v>
      </c>
      <c r="O2029" s="1628"/>
    </row>
    <row r="2030" spans="11:15">
      <c r="K2030" s="1625">
        <v>44087</v>
      </c>
      <c r="L2030" s="1626"/>
      <c r="M2030" s="1627">
        <v>0</v>
      </c>
      <c r="N2030" s="1628">
        <v>1.6076352050107603</v>
      </c>
      <c r="O2030" s="1628"/>
    </row>
    <row r="2031" spans="11:15">
      <c r="K2031" s="1625">
        <v>44088</v>
      </c>
      <c r="L2031" s="1626" t="s">
        <v>2301</v>
      </c>
      <c r="M2031" s="1627">
        <v>7.4689999999999999E-3</v>
      </c>
      <c r="N2031" s="1628">
        <v>1.6077552792842225</v>
      </c>
      <c r="O2031" s="1628"/>
    </row>
    <row r="2032" spans="11:15">
      <c r="K2032" s="1625">
        <v>44089</v>
      </c>
      <c r="L2032" s="1626" t="s">
        <v>2301</v>
      </c>
      <c r="M2032" s="1627">
        <v>7.4689999999999999E-3</v>
      </c>
      <c r="N2032" s="1628">
        <v>1.607875362526032</v>
      </c>
      <c r="O2032" s="1628"/>
    </row>
    <row r="2033" spans="11:15">
      <c r="K2033" s="1625">
        <v>44090</v>
      </c>
      <c r="L2033" s="1626" t="s">
        <v>2301</v>
      </c>
      <c r="M2033" s="1627">
        <v>7.4689999999999999E-3</v>
      </c>
      <c r="N2033" s="1628">
        <v>1.6079954547368589</v>
      </c>
      <c r="O2033" s="1628"/>
    </row>
    <row r="2034" spans="11:15">
      <c r="K2034" s="1625">
        <v>44091</v>
      </c>
      <c r="L2034" s="1626" t="s">
        <v>2301</v>
      </c>
      <c r="M2034" s="1627">
        <v>7.4689999999999999E-3</v>
      </c>
      <c r="N2034" s="1628">
        <v>1.608115555917373</v>
      </c>
      <c r="O2034" s="1628"/>
    </row>
    <row r="2035" spans="11:15">
      <c r="K2035" s="1625">
        <v>44092</v>
      </c>
      <c r="L2035" s="1626" t="s">
        <v>2301</v>
      </c>
      <c r="M2035" s="1627">
        <v>7.4689999999999999E-3</v>
      </c>
      <c r="N2035" s="1628">
        <v>1.6082356660682444</v>
      </c>
      <c r="O2035" s="1628"/>
    </row>
    <row r="2036" spans="11:15">
      <c r="K2036" s="1625">
        <v>44093</v>
      </c>
      <c r="L2036" s="1626"/>
      <c r="M2036" s="1627">
        <v>0</v>
      </c>
      <c r="N2036" s="1628">
        <v>1.6082356660682444</v>
      </c>
      <c r="O2036" s="1628"/>
    </row>
    <row r="2037" spans="11:15">
      <c r="K2037" s="1625">
        <v>44094</v>
      </c>
      <c r="L2037" s="1626"/>
      <c r="M2037" s="1627">
        <v>0</v>
      </c>
      <c r="N2037" s="1628">
        <v>1.6082356660682444</v>
      </c>
      <c r="O2037" s="1628"/>
    </row>
    <row r="2038" spans="11:15">
      <c r="K2038" s="1625">
        <v>44095</v>
      </c>
      <c r="L2038" s="1626" t="s">
        <v>2301</v>
      </c>
      <c r="M2038" s="1627">
        <v>7.4689999999999999E-3</v>
      </c>
      <c r="N2038" s="1628">
        <v>1.6083557851901429</v>
      </c>
      <c r="O2038" s="1628"/>
    </row>
    <row r="2039" spans="11:15">
      <c r="K2039" s="1625">
        <v>44096</v>
      </c>
      <c r="L2039" s="1626" t="s">
        <v>2301</v>
      </c>
      <c r="M2039" s="1627">
        <v>7.4689999999999999E-3</v>
      </c>
      <c r="N2039" s="1628">
        <v>1.6084759132837387</v>
      </c>
      <c r="O2039" s="1628"/>
    </row>
    <row r="2040" spans="11:15">
      <c r="K2040" s="1625">
        <v>44097</v>
      </c>
      <c r="L2040" s="1626" t="s">
        <v>2301</v>
      </c>
      <c r="M2040" s="1627">
        <v>7.4689999999999999E-3</v>
      </c>
      <c r="N2040" s="1628">
        <v>1.6085960503497019</v>
      </c>
      <c r="O2040" s="1628"/>
    </row>
    <row r="2041" spans="11:15">
      <c r="K2041" s="1625">
        <v>44098</v>
      </c>
      <c r="L2041" s="1626" t="s">
        <v>2301</v>
      </c>
      <c r="M2041" s="1627">
        <v>7.4689999999999999E-3</v>
      </c>
      <c r="N2041" s="1628">
        <v>1.6087161963887024</v>
      </c>
      <c r="O2041" s="1628"/>
    </row>
    <row r="2042" spans="11:15">
      <c r="K2042" s="1625">
        <v>44099</v>
      </c>
      <c r="L2042" s="1626" t="s">
        <v>2301</v>
      </c>
      <c r="M2042" s="1627">
        <v>7.4689999999999999E-3</v>
      </c>
      <c r="N2042" s="1628">
        <v>1.6088363514014106</v>
      </c>
      <c r="O2042" s="1628"/>
    </row>
    <row r="2043" spans="11:15">
      <c r="K2043" s="1625">
        <v>44100</v>
      </c>
      <c r="L2043" s="1626"/>
      <c r="M2043" s="1627">
        <v>0</v>
      </c>
      <c r="N2043" s="1628">
        <v>1.6088363514014106</v>
      </c>
      <c r="O2043" s="1628"/>
    </row>
    <row r="2044" spans="11:15">
      <c r="K2044" s="1625">
        <v>44101</v>
      </c>
      <c r="L2044" s="1626"/>
      <c r="M2044" s="1627">
        <v>0</v>
      </c>
      <c r="N2044" s="1628">
        <v>1.6088363514014106</v>
      </c>
      <c r="O2044" s="1628"/>
    </row>
    <row r="2045" spans="11:15">
      <c r="K2045" s="1625">
        <v>44102</v>
      </c>
      <c r="L2045" s="1626" t="s">
        <v>2301</v>
      </c>
      <c r="M2045" s="1627">
        <v>7.4689999999999999E-3</v>
      </c>
      <c r="N2045" s="1628">
        <v>1.6089565153884966</v>
      </c>
      <c r="O2045" s="1628"/>
    </row>
    <row r="2046" spans="11:15">
      <c r="K2046" s="1625">
        <v>44103</v>
      </c>
      <c r="L2046" s="1626" t="s">
        <v>2301</v>
      </c>
      <c r="M2046" s="1627">
        <v>7.4689999999999999E-3</v>
      </c>
      <c r="N2046" s="1628">
        <v>1.6090766883506309</v>
      </c>
      <c r="O2046" s="1628"/>
    </row>
    <row r="2047" spans="11:15">
      <c r="K2047" s="1625">
        <v>44104</v>
      </c>
      <c r="L2047" s="1626" t="s">
        <v>2301</v>
      </c>
      <c r="M2047" s="1627">
        <v>7.4689999999999999E-3</v>
      </c>
      <c r="N2047" s="1628">
        <v>1.6091968702884838</v>
      </c>
      <c r="O2047" s="1628"/>
    </row>
    <row r="2048" spans="11:15">
      <c r="K2048" s="1625">
        <v>44105</v>
      </c>
      <c r="L2048" s="1626" t="s">
        <v>2301</v>
      </c>
      <c r="M2048" s="1627">
        <v>7.4689999999999999E-3</v>
      </c>
      <c r="N2048" s="1628">
        <v>1.6093170612027254</v>
      </c>
      <c r="O2048" s="1628"/>
    </row>
    <row r="2049" spans="11:15">
      <c r="K2049" s="1625">
        <v>44106</v>
      </c>
      <c r="L2049" s="1626" t="s">
        <v>2301</v>
      </c>
      <c r="M2049" s="1627">
        <v>7.4689999999999999E-3</v>
      </c>
      <c r="N2049" s="1628">
        <v>1.6094372610940266</v>
      </c>
      <c r="O2049" s="1628"/>
    </row>
    <row r="2050" spans="11:15">
      <c r="K2050" s="1625">
        <v>44107</v>
      </c>
      <c r="L2050" s="1626"/>
      <c r="M2050" s="1627">
        <v>0</v>
      </c>
      <c r="N2050" s="1628">
        <v>1.6094372610940266</v>
      </c>
      <c r="O2050" s="1628"/>
    </row>
    <row r="2051" spans="11:15">
      <c r="K2051" s="1625">
        <v>44108</v>
      </c>
      <c r="L2051" s="1626"/>
      <c r="M2051" s="1627">
        <v>0</v>
      </c>
      <c r="N2051" s="1628">
        <v>1.6094372610940266</v>
      </c>
      <c r="O2051" s="1628"/>
    </row>
    <row r="2052" spans="11:15">
      <c r="K2052" s="1625">
        <v>44109</v>
      </c>
      <c r="L2052" s="1626" t="s">
        <v>2301</v>
      </c>
      <c r="M2052" s="1627">
        <v>7.4689999999999999E-3</v>
      </c>
      <c r="N2052" s="1628">
        <v>1.6095574699630577</v>
      </c>
      <c r="O2052" s="1628"/>
    </row>
    <row r="2053" spans="11:15">
      <c r="K2053" s="1625">
        <v>44110</v>
      </c>
      <c r="L2053" s="1626" t="s">
        <v>2301</v>
      </c>
      <c r="M2053" s="1627">
        <v>7.4689999999999999E-3</v>
      </c>
      <c r="N2053" s="1628">
        <v>1.609677687810489</v>
      </c>
      <c r="O2053" s="1628"/>
    </row>
    <row r="2054" spans="11:15">
      <c r="K2054" s="1625">
        <v>44111</v>
      </c>
      <c r="L2054" s="1626" t="s">
        <v>2301</v>
      </c>
      <c r="M2054" s="1627">
        <v>7.4689999999999999E-3</v>
      </c>
      <c r="N2054" s="1628">
        <v>1.6097979146369914</v>
      </c>
      <c r="O2054" s="1628"/>
    </row>
    <row r="2055" spans="11:15">
      <c r="K2055" s="1625">
        <v>44112</v>
      </c>
      <c r="L2055" s="1626" t="s">
        <v>2301</v>
      </c>
      <c r="M2055" s="1627">
        <v>7.4689999999999999E-3</v>
      </c>
      <c r="N2055" s="1628">
        <v>1.6099181504432356</v>
      </c>
      <c r="O2055" s="1628"/>
    </row>
    <row r="2056" spans="11:15">
      <c r="K2056" s="1625">
        <v>44113</v>
      </c>
      <c r="L2056" s="1626" t="s">
        <v>2301</v>
      </c>
      <c r="M2056" s="1627">
        <v>7.4689999999999999E-3</v>
      </c>
      <c r="N2056" s="1628">
        <v>1.610038395229892</v>
      </c>
      <c r="O2056" s="1628"/>
    </row>
    <row r="2057" spans="11:15">
      <c r="K2057" s="1625">
        <v>44114</v>
      </c>
      <c r="L2057" s="1626"/>
      <c r="M2057" s="1627">
        <v>0</v>
      </c>
      <c r="N2057" s="1628">
        <v>1.610038395229892</v>
      </c>
      <c r="O2057" s="1628"/>
    </row>
    <row r="2058" spans="11:15">
      <c r="K2058" s="1625">
        <v>44115</v>
      </c>
      <c r="L2058" s="1626"/>
      <c r="M2058" s="1627">
        <v>0</v>
      </c>
      <c r="N2058" s="1628">
        <v>1.610038395229892</v>
      </c>
      <c r="O2058" s="1628"/>
    </row>
    <row r="2059" spans="11:15">
      <c r="K2059" s="1625">
        <v>44116</v>
      </c>
      <c r="L2059" s="1626"/>
      <c r="M2059" s="1627">
        <v>0</v>
      </c>
      <c r="N2059" s="1628">
        <v>1.610038395229892</v>
      </c>
      <c r="O2059" s="1628"/>
    </row>
    <row r="2060" spans="11:15">
      <c r="K2060" s="1625">
        <v>44117</v>
      </c>
      <c r="L2060" s="1626" t="s">
        <v>2301</v>
      </c>
      <c r="M2060" s="1627">
        <v>7.4689999999999999E-3</v>
      </c>
      <c r="N2060" s="1628">
        <v>1.6101586489976316</v>
      </c>
      <c r="O2060" s="1628"/>
    </row>
    <row r="2061" spans="11:15">
      <c r="K2061" s="1625">
        <v>44118</v>
      </c>
      <c r="L2061" s="1626" t="s">
        <v>2301</v>
      </c>
      <c r="M2061" s="1627">
        <v>7.4689999999999999E-3</v>
      </c>
      <c r="N2061" s="1628">
        <v>1.6102789117471252</v>
      </c>
      <c r="O2061" s="1628"/>
    </row>
    <row r="2062" spans="11:15">
      <c r="K2062" s="1625">
        <v>44119</v>
      </c>
      <c r="L2062" s="1626" t="s">
        <v>2301</v>
      </c>
      <c r="M2062" s="1627">
        <v>7.4689999999999999E-3</v>
      </c>
      <c r="N2062" s="1628">
        <v>1.6103991834790434</v>
      </c>
      <c r="O2062" s="1628"/>
    </row>
    <row r="2063" spans="11:15">
      <c r="K2063" s="1625">
        <v>44120</v>
      </c>
      <c r="L2063" s="1626" t="s">
        <v>2301</v>
      </c>
      <c r="M2063" s="1627">
        <v>7.4689999999999999E-3</v>
      </c>
      <c r="N2063" s="1628">
        <v>1.6105194641940574</v>
      </c>
      <c r="O2063" s="1628"/>
    </row>
    <row r="2064" spans="11:15">
      <c r="K2064" s="1625">
        <v>44121</v>
      </c>
      <c r="L2064" s="1626"/>
      <c r="M2064" s="1627">
        <v>0</v>
      </c>
      <c r="N2064" s="1628">
        <v>1.6105194641940574</v>
      </c>
      <c r="O2064" s="1628"/>
    </row>
    <row r="2065" spans="11:15">
      <c r="K2065" s="1625">
        <v>44122</v>
      </c>
      <c r="L2065" s="1626"/>
      <c r="M2065" s="1627">
        <v>0</v>
      </c>
      <c r="N2065" s="1628">
        <v>1.6105194641940574</v>
      </c>
      <c r="O2065" s="1628"/>
    </row>
    <row r="2066" spans="11:15">
      <c r="K2066" s="1625">
        <v>44123</v>
      </c>
      <c r="L2066" s="1626" t="s">
        <v>2301</v>
      </c>
      <c r="M2066" s="1627">
        <v>7.4689999999999999E-3</v>
      </c>
      <c r="N2066" s="1628">
        <v>1.6106397538928381</v>
      </c>
      <c r="O2066" s="1628"/>
    </row>
    <row r="2067" spans="11:15">
      <c r="K2067" s="1625">
        <v>44124</v>
      </c>
      <c r="L2067" s="1626" t="s">
        <v>2301</v>
      </c>
      <c r="M2067" s="1627">
        <v>7.4689999999999999E-3</v>
      </c>
      <c r="N2067" s="1628">
        <v>1.6107600525760561</v>
      </c>
      <c r="O2067" s="1628"/>
    </row>
    <row r="2068" spans="11:15">
      <c r="K2068" s="1625">
        <v>44125</v>
      </c>
      <c r="L2068" s="1626" t="s">
        <v>2301</v>
      </c>
      <c r="M2068" s="1627">
        <v>7.4689999999999999E-3</v>
      </c>
      <c r="N2068" s="1628">
        <v>1.6108803602443829</v>
      </c>
      <c r="O2068" s="1628"/>
    </row>
    <row r="2069" spans="11:15">
      <c r="K2069" s="1625">
        <v>44126</v>
      </c>
      <c r="L2069" s="1626" t="s">
        <v>2301</v>
      </c>
      <c r="M2069" s="1627">
        <v>7.4689999999999999E-3</v>
      </c>
      <c r="N2069" s="1628">
        <v>1.6110006768984895</v>
      </c>
      <c r="O2069" s="1628"/>
    </row>
    <row r="2070" spans="11:15">
      <c r="K2070" s="1625">
        <v>44127</v>
      </c>
      <c r="L2070" s="1626" t="s">
        <v>2301</v>
      </c>
      <c r="M2070" s="1627">
        <v>7.4689999999999999E-3</v>
      </c>
      <c r="N2070" s="1628">
        <v>1.611121002539047</v>
      </c>
      <c r="O2070" s="1628"/>
    </row>
    <row r="2071" spans="11:15">
      <c r="K2071" s="1625">
        <v>44128</v>
      </c>
      <c r="L2071" s="1626"/>
      <c r="M2071" s="1627">
        <v>0</v>
      </c>
      <c r="N2071" s="1628">
        <v>1.611121002539047</v>
      </c>
      <c r="O2071" s="1628"/>
    </row>
    <row r="2072" spans="11:15">
      <c r="K2072" s="1625">
        <v>44129</v>
      </c>
      <c r="L2072" s="1626"/>
      <c r="M2072" s="1627">
        <v>0</v>
      </c>
      <c r="N2072" s="1628">
        <v>1.611121002539047</v>
      </c>
      <c r="O2072" s="1628"/>
    </row>
    <row r="2073" spans="11:15">
      <c r="K2073" s="1625">
        <v>44130</v>
      </c>
      <c r="L2073" s="1626" t="s">
        <v>2301</v>
      </c>
      <c r="M2073" s="1627">
        <v>7.4689999999999999E-3</v>
      </c>
      <c r="N2073" s="1628">
        <v>1.6112413371667265</v>
      </c>
      <c r="O2073" s="1628"/>
    </row>
    <row r="2074" spans="11:15">
      <c r="K2074" s="1625">
        <v>44131</v>
      </c>
      <c r="L2074" s="1626" t="s">
        <v>2301</v>
      </c>
      <c r="M2074" s="1627">
        <v>7.4689999999999999E-3</v>
      </c>
      <c r="N2074" s="1628">
        <v>1.6113616807821993</v>
      </c>
      <c r="O2074" s="1628"/>
    </row>
    <row r="2075" spans="11:15">
      <c r="K2075" s="1625">
        <v>44132</v>
      </c>
      <c r="L2075" s="1626" t="s">
        <v>2301</v>
      </c>
      <c r="M2075" s="1627">
        <v>7.4689999999999999E-3</v>
      </c>
      <c r="N2075" s="1628">
        <v>1.6114820333861368</v>
      </c>
      <c r="O2075" s="1628"/>
    </row>
    <row r="2076" spans="11:15">
      <c r="K2076" s="1625">
        <v>44133</v>
      </c>
      <c r="L2076" s="1626" t="s">
        <v>2301</v>
      </c>
      <c r="M2076" s="1627">
        <v>7.4689999999999999E-3</v>
      </c>
      <c r="N2076" s="1628">
        <v>1.6116023949792104</v>
      </c>
      <c r="O2076" s="1628"/>
    </row>
    <row r="2077" spans="11:15">
      <c r="K2077" s="1625">
        <v>44134</v>
      </c>
      <c r="L2077" s="1626" t="s">
        <v>2301</v>
      </c>
      <c r="M2077" s="1627">
        <v>7.4689999999999999E-3</v>
      </c>
      <c r="N2077" s="1628">
        <v>1.6117227655620914</v>
      </c>
      <c r="O2077" s="1628"/>
    </row>
    <row r="2078" spans="11:15">
      <c r="K2078" s="1625">
        <v>44135</v>
      </c>
      <c r="L2078" s="1626"/>
      <c r="M2078" s="1627">
        <v>0</v>
      </c>
      <c r="N2078" s="1628">
        <v>1.6117227655620914</v>
      </c>
      <c r="O2078" s="1628"/>
    </row>
    <row r="2079" spans="11:15">
      <c r="K2079" s="1625">
        <v>44136</v>
      </c>
      <c r="L2079" s="1626"/>
      <c r="M2079" s="1627">
        <v>0</v>
      </c>
      <c r="N2079" s="1628">
        <v>1.6117227655620914</v>
      </c>
      <c r="O2079" s="1628"/>
    </row>
    <row r="2080" spans="11:15">
      <c r="K2080" s="1625">
        <v>44137</v>
      </c>
      <c r="L2080" s="1626"/>
      <c r="M2080" s="1627">
        <v>0</v>
      </c>
      <c r="N2080" s="1628">
        <v>1.6117227655620914</v>
      </c>
      <c r="O2080" s="1628"/>
    </row>
    <row r="2081" spans="11:15">
      <c r="K2081" s="1625">
        <v>44138</v>
      </c>
      <c r="L2081" s="1626" t="s">
        <v>2301</v>
      </c>
      <c r="M2081" s="1627">
        <v>7.4689999999999999E-3</v>
      </c>
      <c r="N2081" s="1628">
        <v>1.6118431451354511</v>
      </c>
      <c r="O2081" s="1628"/>
    </row>
    <row r="2082" spans="11:15">
      <c r="K2082" s="1625">
        <v>44139</v>
      </c>
      <c r="L2082" s="1626" t="s">
        <v>2301</v>
      </c>
      <c r="M2082" s="1627">
        <v>7.4689999999999999E-3</v>
      </c>
      <c r="N2082" s="1628">
        <v>1.6119635336999611</v>
      </c>
      <c r="O2082" s="1628"/>
    </row>
    <row r="2083" spans="11:15">
      <c r="K2083" s="1625">
        <v>44140</v>
      </c>
      <c r="L2083" s="1626" t="s">
        <v>2301</v>
      </c>
      <c r="M2083" s="1627">
        <v>7.4689999999999999E-3</v>
      </c>
      <c r="N2083" s="1628">
        <v>1.6120839312562931</v>
      </c>
      <c r="O2083" s="1628"/>
    </row>
    <row r="2084" spans="11:15">
      <c r="K2084" s="1625">
        <v>44141</v>
      </c>
      <c r="L2084" s="1626" t="s">
        <v>2301</v>
      </c>
      <c r="M2084" s="1627">
        <v>7.4689999999999999E-3</v>
      </c>
      <c r="N2084" s="1628">
        <v>1.6122043378051185</v>
      </c>
      <c r="O2084" s="1628"/>
    </row>
    <row r="2085" spans="11:15">
      <c r="K2085" s="1625">
        <v>44142</v>
      </c>
      <c r="L2085" s="1626"/>
      <c r="M2085" s="1627">
        <v>0</v>
      </c>
      <c r="N2085" s="1628">
        <v>1.6122043378051185</v>
      </c>
      <c r="O2085" s="1628"/>
    </row>
    <row r="2086" spans="11:15">
      <c r="K2086" s="1625">
        <v>44143</v>
      </c>
      <c r="L2086" s="1626"/>
      <c r="M2086" s="1627">
        <v>0</v>
      </c>
      <c r="N2086" s="1628">
        <v>1.6122043378051185</v>
      </c>
      <c r="O2086" s="1628"/>
    </row>
    <row r="2087" spans="11:15">
      <c r="K2087" s="1625">
        <v>44144</v>
      </c>
      <c r="L2087" s="1626" t="s">
        <v>2301</v>
      </c>
      <c r="M2087" s="1627">
        <v>7.4689999999999999E-3</v>
      </c>
      <c r="N2087" s="1628">
        <v>1.612324753347109</v>
      </c>
      <c r="O2087" s="1628"/>
    </row>
    <row r="2088" spans="11:15">
      <c r="K2088" s="1625">
        <v>44145</v>
      </c>
      <c r="L2088" s="1626" t="s">
        <v>2301</v>
      </c>
      <c r="M2088" s="1627">
        <v>7.4689999999999999E-3</v>
      </c>
      <c r="N2088" s="1628">
        <v>1.6124451778829363</v>
      </c>
      <c r="O2088" s="1628"/>
    </row>
    <row r="2089" spans="11:15">
      <c r="K2089" s="1625">
        <v>44146</v>
      </c>
      <c r="L2089" s="1626" t="s">
        <v>2301</v>
      </c>
      <c r="M2089" s="1627">
        <v>7.4689999999999999E-3</v>
      </c>
      <c r="N2089" s="1628">
        <v>1.6125656114132723</v>
      </c>
      <c r="O2089" s="1628"/>
    </row>
    <row r="2090" spans="11:15">
      <c r="K2090" s="1625">
        <v>44147</v>
      </c>
      <c r="L2090" s="1626" t="s">
        <v>2301</v>
      </c>
      <c r="M2090" s="1627">
        <v>7.4689999999999999E-3</v>
      </c>
      <c r="N2090" s="1628">
        <v>1.6126860539387886</v>
      </c>
      <c r="O2090" s="1628"/>
    </row>
    <row r="2091" spans="11:15">
      <c r="K2091" s="1625">
        <v>44148</v>
      </c>
      <c r="L2091" s="1626" t="s">
        <v>2301</v>
      </c>
      <c r="M2091" s="1627">
        <v>7.4689999999999999E-3</v>
      </c>
      <c r="N2091" s="1628">
        <v>1.6128065054601572</v>
      </c>
      <c r="O2091" s="1628"/>
    </row>
    <row r="2092" spans="11:15">
      <c r="K2092" s="1625">
        <v>44149</v>
      </c>
      <c r="L2092" s="1626"/>
      <c r="M2092" s="1627">
        <v>0</v>
      </c>
      <c r="N2092" s="1628">
        <v>1.6128065054601572</v>
      </c>
      <c r="O2092" s="1628"/>
    </row>
    <row r="2093" spans="11:15">
      <c r="K2093" s="1625">
        <v>44150</v>
      </c>
      <c r="L2093" s="1626"/>
      <c r="M2093" s="1627">
        <v>0</v>
      </c>
      <c r="N2093" s="1628">
        <v>1.6128065054601572</v>
      </c>
      <c r="O2093" s="1628"/>
    </row>
    <row r="2094" spans="11:15">
      <c r="K2094" s="1625">
        <v>44151</v>
      </c>
      <c r="L2094" s="1626" t="s">
        <v>2301</v>
      </c>
      <c r="M2094" s="1627">
        <v>7.4689999999999999E-3</v>
      </c>
      <c r="N2094" s="1628">
        <v>1.6129269659780499</v>
      </c>
      <c r="O2094" s="1628"/>
    </row>
    <row r="2095" spans="11:15">
      <c r="K2095" s="1625">
        <v>44152</v>
      </c>
      <c r="L2095" s="1626" t="s">
        <v>2301</v>
      </c>
      <c r="M2095" s="1627">
        <v>7.4689999999999999E-3</v>
      </c>
      <c r="N2095" s="1628">
        <v>1.6130474354931386</v>
      </c>
      <c r="O2095" s="1628"/>
    </row>
    <row r="2096" spans="11:15">
      <c r="K2096" s="1625">
        <v>44153</v>
      </c>
      <c r="L2096" s="1626" t="s">
        <v>2301</v>
      </c>
      <c r="M2096" s="1627">
        <v>7.4689999999999999E-3</v>
      </c>
      <c r="N2096" s="1628">
        <v>1.6131679140060955</v>
      </c>
      <c r="O2096" s="1628"/>
    </row>
    <row r="2097" spans="11:15">
      <c r="K2097" s="1625">
        <v>44154</v>
      </c>
      <c r="L2097" s="1626" t="s">
        <v>2301</v>
      </c>
      <c r="M2097" s="1627">
        <v>7.4689999999999999E-3</v>
      </c>
      <c r="N2097" s="1628">
        <v>1.6132884015175926</v>
      </c>
      <c r="O2097" s="1628"/>
    </row>
    <row r="2098" spans="11:15">
      <c r="K2098" s="1625">
        <v>44155</v>
      </c>
      <c r="L2098" s="1626" t="s">
        <v>2301</v>
      </c>
      <c r="M2098" s="1627">
        <v>7.4689999999999999E-3</v>
      </c>
      <c r="N2098" s="1628">
        <v>1.6134088980283019</v>
      </c>
      <c r="O2098" s="1628"/>
    </row>
    <row r="2099" spans="11:15">
      <c r="K2099" s="1625">
        <v>44156</v>
      </c>
      <c r="L2099" s="1626"/>
      <c r="M2099" s="1627">
        <v>0</v>
      </c>
      <c r="N2099" s="1628">
        <v>1.6134088980283019</v>
      </c>
      <c r="O2099" s="1628"/>
    </row>
    <row r="2100" spans="11:15">
      <c r="K2100" s="1625">
        <v>44157</v>
      </c>
      <c r="L2100" s="1626"/>
      <c r="M2100" s="1627">
        <v>0</v>
      </c>
      <c r="N2100" s="1628">
        <v>1.6134088980283019</v>
      </c>
      <c r="O2100" s="1628"/>
    </row>
    <row r="2101" spans="11:15">
      <c r="K2101" s="1625">
        <v>44158</v>
      </c>
      <c r="L2101" s="1626" t="s">
        <v>2301</v>
      </c>
      <c r="M2101" s="1627">
        <v>7.4689999999999999E-3</v>
      </c>
      <c r="N2101" s="1628">
        <v>1.6135294035388956</v>
      </c>
      <c r="O2101" s="1628"/>
    </row>
    <row r="2102" spans="11:15">
      <c r="K2102" s="1625">
        <v>44159</v>
      </c>
      <c r="L2102" s="1626" t="s">
        <v>2301</v>
      </c>
      <c r="M2102" s="1627">
        <v>7.4689999999999999E-3</v>
      </c>
      <c r="N2102" s="1628">
        <v>1.6136499180500459</v>
      </c>
      <c r="O2102" s="1628"/>
    </row>
    <row r="2103" spans="11:15">
      <c r="K2103" s="1625">
        <v>44160</v>
      </c>
      <c r="L2103" s="1626" t="s">
        <v>2301</v>
      </c>
      <c r="M2103" s="1627">
        <v>7.4689999999999999E-3</v>
      </c>
      <c r="N2103" s="1628">
        <v>1.613770441562425</v>
      </c>
      <c r="O2103" s="1628"/>
    </row>
    <row r="2104" spans="11:15">
      <c r="K2104" s="1625">
        <v>44161</v>
      </c>
      <c r="L2104" s="1626" t="s">
        <v>2301</v>
      </c>
      <c r="M2104" s="1627">
        <v>7.4689999999999999E-3</v>
      </c>
      <c r="N2104" s="1628">
        <v>1.6138909740767051</v>
      </c>
      <c r="O2104" s="1628"/>
    </row>
    <row r="2105" spans="11:15">
      <c r="K2105" s="1625">
        <v>44162</v>
      </c>
      <c r="L2105" s="1626" t="s">
        <v>2301</v>
      </c>
      <c r="M2105" s="1627">
        <v>7.4689999999999999E-3</v>
      </c>
      <c r="N2105" s="1628">
        <v>1.6140115155935588</v>
      </c>
      <c r="O2105" s="1628"/>
    </row>
    <row r="2106" spans="11:15">
      <c r="K2106" s="1625">
        <v>44163</v>
      </c>
      <c r="L2106" s="1626"/>
      <c r="M2106" s="1627">
        <v>0</v>
      </c>
      <c r="N2106" s="1628">
        <v>1.6140115155935588</v>
      </c>
      <c r="O2106" s="1628"/>
    </row>
    <row r="2107" spans="11:15">
      <c r="K2107" s="1625">
        <v>44164</v>
      </c>
      <c r="L2107" s="1626"/>
      <c r="M2107" s="1627">
        <v>0</v>
      </c>
      <c r="N2107" s="1628">
        <v>1.6140115155935588</v>
      </c>
      <c r="O2107" s="1628"/>
    </row>
    <row r="2108" spans="11:15">
      <c r="K2108" s="1625">
        <v>44165</v>
      </c>
      <c r="L2108" s="1626" t="s">
        <v>2301</v>
      </c>
      <c r="M2108" s="1627">
        <v>7.4689999999999999E-3</v>
      </c>
      <c r="N2108" s="1628">
        <v>1.6141320661136584</v>
      </c>
      <c r="O2108" s="1628"/>
    </row>
    <row r="2109" spans="11:15">
      <c r="K2109" s="1625">
        <v>44166</v>
      </c>
      <c r="L2109" s="1626" t="s">
        <v>2301</v>
      </c>
      <c r="M2109" s="1627">
        <v>7.4689999999999999E-3</v>
      </c>
      <c r="N2109" s="1628">
        <v>1.6142526256376764</v>
      </c>
      <c r="O2109" s="1628"/>
    </row>
    <row r="2110" spans="11:15">
      <c r="K2110" s="1625">
        <v>44167</v>
      </c>
      <c r="L2110" s="1626" t="s">
        <v>2301</v>
      </c>
      <c r="M2110" s="1627">
        <v>7.4689999999999999E-3</v>
      </c>
      <c r="N2110" s="1628">
        <v>1.6143731941662851</v>
      </c>
      <c r="O2110" s="1628"/>
    </row>
    <row r="2111" spans="11:15">
      <c r="K2111" s="1625">
        <v>44168</v>
      </c>
      <c r="L2111" s="1626" t="s">
        <v>2301</v>
      </c>
      <c r="M2111" s="1627">
        <v>7.4689999999999999E-3</v>
      </c>
      <c r="N2111" s="1628">
        <v>1.6144937717001573</v>
      </c>
      <c r="O2111" s="1628"/>
    </row>
    <row r="2112" spans="11:15">
      <c r="K2112" s="1625">
        <v>44169</v>
      </c>
      <c r="L2112" s="1626" t="s">
        <v>2301</v>
      </c>
      <c r="M2112" s="1627">
        <v>7.4689999999999999E-3</v>
      </c>
      <c r="N2112" s="1628">
        <v>1.6146143582399655</v>
      </c>
      <c r="O2112" s="1628"/>
    </row>
    <row r="2113" spans="11:15">
      <c r="K2113" s="1625">
        <v>44170</v>
      </c>
      <c r="L2113" s="1626"/>
      <c r="M2113" s="1627">
        <v>0</v>
      </c>
      <c r="N2113" s="1628">
        <v>1.6146143582399655</v>
      </c>
      <c r="O2113" s="1628"/>
    </row>
    <row r="2114" spans="11:15">
      <c r="K2114" s="1625">
        <v>44171</v>
      </c>
      <c r="L2114" s="1626"/>
      <c r="M2114" s="1627">
        <v>0</v>
      </c>
      <c r="N2114" s="1628">
        <v>1.6146143582399655</v>
      </c>
      <c r="O2114" s="1628"/>
    </row>
    <row r="2115" spans="11:15">
      <c r="K2115" s="1625">
        <v>44172</v>
      </c>
      <c r="L2115" s="1626" t="s">
        <v>2301</v>
      </c>
      <c r="M2115" s="1627">
        <v>7.4689999999999999E-3</v>
      </c>
      <c r="N2115" s="1628">
        <v>1.6147349537863822</v>
      </c>
      <c r="O2115" s="1628"/>
    </row>
    <row r="2116" spans="11:15">
      <c r="K2116" s="1625">
        <v>44173</v>
      </c>
      <c r="L2116" s="1626" t="s">
        <v>2301</v>
      </c>
      <c r="M2116" s="1627">
        <v>7.4689999999999999E-3</v>
      </c>
      <c r="N2116" s="1628">
        <v>1.6148555583400803</v>
      </c>
      <c r="O2116" s="1628"/>
    </row>
    <row r="2117" spans="11:15">
      <c r="K2117" s="1625">
        <v>44174</v>
      </c>
      <c r="L2117" s="1626" t="s">
        <v>2301</v>
      </c>
      <c r="M2117" s="1627">
        <v>7.4689999999999999E-3</v>
      </c>
      <c r="N2117" s="1628">
        <v>1.6149761719017326</v>
      </c>
      <c r="O2117" s="1628"/>
    </row>
    <row r="2118" spans="11:15">
      <c r="K2118" s="1625">
        <v>44175</v>
      </c>
      <c r="L2118" s="1626" t="s">
        <v>2301</v>
      </c>
      <c r="M2118" s="1627">
        <v>7.4689999999999999E-3</v>
      </c>
      <c r="N2118" s="1628">
        <v>1.6150967944720118</v>
      </c>
      <c r="O2118" s="1628"/>
    </row>
    <row r="2119" spans="11:15">
      <c r="K2119" s="1625">
        <v>44176</v>
      </c>
      <c r="L2119" s="1626" t="s">
        <v>2301</v>
      </c>
      <c r="M2119" s="1627">
        <v>7.4689999999999999E-3</v>
      </c>
      <c r="N2119" s="1628">
        <v>1.6152174260515908</v>
      </c>
      <c r="O2119" s="1628"/>
    </row>
    <row r="2120" spans="11:15">
      <c r="K2120" s="1625">
        <v>44177</v>
      </c>
      <c r="L2120" s="1626"/>
      <c r="M2120" s="1627">
        <v>0</v>
      </c>
      <c r="N2120" s="1628">
        <v>1.6152174260515908</v>
      </c>
      <c r="O2120" s="1628"/>
    </row>
    <row r="2121" spans="11:15">
      <c r="K2121" s="1625">
        <v>44178</v>
      </c>
      <c r="L2121" s="1626"/>
      <c r="M2121" s="1627">
        <v>0</v>
      </c>
      <c r="N2121" s="1628">
        <v>1.6152174260515908</v>
      </c>
      <c r="O2121" s="1628"/>
    </row>
    <row r="2122" spans="11:15">
      <c r="K2122" s="1625">
        <v>44179</v>
      </c>
      <c r="L2122" s="1626" t="s">
        <v>2301</v>
      </c>
      <c r="M2122" s="1627">
        <v>7.4689999999999999E-3</v>
      </c>
      <c r="N2122" s="1628">
        <v>1.6153380666411425</v>
      </c>
      <c r="O2122" s="1628"/>
    </row>
    <row r="2123" spans="11:15">
      <c r="K2123" s="1625">
        <v>44180</v>
      </c>
      <c r="L2123" s="1626" t="s">
        <v>2301</v>
      </c>
      <c r="M2123" s="1627">
        <v>7.4689999999999999E-3</v>
      </c>
      <c r="N2123" s="1628">
        <v>1.6154587162413399</v>
      </c>
      <c r="O2123" s="1628"/>
    </row>
    <row r="2124" spans="11:15">
      <c r="K2124" s="1625">
        <v>44181</v>
      </c>
      <c r="L2124" s="1626" t="s">
        <v>2301</v>
      </c>
      <c r="M2124" s="1627">
        <v>7.4689999999999999E-3</v>
      </c>
      <c r="N2124" s="1628">
        <v>1.6155793748528557</v>
      </c>
      <c r="O2124" s="1628"/>
    </row>
    <row r="2125" spans="11:15">
      <c r="K2125" s="1625">
        <v>44182</v>
      </c>
      <c r="L2125" s="1626" t="s">
        <v>2301</v>
      </c>
      <c r="M2125" s="1627">
        <v>7.4689999999999999E-3</v>
      </c>
      <c r="N2125" s="1628">
        <v>1.6157000424763635</v>
      </c>
      <c r="O2125" s="1628"/>
    </row>
    <row r="2126" spans="11:15">
      <c r="K2126" s="1625">
        <v>44183</v>
      </c>
      <c r="L2126" s="1626" t="s">
        <v>2301</v>
      </c>
      <c r="M2126" s="1627">
        <v>7.4689999999999999E-3</v>
      </c>
      <c r="N2126" s="1628">
        <v>1.615820719112536</v>
      </c>
      <c r="O2126" s="1628"/>
    </row>
    <row r="2127" spans="11:15">
      <c r="K2127" s="1625">
        <v>44184</v>
      </c>
      <c r="L2127" s="1626"/>
      <c r="M2127" s="1627">
        <v>0</v>
      </c>
      <c r="N2127" s="1628">
        <v>1.615820719112536</v>
      </c>
      <c r="O2127" s="1628"/>
    </row>
    <row r="2128" spans="11:15">
      <c r="K2128" s="1625">
        <v>44185</v>
      </c>
      <c r="L2128" s="1626"/>
      <c r="M2128" s="1627">
        <v>0</v>
      </c>
      <c r="N2128" s="1628">
        <v>1.615820719112536</v>
      </c>
      <c r="O2128" s="1628"/>
    </row>
    <row r="2129" spans="11:15">
      <c r="K2129" s="1625">
        <v>44186</v>
      </c>
      <c r="L2129" s="1626" t="s">
        <v>2301</v>
      </c>
      <c r="M2129" s="1627">
        <v>7.4689999999999999E-3</v>
      </c>
      <c r="N2129" s="1628">
        <v>1.6159414047620464</v>
      </c>
      <c r="O2129" s="1628"/>
    </row>
    <row r="2130" spans="11:15">
      <c r="K2130" s="1625">
        <v>44187</v>
      </c>
      <c r="L2130" s="1626" t="s">
        <v>2301</v>
      </c>
      <c r="M2130" s="1627">
        <v>7.4689999999999999E-3</v>
      </c>
      <c r="N2130" s="1628">
        <v>1.6160620994255679</v>
      </c>
      <c r="O2130" s="1628"/>
    </row>
    <row r="2131" spans="11:15">
      <c r="K2131" s="1625">
        <v>44188</v>
      </c>
      <c r="L2131" s="1626" t="s">
        <v>2301</v>
      </c>
      <c r="M2131" s="1627">
        <v>7.4689999999999999E-3</v>
      </c>
      <c r="N2131" s="1628">
        <v>1.6161828031037739</v>
      </c>
      <c r="O2131" s="1628"/>
    </row>
    <row r="2132" spans="11:15">
      <c r="K2132" s="1625">
        <v>44189</v>
      </c>
      <c r="L2132" s="1626" t="s">
        <v>2301</v>
      </c>
      <c r="M2132" s="1627">
        <v>7.4689999999999999E-3</v>
      </c>
      <c r="N2132" s="1628">
        <v>1.6163035157973376</v>
      </c>
      <c r="O2132" s="1628"/>
    </row>
    <row r="2133" spans="11:15">
      <c r="K2133" s="1625">
        <v>44190</v>
      </c>
      <c r="L2133" s="1626"/>
      <c r="M2133" s="1627">
        <v>0</v>
      </c>
      <c r="N2133" s="1628">
        <v>1.6163035157973376</v>
      </c>
      <c r="O2133" s="1628"/>
    </row>
    <row r="2134" spans="11:15">
      <c r="K2134" s="1625">
        <v>44191</v>
      </c>
      <c r="L2134" s="1626"/>
      <c r="M2134" s="1627">
        <v>0</v>
      </c>
      <c r="N2134" s="1628">
        <v>1.6163035157973376</v>
      </c>
      <c r="O2134" s="1628"/>
    </row>
    <row r="2135" spans="11:15">
      <c r="K2135" s="1625">
        <v>44192</v>
      </c>
      <c r="L2135" s="1626"/>
      <c r="M2135" s="1627">
        <v>0</v>
      </c>
      <c r="N2135" s="1628">
        <v>1.6163035157973376</v>
      </c>
      <c r="O2135" s="1628"/>
    </row>
    <row r="2136" spans="11:15">
      <c r="K2136" s="1625">
        <v>44193</v>
      </c>
      <c r="L2136" s="1626" t="s">
        <v>2301</v>
      </c>
      <c r="M2136" s="1627">
        <v>7.4689999999999999E-3</v>
      </c>
      <c r="N2136" s="1628">
        <v>1.6164242375069324</v>
      </c>
      <c r="O2136" s="1628"/>
    </row>
    <row r="2137" spans="11:15">
      <c r="K2137" s="1625">
        <v>44194</v>
      </c>
      <c r="L2137" s="1626" t="s">
        <v>2301</v>
      </c>
      <c r="M2137" s="1627">
        <v>7.4689999999999999E-3</v>
      </c>
      <c r="N2137" s="1628">
        <v>1.6165449682332318</v>
      </c>
      <c r="O2137" s="1628"/>
    </row>
    <row r="2138" spans="11:15">
      <c r="K2138" s="1625">
        <v>44195</v>
      </c>
      <c r="L2138" s="1626" t="s">
        <v>2301</v>
      </c>
      <c r="M2138" s="1627">
        <v>7.4689999999999999E-3</v>
      </c>
      <c r="N2138" s="1628">
        <v>1.6166657079769091</v>
      </c>
      <c r="O2138" s="1628"/>
    </row>
    <row r="2139" spans="11:15">
      <c r="K2139" s="1625">
        <v>44196</v>
      </c>
      <c r="L2139" s="1626" t="s">
        <v>2301</v>
      </c>
      <c r="M2139" s="1627">
        <v>7.4689999999999999E-3</v>
      </c>
      <c r="N2139" s="1628">
        <v>1.6167864567386379</v>
      </c>
      <c r="O2139" s="1628"/>
    </row>
    <row r="2140" spans="11:15">
      <c r="K2140" s="1625">
        <v>44197</v>
      </c>
      <c r="L2140" s="1626"/>
      <c r="M2140" s="1627">
        <v>0</v>
      </c>
      <c r="N2140" s="1628">
        <v>1.6167864567386379</v>
      </c>
      <c r="O2140" s="1628"/>
    </row>
    <row r="2141" spans="11:15">
      <c r="K2141" s="1625">
        <v>44198</v>
      </c>
      <c r="L2141" s="1626"/>
      <c r="M2141" s="1627">
        <v>0</v>
      </c>
      <c r="N2141" s="1628">
        <v>1.6167864567386379</v>
      </c>
      <c r="O2141" s="1628"/>
    </row>
    <row r="2142" spans="11:15">
      <c r="K2142" s="1625">
        <v>44199</v>
      </c>
      <c r="L2142" s="1626"/>
      <c r="M2142" s="1627">
        <v>0</v>
      </c>
      <c r="N2142" s="1628">
        <v>1.6167864567386379</v>
      </c>
      <c r="O2142" s="1628"/>
    </row>
    <row r="2143" spans="11:15">
      <c r="K2143" s="1625">
        <v>44200</v>
      </c>
      <c r="L2143" s="1626" t="s">
        <v>2301</v>
      </c>
      <c r="M2143" s="1627">
        <v>7.4689999999999999E-3</v>
      </c>
      <c r="N2143" s="1628">
        <v>1.6169072145190915</v>
      </c>
      <c r="O2143" s="1628"/>
    </row>
    <row r="2144" spans="11:15">
      <c r="K2144" s="1625">
        <v>44201</v>
      </c>
      <c r="L2144" s="1626" t="s">
        <v>2301</v>
      </c>
      <c r="M2144" s="1627">
        <v>7.4689999999999999E-3</v>
      </c>
      <c r="N2144" s="1628">
        <v>1.6170279813189439</v>
      </c>
      <c r="O2144" s="1628"/>
    </row>
    <row r="2145" spans="11:15">
      <c r="K2145" s="1625">
        <v>44202</v>
      </c>
      <c r="L2145" s="1626" t="s">
        <v>2301</v>
      </c>
      <c r="M2145" s="1627">
        <v>7.4689999999999999E-3</v>
      </c>
      <c r="N2145" s="1628">
        <v>1.6171487571388685</v>
      </c>
      <c r="O2145" s="1628"/>
    </row>
    <row r="2146" spans="11:15">
      <c r="K2146" s="1625">
        <v>44203</v>
      </c>
      <c r="L2146" s="1626" t="s">
        <v>2301</v>
      </c>
      <c r="M2146" s="1627">
        <v>7.4689999999999999E-3</v>
      </c>
      <c r="N2146" s="1628">
        <v>1.6172695419795391</v>
      </c>
      <c r="O2146" s="1628"/>
    </row>
    <row r="2147" spans="11:15">
      <c r="K2147" s="1625">
        <v>44204</v>
      </c>
      <c r="L2147" s="1626" t="s">
        <v>2301</v>
      </c>
      <c r="M2147" s="1627">
        <v>7.4689999999999999E-3</v>
      </c>
      <c r="N2147" s="1628">
        <v>1.6173903358416295</v>
      </c>
      <c r="O2147" s="1628"/>
    </row>
    <row r="2148" spans="11:15">
      <c r="K2148" s="1625">
        <v>44205</v>
      </c>
      <c r="L2148" s="1626"/>
      <c r="M2148" s="1627">
        <v>0</v>
      </c>
      <c r="N2148" s="1628">
        <v>1.6173903358416295</v>
      </c>
      <c r="O2148" s="1628"/>
    </row>
    <row r="2149" spans="11:15">
      <c r="K2149" s="1625">
        <v>44206</v>
      </c>
      <c r="L2149" s="1626"/>
      <c r="M2149" s="1627">
        <v>0</v>
      </c>
      <c r="N2149" s="1628">
        <v>1.6173903358416295</v>
      </c>
      <c r="O2149" s="1628"/>
    </row>
    <row r="2150" spans="11:15">
      <c r="K2150" s="1625">
        <v>44207</v>
      </c>
      <c r="L2150" s="1626" t="s">
        <v>2301</v>
      </c>
      <c r="M2150" s="1627">
        <v>7.4689999999999999E-3</v>
      </c>
      <c r="N2150" s="1628">
        <v>1.6175111387258134</v>
      </c>
      <c r="O2150" s="1628"/>
    </row>
    <row r="2151" spans="11:15">
      <c r="K2151" s="1625">
        <v>44208</v>
      </c>
      <c r="L2151" s="1626" t="s">
        <v>2301</v>
      </c>
      <c r="M2151" s="1627">
        <v>7.4689999999999999E-3</v>
      </c>
      <c r="N2151" s="1628">
        <v>1.6176319506327648</v>
      </c>
      <c r="O2151" s="1628"/>
    </row>
    <row r="2152" spans="11:15">
      <c r="K2152" s="1625">
        <v>44209</v>
      </c>
      <c r="L2152" s="1626" t="s">
        <v>2301</v>
      </c>
      <c r="M2152" s="1627">
        <v>7.4689999999999999E-3</v>
      </c>
      <c r="N2152" s="1628">
        <v>1.6177527715631574</v>
      </c>
      <c r="O2152" s="1628"/>
    </row>
    <row r="2153" spans="11:15">
      <c r="K2153" s="1625">
        <v>44210</v>
      </c>
      <c r="L2153" s="1626" t="s">
        <v>2301</v>
      </c>
      <c r="M2153" s="1627">
        <v>7.4689999999999999E-3</v>
      </c>
      <c r="N2153" s="1628">
        <v>1.6178736015176653</v>
      </c>
      <c r="O2153" s="1628"/>
    </row>
    <row r="2154" spans="11:15">
      <c r="K2154" s="1625">
        <v>44211</v>
      </c>
      <c r="L2154" s="1626" t="s">
        <v>2301</v>
      </c>
      <c r="M2154" s="1627">
        <v>7.4689999999999999E-3</v>
      </c>
      <c r="N2154" s="1628">
        <v>1.6179944404969626</v>
      </c>
      <c r="O2154" s="1628"/>
    </row>
    <row r="2155" spans="11:15">
      <c r="K2155" s="1625">
        <v>44212</v>
      </c>
      <c r="L2155" s="1626"/>
      <c r="M2155" s="1627">
        <v>0</v>
      </c>
      <c r="N2155" s="1628">
        <v>1.6179944404969626</v>
      </c>
      <c r="O2155" s="1628"/>
    </row>
    <row r="2156" spans="11:15">
      <c r="K2156" s="1625">
        <v>44213</v>
      </c>
      <c r="L2156" s="1626"/>
      <c r="M2156" s="1627">
        <v>0</v>
      </c>
      <c r="N2156" s="1628">
        <v>1.6179944404969626</v>
      </c>
      <c r="O2156" s="1628"/>
    </row>
    <row r="2157" spans="11:15">
      <c r="K2157" s="1625">
        <v>44214</v>
      </c>
      <c r="L2157" s="1626" t="s">
        <v>2301</v>
      </c>
      <c r="M2157" s="1627">
        <v>7.4689999999999999E-3</v>
      </c>
      <c r="N2157" s="1628">
        <v>1.6181152885017231</v>
      </c>
      <c r="O2157" s="1628"/>
    </row>
    <row r="2158" spans="11:15">
      <c r="K2158" s="1625">
        <v>44215</v>
      </c>
      <c r="L2158" s="1626" t="s">
        <v>2301</v>
      </c>
      <c r="M2158" s="1627">
        <v>7.4689999999999999E-3</v>
      </c>
      <c r="N2158" s="1628">
        <v>1.6182361455326213</v>
      </c>
      <c r="O2158" s="1628"/>
    </row>
    <row r="2159" spans="11:15">
      <c r="K2159" s="1625">
        <v>44216</v>
      </c>
      <c r="L2159" s="1626" t="s">
        <v>2301</v>
      </c>
      <c r="M2159" s="1627">
        <v>7.4689999999999999E-3</v>
      </c>
      <c r="N2159" s="1628">
        <v>1.618357011590331</v>
      </c>
      <c r="O2159" s="1628"/>
    </row>
    <row r="2160" spans="11:15">
      <c r="K2160" s="1625">
        <v>44217</v>
      </c>
      <c r="L2160" s="1626" t="s">
        <v>2301</v>
      </c>
      <c r="M2160" s="1627">
        <v>7.4689999999999999E-3</v>
      </c>
      <c r="N2160" s="1628">
        <v>1.6184778866755265</v>
      </c>
      <c r="O2160" s="1628"/>
    </row>
    <row r="2161" spans="11:15">
      <c r="K2161" s="1625">
        <v>44218</v>
      </c>
      <c r="L2161" s="1626" t="s">
        <v>2301</v>
      </c>
      <c r="M2161" s="1627">
        <v>7.4689999999999999E-3</v>
      </c>
      <c r="N2161" s="1628">
        <v>1.6185987707888823</v>
      </c>
      <c r="O2161" s="1628"/>
    </row>
    <row r="2162" spans="11:15">
      <c r="K2162" s="1625">
        <v>44219</v>
      </c>
      <c r="L2162" s="1626"/>
      <c r="M2162" s="1627">
        <v>0</v>
      </c>
      <c r="N2162" s="1628">
        <v>1.6185987707888823</v>
      </c>
      <c r="O2162" s="1628"/>
    </row>
    <row r="2163" spans="11:15">
      <c r="K2163" s="1625">
        <v>44220</v>
      </c>
      <c r="L2163" s="1626"/>
      <c r="M2163" s="1627">
        <v>0</v>
      </c>
      <c r="N2163" s="1628">
        <v>1.6185987707888823</v>
      </c>
      <c r="O2163" s="1628"/>
    </row>
    <row r="2164" spans="11:15">
      <c r="K2164" s="1625">
        <v>44221</v>
      </c>
      <c r="L2164" s="1626" t="s">
        <v>2301</v>
      </c>
      <c r="M2164" s="1627">
        <v>7.4689999999999999E-3</v>
      </c>
      <c r="N2164" s="1628">
        <v>1.6187196639310724</v>
      </c>
      <c r="O2164" s="1628"/>
    </row>
    <row r="2165" spans="11:15">
      <c r="K2165" s="1625">
        <v>44222</v>
      </c>
      <c r="L2165" s="1626" t="s">
        <v>2301</v>
      </c>
      <c r="M2165" s="1627">
        <v>7.4689999999999999E-3</v>
      </c>
      <c r="N2165" s="1628">
        <v>1.6188405661027712</v>
      </c>
      <c r="O2165" s="1628"/>
    </row>
    <row r="2166" spans="11:15">
      <c r="K2166" s="1625">
        <v>44223</v>
      </c>
      <c r="L2166" s="1626" t="s">
        <v>2301</v>
      </c>
      <c r="M2166" s="1627">
        <v>7.4689999999999999E-3</v>
      </c>
      <c r="N2166" s="1628">
        <v>1.6189614773046532</v>
      </c>
      <c r="O2166" s="1628"/>
    </row>
    <row r="2167" spans="11:15">
      <c r="K2167" s="1625">
        <v>44224</v>
      </c>
      <c r="L2167" s="1626" t="s">
        <v>2301</v>
      </c>
      <c r="M2167" s="1627">
        <v>7.4689999999999999E-3</v>
      </c>
      <c r="N2167" s="1628">
        <v>1.6190823975373929</v>
      </c>
      <c r="O2167" s="1628"/>
    </row>
    <row r="2168" spans="11:15">
      <c r="K2168" s="1625">
        <v>44225</v>
      </c>
      <c r="L2168" s="1626" t="s">
        <v>2301</v>
      </c>
      <c r="M2168" s="1627">
        <v>7.4689999999999999E-3</v>
      </c>
      <c r="N2168" s="1628">
        <v>1.6192033268016648</v>
      </c>
      <c r="O2168" s="1628"/>
    </row>
    <row r="2169" spans="11:15">
      <c r="K2169" s="1625">
        <v>44226</v>
      </c>
      <c r="L2169" s="1626"/>
      <c r="M2169" s="1627">
        <v>0</v>
      </c>
      <c r="N2169" s="1628">
        <v>1.6192033268016648</v>
      </c>
      <c r="O2169" s="1628"/>
    </row>
    <row r="2170" spans="11:15">
      <c r="K2170" s="1625">
        <v>44227</v>
      </c>
      <c r="L2170" s="1626"/>
      <c r="M2170" s="1627">
        <v>0</v>
      </c>
      <c r="N2170" s="1628">
        <v>1.6192033268016648</v>
      </c>
      <c r="O2170" s="1628"/>
    </row>
    <row r="2171" spans="11:15">
      <c r="K2171" s="1625">
        <v>44228</v>
      </c>
      <c r="L2171" s="1626" t="s">
        <v>2301</v>
      </c>
      <c r="M2171" s="1627">
        <v>7.4689999999999999E-3</v>
      </c>
      <c r="N2171" s="1628">
        <v>1.6193242650981434</v>
      </c>
      <c r="O2171" s="1628"/>
    </row>
    <row r="2172" spans="11:15">
      <c r="K2172" s="1625">
        <v>44229</v>
      </c>
      <c r="L2172" s="1626" t="s">
        <v>2301</v>
      </c>
      <c r="M2172" s="1627">
        <v>7.4689999999999999E-3</v>
      </c>
      <c r="N2172" s="1628">
        <v>1.6194452124275034</v>
      </c>
      <c r="O2172" s="1628"/>
    </row>
    <row r="2173" spans="11:15">
      <c r="K2173" s="1625">
        <v>44230</v>
      </c>
      <c r="L2173" s="1626" t="s">
        <v>2301</v>
      </c>
      <c r="M2173" s="1627">
        <v>7.4689999999999999E-3</v>
      </c>
      <c r="N2173" s="1628">
        <v>1.6195661687904195</v>
      </c>
      <c r="O2173" s="1628"/>
    </row>
    <row r="2174" spans="11:15">
      <c r="K2174" s="1625">
        <v>44231</v>
      </c>
      <c r="L2174" s="1626" t="s">
        <v>2301</v>
      </c>
      <c r="M2174" s="1627">
        <v>7.4689999999999999E-3</v>
      </c>
      <c r="N2174" s="1628">
        <v>1.6196871341875663</v>
      </c>
      <c r="O2174" s="1628"/>
    </row>
    <row r="2175" spans="11:15">
      <c r="K2175" s="1625">
        <v>44232</v>
      </c>
      <c r="L2175" s="1626" t="s">
        <v>2301</v>
      </c>
      <c r="M2175" s="1627">
        <v>7.4689999999999999E-3</v>
      </c>
      <c r="N2175" s="1628">
        <v>1.6198081086196185</v>
      </c>
      <c r="O2175" s="1628"/>
    </row>
    <row r="2176" spans="11:15">
      <c r="K2176" s="1625">
        <v>44233</v>
      </c>
      <c r="L2176" s="1626"/>
      <c r="M2176" s="1627">
        <v>0</v>
      </c>
      <c r="N2176" s="1628">
        <v>1.6198081086196185</v>
      </c>
      <c r="O2176" s="1628"/>
    </row>
    <row r="2177" spans="11:15">
      <c r="K2177" s="1625">
        <v>44234</v>
      </c>
      <c r="L2177" s="1626"/>
      <c r="M2177" s="1627">
        <v>0</v>
      </c>
      <c r="N2177" s="1628">
        <v>1.6198081086196185</v>
      </c>
      <c r="O2177" s="1628"/>
    </row>
    <row r="2178" spans="11:15">
      <c r="K2178" s="1625">
        <v>44235</v>
      </c>
      <c r="L2178" s="1626" t="s">
        <v>2301</v>
      </c>
      <c r="M2178" s="1627">
        <v>7.4689999999999999E-3</v>
      </c>
      <c r="N2178" s="1628">
        <v>1.6199290920872513</v>
      </c>
      <c r="O2178" s="1628"/>
    </row>
    <row r="2179" spans="11:15">
      <c r="K2179" s="1625">
        <v>44236</v>
      </c>
      <c r="L2179" s="1626" t="s">
        <v>2301</v>
      </c>
      <c r="M2179" s="1627">
        <v>7.4689999999999999E-3</v>
      </c>
      <c r="N2179" s="1628">
        <v>1.6200500845911392</v>
      </c>
      <c r="O2179" s="1628"/>
    </row>
    <row r="2180" spans="11:15">
      <c r="K2180" s="1625">
        <v>44237</v>
      </c>
      <c r="L2180" s="1626" t="s">
        <v>2301</v>
      </c>
      <c r="M2180" s="1627">
        <v>7.4689999999999999E-3</v>
      </c>
      <c r="N2180" s="1628">
        <v>1.6201710861319571</v>
      </c>
      <c r="O2180" s="1628"/>
    </row>
    <row r="2181" spans="11:15">
      <c r="K2181" s="1625">
        <v>44238</v>
      </c>
      <c r="L2181" s="1626" t="s">
        <v>2301</v>
      </c>
      <c r="M2181" s="1627">
        <v>7.4689999999999999E-3</v>
      </c>
      <c r="N2181" s="1628">
        <v>1.6202920967103802</v>
      </c>
      <c r="O2181" s="1628"/>
    </row>
    <row r="2182" spans="11:15">
      <c r="K2182" s="1625">
        <v>44239</v>
      </c>
      <c r="L2182" s="1626" t="s">
        <v>2301</v>
      </c>
      <c r="M2182" s="1627">
        <v>7.4689999999999999E-3</v>
      </c>
      <c r="N2182" s="1628">
        <v>1.6204131163270834</v>
      </c>
      <c r="O2182" s="1628"/>
    </row>
    <row r="2183" spans="11:15">
      <c r="K2183" s="1625">
        <v>44240</v>
      </c>
      <c r="L2183" s="1626"/>
      <c r="M2183" s="1627">
        <v>0</v>
      </c>
      <c r="N2183" s="1628">
        <v>1.6204131163270834</v>
      </c>
      <c r="O2183" s="1628"/>
    </row>
    <row r="2184" spans="11:15">
      <c r="K2184" s="1625">
        <v>44241</v>
      </c>
      <c r="L2184" s="1626"/>
      <c r="M2184" s="1627">
        <v>0</v>
      </c>
      <c r="N2184" s="1628">
        <v>1.6204131163270834</v>
      </c>
      <c r="O2184" s="1628"/>
    </row>
    <row r="2185" spans="11:15">
      <c r="K2185" s="1625">
        <v>44242</v>
      </c>
      <c r="L2185" s="1626"/>
      <c r="M2185" s="1627">
        <v>0</v>
      </c>
      <c r="N2185" s="1628">
        <v>1.6204131163270834</v>
      </c>
      <c r="O2185" s="1628"/>
    </row>
    <row r="2186" spans="11:15">
      <c r="K2186" s="1625">
        <v>44243</v>
      </c>
      <c r="L2186" s="1626"/>
      <c r="M2186" s="1627">
        <v>0</v>
      </c>
      <c r="N2186" s="1628">
        <v>1.6204131163270834</v>
      </c>
      <c r="O2186" s="1628"/>
    </row>
    <row r="2187" spans="11:15">
      <c r="K2187" s="1625">
        <v>44244</v>
      </c>
      <c r="L2187" s="1626" t="s">
        <v>2301</v>
      </c>
      <c r="M2187" s="1627">
        <v>7.4689999999999999E-3</v>
      </c>
      <c r="N2187" s="1628">
        <v>1.6205341449827417</v>
      </c>
      <c r="O2187" s="1628"/>
    </row>
    <row r="2188" spans="11:15">
      <c r="K2188" s="1625">
        <v>44245</v>
      </c>
      <c r="L2188" s="1626" t="s">
        <v>2301</v>
      </c>
      <c r="M2188" s="1627">
        <v>7.4689999999999999E-3</v>
      </c>
      <c r="N2188" s="1628">
        <v>1.6206551826780304</v>
      </c>
      <c r="O2188" s="1628"/>
    </row>
    <row r="2189" spans="11:15">
      <c r="K2189" s="1625">
        <v>44246</v>
      </c>
      <c r="L2189" s="1626" t="s">
        <v>2301</v>
      </c>
      <c r="M2189" s="1627">
        <v>7.4689999999999999E-3</v>
      </c>
      <c r="N2189" s="1628">
        <v>1.6207762294136245</v>
      </c>
      <c r="O2189" s="1628"/>
    </row>
    <row r="2190" spans="11:15">
      <c r="K2190" s="1625">
        <v>44247</v>
      </c>
      <c r="L2190" s="1626"/>
      <c r="M2190" s="1627">
        <v>0</v>
      </c>
      <c r="N2190" s="1628">
        <v>1.6207762294136245</v>
      </c>
      <c r="O2190" s="1628"/>
    </row>
    <row r="2191" spans="11:15">
      <c r="K2191" s="1625">
        <v>44248</v>
      </c>
      <c r="L2191" s="1626"/>
      <c r="M2191" s="1627">
        <v>0</v>
      </c>
      <c r="N2191" s="1628">
        <v>1.6207762294136245</v>
      </c>
      <c r="O2191" s="1628"/>
    </row>
    <row r="2192" spans="11:15">
      <c r="K2192" s="1625">
        <v>44249</v>
      </c>
      <c r="L2192" s="1626" t="s">
        <v>2301</v>
      </c>
      <c r="M2192" s="1627">
        <v>7.4689999999999999E-3</v>
      </c>
      <c r="N2192" s="1628">
        <v>1.6208972851901993</v>
      </c>
      <c r="O2192" s="1628"/>
    </row>
    <row r="2193" spans="11:15">
      <c r="K2193" s="1625">
        <v>44250</v>
      </c>
      <c r="L2193" s="1626" t="s">
        <v>2301</v>
      </c>
      <c r="M2193" s="1627">
        <v>7.4689999999999999E-3</v>
      </c>
      <c r="N2193" s="1628">
        <v>1.6210183500084301</v>
      </c>
      <c r="O2193" s="1628"/>
    </row>
    <row r="2194" spans="11:15">
      <c r="K2194" s="1625">
        <v>44251</v>
      </c>
      <c r="L2194" s="1626" t="s">
        <v>2301</v>
      </c>
      <c r="M2194" s="1627">
        <v>7.4689999999999999E-3</v>
      </c>
      <c r="N2194" s="1628">
        <v>1.621139423868992</v>
      </c>
      <c r="O2194" s="1628"/>
    </row>
    <row r="2195" spans="11:15">
      <c r="K2195" s="1625">
        <v>44252</v>
      </c>
      <c r="L2195" s="1626" t="s">
        <v>2301</v>
      </c>
      <c r="M2195" s="1627">
        <v>7.4689999999999999E-3</v>
      </c>
      <c r="N2195" s="1628">
        <v>1.6212605067725607</v>
      </c>
      <c r="O2195" s="1628"/>
    </row>
    <row r="2196" spans="11:15">
      <c r="K2196" s="1625">
        <v>44253</v>
      </c>
      <c r="L2196" s="1626" t="s">
        <v>2301</v>
      </c>
      <c r="M2196" s="1627">
        <v>7.4689999999999999E-3</v>
      </c>
      <c r="N2196" s="1628">
        <v>1.6213815987198115</v>
      </c>
      <c r="O2196" s="1628"/>
    </row>
    <row r="2197" spans="11:15">
      <c r="K2197" s="1625">
        <v>44254</v>
      </c>
      <c r="L2197" s="1626"/>
      <c r="M2197" s="1627">
        <v>0</v>
      </c>
      <c r="N2197" s="1628">
        <v>1.6213815987198115</v>
      </c>
      <c r="O2197" s="1628"/>
    </row>
    <row r="2198" spans="11:15">
      <c r="K2198" s="1625">
        <v>44255</v>
      </c>
      <c r="L2198" s="1626"/>
      <c r="M2198" s="1627">
        <v>0</v>
      </c>
      <c r="N2198" s="1628">
        <v>1.6213815987198115</v>
      </c>
      <c r="O2198" s="1628"/>
    </row>
    <row r="2199" spans="11:15">
      <c r="K2199" s="1625">
        <v>44256</v>
      </c>
      <c r="L2199" s="1626" t="s">
        <v>2301</v>
      </c>
      <c r="M2199" s="1627">
        <v>7.4689999999999999E-3</v>
      </c>
      <c r="N2199" s="1628">
        <v>1.6215026997114197</v>
      </c>
      <c r="O2199" s="1628"/>
    </row>
    <row r="2200" spans="11:15">
      <c r="K2200" s="1625">
        <v>44257</v>
      </c>
      <c r="L2200" s="1626" t="s">
        <v>2301</v>
      </c>
      <c r="M2200" s="1627">
        <v>7.4689999999999999E-3</v>
      </c>
      <c r="N2200" s="1628">
        <v>1.6216238097480611</v>
      </c>
      <c r="O2200" s="1628"/>
    </row>
    <row r="2201" spans="11:15">
      <c r="K2201" s="1625">
        <v>44258</v>
      </c>
      <c r="L2201" s="1626" t="s">
        <v>2301</v>
      </c>
      <c r="M2201" s="1627">
        <v>7.4689999999999999E-3</v>
      </c>
      <c r="N2201" s="1628">
        <v>1.6217449288304111</v>
      </c>
      <c r="O2201" s="1628"/>
    </row>
    <row r="2202" spans="11:15">
      <c r="K2202" s="1625">
        <v>44259</v>
      </c>
      <c r="L2202" s="1626" t="s">
        <v>2301</v>
      </c>
      <c r="M2202" s="1627">
        <v>7.4689999999999999E-3</v>
      </c>
      <c r="N2202" s="1628">
        <v>1.6218660569591454</v>
      </c>
      <c r="O2202" s="1628"/>
    </row>
    <row r="2203" spans="11:15">
      <c r="K2203" s="1625">
        <v>44260</v>
      </c>
      <c r="L2203" s="1626" t="s">
        <v>2301</v>
      </c>
      <c r="M2203" s="1627">
        <v>7.4689999999999999E-3</v>
      </c>
      <c r="N2203" s="1628">
        <v>1.6219871941349395</v>
      </c>
      <c r="O2203" s="1628"/>
    </row>
    <row r="2204" spans="11:15">
      <c r="K2204" s="1625">
        <v>44261</v>
      </c>
      <c r="L2204" s="1626"/>
      <c r="M2204" s="1627">
        <v>0</v>
      </c>
      <c r="N2204" s="1628">
        <v>1.6219871941349395</v>
      </c>
      <c r="O2204" s="1628"/>
    </row>
    <row r="2205" spans="11:15">
      <c r="K2205" s="1625">
        <v>44262</v>
      </c>
      <c r="L2205" s="1626"/>
      <c r="M2205" s="1627">
        <v>0</v>
      </c>
      <c r="N2205" s="1628">
        <v>1.6219871941349395</v>
      </c>
      <c r="O2205" s="1628"/>
    </row>
    <row r="2206" spans="11:15">
      <c r="K2206" s="1625">
        <v>44263</v>
      </c>
      <c r="L2206" s="1626" t="s">
        <v>2301</v>
      </c>
      <c r="M2206" s="1627">
        <v>7.4689999999999999E-3</v>
      </c>
      <c r="N2206" s="1628">
        <v>1.6221083403584693</v>
      </c>
      <c r="O2206" s="1628"/>
    </row>
    <row r="2207" spans="11:15">
      <c r="K2207" s="1625">
        <v>44264</v>
      </c>
      <c r="L2207" s="1626" t="s">
        <v>2301</v>
      </c>
      <c r="M2207" s="1627">
        <v>7.4689999999999999E-3</v>
      </c>
      <c r="N2207" s="1628">
        <v>1.6222294956304106</v>
      </c>
      <c r="O2207" s="1628"/>
    </row>
    <row r="2208" spans="11:15">
      <c r="K2208" s="1625">
        <v>44265</v>
      </c>
      <c r="L2208" s="1626" t="s">
        <v>2301</v>
      </c>
      <c r="M2208" s="1627">
        <v>7.4689999999999999E-3</v>
      </c>
      <c r="N2208" s="1628">
        <v>1.6223506599514392</v>
      </c>
      <c r="O2208" s="1628"/>
    </row>
    <row r="2209" spans="11:15">
      <c r="K2209" s="1625">
        <v>44266</v>
      </c>
      <c r="L2209" s="1626" t="s">
        <v>2301</v>
      </c>
      <c r="M2209" s="1627">
        <v>7.4689999999999999E-3</v>
      </c>
      <c r="N2209" s="1628">
        <v>1.622471833322231</v>
      </c>
      <c r="O2209" s="1628"/>
    </row>
    <row r="2210" spans="11:15">
      <c r="K2210" s="1625">
        <v>44267</v>
      </c>
      <c r="L2210" s="1626" t="s">
        <v>2301</v>
      </c>
      <c r="M2210" s="1627">
        <v>7.4689999999999999E-3</v>
      </c>
      <c r="N2210" s="1628">
        <v>1.6225930157434618</v>
      </c>
      <c r="O2210" s="1628"/>
    </row>
    <row r="2211" spans="11:15">
      <c r="K2211" s="1625">
        <v>44268</v>
      </c>
      <c r="L2211" s="1626"/>
      <c r="M2211" s="1627">
        <v>0</v>
      </c>
      <c r="N2211" s="1628">
        <v>1.6225930157434618</v>
      </c>
      <c r="O2211" s="1628"/>
    </row>
    <row r="2212" spans="11:15">
      <c r="K2212" s="1625">
        <v>44269</v>
      </c>
      <c r="L2212" s="1626"/>
      <c r="M2212" s="1627">
        <v>0</v>
      </c>
      <c r="N2212" s="1628">
        <v>1.6225930157434618</v>
      </c>
      <c r="O2212" s="1628"/>
    </row>
    <row r="2213" spans="11:15">
      <c r="K2213" s="1625">
        <v>44270</v>
      </c>
      <c r="L2213" s="1626" t="s">
        <v>2301</v>
      </c>
      <c r="M2213" s="1627">
        <v>7.4689999999999999E-3</v>
      </c>
      <c r="N2213" s="1628">
        <v>1.6227142072158076</v>
      </c>
      <c r="O2213" s="1628"/>
    </row>
    <row r="2214" spans="11:15">
      <c r="K2214" s="1625">
        <v>44271</v>
      </c>
      <c r="L2214" s="1626" t="s">
        <v>2301</v>
      </c>
      <c r="M2214" s="1627">
        <v>7.4689999999999999E-3</v>
      </c>
      <c r="N2214" s="1628">
        <v>1.6228354077399445</v>
      </c>
      <c r="O2214" s="1628"/>
    </row>
    <row r="2215" spans="11:15">
      <c r="K2215" s="1625">
        <v>44272</v>
      </c>
      <c r="L2215" s="1626" t="s">
        <v>2301</v>
      </c>
      <c r="M2215" s="1627">
        <v>7.4689999999999999E-3</v>
      </c>
      <c r="N2215" s="1628">
        <v>1.6229566173165484</v>
      </c>
      <c r="O2215" s="1628"/>
    </row>
    <row r="2216" spans="11:15">
      <c r="K2216" s="1625">
        <v>44273</v>
      </c>
      <c r="L2216" s="1626" t="s">
        <v>2301</v>
      </c>
      <c r="M2216" s="1627">
        <v>1.0378999999999999E-2</v>
      </c>
      <c r="N2216" s="1628">
        <v>1.6231250639838597</v>
      </c>
      <c r="O2216" s="1628"/>
    </row>
    <row r="2217" spans="11:15">
      <c r="K2217" s="1625">
        <v>44274</v>
      </c>
      <c r="L2217" s="1626" t="s">
        <v>2301</v>
      </c>
      <c r="M2217" s="1627">
        <v>1.0378999999999999E-2</v>
      </c>
      <c r="N2217" s="1628">
        <v>1.6232935281342507</v>
      </c>
      <c r="O2217" s="1628"/>
    </row>
    <row r="2218" spans="11:15">
      <c r="K2218" s="1625">
        <v>44275</v>
      </c>
      <c r="L2218" s="1626"/>
      <c r="M2218" s="1627">
        <v>0</v>
      </c>
      <c r="N2218" s="1628">
        <v>1.6232935281342507</v>
      </c>
      <c r="O2218" s="1628"/>
    </row>
    <row r="2219" spans="11:15">
      <c r="K2219" s="1625">
        <v>44276</v>
      </c>
      <c r="L2219" s="1626"/>
      <c r="M2219" s="1627">
        <v>0</v>
      </c>
      <c r="N2219" s="1628">
        <v>1.6232935281342507</v>
      </c>
      <c r="O2219" s="1628"/>
    </row>
    <row r="2220" spans="11:15">
      <c r="K2220" s="1625">
        <v>44277</v>
      </c>
      <c r="L2220" s="1626" t="s">
        <v>2301</v>
      </c>
      <c r="M2220" s="1627">
        <v>1.0378999999999999E-2</v>
      </c>
      <c r="N2220" s="1628">
        <v>1.6234620097695358</v>
      </c>
      <c r="O2220" s="1628"/>
    </row>
    <row r="2221" spans="11:15">
      <c r="K2221" s="1625">
        <v>44278</v>
      </c>
      <c r="L2221" s="1626" t="s">
        <v>2301</v>
      </c>
      <c r="M2221" s="1627">
        <v>1.0378999999999999E-2</v>
      </c>
      <c r="N2221" s="1628">
        <v>1.6236305088915299</v>
      </c>
      <c r="O2221" s="1628"/>
    </row>
    <row r="2222" spans="11:15">
      <c r="K2222" s="1625">
        <v>44279</v>
      </c>
      <c r="L2222" s="1626" t="s">
        <v>2301</v>
      </c>
      <c r="M2222" s="1627">
        <v>1.0378999999999999E-2</v>
      </c>
      <c r="N2222" s="1628">
        <v>1.6237990255020478</v>
      </c>
      <c r="O2222" s="1628"/>
    </row>
    <row r="2223" spans="11:15">
      <c r="K2223" s="1625">
        <v>44280</v>
      </c>
      <c r="L2223" s="1626" t="s">
        <v>2301</v>
      </c>
      <c r="M2223" s="1627">
        <v>1.0378999999999999E-2</v>
      </c>
      <c r="N2223" s="1628">
        <v>1.6239675596029048</v>
      </c>
      <c r="O2223" s="1628"/>
    </row>
    <row r="2224" spans="11:15">
      <c r="K2224" s="1625">
        <v>44281</v>
      </c>
      <c r="L2224" s="1626" t="s">
        <v>2301</v>
      </c>
      <c r="M2224" s="1627">
        <v>1.0378999999999999E-2</v>
      </c>
      <c r="N2224" s="1628">
        <v>1.6241361111959161</v>
      </c>
      <c r="O2224" s="1628"/>
    </row>
    <row r="2225" spans="11:15">
      <c r="K2225" s="1625">
        <v>44282</v>
      </c>
      <c r="L2225" s="1626"/>
      <c r="M2225" s="1627">
        <v>0</v>
      </c>
      <c r="N2225" s="1628">
        <v>1.6241361111959161</v>
      </c>
      <c r="O2225" s="1628"/>
    </row>
    <row r="2226" spans="11:15">
      <c r="K2226" s="1625">
        <v>44283</v>
      </c>
      <c r="L2226" s="1626"/>
      <c r="M2226" s="1627">
        <v>0</v>
      </c>
      <c r="N2226" s="1628">
        <v>1.6241361111959161</v>
      </c>
      <c r="O2226" s="1628"/>
    </row>
    <row r="2227" spans="11:15">
      <c r="K2227" s="1625">
        <v>44284</v>
      </c>
      <c r="L2227" s="1626" t="s">
        <v>2301</v>
      </c>
      <c r="M2227" s="1627">
        <v>1.0378999999999999E-2</v>
      </c>
      <c r="N2227" s="1628">
        <v>1.6243046802828971</v>
      </c>
      <c r="O2227" s="1628"/>
    </row>
    <row r="2228" spans="11:15">
      <c r="K2228" s="1625">
        <v>44285</v>
      </c>
      <c r="L2228" s="1626" t="s">
        <v>2301</v>
      </c>
      <c r="M2228" s="1627">
        <v>1.0378999999999999E-2</v>
      </c>
      <c r="N2228" s="1628">
        <v>1.6244732668656638</v>
      </c>
      <c r="O2228" s="1628"/>
    </row>
    <row r="2229" spans="11:15">
      <c r="K2229" s="1625">
        <v>44286</v>
      </c>
      <c r="L2229" s="1626" t="s">
        <v>2301</v>
      </c>
      <c r="M2229" s="1627">
        <v>1.0378999999999999E-2</v>
      </c>
      <c r="N2229" s="1628">
        <v>1.624641870946032</v>
      </c>
      <c r="O2229" s="1628"/>
    </row>
    <row r="2230" spans="11:15">
      <c r="K2230" s="1625">
        <v>44287</v>
      </c>
      <c r="L2230" s="1626" t="s">
        <v>2301</v>
      </c>
      <c r="M2230" s="1627">
        <v>1.0378999999999999E-2</v>
      </c>
      <c r="N2230" s="1628">
        <v>1.6248104925258176</v>
      </c>
      <c r="O2230" s="1628"/>
    </row>
    <row r="2231" spans="11:15">
      <c r="K2231" s="1625">
        <v>44288</v>
      </c>
      <c r="L2231" s="1626"/>
      <c r="M2231" s="1627">
        <v>0</v>
      </c>
      <c r="N2231" s="1628">
        <v>1.6248104925258176</v>
      </c>
      <c r="O2231" s="1628"/>
    </row>
    <row r="2232" spans="11:15">
      <c r="K2232" s="1625">
        <v>44289</v>
      </c>
      <c r="L2232" s="1626"/>
      <c r="M2232" s="1627">
        <v>0</v>
      </c>
      <c r="N2232" s="1628">
        <v>1.6248104925258176</v>
      </c>
      <c r="O2232" s="1628"/>
    </row>
    <row r="2233" spans="11:15">
      <c r="K2233" s="1625">
        <v>44290</v>
      </c>
      <c r="L2233" s="1626"/>
      <c r="M2233" s="1627">
        <v>0</v>
      </c>
      <c r="N2233" s="1628">
        <v>1.6248104925258176</v>
      </c>
      <c r="O2233" s="1628"/>
    </row>
    <row r="2234" spans="11:15">
      <c r="K2234" s="1625">
        <v>44291</v>
      </c>
      <c r="L2234" s="1626" t="s">
        <v>2301</v>
      </c>
      <c r="M2234" s="1627">
        <v>1.0378999999999999E-2</v>
      </c>
      <c r="N2234" s="1628">
        <v>1.6249791316068369</v>
      </c>
      <c r="O2234" s="1628"/>
    </row>
    <row r="2235" spans="11:15">
      <c r="K2235" s="1625">
        <v>44292</v>
      </c>
      <c r="L2235" s="1626" t="s">
        <v>2301</v>
      </c>
      <c r="M2235" s="1627">
        <v>1.0378999999999999E-2</v>
      </c>
      <c r="N2235" s="1628">
        <v>1.6251477881909064</v>
      </c>
      <c r="O2235" s="1628"/>
    </row>
    <row r="2236" spans="11:15">
      <c r="K2236" s="1625">
        <v>44293</v>
      </c>
      <c r="L2236" s="1626" t="s">
        <v>2301</v>
      </c>
      <c r="M2236" s="1627">
        <v>1.0378999999999999E-2</v>
      </c>
      <c r="N2236" s="1628">
        <v>1.6253164622798428</v>
      </c>
      <c r="O2236" s="1628"/>
    </row>
    <row r="2237" spans="11:15">
      <c r="K2237" s="1625">
        <v>44294</v>
      </c>
      <c r="L2237" s="1626" t="s">
        <v>2301</v>
      </c>
      <c r="M2237" s="1627">
        <v>1.0378999999999999E-2</v>
      </c>
      <c r="N2237" s="1628">
        <v>1.6254851538754629</v>
      </c>
      <c r="O2237" s="1628"/>
    </row>
    <row r="2238" spans="11:15">
      <c r="K2238" s="1625">
        <v>44295</v>
      </c>
      <c r="L2238" s="1626" t="s">
        <v>2301</v>
      </c>
      <c r="M2238" s="1627">
        <v>1.0378999999999999E-2</v>
      </c>
      <c r="N2238" s="1628">
        <v>1.6256538629795838</v>
      </c>
      <c r="O2238" s="1628"/>
    </row>
    <row r="2239" spans="11:15">
      <c r="K2239" s="1625">
        <v>44296</v>
      </c>
      <c r="L2239" s="1626"/>
      <c r="M2239" s="1627">
        <v>0</v>
      </c>
      <c r="N2239" s="1628">
        <v>1.6256538629795838</v>
      </c>
      <c r="O2239" s="1628"/>
    </row>
    <row r="2240" spans="11:15">
      <c r="K2240" s="1625">
        <v>44297</v>
      </c>
      <c r="L2240" s="1626"/>
      <c r="M2240" s="1627">
        <v>0</v>
      </c>
      <c r="N2240" s="1628">
        <v>1.6256538629795838</v>
      </c>
      <c r="O2240" s="1628"/>
    </row>
    <row r="2241" spans="11:15">
      <c r="K2241" s="1625">
        <v>44298</v>
      </c>
      <c r="L2241" s="1626" t="s">
        <v>2301</v>
      </c>
      <c r="M2241" s="1627">
        <v>1.0378999999999999E-2</v>
      </c>
      <c r="N2241" s="1628">
        <v>1.6258225895940226</v>
      </c>
      <c r="O2241" s="1628"/>
    </row>
    <row r="2242" spans="11:15">
      <c r="K2242" s="1625">
        <v>44299</v>
      </c>
      <c r="L2242" s="1626" t="s">
        <v>2301</v>
      </c>
      <c r="M2242" s="1627">
        <v>1.0378999999999999E-2</v>
      </c>
      <c r="N2242" s="1628">
        <v>1.6259913337205967</v>
      </c>
      <c r="O2242" s="1628"/>
    </row>
    <row r="2243" spans="11:15">
      <c r="K2243" s="1625">
        <v>44300</v>
      </c>
      <c r="L2243" s="1626" t="s">
        <v>2301</v>
      </c>
      <c r="M2243" s="1627">
        <v>1.0378999999999999E-2</v>
      </c>
      <c r="N2243" s="1628">
        <v>1.6261600953611237</v>
      </c>
      <c r="O2243" s="1628"/>
    </row>
    <row r="2244" spans="11:15">
      <c r="K2244" s="1625">
        <v>44301</v>
      </c>
      <c r="L2244" s="1626" t="s">
        <v>2301</v>
      </c>
      <c r="M2244" s="1627">
        <v>1.0378999999999999E-2</v>
      </c>
      <c r="N2244" s="1628">
        <v>1.6263288745174214</v>
      </c>
      <c r="O2244" s="1628"/>
    </row>
    <row r="2245" spans="11:15">
      <c r="K2245" s="1625">
        <v>44302</v>
      </c>
      <c r="L2245" s="1626" t="s">
        <v>2301</v>
      </c>
      <c r="M2245" s="1627">
        <v>1.0378999999999999E-2</v>
      </c>
      <c r="N2245" s="1628">
        <v>1.6264976711913075</v>
      </c>
      <c r="O2245" s="1628"/>
    </row>
    <row r="2246" spans="11:15">
      <c r="K2246" s="1625">
        <v>44303</v>
      </c>
      <c r="L2246" s="1626"/>
      <c r="M2246" s="1627">
        <v>0</v>
      </c>
      <c r="N2246" s="1628">
        <v>1.6264976711913075</v>
      </c>
      <c r="O2246" s="1628"/>
    </row>
    <row r="2247" spans="11:15">
      <c r="K2247" s="1625">
        <v>44304</v>
      </c>
      <c r="L2247" s="1626"/>
      <c r="M2247" s="1627">
        <v>0</v>
      </c>
      <c r="N2247" s="1628">
        <v>1.6264976711913075</v>
      </c>
      <c r="O2247" s="1628"/>
    </row>
    <row r="2248" spans="11:15">
      <c r="K2248" s="1625">
        <v>44305</v>
      </c>
      <c r="L2248" s="1626" t="s">
        <v>2301</v>
      </c>
      <c r="M2248" s="1627">
        <v>1.0378999999999999E-2</v>
      </c>
      <c r="N2248" s="1628">
        <v>1.6266664853846005</v>
      </c>
      <c r="O2248" s="1628"/>
    </row>
    <row r="2249" spans="11:15">
      <c r="K2249" s="1625">
        <v>44306</v>
      </c>
      <c r="L2249" s="1626" t="s">
        <v>2301</v>
      </c>
      <c r="M2249" s="1627">
        <v>1.0378999999999999E-2</v>
      </c>
      <c r="N2249" s="1628">
        <v>1.6268353170991185</v>
      </c>
      <c r="O2249" s="1628"/>
    </row>
    <row r="2250" spans="11:15">
      <c r="K2250" s="1625">
        <v>44307</v>
      </c>
      <c r="L2250" s="1626"/>
      <c r="M2250" s="1627">
        <v>0</v>
      </c>
      <c r="N2250" s="1628">
        <v>1.6268353170991185</v>
      </c>
      <c r="O2250" s="1628"/>
    </row>
    <row r="2251" spans="11:15">
      <c r="K2251" s="1625">
        <v>44308</v>
      </c>
      <c r="L2251" s="1626" t="s">
        <v>2301</v>
      </c>
      <c r="M2251" s="1627">
        <v>1.0378999999999999E-2</v>
      </c>
      <c r="N2251" s="1628">
        <v>1.6270041663366803</v>
      </c>
      <c r="O2251" s="1628"/>
    </row>
    <row r="2252" spans="11:15">
      <c r="K2252" s="1625">
        <v>44309</v>
      </c>
      <c r="L2252" s="1626" t="s">
        <v>2301</v>
      </c>
      <c r="M2252" s="1627">
        <v>1.0378999999999999E-2</v>
      </c>
      <c r="N2252" s="1628">
        <v>1.6271730330991045</v>
      </c>
      <c r="O2252" s="1628"/>
    </row>
    <row r="2253" spans="11:15">
      <c r="K2253" s="1625">
        <v>44310</v>
      </c>
      <c r="L2253" s="1626"/>
      <c r="M2253" s="1627">
        <v>0</v>
      </c>
      <c r="N2253" s="1628">
        <v>1.6271730330991045</v>
      </c>
      <c r="O2253" s="1628"/>
    </row>
    <row r="2254" spans="11:15">
      <c r="K2254" s="1625">
        <v>44311</v>
      </c>
      <c r="L2254" s="1626"/>
      <c r="M2254" s="1627">
        <v>0</v>
      </c>
      <c r="N2254" s="1628">
        <v>1.6271730330991045</v>
      </c>
      <c r="O2254" s="1628"/>
    </row>
    <row r="2255" spans="11:15">
      <c r="K2255" s="1625">
        <v>44312</v>
      </c>
      <c r="L2255" s="1626" t="s">
        <v>2301</v>
      </c>
      <c r="M2255" s="1627">
        <v>1.0378999999999999E-2</v>
      </c>
      <c r="N2255" s="1628">
        <v>1.62734191738821</v>
      </c>
      <c r="O2255" s="1628"/>
    </row>
    <row r="2256" spans="11:15">
      <c r="K2256" s="1625">
        <v>44313</v>
      </c>
      <c r="L2256" s="1626" t="s">
        <v>2301</v>
      </c>
      <c r="M2256" s="1627">
        <v>1.0378999999999999E-2</v>
      </c>
      <c r="N2256" s="1628">
        <v>1.6275108192058159</v>
      </c>
      <c r="O2256" s="1628"/>
    </row>
    <row r="2257" spans="11:15">
      <c r="K2257" s="1625">
        <v>44314</v>
      </c>
      <c r="L2257" s="1626" t="s">
        <v>2301</v>
      </c>
      <c r="M2257" s="1627">
        <v>1.0378999999999999E-2</v>
      </c>
      <c r="N2257" s="1628">
        <v>1.6276797385537414</v>
      </c>
      <c r="O2257" s="1628"/>
    </row>
    <row r="2258" spans="11:15">
      <c r="K2258" s="1625">
        <v>44315</v>
      </c>
      <c r="L2258" s="1626" t="s">
        <v>2301</v>
      </c>
      <c r="M2258" s="1627">
        <v>1.0378999999999999E-2</v>
      </c>
      <c r="N2258" s="1628">
        <v>1.627848675433806</v>
      </c>
      <c r="O2258" s="1628"/>
    </row>
    <row r="2259" spans="11:15">
      <c r="K2259" s="1625">
        <v>44316</v>
      </c>
      <c r="L2259" s="1626" t="s">
        <v>2301</v>
      </c>
      <c r="M2259" s="1627">
        <v>1.0378999999999999E-2</v>
      </c>
      <c r="N2259" s="1628">
        <v>1.6280176298478293</v>
      </c>
      <c r="O2259" s="1628"/>
    </row>
    <row r="2260" spans="11:15">
      <c r="K2260" s="1625">
        <v>44317</v>
      </c>
      <c r="L2260" s="1626"/>
      <c r="M2260" s="1627">
        <v>0</v>
      </c>
      <c r="N2260" s="1628">
        <v>1.6280176298478293</v>
      </c>
      <c r="O2260" s="1628"/>
    </row>
    <row r="2261" spans="11:15">
      <c r="K2261" s="1625">
        <v>44318</v>
      </c>
      <c r="L2261" s="1626"/>
      <c r="M2261" s="1627">
        <v>0</v>
      </c>
      <c r="N2261" s="1628">
        <v>1.6280176298478293</v>
      </c>
      <c r="O2261" s="1628"/>
    </row>
    <row r="2262" spans="11:15">
      <c r="K2262" s="1625">
        <v>44319</v>
      </c>
      <c r="L2262" s="1626" t="s">
        <v>2301</v>
      </c>
      <c r="M2262" s="1627">
        <v>1.0378999999999999E-2</v>
      </c>
      <c r="N2262" s="1628">
        <v>1.6281866017976312</v>
      </c>
      <c r="O2262" s="1628"/>
    </row>
    <row r="2263" spans="11:15">
      <c r="K2263" s="1625">
        <v>44320</v>
      </c>
      <c r="L2263" s="1626" t="s">
        <v>2301</v>
      </c>
      <c r="M2263" s="1627">
        <v>1.0378999999999999E-2</v>
      </c>
      <c r="N2263" s="1628">
        <v>1.6283555912850318</v>
      </c>
      <c r="O2263" s="1628"/>
    </row>
    <row r="2264" spans="11:15">
      <c r="K2264" s="1625">
        <v>44321</v>
      </c>
      <c r="L2264" s="1626" t="s">
        <v>2301</v>
      </c>
      <c r="M2264" s="1627">
        <v>1.0378999999999999E-2</v>
      </c>
      <c r="N2264" s="1628">
        <v>1.6285245983118515</v>
      </c>
      <c r="O2264" s="1628"/>
    </row>
    <row r="2265" spans="11:15">
      <c r="K2265" s="1625">
        <v>44322</v>
      </c>
      <c r="L2265" s="1626" t="s">
        <v>2301</v>
      </c>
      <c r="M2265" s="1627">
        <v>1.3269E-2</v>
      </c>
      <c r="N2265" s="1628">
        <v>1.6287406872408015</v>
      </c>
      <c r="O2265" s="1628"/>
    </row>
    <row r="2266" spans="11:15">
      <c r="K2266" s="1625">
        <v>44323</v>
      </c>
      <c r="L2266" s="1626" t="s">
        <v>2301</v>
      </c>
      <c r="M2266" s="1627">
        <v>1.3269E-2</v>
      </c>
      <c r="N2266" s="1628">
        <v>1.6289568048425915</v>
      </c>
      <c r="O2266" s="1628"/>
    </row>
    <row r="2267" spans="11:15">
      <c r="K2267" s="1625">
        <v>44324</v>
      </c>
      <c r="L2267" s="1626"/>
      <c r="M2267" s="1627">
        <v>0</v>
      </c>
      <c r="N2267" s="1628">
        <v>1.6289568048425915</v>
      </c>
      <c r="O2267" s="1628"/>
    </row>
    <row r="2268" spans="11:15">
      <c r="K2268" s="1625">
        <v>44325</v>
      </c>
      <c r="L2268" s="1626"/>
      <c r="M2268" s="1627">
        <v>0</v>
      </c>
      <c r="N2268" s="1628">
        <v>1.6289568048425915</v>
      </c>
      <c r="O2268" s="1628"/>
    </row>
    <row r="2269" spans="11:15">
      <c r="K2269" s="1625">
        <v>44326</v>
      </c>
      <c r="L2269" s="1626" t="s">
        <v>2301</v>
      </c>
      <c r="M2269" s="1627">
        <v>1.3269E-2</v>
      </c>
      <c r="N2269" s="1628">
        <v>1.6291729511210262</v>
      </c>
      <c r="O2269" s="1628"/>
    </row>
    <row r="2270" spans="11:15">
      <c r="K2270" s="1625">
        <v>44327</v>
      </c>
      <c r="L2270" s="1626" t="s">
        <v>2301</v>
      </c>
      <c r="M2270" s="1627">
        <v>1.3269E-2</v>
      </c>
      <c r="N2270" s="1628">
        <v>1.6293891260799105</v>
      </c>
      <c r="O2270" s="1628"/>
    </row>
    <row r="2271" spans="11:15">
      <c r="K2271" s="1625">
        <v>44328</v>
      </c>
      <c r="L2271" s="1626" t="s">
        <v>2301</v>
      </c>
      <c r="M2271" s="1627">
        <v>1.3269E-2</v>
      </c>
      <c r="N2271" s="1628">
        <v>1.6296053297230502</v>
      </c>
      <c r="O2271" s="1628"/>
    </row>
    <row r="2272" spans="11:15">
      <c r="K2272" s="1625">
        <v>44329</v>
      </c>
      <c r="L2272" s="1626" t="s">
        <v>2301</v>
      </c>
      <c r="M2272" s="1627">
        <v>1.3269E-2</v>
      </c>
      <c r="N2272" s="1628">
        <v>1.6298215620542511</v>
      </c>
      <c r="O2272" s="1628"/>
    </row>
    <row r="2273" spans="11:15">
      <c r="K2273" s="1625">
        <v>44330</v>
      </c>
      <c r="L2273" s="1626" t="s">
        <v>2301</v>
      </c>
      <c r="M2273" s="1627">
        <v>1.3269E-2</v>
      </c>
      <c r="N2273" s="1628">
        <v>1.6300378230773203</v>
      </c>
      <c r="O2273" s="1628"/>
    </row>
    <row r="2274" spans="11:15">
      <c r="K2274" s="1625">
        <v>44331</v>
      </c>
      <c r="L2274" s="1626"/>
      <c r="M2274" s="1627">
        <v>0</v>
      </c>
      <c r="N2274" s="1628">
        <v>1.6300378230773203</v>
      </c>
      <c r="O2274" s="1628"/>
    </row>
    <row r="2275" spans="11:15">
      <c r="K2275" s="1625">
        <v>44332</v>
      </c>
      <c r="L2275" s="1626"/>
      <c r="M2275" s="1627">
        <v>0</v>
      </c>
      <c r="N2275" s="1628">
        <v>1.6300378230773203</v>
      </c>
      <c r="O2275" s="1628"/>
    </row>
    <row r="2276" spans="11:15">
      <c r="K2276" s="1625">
        <v>44333</v>
      </c>
      <c r="L2276" s="1626" t="s">
        <v>2301</v>
      </c>
      <c r="M2276" s="1627">
        <v>1.3269E-2</v>
      </c>
      <c r="N2276" s="1628">
        <v>1.6302541127960644</v>
      </c>
      <c r="O2276" s="1628"/>
    </row>
    <row r="2277" spans="11:15">
      <c r="K2277" s="1625">
        <v>44334</v>
      </c>
      <c r="L2277" s="1626" t="s">
        <v>2301</v>
      </c>
      <c r="M2277" s="1627">
        <v>1.3269E-2</v>
      </c>
      <c r="N2277" s="1628">
        <v>1.6304704312142912</v>
      </c>
      <c r="O2277" s="1628"/>
    </row>
    <row r="2278" spans="11:15">
      <c r="K2278" s="1625">
        <v>44335</v>
      </c>
      <c r="L2278" s="1626" t="s">
        <v>2301</v>
      </c>
      <c r="M2278" s="1627">
        <v>1.3269E-2</v>
      </c>
      <c r="N2278" s="1628">
        <v>1.6306867783358092</v>
      </c>
      <c r="O2278" s="1628"/>
    </row>
    <row r="2279" spans="11:15">
      <c r="K2279" s="1625">
        <v>44336</v>
      </c>
      <c r="L2279" s="1626" t="s">
        <v>2301</v>
      </c>
      <c r="M2279" s="1627">
        <v>1.3269E-2</v>
      </c>
      <c r="N2279" s="1628">
        <v>1.6309031541644268</v>
      </c>
      <c r="O2279" s="1628"/>
    </row>
    <row r="2280" spans="11:15">
      <c r="K2280" s="1625">
        <v>44337</v>
      </c>
      <c r="L2280" s="1626" t="s">
        <v>2301</v>
      </c>
      <c r="M2280" s="1627">
        <v>1.3269E-2</v>
      </c>
      <c r="N2280" s="1628">
        <v>1.6311195587039529</v>
      </c>
      <c r="O2280" s="1628"/>
    </row>
    <row r="2281" spans="11:15">
      <c r="K2281" s="1625">
        <v>44338</v>
      </c>
      <c r="L2281" s="1626"/>
      <c r="M2281" s="1627">
        <v>0</v>
      </c>
      <c r="N2281" s="1628">
        <v>1.6311195587039529</v>
      </c>
      <c r="O2281" s="1628"/>
    </row>
    <row r="2282" spans="11:15">
      <c r="K2282" s="1625">
        <v>44339</v>
      </c>
      <c r="L2282" s="1626"/>
      <c r="M2282" s="1627">
        <v>0</v>
      </c>
      <c r="N2282" s="1628">
        <v>1.6311195587039529</v>
      </c>
      <c r="O2282" s="1628"/>
    </row>
    <row r="2283" spans="11:15">
      <c r="K2283" s="1625">
        <v>44340</v>
      </c>
      <c r="L2283" s="1626" t="s">
        <v>2301</v>
      </c>
      <c r="M2283" s="1627">
        <v>1.3269E-2</v>
      </c>
      <c r="N2283" s="1628">
        <v>1.6313359919581973</v>
      </c>
      <c r="O2283" s="1628"/>
    </row>
    <row r="2284" spans="11:15">
      <c r="K2284" s="1625">
        <v>44341</v>
      </c>
      <c r="L2284" s="1626" t="s">
        <v>2301</v>
      </c>
      <c r="M2284" s="1627">
        <v>1.3269E-2</v>
      </c>
      <c r="N2284" s="1628">
        <v>1.6315524539309703</v>
      </c>
      <c r="O2284" s="1628"/>
    </row>
    <row r="2285" spans="11:15">
      <c r="K2285" s="1625">
        <v>44342</v>
      </c>
      <c r="L2285" s="1626" t="s">
        <v>2301</v>
      </c>
      <c r="M2285" s="1627">
        <v>1.3269E-2</v>
      </c>
      <c r="N2285" s="1628">
        <v>1.6317689446260824</v>
      </c>
      <c r="O2285" s="1628"/>
    </row>
    <row r="2286" spans="11:15">
      <c r="K2286" s="1625">
        <v>44343</v>
      </c>
      <c r="L2286" s="1626" t="s">
        <v>2301</v>
      </c>
      <c r="M2286" s="1627">
        <v>1.3269E-2</v>
      </c>
      <c r="N2286" s="1628">
        <v>1.6319854640473448</v>
      </c>
      <c r="O2286" s="1628"/>
    </row>
    <row r="2287" spans="11:15">
      <c r="K2287" s="1625">
        <v>44344</v>
      </c>
      <c r="L2287" s="1626" t="s">
        <v>2301</v>
      </c>
      <c r="M2287" s="1627">
        <v>1.3269E-2</v>
      </c>
      <c r="N2287" s="1628">
        <v>1.6322020121985694</v>
      </c>
      <c r="O2287" s="1628"/>
    </row>
    <row r="2288" spans="11:15">
      <c r="K2288" s="1625">
        <v>44345</v>
      </c>
      <c r="L2288" s="1626"/>
      <c r="M2288" s="1627">
        <v>0</v>
      </c>
      <c r="N2288" s="1628">
        <v>1.6322020121985694</v>
      </c>
      <c r="O2288" s="1628"/>
    </row>
    <row r="2289" spans="11:15">
      <c r="K2289" s="1625">
        <v>44346</v>
      </c>
      <c r="L2289" s="1626"/>
      <c r="M2289" s="1627">
        <v>0</v>
      </c>
      <c r="N2289" s="1628">
        <v>1.6322020121985694</v>
      </c>
      <c r="O2289" s="1628"/>
    </row>
    <row r="2290" spans="11:15">
      <c r="K2290" s="1625">
        <v>44347</v>
      </c>
      <c r="L2290" s="1626" t="s">
        <v>2301</v>
      </c>
      <c r="M2290" s="1627">
        <v>1.3269E-2</v>
      </c>
      <c r="N2290" s="1628">
        <v>1.6324185890835681</v>
      </c>
      <c r="O2290" s="1628"/>
    </row>
    <row r="2291" spans="11:15">
      <c r="K2291" s="1625">
        <v>44348</v>
      </c>
      <c r="L2291" s="1626" t="s">
        <v>2301</v>
      </c>
      <c r="M2291" s="1627">
        <v>1.3269E-2</v>
      </c>
      <c r="N2291" s="1628">
        <v>1.6326351947061537</v>
      </c>
      <c r="O2291" s="1628"/>
    </row>
    <row r="2292" spans="11:15">
      <c r="K2292" s="1625">
        <v>44349</v>
      </c>
      <c r="L2292" s="1626" t="s">
        <v>2301</v>
      </c>
      <c r="M2292" s="1627">
        <v>1.3269E-2</v>
      </c>
      <c r="N2292" s="1628">
        <v>1.6328518290701393</v>
      </c>
      <c r="O2292" s="1628"/>
    </row>
    <row r="2293" spans="11:15">
      <c r="K2293" s="1625">
        <v>44350</v>
      </c>
      <c r="L2293" s="1626"/>
      <c r="M2293" s="1627">
        <v>0</v>
      </c>
      <c r="N2293" s="1628">
        <v>1.6328518290701393</v>
      </c>
      <c r="O2293" s="1628"/>
    </row>
    <row r="2294" spans="11:15">
      <c r="K2294" s="1625">
        <v>44351</v>
      </c>
      <c r="L2294" s="1626" t="s">
        <v>2301</v>
      </c>
      <c r="M2294" s="1627">
        <v>1.3269E-2</v>
      </c>
      <c r="N2294" s="1628">
        <v>1.6330684921793386</v>
      </c>
      <c r="O2294" s="1628"/>
    </row>
    <row r="2295" spans="11:15">
      <c r="K2295" s="1625">
        <v>44352</v>
      </c>
      <c r="L2295" s="1626"/>
      <c r="M2295" s="1627">
        <v>0</v>
      </c>
      <c r="N2295" s="1628">
        <v>1.6330684921793386</v>
      </c>
      <c r="O2295" s="1628"/>
    </row>
    <row r="2296" spans="11:15">
      <c r="K2296" s="1625">
        <v>44353</v>
      </c>
      <c r="L2296" s="1626"/>
      <c r="M2296" s="1627">
        <v>0</v>
      </c>
      <c r="N2296" s="1628">
        <v>1.6330684921793386</v>
      </c>
      <c r="O2296" s="1628"/>
    </row>
    <row r="2297" spans="11:15">
      <c r="K2297" s="1625">
        <v>44354</v>
      </c>
      <c r="L2297" s="1626" t="s">
        <v>2301</v>
      </c>
      <c r="M2297" s="1627">
        <v>1.3269E-2</v>
      </c>
      <c r="N2297" s="1628">
        <v>1.633285184037566</v>
      </c>
      <c r="O2297" s="1628"/>
    </row>
    <row r="2298" spans="11:15">
      <c r="K2298" s="1625">
        <v>44355</v>
      </c>
      <c r="L2298" s="1626" t="s">
        <v>2301</v>
      </c>
      <c r="M2298" s="1627">
        <v>1.3269E-2</v>
      </c>
      <c r="N2298" s="1628">
        <v>1.6335019046486359</v>
      </c>
      <c r="O2298" s="1628"/>
    </row>
    <row r="2299" spans="11:15">
      <c r="K2299" s="1625">
        <v>44356</v>
      </c>
      <c r="L2299" s="1626" t="s">
        <v>2301</v>
      </c>
      <c r="M2299" s="1627">
        <v>1.3269E-2</v>
      </c>
      <c r="N2299" s="1628">
        <v>1.6337186540163637</v>
      </c>
      <c r="O2299" s="1628"/>
    </row>
    <row r="2300" spans="11:15">
      <c r="K2300" s="1625">
        <v>44357</v>
      </c>
      <c r="L2300" s="1626" t="s">
        <v>2301</v>
      </c>
      <c r="M2300" s="1627">
        <v>1.3269E-2</v>
      </c>
      <c r="N2300" s="1628">
        <v>1.6339354321445652</v>
      </c>
      <c r="O2300" s="1628"/>
    </row>
    <row r="2301" spans="11:15">
      <c r="K2301" s="1625">
        <v>44358</v>
      </c>
      <c r="L2301" s="1626" t="s">
        <v>2301</v>
      </c>
      <c r="M2301" s="1627">
        <v>1.3269E-2</v>
      </c>
      <c r="N2301" s="1628">
        <v>1.6341522390370564</v>
      </c>
      <c r="O2301" s="1628"/>
    </row>
    <row r="2302" spans="11:15">
      <c r="K2302" s="1625">
        <v>44359</v>
      </c>
      <c r="L2302" s="1626"/>
      <c r="M2302" s="1627">
        <v>0</v>
      </c>
      <c r="N2302" s="1628">
        <v>1.6341522390370564</v>
      </c>
      <c r="O2302" s="1628"/>
    </row>
    <row r="2303" spans="11:15">
      <c r="K2303" s="1625">
        <v>44360</v>
      </c>
      <c r="L2303" s="1626"/>
      <c r="M2303" s="1627">
        <v>0</v>
      </c>
      <c r="N2303" s="1628">
        <v>1.6341522390370564</v>
      </c>
      <c r="O2303" s="1628"/>
    </row>
    <row r="2304" spans="11:15">
      <c r="K2304" s="1625">
        <v>44361</v>
      </c>
      <c r="L2304" s="1626" t="s">
        <v>2301</v>
      </c>
      <c r="M2304" s="1627">
        <v>1.3269E-2</v>
      </c>
      <c r="N2304" s="1628">
        <v>1.6343690746976542</v>
      </c>
      <c r="O2304" s="1628"/>
    </row>
    <row r="2305" spans="11:15">
      <c r="K2305" s="1625">
        <v>44362</v>
      </c>
      <c r="L2305" s="1626" t="s">
        <v>2301</v>
      </c>
      <c r="M2305" s="1627">
        <v>1.3269E-2</v>
      </c>
      <c r="N2305" s="1628">
        <v>1.634585939130176</v>
      </c>
      <c r="O2305" s="1628"/>
    </row>
    <row r="2306" spans="11:15">
      <c r="K2306" s="1625">
        <v>44363</v>
      </c>
      <c r="L2306" s="1626" t="s">
        <v>2301</v>
      </c>
      <c r="M2306" s="1627">
        <v>1.3269E-2</v>
      </c>
      <c r="N2306" s="1628">
        <v>1.6348028323384394</v>
      </c>
      <c r="O2306" s="1628"/>
    </row>
    <row r="2307" spans="11:15">
      <c r="K2307" s="1625">
        <v>44364</v>
      </c>
      <c r="L2307" s="1626" t="s">
        <v>2301</v>
      </c>
      <c r="M2307" s="1627">
        <v>1.6136999999999999E-2</v>
      </c>
      <c r="N2307" s="1628">
        <v>1.635066640471494</v>
      </c>
      <c r="O2307" s="1628"/>
    </row>
    <row r="2308" spans="11:15">
      <c r="K2308" s="1625">
        <v>44365</v>
      </c>
      <c r="L2308" s="1626" t="s">
        <v>2301</v>
      </c>
      <c r="M2308" s="1627">
        <v>1.6136999999999999E-2</v>
      </c>
      <c r="N2308" s="1628">
        <v>1.6353304911752669</v>
      </c>
      <c r="O2308" s="1628"/>
    </row>
    <row r="2309" spans="11:15">
      <c r="K2309" s="1625">
        <v>44366</v>
      </c>
      <c r="L2309" s="1626"/>
      <c r="M2309" s="1627">
        <v>0</v>
      </c>
      <c r="N2309" s="1628">
        <v>1.6353304911752669</v>
      </c>
      <c r="O2309" s="1628"/>
    </row>
    <row r="2310" spans="11:15">
      <c r="K2310" s="1625">
        <v>44367</v>
      </c>
      <c r="L2310" s="1626"/>
      <c r="M2310" s="1627">
        <v>0</v>
      </c>
      <c r="N2310" s="1628">
        <v>1.6353304911752669</v>
      </c>
      <c r="O2310" s="1628"/>
    </row>
    <row r="2311" spans="11:15">
      <c r="K2311" s="1625">
        <v>44368</v>
      </c>
      <c r="L2311" s="1626" t="s">
        <v>2301</v>
      </c>
      <c r="M2311" s="1627">
        <v>1.6136999999999999E-2</v>
      </c>
      <c r="N2311" s="1628">
        <v>1.6355943844566279</v>
      </c>
      <c r="O2311" s="1628"/>
    </row>
    <row r="2312" spans="11:15">
      <c r="K2312" s="1625">
        <v>44369</v>
      </c>
      <c r="L2312" s="1626" t="s">
        <v>2301</v>
      </c>
      <c r="M2312" s="1627">
        <v>1.6136999999999999E-2</v>
      </c>
      <c r="N2312" s="1628">
        <v>1.6358583203224477</v>
      </c>
      <c r="O2312" s="1628"/>
    </row>
    <row r="2313" spans="11:15">
      <c r="K2313" s="1625">
        <v>44370</v>
      </c>
      <c r="L2313" s="1626" t="s">
        <v>2301</v>
      </c>
      <c r="M2313" s="1627">
        <v>1.6136999999999999E-2</v>
      </c>
      <c r="N2313" s="1628">
        <v>1.6361222987795982</v>
      </c>
      <c r="O2313" s="1628"/>
    </row>
    <row r="2314" spans="11:15">
      <c r="K2314" s="1625">
        <v>44371</v>
      </c>
      <c r="L2314" s="1626" t="s">
        <v>2301</v>
      </c>
      <c r="M2314" s="1627">
        <v>1.6136999999999999E-2</v>
      </c>
      <c r="N2314" s="1628">
        <v>1.6363863198349524</v>
      </c>
      <c r="O2314" s="1628"/>
    </row>
    <row r="2315" spans="11:15">
      <c r="K2315" s="1625">
        <v>44372</v>
      </c>
      <c r="L2315" s="1626" t="s">
        <v>2301</v>
      </c>
      <c r="M2315" s="1627">
        <v>1.6136999999999999E-2</v>
      </c>
      <c r="N2315" s="1628">
        <v>1.6366503834953843</v>
      </c>
      <c r="O2315" s="1628"/>
    </row>
    <row r="2316" spans="11:15">
      <c r="K2316" s="1625">
        <v>44373</v>
      </c>
      <c r="L2316" s="1626"/>
      <c r="M2316" s="1627">
        <v>0</v>
      </c>
      <c r="N2316" s="1628">
        <v>1.6366503834953843</v>
      </c>
      <c r="O2316" s="1628"/>
    </row>
    <row r="2317" spans="11:15">
      <c r="K2317" s="1625">
        <v>44374</v>
      </c>
      <c r="L2317" s="1626"/>
      <c r="M2317" s="1627">
        <v>0</v>
      </c>
      <c r="N2317" s="1628">
        <v>1.6366503834953843</v>
      </c>
      <c r="O2317" s="1628"/>
    </row>
    <row r="2318" spans="11:15">
      <c r="K2318" s="1625">
        <v>44375</v>
      </c>
      <c r="L2318" s="1626" t="s">
        <v>2301</v>
      </c>
      <c r="M2318" s="1627">
        <v>1.6136999999999999E-2</v>
      </c>
      <c r="N2318" s="1628">
        <v>1.636914489767769</v>
      </c>
      <c r="O2318" s="1628"/>
    </row>
    <row r="2319" spans="11:15">
      <c r="K2319" s="1625">
        <v>44376</v>
      </c>
      <c r="L2319" s="1626" t="s">
        <v>2301</v>
      </c>
      <c r="M2319" s="1627">
        <v>1.6136999999999999E-2</v>
      </c>
      <c r="N2319" s="1628">
        <v>1.6371786386589828</v>
      </c>
      <c r="O2319" s="1628"/>
    </row>
    <row r="2320" spans="11:15">
      <c r="K2320" s="1625">
        <v>44377</v>
      </c>
      <c r="L2320" s="1626" t="s">
        <v>2301</v>
      </c>
      <c r="M2320" s="1627">
        <v>1.6136999999999999E-2</v>
      </c>
      <c r="N2320" s="1628">
        <v>1.6374428301759034</v>
      </c>
      <c r="O2320" s="1628"/>
    </row>
    <row r="2321" spans="11:15">
      <c r="K2321" s="1625">
        <v>44378</v>
      </c>
      <c r="L2321" s="1626" t="s">
        <v>2301</v>
      </c>
      <c r="M2321" s="1627">
        <v>1.6136999999999999E-2</v>
      </c>
      <c r="N2321" s="1628">
        <v>1.637707064325409</v>
      </c>
      <c r="O2321" s="1628"/>
    </row>
    <row r="2322" spans="11:15">
      <c r="K2322" s="1625">
        <v>44379</v>
      </c>
      <c r="L2322" s="1626" t="s">
        <v>2301</v>
      </c>
      <c r="M2322" s="1627">
        <v>1.6136999999999999E-2</v>
      </c>
      <c r="N2322" s="1628">
        <v>1.6379713411143793</v>
      </c>
      <c r="O2322" s="1628"/>
    </row>
    <row r="2323" spans="11:15">
      <c r="K2323" s="1625">
        <v>44380</v>
      </c>
      <c r="L2323" s="1626"/>
      <c r="M2323" s="1627">
        <v>0</v>
      </c>
      <c r="N2323" s="1628">
        <v>1.6379713411143793</v>
      </c>
      <c r="O2323" s="1628"/>
    </row>
    <row r="2324" spans="11:15">
      <c r="K2324" s="1625">
        <v>44381</v>
      </c>
      <c r="L2324" s="1626"/>
      <c r="M2324" s="1627">
        <v>0</v>
      </c>
      <c r="N2324" s="1628">
        <v>1.6379713411143793</v>
      </c>
      <c r="O2324" s="1628"/>
    </row>
    <row r="2325" spans="11:15">
      <c r="K2325" s="1625">
        <v>44382</v>
      </c>
      <c r="L2325" s="1626" t="s">
        <v>2301</v>
      </c>
      <c r="M2325" s="1627">
        <v>1.6136999999999999E-2</v>
      </c>
      <c r="N2325" s="1628">
        <v>1.638235660549695</v>
      </c>
      <c r="O2325" s="1628"/>
    </row>
    <row r="2326" spans="11:15">
      <c r="K2326" s="1625">
        <v>44383</v>
      </c>
      <c r="L2326" s="1626" t="s">
        <v>2301</v>
      </c>
      <c r="M2326" s="1627">
        <v>1.6136999999999999E-2</v>
      </c>
      <c r="N2326" s="1628">
        <v>1.638500022638238</v>
      </c>
      <c r="O2326" s="1628"/>
    </row>
    <row r="2327" spans="11:15">
      <c r="K2327" s="1625">
        <v>44384</v>
      </c>
      <c r="L2327" s="1626" t="s">
        <v>2301</v>
      </c>
      <c r="M2327" s="1627">
        <v>1.6136999999999999E-2</v>
      </c>
      <c r="N2327" s="1628">
        <v>1.6387644273868913</v>
      </c>
      <c r="O2327" s="1628"/>
    </row>
    <row r="2328" spans="11:15">
      <c r="K2328" s="1625">
        <v>44385</v>
      </c>
      <c r="L2328" s="1626" t="s">
        <v>2301</v>
      </c>
      <c r="M2328" s="1627">
        <v>1.6136999999999999E-2</v>
      </c>
      <c r="N2328" s="1628">
        <v>1.6390288748025388</v>
      </c>
      <c r="O2328" s="1628"/>
    </row>
    <row r="2329" spans="11:15">
      <c r="K2329" s="1625">
        <v>44386</v>
      </c>
      <c r="L2329" s="1626" t="s">
        <v>2301</v>
      </c>
      <c r="M2329" s="1627">
        <v>1.6136999999999999E-2</v>
      </c>
      <c r="N2329" s="1628">
        <v>1.6392933648920658</v>
      </c>
      <c r="O2329" s="1628"/>
    </row>
    <row r="2330" spans="11:15">
      <c r="K2330" s="1625">
        <v>44387</v>
      </c>
      <c r="L2330" s="1626"/>
      <c r="M2330" s="1627">
        <v>0</v>
      </c>
      <c r="N2330" s="1628">
        <v>1.6392933648920658</v>
      </c>
      <c r="O2330" s="1628"/>
    </row>
    <row r="2331" spans="11:15">
      <c r="K2331" s="1625">
        <v>44388</v>
      </c>
      <c r="L2331" s="1626"/>
      <c r="M2331" s="1627">
        <v>0</v>
      </c>
      <c r="N2331" s="1628">
        <v>1.6392933648920658</v>
      </c>
      <c r="O2331" s="1628"/>
    </row>
    <row r="2332" spans="11:15">
      <c r="K2332" s="1625">
        <v>44389</v>
      </c>
      <c r="L2332" s="1626" t="s">
        <v>2301</v>
      </c>
      <c r="M2332" s="1627">
        <v>1.6136999999999999E-2</v>
      </c>
      <c r="N2332" s="1628">
        <v>1.6395578976623586</v>
      </c>
      <c r="O2332" s="1628"/>
    </row>
    <row r="2333" spans="11:15">
      <c r="K2333" s="1625">
        <v>44390</v>
      </c>
      <c r="L2333" s="1626" t="s">
        <v>2301</v>
      </c>
      <c r="M2333" s="1627">
        <v>1.6136999999999999E-2</v>
      </c>
      <c r="N2333" s="1628">
        <v>1.6398224731203044</v>
      </c>
      <c r="O2333" s="1628"/>
    </row>
    <row r="2334" spans="11:15">
      <c r="K2334" s="1625">
        <v>44391</v>
      </c>
      <c r="L2334" s="1626" t="s">
        <v>2301</v>
      </c>
      <c r="M2334" s="1627">
        <v>1.6136999999999999E-2</v>
      </c>
      <c r="N2334" s="1628">
        <v>1.6400870912727918</v>
      </c>
      <c r="O2334" s="1628"/>
    </row>
    <row r="2335" spans="11:15">
      <c r="K2335" s="1625">
        <v>44392</v>
      </c>
      <c r="L2335" s="1626" t="s">
        <v>2301</v>
      </c>
      <c r="M2335" s="1627">
        <v>1.6136999999999999E-2</v>
      </c>
      <c r="N2335" s="1628">
        <v>1.6403517521267106</v>
      </c>
      <c r="O2335" s="1628"/>
    </row>
    <row r="2336" spans="11:15">
      <c r="K2336" s="1625">
        <v>44393</v>
      </c>
      <c r="L2336" s="1626" t="s">
        <v>2301</v>
      </c>
      <c r="M2336" s="1627">
        <v>1.6136999999999999E-2</v>
      </c>
      <c r="N2336" s="1628">
        <v>1.6406164556889513</v>
      </c>
      <c r="O2336" s="1628"/>
    </row>
    <row r="2337" spans="11:15">
      <c r="K2337" s="1625">
        <v>44394</v>
      </c>
      <c r="L2337" s="1626"/>
      <c r="M2337" s="1627">
        <v>0</v>
      </c>
      <c r="N2337" s="1628">
        <v>1.6406164556889513</v>
      </c>
      <c r="O2337" s="1628"/>
    </row>
    <row r="2338" spans="11:15">
      <c r="K2338" s="1625">
        <v>44395</v>
      </c>
      <c r="L2338" s="1626"/>
      <c r="M2338" s="1627">
        <v>0</v>
      </c>
      <c r="N2338" s="1628">
        <v>1.6406164556889513</v>
      </c>
      <c r="O2338" s="1628"/>
    </row>
    <row r="2339" spans="11:15">
      <c r="K2339" s="1625">
        <v>44396</v>
      </c>
      <c r="L2339" s="1626" t="s">
        <v>2301</v>
      </c>
      <c r="M2339" s="1627">
        <v>1.6136999999999999E-2</v>
      </c>
      <c r="N2339" s="1628">
        <v>1.6408812019664059</v>
      </c>
      <c r="O2339" s="1628"/>
    </row>
    <row r="2340" spans="11:15">
      <c r="K2340" s="1625">
        <v>44397</v>
      </c>
      <c r="L2340" s="1626" t="s">
        <v>2301</v>
      </c>
      <c r="M2340" s="1627">
        <v>1.6136999999999999E-2</v>
      </c>
      <c r="N2340" s="1628">
        <v>1.6411459909659674</v>
      </c>
      <c r="O2340" s="1628"/>
    </row>
    <row r="2341" spans="11:15">
      <c r="K2341" s="1625">
        <v>44398</v>
      </c>
      <c r="L2341" s="1626" t="s">
        <v>2301</v>
      </c>
      <c r="M2341" s="1627">
        <v>1.6136999999999999E-2</v>
      </c>
      <c r="N2341" s="1628">
        <v>1.6414108226945296</v>
      </c>
      <c r="O2341" s="1628"/>
    </row>
    <row r="2342" spans="11:15">
      <c r="K2342" s="1625">
        <v>44399</v>
      </c>
      <c r="L2342" s="1626" t="s">
        <v>2301</v>
      </c>
      <c r="M2342" s="1627">
        <v>1.6136999999999999E-2</v>
      </c>
      <c r="N2342" s="1628">
        <v>1.6416756971589879</v>
      </c>
      <c r="O2342" s="1628"/>
    </row>
    <row r="2343" spans="11:15">
      <c r="K2343" s="1625">
        <v>44400</v>
      </c>
      <c r="L2343" s="1626" t="s">
        <v>2301</v>
      </c>
      <c r="M2343" s="1627">
        <v>1.6136999999999999E-2</v>
      </c>
      <c r="N2343" s="1628">
        <v>1.6419406143662385</v>
      </c>
      <c r="O2343" s="1628"/>
    </row>
    <row r="2344" spans="11:15">
      <c r="K2344" s="1625">
        <v>44401</v>
      </c>
      <c r="L2344" s="1626"/>
      <c r="M2344" s="1627">
        <v>0</v>
      </c>
      <c r="N2344" s="1628">
        <v>1.6419406143662385</v>
      </c>
      <c r="O2344" s="1628"/>
    </row>
    <row r="2345" spans="11:15">
      <c r="K2345" s="1625">
        <v>44402</v>
      </c>
      <c r="L2345" s="1626"/>
      <c r="M2345" s="1627">
        <v>0</v>
      </c>
      <c r="N2345" s="1628">
        <v>1.6419406143662385</v>
      </c>
      <c r="O2345" s="1628"/>
    </row>
    <row r="2346" spans="11:15">
      <c r="K2346" s="1625">
        <v>44403</v>
      </c>
      <c r="L2346" s="1626" t="s">
        <v>2301</v>
      </c>
      <c r="M2346" s="1627">
        <v>1.6136999999999999E-2</v>
      </c>
      <c r="N2346" s="1628">
        <v>1.6422055743231789</v>
      </c>
      <c r="O2346" s="1628"/>
    </row>
    <row r="2347" spans="11:15">
      <c r="K2347" s="1625">
        <v>44404</v>
      </c>
      <c r="L2347" s="1626" t="s">
        <v>2301</v>
      </c>
      <c r="M2347" s="1627">
        <v>1.6136999999999999E-2</v>
      </c>
      <c r="N2347" s="1628">
        <v>1.6424705770367076</v>
      </c>
      <c r="O2347" s="1628"/>
    </row>
    <row r="2348" spans="11:15">
      <c r="K2348" s="1625">
        <v>44405</v>
      </c>
      <c r="L2348" s="1626" t="s">
        <v>2301</v>
      </c>
      <c r="M2348" s="1627">
        <v>1.6136999999999999E-2</v>
      </c>
      <c r="N2348" s="1628">
        <v>1.6427356225137242</v>
      </c>
      <c r="O2348" s="1628"/>
    </row>
    <row r="2349" spans="11:15">
      <c r="K2349" s="1625">
        <v>44406</v>
      </c>
      <c r="L2349" s="1626" t="s">
        <v>2301</v>
      </c>
      <c r="M2349" s="1627">
        <v>1.6136999999999999E-2</v>
      </c>
      <c r="N2349" s="1628">
        <v>1.6430007107611293</v>
      </c>
      <c r="O2349" s="1628"/>
    </row>
    <row r="2350" spans="11:15">
      <c r="K2350" s="1625">
        <v>44407</v>
      </c>
      <c r="L2350" s="1626" t="s">
        <v>2301</v>
      </c>
      <c r="M2350" s="1627">
        <v>1.6136999999999999E-2</v>
      </c>
      <c r="N2350" s="1628">
        <v>1.6432658417858248</v>
      </c>
      <c r="O2350" s="1628"/>
    </row>
    <row r="2351" spans="11:15">
      <c r="K2351" s="1625">
        <v>44408</v>
      </c>
      <c r="L2351" s="1626"/>
      <c r="M2351" s="1627">
        <v>0</v>
      </c>
      <c r="N2351" s="1628">
        <v>1.6432658417858248</v>
      </c>
      <c r="O2351" s="1628"/>
    </row>
    <row r="2352" spans="11:15">
      <c r="K2352" s="1625">
        <v>44409</v>
      </c>
      <c r="L2352" s="1626"/>
      <c r="M2352" s="1627">
        <v>0</v>
      </c>
      <c r="N2352" s="1628">
        <v>1.6432658417858248</v>
      </c>
      <c r="O2352" s="1628"/>
    </row>
    <row r="2353" spans="11:15">
      <c r="K2353" s="1625">
        <v>44410</v>
      </c>
      <c r="L2353" s="1626" t="s">
        <v>2301</v>
      </c>
      <c r="M2353" s="1627">
        <v>1.6136999999999999E-2</v>
      </c>
      <c r="N2353" s="1628">
        <v>1.6435310155947138</v>
      </c>
      <c r="O2353" s="1628"/>
    </row>
    <row r="2354" spans="11:15">
      <c r="K2354" s="1625">
        <v>44411</v>
      </c>
      <c r="L2354" s="1626" t="s">
        <v>2301</v>
      </c>
      <c r="M2354" s="1627">
        <v>1.6136999999999999E-2</v>
      </c>
      <c r="N2354" s="1628">
        <v>1.6437962321947004</v>
      </c>
      <c r="O2354" s="1628"/>
    </row>
    <row r="2355" spans="11:15">
      <c r="K2355" s="1625">
        <v>44412</v>
      </c>
      <c r="L2355" s="1626" t="s">
        <v>2301</v>
      </c>
      <c r="M2355" s="1627">
        <v>1.6136999999999999E-2</v>
      </c>
      <c r="N2355" s="1628">
        <v>1.6440614915926897</v>
      </c>
      <c r="O2355" s="1628"/>
    </row>
    <row r="2356" spans="11:15">
      <c r="K2356" s="1625">
        <v>44413</v>
      </c>
      <c r="L2356" s="1626" t="s">
        <v>2301</v>
      </c>
      <c r="M2356" s="1627">
        <v>1.993E-2</v>
      </c>
      <c r="N2356" s="1628">
        <v>1.6443891530479642</v>
      </c>
      <c r="O2356" s="1628"/>
    </row>
    <row r="2357" spans="11:15">
      <c r="K2357" s="1625">
        <v>44414</v>
      </c>
      <c r="L2357" s="1626" t="s">
        <v>2301</v>
      </c>
      <c r="M2357" s="1627">
        <v>1.993E-2</v>
      </c>
      <c r="N2357" s="1628">
        <v>1.6447168798061667</v>
      </c>
      <c r="O2357" s="1628"/>
    </row>
    <row r="2358" spans="11:15">
      <c r="K2358" s="1625">
        <v>44415</v>
      </c>
      <c r="L2358" s="1626"/>
      <c r="M2358" s="1627">
        <v>0</v>
      </c>
      <c r="N2358" s="1628">
        <v>1.6447168798061667</v>
      </c>
      <c r="O2358" s="1628"/>
    </row>
    <row r="2359" spans="11:15">
      <c r="K2359" s="1625">
        <v>44416</v>
      </c>
      <c r="L2359" s="1626"/>
      <c r="M2359" s="1627">
        <v>0</v>
      </c>
      <c r="N2359" s="1628">
        <v>1.6447168798061667</v>
      </c>
      <c r="O2359" s="1628"/>
    </row>
    <row r="2360" spans="11:15">
      <c r="K2360" s="1625">
        <v>44417</v>
      </c>
      <c r="L2360" s="1626" t="s">
        <v>2301</v>
      </c>
      <c r="M2360" s="1627">
        <v>1.993E-2</v>
      </c>
      <c r="N2360" s="1628">
        <v>1.645044671880312</v>
      </c>
      <c r="O2360" s="1628"/>
    </row>
    <row r="2361" spans="11:15">
      <c r="K2361" s="1625">
        <v>44418</v>
      </c>
      <c r="L2361" s="1626" t="s">
        <v>2301</v>
      </c>
      <c r="M2361" s="1627">
        <v>1.993E-2</v>
      </c>
      <c r="N2361" s="1628">
        <v>1.6453725292834178</v>
      </c>
      <c r="O2361" s="1628"/>
    </row>
    <row r="2362" spans="11:15">
      <c r="K2362" s="1625">
        <v>44419</v>
      </c>
      <c r="L2362" s="1626" t="s">
        <v>2301</v>
      </c>
      <c r="M2362" s="1627">
        <v>1.993E-2</v>
      </c>
      <c r="N2362" s="1628">
        <v>1.6457004520285041</v>
      </c>
      <c r="O2362" s="1628"/>
    </row>
    <row r="2363" spans="11:15">
      <c r="K2363" s="1625">
        <v>44420</v>
      </c>
      <c r="L2363" s="1626" t="s">
        <v>2301</v>
      </c>
      <c r="M2363" s="1627">
        <v>1.993E-2</v>
      </c>
      <c r="N2363" s="1628">
        <v>1.6460284401285934</v>
      </c>
      <c r="O2363" s="1628"/>
    </row>
    <row r="2364" spans="11:15">
      <c r="K2364" s="1625">
        <v>44421</v>
      </c>
      <c r="L2364" s="1626" t="s">
        <v>2301</v>
      </c>
      <c r="M2364" s="1627">
        <v>1.993E-2</v>
      </c>
      <c r="N2364" s="1628">
        <v>1.646356493596711</v>
      </c>
      <c r="O2364" s="1628"/>
    </row>
    <row r="2365" spans="11:15">
      <c r="K2365" s="1625">
        <v>44422</v>
      </c>
      <c r="L2365" s="1626"/>
      <c r="M2365" s="1627">
        <v>0</v>
      </c>
      <c r="N2365" s="1628">
        <v>1.646356493596711</v>
      </c>
      <c r="O2365" s="1628"/>
    </row>
    <row r="2366" spans="11:15">
      <c r="K2366" s="1625">
        <v>44423</v>
      </c>
      <c r="L2366" s="1626"/>
      <c r="M2366" s="1627">
        <v>0</v>
      </c>
      <c r="N2366" s="1628">
        <v>1.646356493596711</v>
      </c>
      <c r="O2366" s="1628"/>
    </row>
    <row r="2367" spans="11:15">
      <c r="K2367" s="1625">
        <v>44424</v>
      </c>
      <c r="L2367" s="1626" t="s">
        <v>2301</v>
      </c>
      <c r="M2367" s="1627">
        <v>1.993E-2</v>
      </c>
      <c r="N2367" s="1628">
        <v>1.6466846124458849</v>
      </c>
      <c r="O2367" s="1628"/>
    </row>
    <row r="2368" spans="11:15">
      <c r="K2368" s="1625">
        <v>44425</v>
      </c>
      <c r="L2368" s="1626" t="s">
        <v>2301</v>
      </c>
      <c r="M2368" s="1627">
        <v>1.993E-2</v>
      </c>
      <c r="N2368" s="1628">
        <v>1.6470127966891455</v>
      </c>
      <c r="O2368" s="1628"/>
    </row>
    <row r="2369" spans="11:15">
      <c r="K2369" s="1625">
        <v>44426</v>
      </c>
      <c r="L2369" s="1626" t="s">
        <v>2301</v>
      </c>
      <c r="M2369" s="1627">
        <v>1.993E-2</v>
      </c>
      <c r="N2369" s="1628">
        <v>1.6473410463395257</v>
      </c>
      <c r="O2369" s="1628"/>
    </row>
    <row r="2370" spans="11:15">
      <c r="K2370" s="1625">
        <v>44427</v>
      </c>
      <c r="L2370" s="1626" t="s">
        <v>2301</v>
      </c>
      <c r="M2370" s="1627">
        <v>1.993E-2</v>
      </c>
      <c r="N2370" s="1628">
        <v>1.6476693614100613</v>
      </c>
      <c r="O2370" s="1628"/>
    </row>
    <row r="2371" spans="11:15">
      <c r="K2371" s="1625">
        <v>44428</v>
      </c>
      <c r="L2371" s="1626" t="s">
        <v>2301</v>
      </c>
      <c r="M2371" s="1627">
        <v>1.993E-2</v>
      </c>
      <c r="N2371" s="1628">
        <v>1.6479977419137903</v>
      </c>
      <c r="O2371" s="1628"/>
    </row>
    <row r="2372" spans="11:15">
      <c r="K2372" s="1625">
        <v>44429</v>
      </c>
      <c r="L2372" s="1626"/>
      <c r="M2372" s="1627">
        <v>0</v>
      </c>
      <c r="N2372" s="1628">
        <v>1.6479977419137903</v>
      </c>
      <c r="O2372" s="1628"/>
    </row>
    <row r="2373" spans="11:15">
      <c r="K2373" s="1625">
        <v>44430</v>
      </c>
      <c r="L2373" s="1626"/>
      <c r="M2373" s="1627">
        <v>0</v>
      </c>
      <c r="N2373" s="1628">
        <v>1.6479977419137903</v>
      </c>
      <c r="O2373" s="1628"/>
    </row>
    <row r="2374" spans="11:15">
      <c r="K2374" s="1625">
        <v>44431</v>
      </c>
      <c r="L2374" s="1626" t="s">
        <v>2301</v>
      </c>
      <c r="M2374" s="1627">
        <v>1.993E-2</v>
      </c>
      <c r="N2374" s="1628">
        <v>1.6483261878637538</v>
      </c>
      <c r="O2374" s="1628"/>
    </row>
    <row r="2375" spans="11:15">
      <c r="K2375" s="1625">
        <v>44432</v>
      </c>
      <c r="L2375" s="1626" t="s">
        <v>2301</v>
      </c>
      <c r="M2375" s="1627">
        <v>1.993E-2</v>
      </c>
      <c r="N2375" s="1628">
        <v>1.6486546992729951</v>
      </c>
      <c r="O2375" s="1628"/>
    </row>
    <row r="2376" spans="11:15">
      <c r="K2376" s="1625">
        <v>44433</v>
      </c>
      <c r="L2376" s="1626" t="s">
        <v>2301</v>
      </c>
      <c r="M2376" s="1627">
        <v>1.993E-2</v>
      </c>
      <c r="N2376" s="1628">
        <v>1.6489832761545602</v>
      </c>
      <c r="O2376" s="1628"/>
    </row>
    <row r="2377" spans="11:15">
      <c r="K2377" s="1625">
        <v>44434</v>
      </c>
      <c r="L2377" s="1626" t="s">
        <v>2301</v>
      </c>
      <c r="M2377" s="1627">
        <v>1.993E-2</v>
      </c>
      <c r="N2377" s="1628">
        <v>1.6493119185214977</v>
      </c>
      <c r="O2377" s="1628"/>
    </row>
    <row r="2378" spans="11:15">
      <c r="K2378" s="1625">
        <v>44435</v>
      </c>
      <c r="L2378" s="1626" t="s">
        <v>2301</v>
      </c>
      <c r="M2378" s="1627">
        <v>1.993E-2</v>
      </c>
      <c r="N2378" s="1628">
        <v>1.649640626386859</v>
      </c>
      <c r="O2378" s="1628"/>
    </row>
    <row r="2379" spans="11:15">
      <c r="K2379" s="1625">
        <v>44436</v>
      </c>
      <c r="L2379" s="1626"/>
      <c r="M2379" s="1627">
        <v>0</v>
      </c>
      <c r="N2379" s="1628">
        <v>1.649640626386859</v>
      </c>
      <c r="O2379" s="1628"/>
    </row>
    <row r="2380" spans="11:15">
      <c r="K2380" s="1625">
        <v>44437</v>
      </c>
      <c r="L2380" s="1626"/>
      <c r="M2380" s="1627">
        <v>0</v>
      </c>
      <c r="N2380" s="1628">
        <v>1.649640626386859</v>
      </c>
      <c r="O2380" s="1628"/>
    </row>
    <row r="2381" spans="11:15">
      <c r="K2381" s="1625">
        <v>44438</v>
      </c>
      <c r="L2381" s="1626" t="s">
        <v>2301</v>
      </c>
      <c r="M2381" s="1627">
        <v>1.993E-2</v>
      </c>
      <c r="N2381" s="1628">
        <v>1.6499693997636979</v>
      </c>
      <c r="O2381" s="1628"/>
    </row>
    <row r="2382" spans="11:15">
      <c r="K2382" s="1625">
        <v>44439</v>
      </c>
      <c r="L2382" s="1626" t="s">
        <v>2301</v>
      </c>
      <c r="M2382" s="1627">
        <v>1.993E-2</v>
      </c>
      <c r="N2382" s="1628">
        <v>1.6502982386650709</v>
      </c>
      <c r="O2382" s="1628"/>
    </row>
    <row r="2383" spans="11:15">
      <c r="K2383" s="1625">
        <v>44440</v>
      </c>
      <c r="L2383" s="1626" t="s">
        <v>2301</v>
      </c>
      <c r="M2383" s="1627">
        <v>1.993E-2</v>
      </c>
      <c r="N2383" s="1628">
        <v>1.6506271431040369</v>
      </c>
      <c r="O2383" s="1628"/>
    </row>
    <row r="2384" spans="11:15">
      <c r="K2384" s="1625">
        <v>44441</v>
      </c>
      <c r="L2384" s="1626" t="s">
        <v>2301</v>
      </c>
      <c r="M2384" s="1627">
        <v>1.993E-2</v>
      </c>
      <c r="N2384" s="1628">
        <v>1.6509561130936576</v>
      </c>
      <c r="O2384" s="1628"/>
    </row>
    <row r="2385" spans="11:15">
      <c r="K2385" s="1625">
        <v>44442</v>
      </c>
      <c r="L2385" s="1626" t="s">
        <v>2301</v>
      </c>
      <c r="M2385" s="1627">
        <v>1.993E-2</v>
      </c>
      <c r="N2385" s="1628">
        <v>1.6512851486469973</v>
      </c>
      <c r="O2385" s="1628"/>
    </row>
    <row r="2386" spans="11:15">
      <c r="K2386" s="1625">
        <v>44443</v>
      </c>
      <c r="L2386" s="1626"/>
      <c r="M2386" s="1627">
        <v>0</v>
      </c>
      <c r="N2386" s="1628">
        <v>1.6512851486469973</v>
      </c>
      <c r="O2386" s="1628"/>
    </row>
    <row r="2387" spans="11:15">
      <c r="K2387" s="1625">
        <v>44444</v>
      </c>
      <c r="L2387" s="1626"/>
      <c r="M2387" s="1627">
        <v>0</v>
      </c>
      <c r="N2387" s="1628">
        <v>1.6512851486469973</v>
      </c>
      <c r="O2387" s="1628"/>
    </row>
    <row r="2388" spans="11:15">
      <c r="K2388" s="1625">
        <v>44445</v>
      </c>
      <c r="L2388" s="1626" t="s">
        <v>2301</v>
      </c>
      <c r="M2388" s="1627">
        <v>1.993E-2</v>
      </c>
      <c r="N2388" s="1628">
        <v>1.6516142497771227</v>
      </c>
      <c r="O2388" s="1628"/>
    </row>
    <row r="2389" spans="11:15">
      <c r="K2389" s="1625">
        <v>44446</v>
      </c>
      <c r="L2389" s="1626"/>
      <c r="M2389" s="1627">
        <v>0</v>
      </c>
      <c r="N2389" s="1628">
        <v>1.6516142497771227</v>
      </c>
      <c r="O2389" s="1628"/>
    </row>
    <row r="2390" spans="11:15">
      <c r="K2390" s="1625">
        <v>44447</v>
      </c>
      <c r="L2390" s="1626" t="s">
        <v>2301</v>
      </c>
      <c r="M2390" s="1627">
        <v>1.993E-2</v>
      </c>
      <c r="N2390" s="1628">
        <v>1.6519434164971032</v>
      </c>
      <c r="O2390" s="1628"/>
    </row>
    <row r="2391" spans="11:15">
      <c r="K2391" s="1625">
        <v>44448</v>
      </c>
      <c r="L2391" s="1626" t="s">
        <v>2301</v>
      </c>
      <c r="M2391" s="1627">
        <v>1.993E-2</v>
      </c>
      <c r="N2391" s="1628">
        <v>1.652272648820011</v>
      </c>
      <c r="O2391" s="1628"/>
    </row>
    <row r="2392" spans="11:15">
      <c r="K2392" s="1625">
        <v>44449</v>
      </c>
      <c r="L2392" s="1626" t="s">
        <v>2301</v>
      </c>
      <c r="M2392" s="1627">
        <v>1.993E-2</v>
      </c>
      <c r="N2392" s="1628">
        <v>1.6526019467589208</v>
      </c>
      <c r="O2392" s="1628"/>
    </row>
    <row r="2393" spans="11:15">
      <c r="K2393" s="1625">
        <v>44450</v>
      </c>
      <c r="L2393" s="1626"/>
      <c r="M2393" s="1627">
        <v>0</v>
      </c>
      <c r="N2393" s="1628">
        <v>1.6526019467589208</v>
      </c>
      <c r="O2393" s="1628"/>
    </row>
    <row r="2394" spans="11:15">
      <c r="K2394" s="1625">
        <v>44451</v>
      </c>
      <c r="L2394" s="1626"/>
      <c r="M2394" s="1627">
        <v>0</v>
      </c>
      <c r="N2394" s="1628">
        <v>1.6526019467589208</v>
      </c>
      <c r="O2394" s="1628"/>
    </row>
    <row r="2395" spans="11:15">
      <c r="K2395" s="1625">
        <v>44452</v>
      </c>
      <c r="L2395" s="1626" t="s">
        <v>2301</v>
      </c>
      <c r="M2395" s="1627">
        <v>1.993E-2</v>
      </c>
      <c r="N2395" s="1628">
        <v>1.6529313103269099</v>
      </c>
      <c r="O2395" s="1628"/>
    </row>
    <row r="2396" spans="11:15">
      <c r="K2396" s="1625">
        <v>44453</v>
      </c>
      <c r="L2396" s="1626" t="s">
        <v>2301</v>
      </c>
      <c r="M2396" s="1627">
        <v>1.993E-2</v>
      </c>
      <c r="N2396" s="1628">
        <v>1.653260739537058</v>
      </c>
      <c r="O2396" s="1628"/>
    </row>
    <row r="2397" spans="11:15">
      <c r="K2397" s="1625">
        <v>44454</v>
      </c>
      <c r="L2397" s="1626" t="s">
        <v>2301</v>
      </c>
      <c r="M2397" s="1627">
        <v>1.993E-2</v>
      </c>
      <c r="N2397" s="1628">
        <v>1.6535902344024478</v>
      </c>
      <c r="O2397" s="1628"/>
    </row>
    <row r="2398" spans="11:15">
      <c r="K2398" s="1625">
        <v>44455</v>
      </c>
      <c r="L2398" s="1626" t="s">
        <v>2301</v>
      </c>
      <c r="M2398" s="1627">
        <v>1.993E-2</v>
      </c>
      <c r="N2398" s="1628">
        <v>1.6539197949361641</v>
      </c>
      <c r="O2398" s="1628"/>
    </row>
    <row r="2399" spans="11:15">
      <c r="K2399" s="1625">
        <v>44456</v>
      </c>
      <c r="L2399" s="1626" t="s">
        <v>2301</v>
      </c>
      <c r="M2399" s="1627">
        <v>1.993E-2</v>
      </c>
      <c r="N2399" s="1628">
        <v>1.654249421151295</v>
      </c>
      <c r="O2399" s="1628"/>
    </row>
    <row r="2400" spans="11:15">
      <c r="K2400" s="1625">
        <v>44457</v>
      </c>
      <c r="L2400" s="1626"/>
      <c r="M2400" s="1627">
        <v>0</v>
      </c>
      <c r="N2400" s="1628">
        <v>1.654249421151295</v>
      </c>
      <c r="O2400" s="1628"/>
    </row>
    <row r="2401" spans="11:15">
      <c r="K2401" s="1625">
        <v>44458</v>
      </c>
      <c r="L2401" s="1626"/>
      <c r="M2401" s="1627">
        <v>0</v>
      </c>
      <c r="N2401" s="1628">
        <v>1.654249421151295</v>
      </c>
      <c r="O2401" s="1628"/>
    </row>
    <row r="2402" spans="11:15">
      <c r="K2402" s="1625">
        <v>44459</v>
      </c>
      <c r="L2402" s="1626" t="s">
        <v>2301</v>
      </c>
      <c r="M2402" s="1627">
        <v>1.993E-2</v>
      </c>
      <c r="N2402" s="1628">
        <v>1.6545791130609304</v>
      </c>
      <c r="O2402" s="1628"/>
    </row>
    <row r="2403" spans="11:15">
      <c r="K2403" s="1625">
        <v>44460</v>
      </c>
      <c r="L2403" s="1626" t="s">
        <v>2301</v>
      </c>
      <c r="M2403" s="1627">
        <v>1.993E-2</v>
      </c>
      <c r="N2403" s="1628">
        <v>1.6549088706781634</v>
      </c>
      <c r="O2403" s="1628"/>
    </row>
    <row r="2404" spans="11:15">
      <c r="K2404" s="1625">
        <v>44461</v>
      </c>
      <c r="L2404" s="1626" t="s">
        <v>2301</v>
      </c>
      <c r="M2404" s="1627">
        <v>1.993E-2</v>
      </c>
      <c r="N2404" s="1628">
        <v>1.6552386940160895</v>
      </c>
      <c r="O2404" s="1628"/>
    </row>
    <row r="2405" spans="11:15">
      <c r="K2405" s="1625">
        <v>44462</v>
      </c>
      <c r="L2405" s="1626" t="s">
        <v>2301</v>
      </c>
      <c r="M2405" s="1627">
        <v>2.3687E-2</v>
      </c>
      <c r="N2405" s="1628">
        <v>1.6556307704055411</v>
      </c>
      <c r="O2405" s="1628"/>
    </row>
    <row r="2406" spans="11:15">
      <c r="K2406" s="1625">
        <v>44463</v>
      </c>
      <c r="L2406" s="1626" t="s">
        <v>2301</v>
      </c>
      <c r="M2406" s="1627">
        <v>2.3687E-2</v>
      </c>
      <c r="N2406" s="1628">
        <v>1.656022939666127</v>
      </c>
      <c r="O2406" s="1628"/>
    </row>
    <row r="2407" spans="11:15">
      <c r="K2407" s="1625">
        <v>44464</v>
      </c>
      <c r="L2407" s="1626"/>
      <c r="M2407" s="1627">
        <v>0</v>
      </c>
      <c r="N2407" s="1628">
        <v>1.656022939666127</v>
      </c>
      <c r="O2407" s="1628"/>
    </row>
    <row r="2408" spans="11:15">
      <c r="K2408" s="1625">
        <v>44465</v>
      </c>
      <c r="L2408" s="1626"/>
      <c r="M2408" s="1627">
        <v>0</v>
      </c>
      <c r="N2408" s="1628">
        <v>1.656022939666127</v>
      </c>
      <c r="O2408" s="1628"/>
    </row>
    <row r="2409" spans="11:15">
      <c r="K2409" s="1625">
        <v>44466</v>
      </c>
      <c r="L2409" s="1626" t="s">
        <v>2301</v>
      </c>
      <c r="M2409" s="1627">
        <v>2.3687E-2</v>
      </c>
      <c r="N2409" s="1628">
        <v>1.6564152018198457</v>
      </c>
      <c r="O2409" s="1628"/>
    </row>
    <row r="2410" spans="11:15">
      <c r="K2410" s="1625">
        <v>44467</v>
      </c>
      <c r="L2410" s="1626" t="s">
        <v>2301</v>
      </c>
      <c r="M2410" s="1627">
        <v>2.3687E-2</v>
      </c>
      <c r="N2410" s="1628">
        <v>1.6568075568887006</v>
      </c>
      <c r="O2410" s="1628"/>
    </row>
    <row r="2411" spans="11:15">
      <c r="K2411" s="1625">
        <v>44468</v>
      </c>
      <c r="L2411" s="1626" t="s">
        <v>2301</v>
      </c>
      <c r="M2411" s="1627">
        <v>2.3687E-2</v>
      </c>
      <c r="N2411" s="1628">
        <v>1.6572000048947009</v>
      </c>
      <c r="O2411" s="1628"/>
    </row>
    <row r="2412" spans="11:15">
      <c r="K2412" s="1625">
        <v>44469</v>
      </c>
      <c r="L2412" s="1626" t="s">
        <v>2301</v>
      </c>
      <c r="M2412" s="1627">
        <v>2.3687E-2</v>
      </c>
      <c r="N2412" s="1628">
        <v>1.6575925458598602</v>
      </c>
      <c r="O2412" s="1628"/>
    </row>
    <row r="2413" spans="11:15">
      <c r="K2413" s="1625">
        <v>44470</v>
      </c>
      <c r="L2413" s="1626" t="s">
        <v>2301</v>
      </c>
      <c r="M2413" s="1627">
        <v>2.3687E-2</v>
      </c>
      <c r="N2413" s="1628">
        <v>1.657985179806198</v>
      </c>
      <c r="O2413" s="1628"/>
    </row>
    <row r="2414" spans="11:15">
      <c r="K2414" s="1625">
        <v>44471</v>
      </c>
      <c r="L2414" s="1626"/>
      <c r="M2414" s="1627">
        <v>0</v>
      </c>
      <c r="N2414" s="1628">
        <v>1.657985179806198</v>
      </c>
      <c r="O2414" s="1628"/>
    </row>
    <row r="2415" spans="11:15">
      <c r="K2415" s="1625">
        <v>44472</v>
      </c>
      <c r="L2415" s="1626"/>
      <c r="M2415" s="1627">
        <v>0</v>
      </c>
      <c r="N2415" s="1628">
        <v>1.657985179806198</v>
      </c>
      <c r="O2415" s="1628"/>
    </row>
    <row r="2416" spans="11:15">
      <c r="K2416" s="1625">
        <v>44473</v>
      </c>
      <c r="L2416" s="1626" t="s">
        <v>2301</v>
      </c>
      <c r="M2416" s="1627">
        <v>2.3687E-2</v>
      </c>
      <c r="N2416" s="1628">
        <v>1.6583779067557385</v>
      </c>
      <c r="O2416" s="1628"/>
    </row>
    <row r="2417" spans="11:15">
      <c r="K2417" s="1625">
        <v>44474</v>
      </c>
      <c r="L2417" s="1626" t="s">
        <v>2301</v>
      </c>
      <c r="M2417" s="1627">
        <v>2.3687E-2</v>
      </c>
      <c r="N2417" s="1628">
        <v>1.6587707267305116</v>
      </c>
      <c r="O2417" s="1628"/>
    </row>
    <row r="2418" spans="11:15">
      <c r="K2418" s="1625">
        <v>44475</v>
      </c>
      <c r="L2418" s="1626" t="s">
        <v>2301</v>
      </c>
      <c r="M2418" s="1627">
        <v>2.3687E-2</v>
      </c>
      <c r="N2418" s="1628">
        <v>1.6591636397525522</v>
      </c>
      <c r="O2418" s="1628"/>
    </row>
    <row r="2419" spans="11:15">
      <c r="K2419" s="1625">
        <v>44476</v>
      </c>
      <c r="L2419" s="1626" t="s">
        <v>2301</v>
      </c>
      <c r="M2419" s="1627">
        <v>2.3687E-2</v>
      </c>
      <c r="N2419" s="1628">
        <v>1.6595566458439004</v>
      </c>
      <c r="O2419" s="1628"/>
    </row>
    <row r="2420" spans="11:15">
      <c r="K2420" s="1625">
        <v>44477</v>
      </c>
      <c r="L2420" s="1626" t="s">
        <v>2301</v>
      </c>
      <c r="M2420" s="1627">
        <v>2.3687E-2</v>
      </c>
      <c r="N2420" s="1628">
        <v>1.6599497450266014</v>
      </c>
      <c r="O2420" s="1628"/>
    </row>
    <row r="2421" spans="11:15">
      <c r="K2421" s="1625">
        <v>44478</v>
      </c>
      <c r="L2421" s="1626"/>
      <c r="M2421" s="1627">
        <v>0</v>
      </c>
      <c r="N2421" s="1628">
        <v>1.6599497450266014</v>
      </c>
      <c r="O2421" s="1628"/>
    </row>
    <row r="2422" spans="11:15">
      <c r="K2422" s="1625">
        <v>44479</v>
      </c>
      <c r="L2422" s="1626"/>
      <c r="M2422" s="1627">
        <v>0</v>
      </c>
      <c r="N2422" s="1628">
        <v>1.6599497450266014</v>
      </c>
      <c r="O2422" s="1628"/>
    </row>
    <row r="2423" spans="11:15">
      <c r="K2423" s="1625">
        <v>44480</v>
      </c>
      <c r="L2423" s="1626" t="s">
        <v>2301</v>
      </c>
      <c r="M2423" s="1627">
        <v>2.3687E-2</v>
      </c>
      <c r="N2423" s="1628">
        <v>1.6603429373227059</v>
      </c>
      <c r="O2423" s="1628"/>
    </row>
    <row r="2424" spans="11:15">
      <c r="K2424" s="1625">
        <v>44481</v>
      </c>
      <c r="L2424" s="1626"/>
      <c r="M2424" s="1627">
        <v>0</v>
      </c>
      <c r="N2424" s="1628">
        <v>1.6603429373227059</v>
      </c>
      <c r="O2424" s="1628"/>
    </row>
    <row r="2425" spans="11:15">
      <c r="K2425" s="1625">
        <v>44482</v>
      </c>
      <c r="L2425" s="1626" t="s">
        <v>2301</v>
      </c>
      <c r="M2425" s="1627">
        <v>2.3687E-2</v>
      </c>
      <c r="N2425" s="1628">
        <v>1.6607362227542695</v>
      </c>
      <c r="O2425" s="1628"/>
    </row>
    <row r="2426" spans="11:15">
      <c r="K2426" s="1625">
        <v>44483</v>
      </c>
      <c r="L2426" s="1626" t="s">
        <v>2301</v>
      </c>
      <c r="M2426" s="1627">
        <v>2.3687E-2</v>
      </c>
      <c r="N2426" s="1628">
        <v>1.6611296013433532</v>
      </c>
      <c r="O2426" s="1628"/>
    </row>
    <row r="2427" spans="11:15">
      <c r="K2427" s="1625">
        <v>44484</v>
      </c>
      <c r="L2427" s="1626" t="s">
        <v>2301</v>
      </c>
      <c r="M2427" s="1627">
        <v>2.3687E-2</v>
      </c>
      <c r="N2427" s="1628">
        <v>1.6615230731120234</v>
      </c>
      <c r="O2427" s="1628"/>
    </row>
    <row r="2428" spans="11:15">
      <c r="K2428" s="1625">
        <v>44485</v>
      </c>
      <c r="L2428" s="1626"/>
      <c r="M2428" s="1627">
        <v>0</v>
      </c>
      <c r="N2428" s="1628">
        <v>1.6615230731120234</v>
      </c>
      <c r="O2428" s="1628"/>
    </row>
    <row r="2429" spans="11:15">
      <c r="K2429" s="1625">
        <v>44486</v>
      </c>
      <c r="L2429" s="1626"/>
      <c r="M2429" s="1627">
        <v>0</v>
      </c>
      <c r="N2429" s="1628">
        <v>1.6615230731120234</v>
      </c>
      <c r="O2429" s="1628"/>
    </row>
    <row r="2430" spans="11:15">
      <c r="K2430" s="1625">
        <v>44487</v>
      </c>
      <c r="L2430" s="1626" t="s">
        <v>2301</v>
      </c>
      <c r="M2430" s="1627">
        <v>2.3687E-2</v>
      </c>
      <c r="N2430" s="1628">
        <v>1.6619166380823513</v>
      </c>
      <c r="O2430" s="1628"/>
    </row>
    <row r="2431" spans="11:15">
      <c r="K2431" s="1625">
        <v>44488</v>
      </c>
      <c r="L2431" s="1626" t="s">
        <v>2301</v>
      </c>
      <c r="M2431" s="1627">
        <v>2.3687E-2</v>
      </c>
      <c r="N2431" s="1628">
        <v>1.6623102962764138</v>
      </c>
      <c r="O2431" s="1628"/>
    </row>
    <row r="2432" spans="11:15">
      <c r="K2432" s="1625">
        <v>44489</v>
      </c>
      <c r="L2432" s="1626" t="s">
        <v>2301</v>
      </c>
      <c r="M2432" s="1627">
        <v>2.3687E-2</v>
      </c>
      <c r="N2432" s="1628">
        <v>1.6627040477162927</v>
      </c>
      <c r="O2432" s="1628"/>
    </row>
    <row r="2433" spans="11:15">
      <c r="K2433" s="1625">
        <v>44490</v>
      </c>
      <c r="L2433" s="1626" t="s">
        <v>2301</v>
      </c>
      <c r="M2433" s="1627">
        <v>2.3687E-2</v>
      </c>
      <c r="N2433" s="1628">
        <v>1.6630978924240751</v>
      </c>
      <c r="O2433" s="1628"/>
    </row>
    <row r="2434" spans="11:15">
      <c r="K2434" s="1625">
        <v>44491</v>
      </c>
      <c r="L2434" s="1626" t="s">
        <v>2301</v>
      </c>
      <c r="M2434" s="1627">
        <v>2.3687E-2</v>
      </c>
      <c r="N2434" s="1628">
        <v>1.6634918304218536</v>
      </c>
      <c r="O2434" s="1628"/>
    </row>
    <row r="2435" spans="11:15">
      <c r="K2435" s="1625">
        <v>44492</v>
      </c>
      <c r="L2435" s="1626"/>
      <c r="M2435" s="1627">
        <v>0</v>
      </c>
      <c r="N2435" s="1628">
        <v>1.6634918304218536</v>
      </c>
      <c r="O2435" s="1628"/>
    </row>
    <row r="2436" spans="11:15">
      <c r="K2436" s="1625">
        <v>44493</v>
      </c>
      <c r="L2436" s="1626"/>
      <c r="M2436" s="1627">
        <v>0</v>
      </c>
      <c r="N2436" s="1628">
        <v>1.6634918304218536</v>
      </c>
      <c r="O2436" s="1628"/>
    </row>
    <row r="2437" spans="11:15">
      <c r="K2437" s="1625">
        <v>44494</v>
      </c>
      <c r="L2437" s="1626" t="s">
        <v>2301</v>
      </c>
      <c r="M2437" s="1627">
        <v>2.3687E-2</v>
      </c>
      <c r="N2437" s="1628">
        <v>1.6638858617317256</v>
      </c>
      <c r="O2437" s="1628"/>
    </row>
    <row r="2438" spans="11:15">
      <c r="K2438" s="1625">
        <v>44495</v>
      </c>
      <c r="L2438" s="1626" t="s">
        <v>2301</v>
      </c>
      <c r="M2438" s="1627">
        <v>2.3687E-2</v>
      </c>
      <c r="N2438" s="1628">
        <v>1.664279986375794</v>
      </c>
      <c r="O2438" s="1628"/>
    </row>
    <row r="2439" spans="11:15">
      <c r="K2439" s="1625">
        <v>44496</v>
      </c>
      <c r="L2439" s="1626" t="s">
        <v>2301</v>
      </c>
      <c r="M2439" s="1627">
        <v>2.3687E-2</v>
      </c>
      <c r="N2439" s="1628">
        <v>1.6646742043761666</v>
      </c>
      <c r="O2439" s="1628"/>
    </row>
    <row r="2440" spans="11:15">
      <c r="K2440" s="1625">
        <v>44497</v>
      </c>
      <c r="L2440" s="1626" t="s">
        <v>2301</v>
      </c>
      <c r="M2440" s="1627">
        <v>2.9256000000000001E-2</v>
      </c>
      <c r="N2440" s="1628">
        <v>1.6651612214613991</v>
      </c>
      <c r="O2440" s="1628"/>
    </row>
    <row r="2441" spans="11:15">
      <c r="K2441" s="1625">
        <v>44498</v>
      </c>
      <c r="L2441" s="1626" t="s">
        <v>2301</v>
      </c>
      <c r="M2441" s="1627">
        <v>2.9256000000000001E-2</v>
      </c>
      <c r="N2441" s="1628">
        <v>1.66564838102835</v>
      </c>
      <c r="O2441" s="1628"/>
    </row>
    <row r="2442" spans="11:15">
      <c r="K2442" s="1625">
        <v>44499</v>
      </c>
      <c r="L2442" s="1626"/>
      <c r="M2442" s="1627">
        <v>0</v>
      </c>
      <c r="N2442" s="1628">
        <v>1.66564838102835</v>
      </c>
      <c r="O2442" s="1628"/>
    </row>
    <row r="2443" spans="11:15">
      <c r="K2443" s="1625">
        <v>44500</v>
      </c>
      <c r="L2443" s="1626"/>
      <c r="M2443" s="1627">
        <v>0</v>
      </c>
      <c r="N2443" s="1628">
        <v>1.66564838102835</v>
      </c>
      <c r="O2443" s="1628"/>
    </row>
    <row r="2444" spans="11:15">
      <c r="K2444" s="1625">
        <v>44501</v>
      </c>
      <c r="L2444" s="1626" t="s">
        <v>2301</v>
      </c>
      <c r="M2444" s="1627">
        <v>2.9256000000000001E-2</v>
      </c>
      <c r="N2444" s="1628">
        <v>1.6661356831187037</v>
      </c>
      <c r="O2444" s="1628"/>
    </row>
    <row r="2445" spans="11:15">
      <c r="K2445" s="1625">
        <v>44502</v>
      </c>
      <c r="L2445" s="1626"/>
      <c r="M2445" s="1627">
        <v>0</v>
      </c>
      <c r="N2445" s="1628">
        <v>1.6661356831187037</v>
      </c>
      <c r="O2445" s="1628"/>
    </row>
    <row r="2446" spans="11:15">
      <c r="K2446" s="1625">
        <v>44503</v>
      </c>
      <c r="L2446" s="1626" t="s">
        <v>2301</v>
      </c>
      <c r="M2446" s="1627">
        <v>2.9256000000000001E-2</v>
      </c>
      <c r="N2446" s="1628">
        <v>1.6666231277741572</v>
      </c>
      <c r="O2446" s="1628"/>
    </row>
    <row r="2447" spans="11:15">
      <c r="K2447" s="1625">
        <v>44504</v>
      </c>
      <c r="L2447" s="1626" t="s">
        <v>2301</v>
      </c>
      <c r="M2447" s="1627">
        <v>2.9256000000000001E-2</v>
      </c>
      <c r="N2447" s="1628">
        <v>1.6671107150364191</v>
      </c>
      <c r="O2447" s="1628"/>
    </row>
    <row r="2448" spans="11:15">
      <c r="K2448" s="1625">
        <v>44505</v>
      </c>
      <c r="L2448" s="1626" t="s">
        <v>2301</v>
      </c>
      <c r="M2448" s="1627">
        <v>2.9256000000000001E-2</v>
      </c>
      <c r="N2448" s="1628">
        <v>1.6675984449472103</v>
      </c>
      <c r="O2448" s="1628"/>
    </row>
    <row r="2449" spans="11:15">
      <c r="K2449" s="1625">
        <v>44506</v>
      </c>
      <c r="L2449" s="1626"/>
      <c r="M2449" s="1627">
        <v>0</v>
      </c>
      <c r="N2449" s="1628">
        <v>1.6675984449472103</v>
      </c>
      <c r="O2449" s="1628"/>
    </row>
    <row r="2450" spans="11:15">
      <c r="K2450" s="1625">
        <v>44507</v>
      </c>
      <c r="L2450" s="1626"/>
      <c r="M2450" s="1627">
        <v>0</v>
      </c>
      <c r="N2450" s="1628">
        <v>1.6675984449472103</v>
      </c>
      <c r="O2450" s="1628"/>
    </row>
    <row r="2451" spans="11:15">
      <c r="K2451" s="1625">
        <v>44508</v>
      </c>
      <c r="L2451" s="1626" t="s">
        <v>2301</v>
      </c>
      <c r="M2451" s="1627">
        <v>2.9256000000000001E-2</v>
      </c>
      <c r="N2451" s="1628">
        <v>1.6680863175482643</v>
      </c>
      <c r="O2451" s="1628"/>
    </row>
    <row r="2452" spans="11:15">
      <c r="K2452" s="1625">
        <v>44509</v>
      </c>
      <c r="L2452" s="1626" t="s">
        <v>2301</v>
      </c>
      <c r="M2452" s="1627">
        <v>2.9256000000000001E-2</v>
      </c>
      <c r="N2452" s="1628">
        <v>1.6685743328813265</v>
      </c>
      <c r="O2452" s="1628"/>
    </row>
    <row r="2453" spans="11:15">
      <c r="K2453" s="1625">
        <v>44510</v>
      </c>
      <c r="L2453" s="1626" t="s">
        <v>2301</v>
      </c>
      <c r="M2453" s="1627">
        <v>2.9256000000000001E-2</v>
      </c>
      <c r="N2453" s="1628">
        <v>1.6690624909881544</v>
      </c>
      <c r="O2453" s="1628"/>
    </row>
    <row r="2454" spans="11:15">
      <c r="K2454" s="1625">
        <v>44511</v>
      </c>
      <c r="L2454" s="1626" t="s">
        <v>2301</v>
      </c>
      <c r="M2454" s="1627">
        <v>2.9256000000000001E-2</v>
      </c>
      <c r="N2454" s="1628">
        <v>1.6695507919105181</v>
      </c>
      <c r="O2454" s="1628"/>
    </row>
    <row r="2455" spans="11:15">
      <c r="K2455" s="1625">
        <v>44512</v>
      </c>
      <c r="L2455" s="1626" t="s">
        <v>2301</v>
      </c>
      <c r="M2455" s="1627">
        <v>2.9256000000000001E-2</v>
      </c>
      <c r="N2455" s="1628">
        <v>1.6700392356901996</v>
      </c>
      <c r="O2455" s="1628"/>
    </row>
    <row r="2456" spans="11:15">
      <c r="K2456" s="1625">
        <v>44513</v>
      </c>
      <c r="L2456" s="1626"/>
      <c r="M2456" s="1627">
        <v>0</v>
      </c>
      <c r="N2456" s="1628">
        <v>1.6700392356901996</v>
      </c>
      <c r="O2456" s="1628"/>
    </row>
    <row r="2457" spans="11:15">
      <c r="K2457" s="1625">
        <v>44514</v>
      </c>
      <c r="L2457" s="1626"/>
      <c r="M2457" s="1627">
        <v>0</v>
      </c>
      <c r="N2457" s="1628">
        <v>1.6700392356901996</v>
      </c>
      <c r="O2457" s="1628"/>
    </row>
    <row r="2458" spans="11:15">
      <c r="K2458" s="1625">
        <v>44515</v>
      </c>
      <c r="L2458" s="1626"/>
      <c r="M2458" s="1627">
        <v>0</v>
      </c>
      <c r="N2458" s="1628">
        <v>1.6700392356901996</v>
      </c>
      <c r="O2458" s="1628"/>
    </row>
    <row r="2459" spans="11:15">
      <c r="K2459" s="1625">
        <v>44516</v>
      </c>
      <c r="L2459" s="1626" t="s">
        <v>2301</v>
      </c>
      <c r="M2459" s="1627">
        <v>2.9256000000000001E-2</v>
      </c>
      <c r="N2459" s="1628">
        <v>1.6705278223689934</v>
      </c>
      <c r="O2459" s="1628"/>
    </row>
    <row r="2460" spans="11:15">
      <c r="K2460" s="1625">
        <v>44517</v>
      </c>
      <c r="L2460" s="1626" t="s">
        <v>2301</v>
      </c>
      <c r="M2460" s="1627">
        <v>2.9256000000000001E-2</v>
      </c>
      <c r="N2460" s="1628">
        <v>1.6710165519887059</v>
      </c>
      <c r="O2460" s="1628"/>
    </row>
    <row r="2461" spans="11:15">
      <c r="K2461" s="1625">
        <v>44518</v>
      </c>
      <c r="L2461" s="1626" t="s">
        <v>2301</v>
      </c>
      <c r="M2461" s="1627">
        <v>2.9256000000000001E-2</v>
      </c>
      <c r="N2461" s="1628">
        <v>1.6715054245911558</v>
      </c>
      <c r="O2461" s="1628"/>
    </row>
    <row r="2462" spans="11:15">
      <c r="K2462" s="1625">
        <v>44519</v>
      </c>
      <c r="L2462" s="1626" t="s">
        <v>2301</v>
      </c>
      <c r="M2462" s="1627">
        <v>2.9256000000000001E-2</v>
      </c>
      <c r="N2462" s="1628">
        <v>1.6719944402181743</v>
      </c>
      <c r="O2462" s="1628"/>
    </row>
    <row r="2463" spans="11:15">
      <c r="K2463" s="1625">
        <v>44520</v>
      </c>
      <c r="L2463" s="1626"/>
      <c r="M2463" s="1627">
        <v>0</v>
      </c>
      <c r="N2463" s="1628">
        <v>1.6719944402181743</v>
      </c>
      <c r="O2463" s="1628"/>
    </row>
    <row r="2464" spans="11:15">
      <c r="K2464" s="1625">
        <v>44521</v>
      </c>
      <c r="L2464" s="1626"/>
      <c r="M2464" s="1627">
        <v>0</v>
      </c>
      <c r="N2464" s="1628">
        <v>1.6719944402181743</v>
      </c>
      <c r="O2464" s="1628"/>
    </row>
    <row r="2465" spans="11:15">
      <c r="K2465" s="1625">
        <v>44522</v>
      </c>
      <c r="L2465" s="1626" t="s">
        <v>2301</v>
      </c>
      <c r="M2465" s="1627">
        <v>2.9256000000000001E-2</v>
      </c>
      <c r="N2465" s="1628">
        <v>1.6724835989116047</v>
      </c>
      <c r="O2465" s="1628"/>
    </row>
    <row r="2466" spans="11:15">
      <c r="K2466" s="1625">
        <v>44523</v>
      </c>
      <c r="L2466" s="1626" t="s">
        <v>2301</v>
      </c>
      <c r="M2466" s="1627">
        <v>2.9256000000000001E-2</v>
      </c>
      <c r="N2466" s="1628">
        <v>1.6729729007133025</v>
      </c>
      <c r="O2466" s="1628"/>
    </row>
    <row r="2467" spans="11:15">
      <c r="K2467" s="1625">
        <v>44524</v>
      </c>
      <c r="L2467" s="1626" t="s">
        <v>2301</v>
      </c>
      <c r="M2467" s="1627">
        <v>2.9256000000000001E-2</v>
      </c>
      <c r="N2467" s="1628">
        <v>1.6734623456651354</v>
      </c>
      <c r="O2467" s="1628"/>
    </row>
    <row r="2468" spans="11:15">
      <c r="K2468" s="1625">
        <v>44525</v>
      </c>
      <c r="L2468" s="1626" t="s">
        <v>2301</v>
      </c>
      <c r="M2468" s="1627">
        <v>2.9256000000000001E-2</v>
      </c>
      <c r="N2468" s="1628">
        <v>1.6739519338089834</v>
      </c>
      <c r="O2468" s="1628"/>
    </row>
    <row r="2469" spans="11:15">
      <c r="K2469" s="1625">
        <v>44526</v>
      </c>
      <c r="L2469" s="1626" t="s">
        <v>2301</v>
      </c>
      <c r="M2469" s="1627">
        <v>2.9256000000000001E-2</v>
      </c>
      <c r="N2469" s="1628">
        <v>1.6744416651867389</v>
      </c>
      <c r="O2469" s="1628"/>
    </row>
    <row r="2470" spans="11:15">
      <c r="K2470" s="1625">
        <v>44527</v>
      </c>
      <c r="L2470" s="1626"/>
      <c r="M2470" s="1627">
        <v>0</v>
      </c>
      <c r="N2470" s="1628">
        <v>1.6744416651867389</v>
      </c>
      <c r="O2470" s="1628"/>
    </row>
    <row r="2471" spans="11:15">
      <c r="K2471" s="1625">
        <v>44528</v>
      </c>
      <c r="L2471" s="1626"/>
      <c r="M2471" s="1627">
        <v>0</v>
      </c>
      <c r="N2471" s="1628">
        <v>1.6744416651867389</v>
      </c>
      <c r="O2471" s="1628"/>
    </row>
    <row r="2472" spans="11:15">
      <c r="K2472" s="1625">
        <v>44529</v>
      </c>
      <c r="L2472" s="1626" t="s">
        <v>2301</v>
      </c>
      <c r="M2472" s="1627">
        <v>2.9256000000000001E-2</v>
      </c>
      <c r="N2472" s="1628">
        <v>1.6749315398403062</v>
      </c>
      <c r="O2472" s="1628"/>
    </row>
    <row r="2473" spans="11:15">
      <c r="K2473" s="1625">
        <v>44530</v>
      </c>
      <c r="L2473" s="1626" t="s">
        <v>2301</v>
      </c>
      <c r="M2473" s="1627">
        <v>2.9256000000000001E-2</v>
      </c>
      <c r="N2473" s="1628">
        <v>1.6754215578116021</v>
      </c>
      <c r="O2473" s="1628"/>
    </row>
    <row r="2474" spans="11:15">
      <c r="K2474" s="1625">
        <v>44531</v>
      </c>
      <c r="L2474" s="1626" t="s">
        <v>2301</v>
      </c>
      <c r="M2474" s="1627">
        <v>2.9256000000000001E-2</v>
      </c>
      <c r="N2474" s="1628">
        <v>1.6759117191425557</v>
      </c>
      <c r="O2474" s="1628"/>
    </row>
    <row r="2475" spans="11:15">
      <c r="K2475" s="1625">
        <v>44532</v>
      </c>
      <c r="L2475" s="1626" t="s">
        <v>2301</v>
      </c>
      <c r="M2475" s="1627">
        <v>2.9256000000000001E-2</v>
      </c>
      <c r="N2475" s="1628">
        <v>1.6764020238751083</v>
      </c>
      <c r="O2475" s="1628"/>
    </row>
    <row r="2476" spans="11:15">
      <c r="K2476" s="1625">
        <v>44533</v>
      </c>
      <c r="L2476" s="1626" t="s">
        <v>2301</v>
      </c>
      <c r="M2476" s="1627">
        <v>2.9256000000000001E-2</v>
      </c>
      <c r="N2476" s="1628">
        <v>1.6768924720512133</v>
      </c>
      <c r="O2476" s="1628"/>
    </row>
    <row r="2477" spans="11:15">
      <c r="K2477" s="1625">
        <v>44534</v>
      </c>
      <c r="L2477" s="1626"/>
      <c r="M2477" s="1627">
        <v>0</v>
      </c>
      <c r="N2477" s="1628">
        <v>1.6768924720512133</v>
      </c>
      <c r="O2477" s="1628"/>
    </row>
    <row r="2478" spans="11:15">
      <c r="K2478" s="1625">
        <v>44535</v>
      </c>
      <c r="L2478" s="1626"/>
      <c r="M2478" s="1627">
        <v>0</v>
      </c>
      <c r="N2478" s="1628">
        <v>1.6768924720512133</v>
      </c>
      <c r="O2478" s="1628"/>
    </row>
    <row r="2479" spans="11:15">
      <c r="K2479" s="1625">
        <v>44536</v>
      </c>
      <c r="L2479" s="1626" t="s">
        <v>2301</v>
      </c>
      <c r="M2479" s="1627">
        <v>2.9256000000000001E-2</v>
      </c>
      <c r="N2479" s="1628">
        <v>1.6773830637128369</v>
      </c>
      <c r="O2479" s="1628"/>
    </row>
    <row r="2480" spans="11:15">
      <c r="K2480" s="1625">
        <v>44537</v>
      </c>
      <c r="L2480" s="1626" t="s">
        <v>2301</v>
      </c>
      <c r="M2480" s="1627">
        <v>2.9256000000000001E-2</v>
      </c>
      <c r="N2480" s="1628">
        <v>1.6778737989019568</v>
      </c>
      <c r="O2480" s="1628"/>
    </row>
    <row r="2481" spans="11:15">
      <c r="K2481" s="1625">
        <v>44538</v>
      </c>
      <c r="L2481" s="1626" t="s">
        <v>2301</v>
      </c>
      <c r="M2481" s="1627">
        <v>2.9256000000000001E-2</v>
      </c>
      <c r="N2481" s="1628">
        <v>1.6783646776605636</v>
      </c>
      <c r="O2481" s="1628"/>
    </row>
    <row r="2482" spans="11:15">
      <c r="K2482" s="1625">
        <v>44539</v>
      </c>
      <c r="L2482" s="1626" t="s">
        <v>2301</v>
      </c>
      <c r="M2482" s="1627">
        <v>3.4749000000000002E-2</v>
      </c>
      <c r="N2482" s="1628">
        <v>1.678947892602404</v>
      </c>
      <c r="O2482" s="1628"/>
    </row>
    <row r="2483" spans="11:15">
      <c r="K2483" s="1625">
        <v>44540</v>
      </c>
      <c r="L2483" s="1626" t="s">
        <v>2301</v>
      </c>
      <c r="M2483" s="1627">
        <v>3.4749000000000002E-2</v>
      </c>
      <c r="N2483" s="1628">
        <v>1.6795313102056044</v>
      </c>
      <c r="O2483" s="1628"/>
    </row>
    <row r="2484" spans="11:15">
      <c r="K2484" s="1625">
        <v>44541</v>
      </c>
      <c r="L2484" s="1626"/>
      <c r="M2484" s="1627">
        <v>0</v>
      </c>
      <c r="N2484" s="1628">
        <v>1.6795313102056044</v>
      </c>
      <c r="O2484" s="1628"/>
    </row>
    <row r="2485" spans="11:15">
      <c r="K2485" s="1625">
        <v>44542</v>
      </c>
      <c r="L2485" s="1626"/>
      <c r="M2485" s="1627">
        <v>0</v>
      </c>
      <c r="N2485" s="1628">
        <v>1.6795313102056044</v>
      </c>
      <c r="O2485" s="1628"/>
    </row>
    <row r="2486" spans="11:15">
      <c r="K2486" s="1625">
        <v>44543</v>
      </c>
      <c r="L2486" s="1626" t="s">
        <v>2301</v>
      </c>
      <c r="M2486" s="1627">
        <v>3.4749000000000002E-2</v>
      </c>
      <c r="N2486" s="1628">
        <v>1.6801149305405878</v>
      </c>
      <c r="O2486" s="1628"/>
    </row>
    <row r="2487" spans="11:15">
      <c r="K2487" s="1625">
        <v>44544</v>
      </c>
      <c r="L2487" s="1626" t="s">
        <v>2301</v>
      </c>
      <c r="M2487" s="1627">
        <v>3.4749000000000002E-2</v>
      </c>
      <c r="N2487" s="1628">
        <v>1.6806987536778013</v>
      </c>
      <c r="O2487" s="1628"/>
    </row>
    <row r="2488" spans="11:15">
      <c r="K2488" s="1625">
        <v>44545</v>
      </c>
      <c r="L2488" s="1626" t="s">
        <v>2301</v>
      </c>
      <c r="M2488" s="1627">
        <v>3.4749000000000002E-2</v>
      </c>
      <c r="N2488" s="1628">
        <v>1.6812827796877168</v>
      </c>
      <c r="O2488" s="1628"/>
    </row>
    <row r="2489" spans="11:15">
      <c r="K2489" s="1625">
        <v>44546</v>
      </c>
      <c r="L2489" s="1626" t="s">
        <v>2301</v>
      </c>
      <c r="M2489" s="1627">
        <v>3.4749000000000002E-2</v>
      </c>
      <c r="N2489" s="1628">
        <v>1.6818670086408305</v>
      </c>
      <c r="O2489" s="1628"/>
    </row>
    <row r="2490" spans="11:15">
      <c r="K2490" s="1625">
        <v>44547</v>
      </c>
      <c r="L2490" s="1626" t="s">
        <v>2301</v>
      </c>
      <c r="M2490" s="1627">
        <v>3.4749000000000002E-2</v>
      </c>
      <c r="N2490" s="1628">
        <v>1.6824514406076632</v>
      </c>
      <c r="O2490" s="1628"/>
    </row>
    <row r="2491" spans="11:15">
      <c r="K2491" s="1625">
        <v>44548</v>
      </c>
      <c r="L2491" s="1626"/>
      <c r="M2491" s="1627">
        <v>0</v>
      </c>
      <c r="N2491" s="1628">
        <v>1.6824514406076632</v>
      </c>
      <c r="O2491" s="1628"/>
    </row>
    <row r="2492" spans="11:15">
      <c r="K2492" s="1625">
        <v>44549</v>
      </c>
      <c r="L2492" s="1626"/>
      <c r="M2492" s="1627">
        <v>0</v>
      </c>
      <c r="N2492" s="1628">
        <v>1.6824514406076632</v>
      </c>
      <c r="O2492" s="1628"/>
    </row>
    <row r="2493" spans="11:15">
      <c r="K2493" s="1625">
        <v>44550</v>
      </c>
      <c r="L2493" s="1626" t="s">
        <v>2301</v>
      </c>
      <c r="M2493" s="1627">
        <v>3.4749000000000002E-2</v>
      </c>
      <c r="N2493" s="1628">
        <v>1.6830360756587599</v>
      </c>
      <c r="O2493" s="1628"/>
    </row>
    <row r="2494" spans="11:15">
      <c r="K2494" s="1625">
        <v>44551</v>
      </c>
      <c r="L2494" s="1626" t="s">
        <v>2301</v>
      </c>
      <c r="M2494" s="1627">
        <v>3.4749000000000002E-2</v>
      </c>
      <c r="N2494" s="1628">
        <v>1.6836209138646905</v>
      </c>
      <c r="O2494" s="1628"/>
    </row>
    <row r="2495" spans="11:15">
      <c r="K2495" s="1625">
        <v>44552</v>
      </c>
      <c r="L2495" s="1626" t="s">
        <v>2301</v>
      </c>
      <c r="M2495" s="1627">
        <v>3.4749000000000002E-2</v>
      </c>
      <c r="N2495" s="1628">
        <v>1.6842059552960493</v>
      </c>
      <c r="O2495" s="1628"/>
    </row>
    <row r="2496" spans="11:15">
      <c r="K2496" s="1625">
        <v>44553</v>
      </c>
      <c r="L2496" s="1626" t="s">
        <v>2301</v>
      </c>
      <c r="M2496" s="1627">
        <v>3.4749000000000002E-2</v>
      </c>
      <c r="N2496" s="1628">
        <v>1.6847912000234551</v>
      </c>
      <c r="O2496" s="1628"/>
    </row>
    <row r="2497" spans="11:15">
      <c r="K2497" s="1625">
        <v>44554</v>
      </c>
      <c r="L2497" s="1626" t="s">
        <v>2301</v>
      </c>
      <c r="M2497" s="1627">
        <v>3.4749000000000002E-2</v>
      </c>
      <c r="N2497" s="1628">
        <v>1.6853766481175512</v>
      </c>
      <c r="O2497" s="1628"/>
    </row>
    <row r="2498" spans="11:15">
      <c r="K2498" s="1625">
        <v>44555</v>
      </c>
      <c r="L2498" s="1626"/>
      <c r="M2498" s="1627">
        <v>0</v>
      </c>
      <c r="N2498" s="1628">
        <v>1.6853766481175512</v>
      </c>
      <c r="O2498" s="1628"/>
    </row>
    <row r="2499" spans="11:15">
      <c r="K2499" s="1625">
        <v>44556</v>
      </c>
      <c r="L2499" s="1626"/>
      <c r="M2499" s="1627">
        <v>0</v>
      </c>
      <c r="N2499" s="1628">
        <v>1.6853766481175512</v>
      </c>
      <c r="O2499" s="1628"/>
    </row>
    <row r="2500" spans="11:15">
      <c r="K2500" s="1625">
        <v>44557</v>
      </c>
      <c r="L2500" s="1626" t="s">
        <v>2301</v>
      </c>
      <c r="M2500" s="1627">
        <v>3.4749000000000002E-2</v>
      </c>
      <c r="N2500" s="1628">
        <v>1.6859622996490056</v>
      </c>
      <c r="O2500" s="1628"/>
    </row>
    <row r="2501" spans="11:15">
      <c r="K2501" s="1625">
        <v>44558</v>
      </c>
      <c r="L2501" s="1626" t="s">
        <v>2301</v>
      </c>
      <c r="M2501" s="1627">
        <v>3.4749000000000002E-2</v>
      </c>
      <c r="N2501" s="1628">
        <v>1.6865481546885106</v>
      </c>
      <c r="O2501" s="1628"/>
    </row>
    <row r="2502" spans="11:15">
      <c r="K2502" s="1625">
        <v>44559</v>
      </c>
      <c r="L2502" s="1626" t="s">
        <v>2301</v>
      </c>
      <c r="M2502" s="1627">
        <v>3.4749000000000002E-2</v>
      </c>
      <c r="N2502" s="1628">
        <v>1.6871342133067833</v>
      </c>
      <c r="O2502" s="1628"/>
    </row>
    <row r="2503" spans="11:15">
      <c r="K2503" s="1625">
        <v>44560</v>
      </c>
      <c r="L2503" s="1626" t="s">
        <v>2301</v>
      </c>
      <c r="M2503" s="1627">
        <v>3.4749000000000002E-2</v>
      </c>
      <c r="N2503" s="1628">
        <v>1.6877204755745652</v>
      </c>
      <c r="O2503" s="1628"/>
    </row>
    <row r="2504" spans="11:15">
      <c r="K2504" s="1625">
        <v>44561</v>
      </c>
      <c r="L2504" s="1626" t="s">
        <v>2301</v>
      </c>
      <c r="M2504" s="1627">
        <v>3.4749000000000002E-2</v>
      </c>
      <c r="N2504" s="1628">
        <v>1.6883069415626226</v>
      </c>
      <c r="O2504" s="1628"/>
    </row>
    <row r="2505" spans="11:15">
      <c r="K2505" s="1625">
        <v>44562</v>
      </c>
      <c r="L2505" s="1626"/>
      <c r="M2505" s="1627">
        <v>0</v>
      </c>
      <c r="N2505" s="1628">
        <v>1.6883069415626226</v>
      </c>
      <c r="O2505" s="1628"/>
    </row>
    <row r="2506" spans="11:15">
      <c r="K2506" s="1625">
        <v>44563</v>
      </c>
      <c r="L2506" s="1626"/>
      <c r="M2506" s="1627">
        <v>0</v>
      </c>
      <c r="N2506" s="1628">
        <v>1.6883069415626226</v>
      </c>
      <c r="O2506" s="1628"/>
    </row>
    <row r="2507" spans="11:15">
      <c r="K2507" s="1625">
        <v>44564</v>
      </c>
      <c r="L2507" s="1626" t="s">
        <v>2301</v>
      </c>
      <c r="M2507" s="1627">
        <v>3.4749000000000002E-2</v>
      </c>
      <c r="N2507" s="1628">
        <v>1.6888936113417463</v>
      </c>
      <c r="O2507" s="1628"/>
    </row>
    <row r="2508" spans="11:15">
      <c r="K2508" s="1625">
        <v>44565</v>
      </c>
      <c r="L2508" s="1626" t="s">
        <v>2301</v>
      </c>
      <c r="M2508" s="1627">
        <v>3.4749000000000002E-2</v>
      </c>
      <c r="N2508" s="1628">
        <v>1.6894804849827514</v>
      </c>
      <c r="O2508" s="1628"/>
    </row>
    <row r="2509" spans="11:15">
      <c r="K2509" s="1625">
        <v>44566</v>
      </c>
      <c r="L2509" s="1626" t="s">
        <v>2301</v>
      </c>
      <c r="M2509" s="1627">
        <v>3.4749000000000002E-2</v>
      </c>
      <c r="N2509" s="1628">
        <v>1.6900675625564781</v>
      </c>
      <c r="O2509" s="1628"/>
    </row>
    <row r="2510" spans="11:15">
      <c r="K2510" s="1625">
        <v>44567</v>
      </c>
      <c r="L2510" s="1626" t="s">
        <v>2301</v>
      </c>
      <c r="M2510" s="1627">
        <v>3.4749000000000002E-2</v>
      </c>
      <c r="N2510" s="1628">
        <v>1.6906548441337907</v>
      </c>
      <c r="O2510" s="1628"/>
    </row>
    <row r="2511" spans="11:15">
      <c r="K2511" s="1625">
        <v>44568</v>
      </c>
      <c r="L2511" s="1626" t="s">
        <v>2301</v>
      </c>
      <c r="M2511" s="1627">
        <v>3.4749000000000002E-2</v>
      </c>
      <c r="N2511" s="1628">
        <v>1.6912423297855788</v>
      </c>
      <c r="O2511" s="1628"/>
    </row>
    <row r="2512" spans="11:15">
      <c r="K2512" s="1625">
        <v>44569</v>
      </c>
      <c r="L2512" s="1626"/>
      <c r="M2512" s="1627">
        <v>0</v>
      </c>
      <c r="N2512" s="1628">
        <v>1.6912423297855788</v>
      </c>
      <c r="O2512" s="1628"/>
    </row>
    <row r="2513" spans="11:15">
      <c r="K2513" s="1625">
        <v>44570</v>
      </c>
      <c r="L2513" s="1626"/>
      <c r="M2513" s="1627">
        <v>0</v>
      </c>
      <c r="N2513" s="1628">
        <v>1.6912423297855788</v>
      </c>
      <c r="O2513" s="1628"/>
    </row>
    <row r="2514" spans="11:15">
      <c r="K2514" s="1625">
        <v>44571</v>
      </c>
      <c r="L2514" s="1626" t="s">
        <v>2301</v>
      </c>
      <c r="M2514" s="1627">
        <v>3.4749000000000002E-2</v>
      </c>
      <c r="N2514" s="1628">
        <v>1.691830019582756</v>
      </c>
      <c r="O2514" s="1628"/>
    </row>
    <row r="2515" spans="11:15">
      <c r="K2515" s="1625">
        <v>44572</v>
      </c>
      <c r="L2515" s="1626" t="s">
        <v>2301</v>
      </c>
      <c r="M2515" s="1627">
        <v>3.4749000000000002E-2</v>
      </c>
      <c r="N2515" s="1628">
        <v>1.6924179135962609</v>
      </c>
      <c r="O2515" s="1628"/>
    </row>
    <row r="2516" spans="11:15">
      <c r="K2516" s="1625">
        <v>44573</v>
      </c>
      <c r="L2516" s="1626" t="s">
        <v>2301</v>
      </c>
      <c r="M2516" s="1627">
        <v>3.4749000000000002E-2</v>
      </c>
      <c r="N2516" s="1628">
        <v>1.6930060118970565</v>
      </c>
      <c r="O2516" s="1628"/>
    </row>
    <row r="2517" spans="11:15">
      <c r="K2517" s="1625">
        <v>44574</v>
      </c>
      <c r="L2517" s="1626" t="s">
        <v>2301</v>
      </c>
      <c r="M2517" s="1627">
        <v>3.4749000000000002E-2</v>
      </c>
      <c r="N2517" s="1628">
        <v>1.6935943145561305</v>
      </c>
      <c r="O2517" s="1628"/>
    </row>
    <row r="2518" spans="11:15">
      <c r="K2518" s="1625">
        <v>44575</v>
      </c>
      <c r="L2518" s="1626" t="s">
        <v>2301</v>
      </c>
      <c r="M2518" s="1627">
        <v>3.4749000000000002E-2</v>
      </c>
      <c r="N2518" s="1628">
        <v>1.6941828216444956</v>
      </c>
      <c r="O2518" s="1628"/>
    </row>
    <row r="2519" spans="11:15">
      <c r="K2519" s="1625">
        <v>44576</v>
      </c>
      <c r="L2519" s="1626"/>
      <c r="M2519" s="1627">
        <v>0</v>
      </c>
      <c r="N2519" s="1628">
        <v>1.6941828216444956</v>
      </c>
      <c r="O2519" s="1628"/>
    </row>
    <row r="2520" spans="11:15">
      <c r="K2520" s="1625">
        <v>44577</v>
      </c>
      <c r="L2520" s="1626"/>
      <c r="M2520" s="1627">
        <v>0</v>
      </c>
      <c r="N2520" s="1628">
        <v>1.6941828216444956</v>
      </c>
      <c r="O2520" s="1628"/>
    </row>
    <row r="2521" spans="11:15">
      <c r="K2521" s="1625">
        <v>44578</v>
      </c>
      <c r="L2521" s="1626" t="s">
        <v>2301</v>
      </c>
      <c r="M2521" s="1627">
        <v>3.4749000000000002E-2</v>
      </c>
      <c r="N2521" s="1628">
        <v>1.694771533233189</v>
      </c>
      <c r="O2521" s="1628"/>
    </row>
    <row r="2522" spans="11:15">
      <c r="K2522" s="1625">
        <v>44579</v>
      </c>
      <c r="L2522" s="1626" t="s">
        <v>2301</v>
      </c>
      <c r="M2522" s="1627">
        <v>3.4749000000000002E-2</v>
      </c>
      <c r="N2522" s="1628">
        <v>1.6953604493932721</v>
      </c>
      <c r="O2522" s="1628"/>
    </row>
    <row r="2523" spans="11:15">
      <c r="K2523" s="1625">
        <v>44580</v>
      </c>
      <c r="L2523" s="1626" t="s">
        <v>2301</v>
      </c>
      <c r="M2523" s="1627">
        <v>3.4749000000000002E-2</v>
      </c>
      <c r="N2523" s="1628">
        <v>1.6959495701958318</v>
      </c>
      <c r="O2523" s="1628"/>
    </row>
    <row r="2524" spans="11:15">
      <c r="K2524" s="1625">
        <v>44581</v>
      </c>
      <c r="L2524" s="1626" t="s">
        <v>2301</v>
      </c>
      <c r="M2524" s="1627">
        <v>3.4749000000000002E-2</v>
      </c>
      <c r="N2524" s="1628">
        <v>1.6965388957119791</v>
      </c>
      <c r="O2524" s="1628"/>
    </row>
    <row r="2525" spans="11:15">
      <c r="K2525" s="1625">
        <v>44582</v>
      </c>
      <c r="L2525" s="1626" t="s">
        <v>2301</v>
      </c>
      <c r="M2525" s="1627">
        <v>3.4749000000000002E-2</v>
      </c>
      <c r="N2525" s="1628">
        <v>1.6971284260128501</v>
      </c>
      <c r="O2525" s="1628"/>
    </row>
    <row r="2526" spans="11:15">
      <c r="K2526" s="1625">
        <v>44583</v>
      </c>
      <c r="L2526" s="1626"/>
      <c r="M2526" s="1627">
        <v>0</v>
      </c>
      <c r="N2526" s="1628">
        <v>1.6971284260128501</v>
      </c>
      <c r="O2526" s="1628"/>
    </row>
    <row r="2527" spans="11:15">
      <c r="K2527" s="1625">
        <v>44584</v>
      </c>
      <c r="L2527" s="1626"/>
      <c r="M2527" s="1627">
        <v>0</v>
      </c>
      <c r="N2527" s="1628">
        <v>1.6971284260128501</v>
      </c>
      <c r="O2527" s="1628"/>
    </row>
    <row r="2528" spans="11:15">
      <c r="K2528" s="1625">
        <v>44585</v>
      </c>
      <c r="L2528" s="1626" t="s">
        <v>2301</v>
      </c>
      <c r="M2528" s="1627">
        <v>3.4749000000000002E-2</v>
      </c>
      <c r="N2528" s="1628">
        <v>1.6977181611696053</v>
      </c>
      <c r="O2528" s="1628"/>
    </row>
    <row r="2529" spans="11:15">
      <c r="K2529" s="1625">
        <v>44586</v>
      </c>
      <c r="L2529" s="1626" t="s">
        <v>2301</v>
      </c>
      <c r="M2529" s="1627">
        <v>3.4749000000000002E-2</v>
      </c>
      <c r="N2529" s="1628">
        <v>1.69830810125343</v>
      </c>
      <c r="O2529" s="1628"/>
    </row>
    <row r="2530" spans="11:15">
      <c r="K2530" s="1625">
        <v>44587</v>
      </c>
      <c r="L2530" s="1626" t="s">
        <v>2301</v>
      </c>
      <c r="M2530" s="1627">
        <v>3.4749000000000002E-2</v>
      </c>
      <c r="N2530" s="1628">
        <v>1.6988982463355347</v>
      </c>
      <c r="O2530" s="1628"/>
    </row>
    <row r="2531" spans="11:15">
      <c r="K2531" s="1625">
        <v>44588</v>
      </c>
      <c r="L2531" s="1626" t="s">
        <v>2301</v>
      </c>
      <c r="M2531" s="1627">
        <v>3.4749000000000002E-2</v>
      </c>
      <c r="N2531" s="1628">
        <v>1.6994885964871538</v>
      </c>
      <c r="O2531" s="1628"/>
    </row>
    <row r="2532" spans="11:15">
      <c r="K2532" s="1625">
        <v>44589</v>
      </c>
      <c r="L2532" s="1626" t="s">
        <v>2301</v>
      </c>
      <c r="M2532" s="1627">
        <v>3.4749000000000002E-2</v>
      </c>
      <c r="N2532" s="1628">
        <v>1.700079151779547</v>
      </c>
      <c r="O2532" s="1628"/>
    </row>
    <row r="2533" spans="11:15">
      <c r="K2533" s="1625">
        <v>44590</v>
      </c>
      <c r="L2533" s="1626"/>
      <c r="M2533" s="1627">
        <v>0</v>
      </c>
      <c r="N2533" s="1628">
        <v>1.700079151779547</v>
      </c>
      <c r="O2533" s="1628"/>
    </row>
    <row r="2534" spans="11:15">
      <c r="K2534" s="1625">
        <v>44591</v>
      </c>
      <c r="L2534" s="1626"/>
      <c r="M2534" s="1627">
        <v>0</v>
      </c>
      <c r="N2534" s="1628">
        <v>1.700079151779547</v>
      </c>
      <c r="O2534" s="1628"/>
    </row>
    <row r="2535" spans="11:15">
      <c r="K2535" s="1625">
        <v>44592</v>
      </c>
      <c r="L2535" s="1626" t="s">
        <v>2301</v>
      </c>
      <c r="M2535" s="1627">
        <v>3.4749000000000002E-2</v>
      </c>
      <c r="N2535" s="1628">
        <v>1.700669912283999</v>
      </c>
      <c r="O2535" s="1628"/>
    </row>
    <row r="2536" spans="11:15">
      <c r="K2536" s="1625">
        <v>44593</v>
      </c>
      <c r="L2536" s="1626" t="s">
        <v>2301</v>
      </c>
      <c r="M2536" s="1627">
        <v>3.4749000000000002E-2</v>
      </c>
      <c r="N2536" s="1628">
        <v>1.7012608780718186</v>
      </c>
      <c r="O2536" s="1628"/>
    </row>
    <row r="2537" spans="11:15">
      <c r="K2537" s="1625">
        <v>44594</v>
      </c>
      <c r="L2537" s="1626" t="s">
        <v>2301</v>
      </c>
      <c r="M2537" s="1627">
        <v>3.4749000000000002E-2</v>
      </c>
      <c r="N2537" s="1628">
        <v>1.7018520492143399</v>
      </c>
      <c r="O2537" s="1628"/>
    </row>
    <row r="2538" spans="11:15">
      <c r="K2538" s="1625">
        <v>44595</v>
      </c>
      <c r="L2538" s="1626" t="s">
        <v>2301</v>
      </c>
      <c r="M2538" s="1627">
        <v>4.0168000000000002E-2</v>
      </c>
      <c r="N2538" s="1628">
        <v>1.7025356491454682</v>
      </c>
      <c r="O2538" s="1628"/>
    </row>
    <row r="2539" spans="11:15">
      <c r="K2539" s="1625">
        <v>44596</v>
      </c>
      <c r="L2539" s="1626" t="s">
        <v>2301</v>
      </c>
      <c r="M2539" s="1627">
        <v>4.0168000000000002E-2</v>
      </c>
      <c r="N2539" s="1628">
        <v>1.7032195236650169</v>
      </c>
      <c r="O2539" s="1628"/>
    </row>
    <row r="2540" spans="11:15">
      <c r="K2540" s="1625">
        <v>44597</v>
      </c>
      <c r="L2540" s="1626"/>
      <c r="M2540" s="1627">
        <v>0</v>
      </c>
      <c r="N2540" s="1628">
        <v>1.7032195236650169</v>
      </c>
      <c r="O2540" s="1628"/>
    </row>
    <row r="2541" spans="11:15">
      <c r="K2541" s="1625">
        <v>44598</v>
      </c>
      <c r="L2541" s="1626"/>
      <c r="M2541" s="1627">
        <v>0</v>
      </c>
      <c r="N2541" s="1628">
        <v>1.7032195236650169</v>
      </c>
      <c r="O2541" s="1628"/>
    </row>
    <row r="2542" spans="11:15">
      <c r="K2542" s="1625">
        <v>44599</v>
      </c>
      <c r="L2542" s="1626" t="s">
        <v>2301</v>
      </c>
      <c r="M2542" s="1627">
        <v>4.0168000000000002E-2</v>
      </c>
      <c r="N2542" s="1628">
        <v>1.7039036728832826</v>
      </c>
      <c r="O2542" s="1628"/>
    </row>
    <row r="2543" spans="11:15">
      <c r="K2543" s="1625">
        <v>44600</v>
      </c>
      <c r="L2543" s="1626" t="s">
        <v>2301</v>
      </c>
      <c r="M2543" s="1627">
        <v>4.0168000000000002E-2</v>
      </c>
      <c r="N2543" s="1628">
        <v>1.7045880969106062</v>
      </c>
      <c r="O2543" s="1628"/>
    </row>
    <row r="2544" spans="11:15">
      <c r="K2544" s="1625">
        <v>44601</v>
      </c>
      <c r="L2544" s="1626" t="s">
        <v>2301</v>
      </c>
      <c r="M2544" s="1627">
        <v>4.0168000000000002E-2</v>
      </c>
      <c r="N2544" s="1628">
        <v>1.7052727958573732</v>
      </c>
      <c r="O2544" s="1628"/>
    </row>
    <row r="2545" spans="11:15">
      <c r="K2545" s="1625">
        <v>44602</v>
      </c>
      <c r="L2545" s="1626" t="s">
        <v>2301</v>
      </c>
      <c r="M2545" s="1627">
        <v>4.0168000000000002E-2</v>
      </c>
      <c r="N2545" s="1628">
        <v>1.7059577698340131</v>
      </c>
      <c r="O2545" s="1628"/>
    </row>
    <row r="2546" spans="11:15">
      <c r="K2546" s="1625">
        <v>44603</v>
      </c>
      <c r="L2546" s="1626" t="s">
        <v>2301</v>
      </c>
      <c r="M2546" s="1627">
        <v>4.0168000000000002E-2</v>
      </c>
      <c r="N2546" s="1628">
        <v>1.706643018951</v>
      </c>
      <c r="O2546" s="1628"/>
    </row>
    <row r="2547" spans="11:15">
      <c r="K2547" s="1625">
        <v>44604</v>
      </c>
      <c r="L2547" s="1626"/>
      <c r="M2547" s="1627">
        <v>0</v>
      </c>
      <c r="N2547" s="1628">
        <v>1.706643018951</v>
      </c>
      <c r="O2547" s="1628"/>
    </row>
    <row r="2548" spans="11:15">
      <c r="K2548" s="1625">
        <v>44605</v>
      </c>
      <c r="L2548" s="1626"/>
      <c r="M2548" s="1627">
        <v>0</v>
      </c>
      <c r="N2548" s="1628">
        <v>1.706643018951</v>
      </c>
      <c r="O2548" s="1628"/>
    </row>
    <row r="2549" spans="11:15">
      <c r="K2549" s="1625">
        <v>44606</v>
      </c>
      <c r="L2549" s="1626" t="s">
        <v>2301</v>
      </c>
      <c r="M2549" s="1627">
        <v>4.0168000000000002E-2</v>
      </c>
      <c r="N2549" s="1628">
        <v>1.7073285433188521</v>
      </c>
      <c r="O2549" s="1628"/>
    </row>
    <row r="2550" spans="11:15">
      <c r="K2550" s="1625">
        <v>44607</v>
      </c>
      <c r="L2550" s="1626" t="s">
        <v>2301</v>
      </c>
      <c r="M2550" s="1627">
        <v>4.0168000000000002E-2</v>
      </c>
      <c r="N2550" s="1628">
        <v>1.7080143430481323</v>
      </c>
      <c r="O2550" s="1628"/>
    </row>
    <row r="2551" spans="11:15">
      <c r="K2551" s="1625">
        <v>44608</v>
      </c>
      <c r="L2551" s="1626" t="s">
        <v>2301</v>
      </c>
      <c r="M2551" s="1627">
        <v>4.0168000000000002E-2</v>
      </c>
      <c r="N2551" s="1628">
        <v>1.7087004182494478</v>
      </c>
      <c r="O2551" s="1628"/>
    </row>
    <row r="2552" spans="11:15">
      <c r="K2552" s="1625">
        <v>44609</v>
      </c>
      <c r="L2552" s="1626" t="s">
        <v>2301</v>
      </c>
      <c r="M2552" s="1627">
        <v>4.0168000000000002E-2</v>
      </c>
      <c r="N2552" s="1628">
        <v>1.7093867690334503</v>
      </c>
      <c r="O2552" s="1628"/>
    </row>
    <row r="2553" spans="11:15">
      <c r="K2553" s="1625">
        <v>44610</v>
      </c>
      <c r="L2553" s="1626" t="s">
        <v>2301</v>
      </c>
      <c r="M2553" s="1627">
        <v>4.0168000000000002E-2</v>
      </c>
      <c r="N2553" s="1628">
        <v>1.7100733955108356</v>
      </c>
      <c r="O2553" s="1628"/>
    </row>
    <row r="2554" spans="11:15">
      <c r="K2554" s="1625">
        <v>44611</v>
      </c>
      <c r="L2554" s="1626"/>
      <c r="M2554" s="1627">
        <v>0</v>
      </c>
      <c r="N2554" s="1628">
        <v>1.7100733955108356</v>
      </c>
      <c r="O2554" s="1628"/>
    </row>
    <row r="2555" spans="11:15">
      <c r="K2555" s="1625">
        <v>44612</v>
      </c>
      <c r="L2555" s="1626"/>
      <c r="M2555" s="1627">
        <v>0</v>
      </c>
      <c r="N2555" s="1628">
        <v>1.7100733955108356</v>
      </c>
      <c r="O2555" s="1628"/>
    </row>
    <row r="2556" spans="11:15">
      <c r="K2556" s="1625">
        <v>44613</v>
      </c>
      <c r="L2556" s="1626" t="s">
        <v>2301</v>
      </c>
      <c r="M2556" s="1627">
        <v>4.0168000000000002E-2</v>
      </c>
      <c r="N2556" s="1628">
        <v>1.7107602977923444</v>
      </c>
      <c r="O2556" s="1628"/>
    </row>
    <row r="2557" spans="11:15">
      <c r="K2557" s="1625">
        <v>44614</v>
      </c>
      <c r="L2557" s="1626" t="s">
        <v>2301</v>
      </c>
      <c r="M2557" s="1627">
        <v>4.0168000000000002E-2</v>
      </c>
      <c r="N2557" s="1628">
        <v>1.7114474759887615</v>
      </c>
      <c r="O2557" s="1628"/>
    </row>
    <row r="2558" spans="11:15">
      <c r="K2558" s="1625">
        <v>44615</v>
      </c>
      <c r="L2558" s="1626" t="s">
        <v>2301</v>
      </c>
      <c r="M2558" s="1627">
        <v>4.0168000000000002E-2</v>
      </c>
      <c r="N2558" s="1628">
        <v>1.7121349302109166</v>
      </c>
      <c r="O2558" s="1628"/>
    </row>
    <row r="2559" spans="11:15">
      <c r="K2559" s="1625">
        <v>44616</v>
      </c>
      <c r="L2559" s="1626" t="s">
        <v>2301</v>
      </c>
      <c r="M2559" s="1627">
        <v>4.0168000000000002E-2</v>
      </c>
      <c r="N2559" s="1628">
        <v>1.7128226605696837</v>
      </c>
      <c r="O2559" s="1628"/>
    </row>
    <row r="2560" spans="11:15">
      <c r="K2560" s="1625">
        <v>44617</v>
      </c>
      <c r="L2560" s="1626" t="s">
        <v>2301</v>
      </c>
      <c r="M2560" s="1627">
        <v>4.0168000000000002E-2</v>
      </c>
      <c r="N2560" s="1628">
        <v>1.7135106671759812</v>
      </c>
      <c r="O2560" s="1628"/>
    </row>
    <row r="2561" spans="11:15">
      <c r="K2561" s="1625">
        <v>44618</v>
      </c>
      <c r="L2561" s="1626"/>
      <c r="M2561" s="1627">
        <v>0</v>
      </c>
      <c r="N2561" s="1628">
        <v>1.7135106671759812</v>
      </c>
      <c r="O2561" s="1628"/>
    </row>
    <row r="2562" spans="11:15">
      <c r="K2562" s="1625">
        <v>44619</v>
      </c>
      <c r="L2562" s="1626"/>
      <c r="M2562" s="1627">
        <v>0</v>
      </c>
      <c r="N2562" s="1628">
        <v>1.7135106671759812</v>
      </c>
      <c r="O2562" s="1628"/>
    </row>
    <row r="2563" spans="11:15">
      <c r="K2563" s="1625">
        <v>44620</v>
      </c>
      <c r="L2563" s="1626"/>
      <c r="M2563" s="1627">
        <v>0</v>
      </c>
      <c r="N2563" s="1628">
        <v>1.7135106671759812</v>
      </c>
      <c r="O2563" s="1628"/>
    </row>
    <row r="2564" spans="11:15">
      <c r="K2564" s="1625">
        <v>44621</v>
      </c>
      <c r="L2564" s="1626"/>
      <c r="M2564" s="1627">
        <v>0</v>
      </c>
      <c r="N2564" s="1628">
        <v>1.7135106671759812</v>
      </c>
      <c r="O2564" s="1628"/>
    </row>
    <row r="2565" spans="11:15">
      <c r="K2565" s="1625">
        <v>44622</v>
      </c>
      <c r="L2565" s="1626" t="s">
        <v>2301</v>
      </c>
      <c r="M2565" s="1627">
        <v>4.0168000000000002E-2</v>
      </c>
      <c r="N2565" s="1628">
        <v>1.7141989501407724</v>
      </c>
      <c r="O2565" s="1628"/>
    </row>
    <row r="2566" spans="11:15">
      <c r="K2566" s="1625">
        <v>44623</v>
      </c>
      <c r="L2566" s="1626" t="s">
        <v>2301</v>
      </c>
      <c r="M2566" s="1627">
        <v>4.0168000000000002E-2</v>
      </c>
      <c r="N2566" s="1628">
        <v>1.7148875095750649</v>
      </c>
      <c r="O2566" s="1628"/>
    </row>
    <row r="2567" spans="11:15">
      <c r="K2567" s="1625">
        <v>44624</v>
      </c>
      <c r="L2567" s="1626" t="s">
        <v>2301</v>
      </c>
      <c r="M2567" s="1627">
        <v>4.0168000000000002E-2</v>
      </c>
      <c r="N2567" s="1628">
        <v>1.7155763455899109</v>
      </c>
      <c r="O2567" s="1628"/>
    </row>
    <row r="2568" spans="11:15">
      <c r="K2568" s="1625">
        <v>44625</v>
      </c>
      <c r="L2568" s="1626"/>
      <c r="M2568" s="1627">
        <v>0</v>
      </c>
      <c r="N2568" s="1628">
        <v>1.7155763455899109</v>
      </c>
      <c r="O2568" s="1628"/>
    </row>
    <row r="2569" spans="11:15">
      <c r="K2569" s="1625">
        <v>44626</v>
      </c>
      <c r="L2569" s="1626"/>
      <c r="M2569" s="1627">
        <v>0</v>
      </c>
      <c r="N2569" s="1628">
        <v>1.7155763455899109</v>
      </c>
      <c r="O2569" s="1628"/>
    </row>
    <row r="2570" spans="11:15">
      <c r="K2570" s="1625">
        <v>44627</v>
      </c>
      <c r="L2570" s="1626" t="s">
        <v>2301</v>
      </c>
      <c r="M2570" s="1627">
        <v>4.0168000000000002E-2</v>
      </c>
      <c r="N2570" s="1628">
        <v>1.7162654582964074</v>
      </c>
      <c r="O2570" s="1628"/>
    </row>
    <row r="2571" spans="11:15">
      <c r="K2571" s="1625">
        <v>44628</v>
      </c>
      <c r="L2571" s="1626" t="s">
        <v>2301</v>
      </c>
      <c r="M2571" s="1627">
        <v>4.0168000000000002E-2</v>
      </c>
      <c r="N2571" s="1628">
        <v>1.716954847805696</v>
      </c>
      <c r="O2571" s="1628"/>
    </row>
    <row r="2572" spans="11:15">
      <c r="K2572" s="1625">
        <v>44629</v>
      </c>
      <c r="L2572" s="1626" t="s">
        <v>2301</v>
      </c>
      <c r="M2572" s="1627">
        <v>4.0168000000000002E-2</v>
      </c>
      <c r="N2572" s="1628">
        <v>1.7176445142289625</v>
      </c>
      <c r="O2572" s="1628"/>
    </row>
    <row r="2573" spans="11:15">
      <c r="K2573" s="1625">
        <v>44630</v>
      </c>
      <c r="L2573" s="1626" t="s">
        <v>2301</v>
      </c>
      <c r="M2573" s="1627">
        <v>4.0168000000000002E-2</v>
      </c>
      <c r="N2573" s="1628">
        <v>1.718334457677438</v>
      </c>
      <c r="O2573" s="1628"/>
    </row>
    <row r="2574" spans="11:15">
      <c r="K2574" s="1625">
        <v>44631</v>
      </c>
      <c r="L2574" s="1626" t="s">
        <v>2301</v>
      </c>
      <c r="M2574" s="1627">
        <v>4.0168000000000002E-2</v>
      </c>
      <c r="N2574" s="1628">
        <v>1.7190246782623977</v>
      </c>
      <c r="O2574" s="1628"/>
    </row>
    <row r="2575" spans="11:15">
      <c r="K2575" s="1625">
        <v>44632</v>
      </c>
      <c r="L2575" s="1626"/>
      <c r="M2575" s="1627">
        <v>0</v>
      </c>
      <c r="N2575" s="1628">
        <v>1.7190246782623977</v>
      </c>
      <c r="O2575" s="1628"/>
    </row>
    <row r="2576" spans="11:15">
      <c r="K2576" s="1625">
        <v>44633</v>
      </c>
      <c r="L2576" s="1626"/>
      <c r="M2576" s="1627">
        <v>0</v>
      </c>
      <c r="N2576" s="1628">
        <v>1.7190246782623977</v>
      </c>
      <c r="O2576" s="1628"/>
    </row>
    <row r="2577" spans="11:15">
      <c r="K2577" s="1625">
        <v>44634</v>
      </c>
      <c r="L2577" s="1626" t="s">
        <v>2301</v>
      </c>
      <c r="M2577" s="1627">
        <v>4.0168000000000002E-2</v>
      </c>
      <c r="N2577" s="1628">
        <v>1.7197151760951621</v>
      </c>
      <c r="O2577" s="1628"/>
    </row>
    <row r="2578" spans="11:15">
      <c r="K2578" s="1625">
        <v>44635</v>
      </c>
      <c r="L2578" s="1626" t="s">
        <v>2301</v>
      </c>
      <c r="M2578" s="1627">
        <v>4.0168000000000002E-2</v>
      </c>
      <c r="N2578" s="1628">
        <v>1.7204059512870959</v>
      </c>
      <c r="O2578" s="1628"/>
    </row>
    <row r="2579" spans="11:15">
      <c r="K2579" s="1625">
        <v>44636</v>
      </c>
      <c r="L2579" s="1626" t="s">
        <v>2301</v>
      </c>
      <c r="M2579" s="1627">
        <v>4.0168000000000002E-2</v>
      </c>
      <c r="N2579" s="1628">
        <v>1.721097003949609</v>
      </c>
      <c r="O2579" s="1628"/>
    </row>
    <row r="2580" spans="11:15">
      <c r="K2580" s="1625">
        <v>44637</v>
      </c>
      <c r="L2580" s="1626" t="s">
        <v>2301</v>
      </c>
      <c r="M2580" s="1627">
        <v>4.3739E-2</v>
      </c>
      <c r="N2580" s="1628">
        <v>1.7218497945681666</v>
      </c>
      <c r="O2580" s="1628"/>
    </row>
    <row r="2581" spans="11:15">
      <c r="K2581" s="1625">
        <v>44638</v>
      </c>
      <c r="L2581" s="1626" t="s">
        <v>2301</v>
      </c>
      <c r="M2581" s="1627">
        <v>4.3739E-2</v>
      </c>
      <c r="N2581" s="1628">
        <v>1.7226029144498129</v>
      </c>
      <c r="O2581" s="1628"/>
    </row>
    <row r="2582" spans="11:15">
      <c r="K2582" s="1625">
        <v>44639</v>
      </c>
      <c r="L2582" s="1626"/>
      <c r="M2582" s="1627">
        <v>0</v>
      </c>
      <c r="N2582" s="1628">
        <v>1.7226029144498129</v>
      </c>
      <c r="O2582" s="1628"/>
    </row>
    <row r="2583" spans="11:15">
      <c r="K2583" s="1625">
        <v>44640</v>
      </c>
      <c r="L2583" s="1626"/>
      <c r="M2583" s="1627">
        <v>0</v>
      </c>
      <c r="N2583" s="1628">
        <v>1.7226029144498129</v>
      </c>
      <c r="O2583" s="1628"/>
    </row>
    <row r="2584" spans="11:15">
      <c r="K2584" s="1625">
        <v>44641</v>
      </c>
      <c r="L2584" s="1626" t="s">
        <v>2301</v>
      </c>
      <c r="M2584" s="1627">
        <v>4.3739E-2</v>
      </c>
      <c r="N2584" s="1628">
        <v>1.7233563637385643</v>
      </c>
      <c r="O2584" s="1628"/>
    </row>
    <row r="2585" spans="11:15">
      <c r="K2585" s="1625">
        <v>44642</v>
      </c>
      <c r="L2585" s="1626" t="s">
        <v>2301</v>
      </c>
      <c r="M2585" s="1627">
        <v>4.3739E-2</v>
      </c>
      <c r="N2585" s="1628">
        <v>1.7241101425785001</v>
      </c>
      <c r="O2585" s="1628"/>
    </row>
    <row r="2586" spans="11:15">
      <c r="K2586" s="1625">
        <v>44643</v>
      </c>
      <c r="L2586" s="1626" t="s">
        <v>2301</v>
      </c>
      <c r="M2586" s="1627">
        <v>4.3739E-2</v>
      </c>
      <c r="N2586" s="1628">
        <v>1.7248642511137626</v>
      </c>
      <c r="O2586" s="1628"/>
    </row>
    <row r="2587" spans="11:15">
      <c r="K2587" s="1625">
        <v>44644</v>
      </c>
      <c r="L2587" s="1626" t="s">
        <v>2301</v>
      </c>
      <c r="M2587" s="1627">
        <v>4.3739E-2</v>
      </c>
      <c r="N2587" s="1628">
        <v>1.7256186894885575</v>
      </c>
      <c r="O2587" s="1628"/>
    </row>
    <row r="2588" spans="11:15">
      <c r="K2588" s="1625">
        <v>44645</v>
      </c>
      <c r="L2588" s="1626" t="s">
        <v>2301</v>
      </c>
      <c r="M2588" s="1627">
        <v>4.3739E-2</v>
      </c>
      <c r="N2588" s="1628">
        <v>1.726373457847153</v>
      </c>
      <c r="O2588" s="1628"/>
    </row>
    <row r="2589" spans="11:15">
      <c r="K2589" s="1625">
        <v>44646</v>
      </c>
      <c r="L2589" s="1626"/>
      <c r="M2589" s="1627">
        <v>0</v>
      </c>
      <c r="N2589" s="1628">
        <v>1.726373457847153</v>
      </c>
      <c r="O2589" s="1628"/>
    </row>
    <row r="2590" spans="11:15">
      <c r="K2590" s="1625">
        <v>44647</v>
      </c>
      <c r="L2590" s="1626"/>
      <c r="M2590" s="1627">
        <v>0</v>
      </c>
      <c r="N2590" s="1628">
        <v>1.726373457847153</v>
      </c>
      <c r="O2590" s="1628"/>
    </row>
    <row r="2591" spans="11:15">
      <c r="K2591" s="1625">
        <v>44648</v>
      </c>
      <c r="L2591" s="1626" t="s">
        <v>2301</v>
      </c>
      <c r="M2591" s="1627">
        <v>4.3739E-2</v>
      </c>
      <c r="N2591" s="1628">
        <v>1.727128556333881</v>
      </c>
      <c r="O2591" s="1628"/>
    </row>
    <row r="2592" spans="11:15">
      <c r="K2592" s="1625">
        <v>44649</v>
      </c>
      <c r="L2592" s="1626" t="s">
        <v>2301</v>
      </c>
      <c r="M2592" s="1627">
        <v>4.3739E-2</v>
      </c>
      <c r="N2592" s="1628">
        <v>1.727883985093136</v>
      </c>
      <c r="O2592" s="1628"/>
    </row>
    <row r="2593" spans="11:15">
      <c r="K2593" s="1625">
        <v>44650</v>
      </c>
      <c r="L2593" s="1626" t="s">
        <v>2301</v>
      </c>
      <c r="M2593" s="1627">
        <v>4.3739E-2</v>
      </c>
      <c r="N2593" s="1628">
        <v>1.7286397442693762</v>
      </c>
      <c r="O2593" s="1628"/>
    </row>
    <row r="2594" spans="11:15">
      <c r="K2594" s="1625">
        <v>44651</v>
      </c>
      <c r="L2594" s="1626" t="s">
        <v>2301</v>
      </c>
      <c r="M2594" s="1627">
        <v>4.3739E-2</v>
      </c>
      <c r="N2594" s="1628">
        <v>1.7293958340071223</v>
      </c>
      <c r="O2594" s="1628"/>
    </row>
    <row r="2595" spans="11:15">
      <c r="K2595" s="1625">
        <v>44652</v>
      </c>
      <c r="L2595" s="1626" t="s">
        <v>2301</v>
      </c>
      <c r="M2595" s="1627">
        <v>4.3739E-2</v>
      </c>
      <c r="N2595" s="1628">
        <v>1.7301522544509589</v>
      </c>
      <c r="O2595" s="1628"/>
    </row>
    <row r="2596" spans="11:15">
      <c r="K2596" s="1625">
        <v>44653</v>
      </c>
      <c r="L2596" s="1626"/>
      <c r="M2596" s="1627">
        <v>0</v>
      </c>
      <c r="N2596" s="1628">
        <v>1.7301522544509589</v>
      </c>
      <c r="O2596" s="1628"/>
    </row>
    <row r="2597" spans="11:15">
      <c r="K2597" s="1625">
        <v>44654</v>
      </c>
      <c r="L2597" s="1626"/>
      <c r="M2597" s="1627">
        <v>0</v>
      </c>
      <c r="N2597" s="1628">
        <v>1.7301522544509589</v>
      </c>
      <c r="O2597" s="1628"/>
    </row>
    <row r="2598" spans="11:15">
      <c r="K2598" s="1625">
        <v>44655</v>
      </c>
      <c r="L2598" s="1626" t="s">
        <v>2301</v>
      </c>
      <c r="M2598" s="1627">
        <v>4.3739E-2</v>
      </c>
      <c r="N2598" s="1628">
        <v>1.7309090057455334</v>
      </c>
      <c r="O2598" s="1628"/>
    </row>
    <row r="2599" spans="11:15">
      <c r="K2599" s="1625">
        <v>44656</v>
      </c>
      <c r="L2599" s="1626" t="s">
        <v>2301</v>
      </c>
      <c r="M2599" s="1627">
        <v>4.3739E-2</v>
      </c>
      <c r="N2599" s="1628">
        <v>1.7316660880355565</v>
      </c>
      <c r="O2599" s="1628"/>
    </row>
    <row r="2600" spans="11:15">
      <c r="K2600" s="1625">
        <v>44657</v>
      </c>
      <c r="L2600" s="1626" t="s">
        <v>2301</v>
      </c>
      <c r="M2600" s="1627">
        <v>4.3739E-2</v>
      </c>
      <c r="N2600" s="1628">
        <v>1.7324235014658025</v>
      </c>
      <c r="O2600" s="1628"/>
    </row>
    <row r="2601" spans="11:15">
      <c r="K2601" s="1625">
        <v>44658</v>
      </c>
      <c r="L2601" s="1626" t="s">
        <v>2301</v>
      </c>
      <c r="M2601" s="1627">
        <v>4.3739E-2</v>
      </c>
      <c r="N2601" s="1628">
        <v>1.7331812461811087</v>
      </c>
      <c r="O2601" s="1628"/>
    </row>
    <row r="2602" spans="11:15">
      <c r="K2602" s="1625">
        <v>44659</v>
      </c>
      <c r="L2602" s="1626" t="s">
        <v>2301</v>
      </c>
      <c r="M2602" s="1627">
        <v>4.3739E-2</v>
      </c>
      <c r="N2602" s="1628">
        <v>1.7339393223263759</v>
      </c>
      <c r="O2602" s="1628"/>
    </row>
    <row r="2603" spans="11:15">
      <c r="K2603" s="1625">
        <v>44660</v>
      </c>
      <c r="L2603" s="1626"/>
      <c r="M2603" s="1627">
        <v>0</v>
      </c>
      <c r="N2603" s="1628">
        <v>1.7339393223263759</v>
      </c>
      <c r="O2603" s="1628"/>
    </row>
    <row r="2604" spans="11:15">
      <c r="K2604" s="1625">
        <v>44661</v>
      </c>
      <c r="L2604" s="1626"/>
      <c r="M2604" s="1627">
        <v>0</v>
      </c>
      <c r="N2604" s="1628">
        <v>1.7339393223263759</v>
      </c>
      <c r="O2604" s="1628"/>
    </row>
    <row r="2605" spans="11:15">
      <c r="K2605" s="1625">
        <v>44662</v>
      </c>
      <c r="L2605" s="1626" t="s">
        <v>2301</v>
      </c>
      <c r="M2605" s="1627">
        <v>4.3739E-2</v>
      </c>
      <c r="N2605" s="1628">
        <v>1.7346977300465685</v>
      </c>
      <c r="O2605" s="1628"/>
    </row>
    <row r="2606" spans="11:15">
      <c r="K2606" s="1625">
        <v>44663</v>
      </c>
      <c r="L2606" s="1626" t="s">
        <v>2301</v>
      </c>
      <c r="M2606" s="1627">
        <v>4.3739E-2</v>
      </c>
      <c r="N2606" s="1628">
        <v>1.7354564694867136</v>
      </c>
      <c r="O2606" s="1628"/>
    </row>
    <row r="2607" spans="11:15">
      <c r="K2607" s="1625">
        <v>44664</v>
      </c>
      <c r="L2607" s="1626" t="s">
        <v>2301</v>
      </c>
      <c r="M2607" s="1627">
        <v>4.3739E-2</v>
      </c>
      <c r="N2607" s="1628">
        <v>1.7362155407919027</v>
      </c>
      <c r="O2607" s="1628"/>
    </row>
    <row r="2608" spans="11:15">
      <c r="K2608" s="1625">
        <v>44665</v>
      </c>
      <c r="L2608" s="1626" t="s">
        <v>2301</v>
      </c>
      <c r="M2608" s="1627">
        <v>4.3739E-2</v>
      </c>
      <c r="N2608" s="1628">
        <v>1.7369749441072897</v>
      </c>
      <c r="O2608" s="1628"/>
    </row>
    <row r="2609" spans="11:15">
      <c r="K2609" s="1625">
        <v>44666</v>
      </c>
      <c r="L2609" s="1626"/>
      <c r="M2609" s="1627">
        <v>0</v>
      </c>
      <c r="N2609" s="1628">
        <v>1.7369749441072897</v>
      </c>
      <c r="O2609" s="1628"/>
    </row>
    <row r="2610" spans="11:15">
      <c r="K2610" s="1625">
        <v>44667</v>
      </c>
      <c r="L2610" s="1626"/>
      <c r="M2610" s="1627">
        <v>0</v>
      </c>
      <c r="N2610" s="1628">
        <v>1.7369749441072897</v>
      </c>
      <c r="O2610" s="1628"/>
    </row>
    <row r="2611" spans="11:15">
      <c r="K2611" s="1625">
        <v>44668</v>
      </c>
      <c r="L2611" s="1626"/>
      <c r="M2611" s="1627">
        <v>0</v>
      </c>
      <c r="N2611" s="1628">
        <v>1.7369749441072897</v>
      </c>
      <c r="O2611" s="1628"/>
    </row>
    <row r="2612" spans="11:15">
      <c r="K2612" s="1625">
        <v>44669</v>
      </c>
      <c r="L2612" s="1626" t="s">
        <v>2301</v>
      </c>
      <c r="M2612" s="1627">
        <v>4.3739E-2</v>
      </c>
      <c r="N2612" s="1628">
        <v>1.737734679578093</v>
      </c>
      <c r="O2612" s="1628"/>
    </row>
    <row r="2613" spans="11:15">
      <c r="K2613" s="1625">
        <v>44670</v>
      </c>
      <c r="L2613" s="1626" t="s">
        <v>2301</v>
      </c>
      <c r="M2613" s="1627">
        <v>4.3739E-2</v>
      </c>
      <c r="N2613" s="1628">
        <v>1.7384947473495937</v>
      </c>
      <c r="O2613" s="1628"/>
    </row>
    <row r="2614" spans="11:15">
      <c r="K2614" s="1625">
        <v>44671</v>
      </c>
      <c r="L2614" s="1626" t="s">
        <v>2301</v>
      </c>
      <c r="M2614" s="1627">
        <v>4.3739E-2</v>
      </c>
      <c r="N2614" s="1628">
        <v>1.7392551475671372</v>
      </c>
      <c r="O2614" s="1628"/>
    </row>
    <row r="2615" spans="11:15">
      <c r="K2615" s="1625">
        <v>44672</v>
      </c>
      <c r="L2615" s="1626"/>
      <c r="M2615" s="1627">
        <v>0</v>
      </c>
      <c r="N2615" s="1628">
        <v>1.7392551475671372</v>
      </c>
      <c r="O2615" s="1628"/>
    </row>
    <row r="2616" spans="11:15">
      <c r="K2616" s="1625">
        <v>44673</v>
      </c>
      <c r="L2616" s="1626" t="s">
        <v>2301</v>
      </c>
      <c r="M2616" s="1627">
        <v>4.3739E-2</v>
      </c>
      <c r="N2616" s="1628">
        <v>1.7400158803761316</v>
      </c>
      <c r="O2616" s="1628"/>
    </row>
    <row r="2617" spans="11:15">
      <c r="K2617" s="1625">
        <v>44674</v>
      </c>
      <c r="L2617" s="1626"/>
      <c r="M2617" s="1627">
        <v>0</v>
      </c>
      <c r="N2617" s="1628">
        <v>1.7400158803761316</v>
      </c>
      <c r="O2617" s="1628"/>
    </row>
    <row r="2618" spans="11:15">
      <c r="K2618" s="1625">
        <v>44675</v>
      </c>
      <c r="L2618" s="1626"/>
      <c r="M2618" s="1627">
        <v>0</v>
      </c>
      <c r="N2618" s="1628">
        <v>1.7400158803761316</v>
      </c>
      <c r="O2618" s="1628"/>
    </row>
    <row r="2619" spans="11:15">
      <c r="K2619" s="1625">
        <v>44676</v>
      </c>
      <c r="L2619" s="1626" t="s">
        <v>2301</v>
      </c>
      <c r="M2619" s="1627">
        <v>4.3739E-2</v>
      </c>
      <c r="N2619" s="1628">
        <v>1.7407769459220495</v>
      </c>
      <c r="O2619" s="1628"/>
    </row>
    <row r="2620" spans="11:15">
      <c r="K2620" s="1625">
        <v>44677</v>
      </c>
      <c r="L2620" s="1626" t="s">
        <v>2301</v>
      </c>
      <c r="M2620" s="1627">
        <v>4.3739E-2</v>
      </c>
      <c r="N2620" s="1628">
        <v>1.7415383443504264</v>
      </c>
      <c r="O2620" s="1628"/>
    </row>
    <row r="2621" spans="11:15">
      <c r="K2621" s="1625">
        <v>44678</v>
      </c>
      <c r="L2621" s="1626" t="s">
        <v>2301</v>
      </c>
      <c r="M2621" s="1627">
        <v>4.3739E-2</v>
      </c>
      <c r="N2621" s="1628">
        <v>1.7423000758068621</v>
      </c>
      <c r="O2621" s="1628"/>
    </row>
    <row r="2622" spans="11:15">
      <c r="K2622" s="1625">
        <v>44679</v>
      </c>
      <c r="L2622" s="1626" t="s">
        <v>2301</v>
      </c>
      <c r="M2622" s="1627">
        <v>4.3739E-2</v>
      </c>
      <c r="N2622" s="1628">
        <v>1.7430621404370195</v>
      </c>
      <c r="O2622" s="1628"/>
    </row>
    <row r="2623" spans="11:15">
      <c r="K2623" s="1625">
        <v>44680</v>
      </c>
      <c r="L2623" s="1626" t="s">
        <v>2301</v>
      </c>
      <c r="M2623" s="1627">
        <v>4.3739E-2</v>
      </c>
      <c r="N2623" s="1628">
        <v>1.7438245383866253</v>
      </c>
      <c r="O2623" s="1628"/>
    </row>
    <row r="2624" spans="11:15">
      <c r="K2624" s="1625">
        <v>44681</v>
      </c>
      <c r="L2624" s="1626"/>
      <c r="M2624" s="1627">
        <v>0</v>
      </c>
      <c r="N2624" s="1628">
        <v>1.7438245383866253</v>
      </c>
      <c r="O2624" s="1628"/>
    </row>
    <row r="2625" spans="11:15">
      <c r="K2625" s="1625">
        <v>44682</v>
      </c>
      <c r="L2625" s="1626"/>
      <c r="M2625" s="1627">
        <v>0</v>
      </c>
      <c r="N2625" s="1628">
        <v>1.7438245383866253</v>
      </c>
      <c r="O2625" s="1628"/>
    </row>
    <row r="2626" spans="11:15">
      <c r="K2626" s="1625">
        <v>44683</v>
      </c>
      <c r="L2626" s="1626" t="s">
        <v>2301</v>
      </c>
      <c r="M2626" s="1627">
        <v>4.3739E-2</v>
      </c>
      <c r="N2626" s="1628">
        <v>1.7445872698014704</v>
      </c>
      <c r="O2626" s="1628"/>
    </row>
    <row r="2627" spans="11:15">
      <c r="K2627" s="1625">
        <v>44684</v>
      </c>
      <c r="L2627" s="1626" t="s">
        <v>2301</v>
      </c>
      <c r="M2627" s="1627">
        <v>4.3739E-2</v>
      </c>
      <c r="N2627" s="1628">
        <v>1.7453503348274091</v>
      </c>
      <c r="O2627" s="1628"/>
    </row>
    <row r="2628" spans="11:15">
      <c r="K2628" s="1625">
        <v>44685</v>
      </c>
      <c r="L2628" s="1626" t="s">
        <v>2301</v>
      </c>
      <c r="M2628" s="1627">
        <v>4.3739E-2</v>
      </c>
      <c r="N2628" s="1628">
        <v>1.7461137336103594</v>
      </c>
      <c r="O2628" s="1628"/>
    </row>
    <row r="2629" spans="11:15">
      <c r="K2629" s="1625">
        <v>44686</v>
      </c>
      <c r="L2629" s="1626" t="s">
        <v>2301</v>
      </c>
      <c r="M2629" s="1627">
        <v>4.7279000000000002E-2</v>
      </c>
      <c r="N2629" s="1628">
        <v>1.7469392787224729</v>
      </c>
      <c r="O2629" s="1628"/>
    </row>
    <row r="2630" spans="11:15">
      <c r="K2630" s="1625">
        <v>44687</v>
      </c>
      <c r="L2630" s="1626" t="s">
        <v>2301</v>
      </c>
      <c r="M2630" s="1627">
        <v>4.7279000000000002E-2</v>
      </c>
      <c r="N2630" s="1628">
        <v>1.7477652141440598</v>
      </c>
      <c r="O2630" s="1628"/>
    </row>
    <row r="2631" spans="11:15">
      <c r="K2631" s="1625">
        <v>44688</v>
      </c>
      <c r="L2631" s="1626"/>
      <c r="M2631" s="1627">
        <v>0</v>
      </c>
      <c r="N2631" s="1628">
        <v>1.7477652141440598</v>
      </c>
      <c r="O2631" s="1628"/>
    </row>
    <row r="2632" spans="11:15">
      <c r="K2632" s="1625">
        <v>44689</v>
      </c>
      <c r="L2632" s="1626"/>
      <c r="M2632" s="1627">
        <v>0</v>
      </c>
      <c r="N2632" s="1628">
        <v>1.7477652141440598</v>
      </c>
      <c r="O2632" s="1628"/>
    </row>
    <row r="2633" spans="11:15">
      <c r="K2633" s="1625">
        <v>44690</v>
      </c>
      <c r="L2633" s="1626" t="s">
        <v>2301</v>
      </c>
      <c r="M2633" s="1627">
        <v>4.7279000000000002E-2</v>
      </c>
      <c r="N2633" s="1628">
        <v>1.7485915400596548</v>
      </c>
      <c r="O2633" s="1628"/>
    </row>
    <row r="2634" spans="11:15">
      <c r="K2634" s="1625">
        <v>44691</v>
      </c>
      <c r="L2634" s="1626" t="s">
        <v>2301</v>
      </c>
      <c r="M2634" s="1627">
        <v>4.7279000000000002E-2</v>
      </c>
      <c r="N2634" s="1628">
        <v>1.7494182566538794</v>
      </c>
      <c r="O2634" s="1628"/>
    </row>
    <row r="2635" spans="11:15">
      <c r="K2635" s="1625">
        <v>44692</v>
      </c>
      <c r="L2635" s="1626" t="s">
        <v>2301</v>
      </c>
      <c r="M2635" s="1627">
        <v>4.7279000000000002E-2</v>
      </c>
      <c r="N2635" s="1628">
        <v>1.7502453641114426</v>
      </c>
      <c r="O2635" s="1628"/>
    </row>
    <row r="2636" spans="11:15">
      <c r="K2636" s="1625">
        <v>44693</v>
      </c>
      <c r="L2636" s="1626" t="s">
        <v>2301</v>
      </c>
      <c r="M2636" s="1627">
        <v>4.7279000000000002E-2</v>
      </c>
      <c r="N2636" s="1628">
        <v>1.7510728626171406</v>
      </c>
      <c r="O2636" s="1628"/>
    </row>
    <row r="2637" spans="11:15">
      <c r="K2637" s="1625">
        <v>44694</v>
      </c>
      <c r="L2637" s="1626" t="s">
        <v>2301</v>
      </c>
      <c r="M2637" s="1627">
        <v>4.7279000000000002E-2</v>
      </c>
      <c r="N2637" s="1628">
        <v>1.7519007523558572</v>
      </c>
      <c r="O2637" s="1628"/>
    </row>
    <row r="2638" spans="11:15">
      <c r="K2638" s="1625">
        <v>44695</v>
      </c>
      <c r="L2638" s="1626"/>
      <c r="M2638" s="1627">
        <v>0</v>
      </c>
      <c r="N2638" s="1628">
        <v>1.7519007523558572</v>
      </c>
      <c r="O2638" s="1628"/>
    </row>
    <row r="2639" spans="11:15">
      <c r="K2639" s="1625">
        <v>44696</v>
      </c>
      <c r="L2639" s="1626"/>
      <c r="M2639" s="1627">
        <v>0</v>
      </c>
      <c r="N2639" s="1628">
        <v>1.7519007523558572</v>
      </c>
      <c r="O2639" s="1628"/>
    </row>
    <row r="2640" spans="11:15">
      <c r="K2640" s="1625">
        <v>44697</v>
      </c>
      <c r="L2640" s="1626" t="s">
        <v>2301</v>
      </c>
      <c r="M2640" s="1627">
        <v>4.7279000000000002E-2</v>
      </c>
      <c r="N2640" s="1628">
        <v>1.7527290335125634</v>
      </c>
      <c r="O2640" s="1628"/>
    </row>
    <row r="2641" spans="11:15">
      <c r="K2641" s="1625">
        <v>44698</v>
      </c>
      <c r="L2641" s="1626" t="s">
        <v>2301</v>
      </c>
      <c r="M2641" s="1627">
        <v>4.7279000000000002E-2</v>
      </c>
      <c r="N2641" s="1628">
        <v>1.7535577062723176</v>
      </c>
      <c r="O2641" s="1628"/>
    </row>
    <row r="2642" spans="11:15">
      <c r="K2642" s="1625">
        <v>44699</v>
      </c>
      <c r="L2642" s="1626" t="s">
        <v>2301</v>
      </c>
      <c r="M2642" s="1627">
        <v>4.7279000000000002E-2</v>
      </c>
      <c r="N2642" s="1628">
        <v>1.7543867708202658</v>
      </c>
      <c r="O2642" s="1628"/>
    </row>
    <row r="2643" spans="11:15">
      <c r="K2643" s="1625">
        <v>44700</v>
      </c>
      <c r="L2643" s="1626" t="s">
        <v>2301</v>
      </c>
      <c r="M2643" s="1627">
        <v>4.7279000000000002E-2</v>
      </c>
      <c r="N2643" s="1628">
        <v>1.7552162273416418</v>
      </c>
      <c r="O2643" s="1628"/>
    </row>
    <row r="2644" spans="11:15">
      <c r="K2644" s="1625">
        <v>44701</v>
      </c>
      <c r="L2644" s="1626" t="s">
        <v>2301</v>
      </c>
      <c r="M2644" s="1627">
        <v>4.7279000000000002E-2</v>
      </c>
      <c r="N2644" s="1628">
        <v>1.7560460760217664</v>
      </c>
      <c r="O2644" s="1628"/>
    </row>
    <row r="2645" spans="11:15">
      <c r="K2645" s="1625">
        <v>44702</v>
      </c>
      <c r="L2645" s="1626"/>
      <c r="M2645" s="1627">
        <v>0</v>
      </c>
      <c r="N2645" s="1628">
        <v>1.7560460760217664</v>
      </c>
      <c r="O2645" s="1628"/>
    </row>
    <row r="2646" spans="11:15">
      <c r="K2646" s="1625">
        <v>44703</v>
      </c>
      <c r="L2646" s="1626"/>
      <c r="M2646" s="1627">
        <v>0</v>
      </c>
      <c r="N2646" s="1628">
        <v>1.7560460760217664</v>
      </c>
      <c r="O2646" s="1628"/>
    </row>
    <row r="2647" spans="11:15">
      <c r="K2647" s="1625">
        <v>44704</v>
      </c>
      <c r="L2647" s="1626" t="s">
        <v>2301</v>
      </c>
      <c r="M2647" s="1627">
        <v>4.7279000000000002E-2</v>
      </c>
      <c r="N2647" s="1628">
        <v>1.7568763170460486</v>
      </c>
      <c r="O2647" s="1628"/>
    </row>
    <row r="2648" spans="11:15">
      <c r="K2648" s="1625">
        <v>44705</v>
      </c>
      <c r="L2648" s="1626" t="s">
        <v>2301</v>
      </c>
      <c r="M2648" s="1627">
        <v>4.7279000000000002E-2</v>
      </c>
      <c r="N2648" s="1628">
        <v>1.7577069505999847</v>
      </c>
      <c r="O2648" s="1628"/>
    </row>
    <row r="2649" spans="11:15">
      <c r="K2649" s="1625">
        <v>44706</v>
      </c>
      <c r="L2649" s="1626" t="s">
        <v>2301</v>
      </c>
      <c r="M2649" s="1627">
        <v>4.7279000000000002E-2</v>
      </c>
      <c r="N2649" s="1628">
        <v>1.7585379768691587</v>
      </c>
      <c r="O2649" s="1628"/>
    </row>
    <row r="2650" spans="11:15">
      <c r="K2650" s="1625">
        <v>44707</v>
      </c>
      <c r="L2650" s="1626" t="s">
        <v>2301</v>
      </c>
      <c r="M2650" s="1627">
        <v>4.7279000000000002E-2</v>
      </c>
      <c r="N2650" s="1628">
        <v>1.7593693960392425</v>
      </c>
      <c r="O2650" s="1628"/>
    </row>
    <row r="2651" spans="11:15">
      <c r="K2651" s="1625">
        <v>44708</v>
      </c>
      <c r="L2651" s="1626" t="s">
        <v>2301</v>
      </c>
      <c r="M2651" s="1627">
        <v>4.7279000000000002E-2</v>
      </c>
      <c r="N2651" s="1628">
        <v>1.7602012082959957</v>
      </c>
      <c r="O2651" s="1628"/>
    </row>
    <row r="2652" spans="11:15">
      <c r="K2652" s="1625">
        <v>44709</v>
      </c>
      <c r="L2652" s="1626"/>
      <c r="M2652" s="1627">
        <v>0</v>
      </c>
      <c r="N2652" s="1628">
        <v>1.7602012082959957</v>
      </c>
      <c r="O2652" s="1628"/>
    </row>
    <row r="2653" spans="11:15">
      <c r="K2653" s="1625">
        <v>44710</v>
      </c>
      <c r="L2653" s="1626"/>
      <c r="M2653" s="1627">
        <v>0</v>
      </c>
      <c r="N2653" s="1628">
        <v>1.7602012082959957</v>
      </c>
      <c r="O2653" s="1628"/>
    </row>
    <row r="2654" spans="11:15">
      <c r="K2654" s="1625">
        <v>44711</v>
      </c>
      <c r="L2654" s="1626" t="s">
        <v>2301</v>
      </c>
      <c r="M2654" s="1627">
        <v>4.7279000000000002E-2</v>
      </c>
      <c r="N2654" s="1628">
        <v>1.7610334138252657</v>
      </c>
      <c r="O2654" s="1628"/>
    </row>
    <row r="2655" spans="11:15">
      <c r="K2655" s="1625">
        <v>44712</v>
      </c>
      <c r="L2655" s="1626" t="s">
        <v>2301</v>
      </c>
      <c r="M2655" s="1627">
        <v>4.7279000000000002E-2</v>
      </c>
      <c r="N2655" s="1628">
        <v>1.7618660128129879</v>
      </c>
      <c r="O2655" s="1628"/>
    </row>
    <row r="2656" spans="11:15">
      <c r="K2656" s="1625">
        <v>44713</v>
      </c>
      <c r="L2656" s="1626" t="s">
        <v>2301</v>
      </c>
      <c r="M2656" s="1627">
        <v>4.7279000000000002E-2</v>
      </c>
      <c r="N2656" s="1628">
        <v>1.7626990054451857</v>
      </c>
      <c r="O2656" s="1628"/>
    </row>
    <row r="2657" spans="11:15">
      <c r="K2657" s="1625">
        <v>44714</v>
      </c>
      <c r="L2657" s="1626" t="s">
        <v>2301</v>
      </c>
      <c r="M2657" s="1627">
        <v>4.7279000000000002E-2</v>
      </c>
      <c r="N2657" s="1628">
        <v>1.76353239190797</v>
      </c>
      <c r="O2657" s="1628"/>
    </row>
    <row r="2658" spans="11:15">
      <c r="K2658" s="1625">
        <v>44715</v>
      </c>
      <c r="L2658" s="1626" t="s">
        <v>2301</v>
      </c>
      <c r="M2658" s="1627">
        <v>4.7279000000000002E-2</v>
      </c>
      <c r="N2658" s="1628">
        <v>1.7643661723875399</v>
      </c>
      <c r="O2658" s="1628"/>
    </row>
    <row r="2659" spans="11:15">
      <c r="K2659" s="1625">
        <v>44716</v>
      </c>
      <c r="L2659" s="1626"/>
      <c r="M2659" s="1627">
        <v>0</v>
      </c>
      <c r="N2659" s="1628">
        <v>1.7643661723875399</v>
      </c>
      <c r="O2659" s="1628"/>
    </row>
    <row r="2660" spans="11:15">
      <c r="K2660" s="1625">
        <v>44717</v>
      </c>
      <c r="L2660" s="1626"/>
      <c r="M2660" s="1627">
        <v>0</v>
      </c>
      <c r="N2660" s="1628">
        <v>1.7643661723875399</v>
      </c>
      <c r="O2660" s="1628"/>
    </row>
    <row r="2661" spans="11:15">
      <c r="K2661" s="1625">
        <v>44718</v>
      </c>
      <c r="L2661" s="1626" t="s">
        <v>2301</v>
      </c>
      <c r="M2661" s="1627">
        <v>4.7279000000000002E-2</v>
      </c>
      <c r="N2661" s="1628">
        <v>1.7652003470701829</v>
      </c>
      <c r="O2661" s="1628"/>
    </row>
    <row r="2662" spans="11:15">
      <c r="K2662" s="1625">
        <v>44719</v>
      </c>
      <c r="L2662" s="1626" t="s">
        <v>2301</v>
      </c>
      <c r="M2662" s="1627">
        <v>4.7279000000000002E-2</v>
      </c>
      <c r="N2662" s="1628">
        <v>1.7660349161422739</v>
      </c>
      <c r="O2662" s="1628"/>
    </row>
    <row r="2663" spans="11:15">
      <c r="K2663" s="1625">
        <v>44720</v>
      </c>
      <c r="L2663" s="1626" t="s">
        <v>2301</v>
      </c>
      <c r="M2663" s="1627">
        <v>4.7279000000000002E-2</v>
      </c>
      <c r="N2663" s="1628">
        <v>1.7668698797902767</v>
      </c>
      <c r="O2663" s="1628"/>
    </row>
    <row r="2664" spans="11:15">
      <c r="K2664" s="1625">
        <v>44721</v>
      </c>
      <c r="L2664" s="1626" t="s">
        <v>2301</v>
      </c>
      <c r="M2664" s="1627">
        <v>4.7279000000000002E-2</v>
      </c>
      <c r="N2664" s="1628">
        <v>1.7677052382007425</v>
      </c>
      <c r="O2664" s="1628"/>
    </row>
    <row r="2665" spans="11:15">
      <c r="K2665" s="1625">
        <v>44722</v>
      </c>
      <c r="L2665" s="1626" t="s">
        <v>2301</v>
      </c>
      <c r="M2665" s="1627">
        <v>4.7279000000000002E-2</v>
      </c>
      <c r="N2665" s="1628">
        <v>1.7685409915603112</v>
      </c>
      <c r="O2665" s="1628"/>
    </row>
    <row r="2666" spans="11:15">
      <c r="K2666" s="1625">
        <v>44723</v>
      </c>
      <c r="L2666" s="1626"/>
      <c r="M2666" s="1627">
        <v>0</v>
      </c>
      <c r="N2666" s="1628">
        <v>1.7685409915603112</v>
      </c>
      <c r="O2666" s="1628"/>
    </row>
    <row r="2667" spans="11:15">
      <c r="K2667" s="1625">
        <v>44724</v>
      </c>
      <c r="L2667" s="1626"/>
      <c r="M2667" s="1627">
        <v>0</v>
      </c>
      <c r="N2667" s="1628">
        <v>1.7685409915603112</v>
      </c>
      <c r="O2667" s="1628"/>
    </row>
    <row r="2668" spans="11:15">
      <c r="K2668" s="1625">
        <v>44725</v>
      </c>
      <c r="L2668" s="1626" t="s">
        <v>2301</v>
      </c>
      <c r="M2668" s="1627">
        <v>4.7279000000000002E-2</v>
      </c>
      <c r="N2668" s="1628">
        <v>1.7693771400557108</v>
      </c>
      <c r="O2668" s="1628"/>
    </row>
    <row r="2669" spans="11:15">
      <c r="K2669" s="1625">
        <v>44726</v>
      </c>
      <c r="L2669" s="1626" t="s">
        <v>2301</v>
      </c>
      <c r="M2669" s="1627">
        <v>4.7279000000000002E-2</v>
      </c>
      <c r="N2669" s="1628">
        <v>1.7702136838737574</v>
      </c>
      <c r="O2669" s="1628"/>
    </row>
    <row r="2670" spans="11:15">
      <c r="K2670" s="1625">
        <v>44727</v>
      </c>
      <c r="L2670" s="1626" t="s">
        <v>2301</v>
      </c>
      <c r="M2670" s="1627">
        <v>4.7279000000000002E-2</v>
      </c>
      <c r="N2670" s="1628">
        <v>1.7710506232013559</v>
      </c>
      <c r="O2670" s="1628"/>
    </row>
    <row r="2671" spans="11:15">
      <c r="K2671" s="1625">
        <v>44728</v>
      </c>
      <c r="L2671" s="1626"/>
      <c r="M2671" s="1627">
        <v>0</v>
      </c>
      <c r="N2671" s="1628">
        <v>1.7710506232013559</v>
      </c>
      <c r="O2671" s="1628"/>
    </row>
    <row r="2672" spans="11:15">
      <c r="K2672" s="1625">
        <v>44729</v>
      </c>
      <c r="L2672" s="1626" t="s">
        <v>2301</v>
      </c>
      <c r="M2672" s="1627">
        <v>4.9036999999999997E-2</v>
      </c>
      <c r="N2672" s="1628">
        <v>1.7719190932954552</v>
      </c>
      <c r="O2672" s="1628"/>
    </row>
    <row r="2673" spans="11:15">
      <c r="K2673" s="1625">
        <v>44730</v>
      </c>
      <c r="L2673" s="1626"/>
      <c r="M2673" s="1627">
        <v>0</v>
      </c>
      <c r="N2673" s="1628">
        <v>1.7719190932954552</v>
      </c>
      <c r="O2673" s="1628"/>
    </row>
    <row r="2674" spans="11:15">
      <c r="K2674" s="1625">
        <v>44731</v>
      </c>
      <c r="L2674" s="1626"/>
      <c r="M2674" s="1627">
        <v>0</v>
      </c>
      <c r="N2674" s="1628">
        <v>1.7719190932954552</v>
      </c>
      <c r="O2674" s="1628"/>
    </row>
    <row r="2675" spans="11:15">
      <c r="K2675" s="1625">
        <v>44732</v>
      </c>
      <c r="L2675" s="1626" t="s">
        <v>2301</v>
      </c>
      <c r="M2675" s="1627">
        <v>4.9036999999999997E-2</v>
      </c>
      <c r="N2675" s="1628">
        <v>1.7727879892612346</v>
      </c>
      <c r="O2675" s="1628"/>
    </row>
    <row r="2676" spans="11:15">
      <c r="K2676" s="1625">
        <v>44733</v>
      </c>
      <c r="L2676" s="1626" t="s">
        <v>2301</v>
      </c>
      <c r="M2676" s="1627">
        <v>4.9036999999999997E-2</v>
      </c>
      <c r="N2676" s="1628">
        <v>1.7736573113075287</v>
      </c>
      <c r="O2676" s="1628"/>
    </row>
    <row r="2677" spans="11:15">
      <c r="K2677" s="1625">
        <v>44734</v>
      </c>
      <c r="L2677" s="1626" t="s">
        <v>2301</v>
      </c>
      <c r="M2677" s="1627">
        <v>4.9036999999999997E-2</v>
      </c>
      <c r="N2677" s="1628">
        <v>1.7745270596432747</v>
      </c>
      <c r="O2677" s="1628"/>
    </row>
    <row r="2678" spans="11:15">
      <c r="K2678" s="1625">
        <v>44735</v>
      </c>
      <c r="L2678" s="1626" t="s">
        <v>2301</v>
      </c>
      <c r="M2678" s="1627">
        <v>4.9036999999999997E-2</v>
      </c>
      <c r="N2678" s="1628">
        <v>1.7753972344775122</v>
      </c>
      <c r="O2678" s="1628"/>
    </row>
    <row r="2679" spans="11:15">
      <c r="K2679" s="1625">
        <v>44736</v>
      </c>
      <c r="L2679" s="1626" t="s">
        <v>2301</v>
      </c>
      <c r="M2679" s="1627">
        <v>4.9036999999999997E-2</v>
      </c>
      <c r="N2679" s="1628">
        <v>1.7762678360193831</v>
      </c>
      <c r="O2679" s="1628"/>
    </row>
    <row r="2680" spans="11:15">
      <c r="K2680" s="1625">
        <v>44737</v>
      </c>
      <c r="L2680" s="1626"/>
      <c r="M2680" s="1627">
        <v>0</v>
      </c>
      <c r="N2680" s="1628">
        <v>1.7762678360193831</v>
      </c>
      <c r="O2680" s="1628"/>
    </row>
    <row r="2681" spans="11:15">
      <c r="K2681" s="1625">
        <v>44738</v>
      </c>
      <c r="L2681" s="1626"/>
      <c r="M2681" s="1627">
        <v>0</v>
      </c>
      <c r="N2681" s="1628">
        <v>1.7762678360193831</v>
      </c>
      <c r="O2681" s="1628"/>
    </row>
    <row r="2682" spans="11:15">
      <c r="K2682" s="1625">
        <v>44739</v>
      </c>
      <c r="L2682" s="1626" t="s">
        <v>2301</v>
      </c>
      <c r="M2682" s="1627">
        <v>4.9036999999999997E-2</v>
      </c>
      <c r="N2682" s="1628">
        <v>1.7771388644781321</v>
      </c>
      <c r="O2682" s="1628"/>
    </row>
    <row r="2683" spans="11:15">
      <c r="K2683" s="1625">
        <v>44740</v>
      </c>
      <c r="L2683" s="1626" t="s">
        <v>2301</v>
      </c>
      <c r="M2683" s="1627">
        <v>4.9036999999999997E-2</v>
      </c>
      <c r="N2683" s="1628">
        <v>1.7780103200631063</v>
      </c>
      <c r="O2683" s="1628"/>
    </row>
    <row r="2684" spans="11:15">
      <c r="K2684" s="1625">
        <v>44741</v>
      </c>
      <c r="L2684" s="1626" t="s">
        <v>2301</v>
      </c>
      <c r="M2684" s="1627">
        <v>4.9036999999999997E-2</v>
      </c>
      <c r="N2684" s="1628">
        <v>1.7788822029837559</v>
      </c>
      <c r="O2684" s="1628"/>
    </row>
    <row r="2685" spans="11:15">
      <c r="K2685" s="1625">
        <v>44742</v>
      </c>
      <c r="L2685" s="1626" t="s">
        <v>2301</v>
      </c>
      <c r="M2685" s="1627">
        <v>4.9036999999999997E-2</v>
      </c>
      <c r="N2685" s="1628">
        <v>1.7797545134496331</v>
      </c>
      <c r="O2685" s="1628"/>
    </row>
    <row r="2686" spans="11:15">
      <c r="K2686" s="1625">
        <v>44743</v>
      </c>
      <c r="L2686" s="1626" t="s">
        <v>2301</v>
      </c>
      <c r="M2686" s="1627">
        <v>4.9036999999999997E-2</v>
      </c>
      <c r="N2686" s="1628">
        <v>1.7806272516703936</v>
      </c>
      <c r="O2686" s="1628"/>
    </row>
    <row r="2687" spans="11:15">
      <c r="K2687" s="1625">
        <v>44744</v>
      </c>
      <c r="L2687" s="1626"/>
      <c r="M2687" s="1627">
        <v>0</v>
      </c>
      <c r="N2687" s="1628">
        <v>1.7806272516703936</v>
      </c>
      <c r="O2687" s="1628"/>
    </row>
    <row r="2688" spans="11:15">
      <c r="K2688" s="1625">
        <v>44745</v>
      </c>
      <c r="L2688" s="1626"/>
      <c r="M2688" s="1627">
        <v>0</v>
      </c>
      <c r="N2688" s="1628">
        <v>1.7806272516703936</v>
      </c>
      <c r="O2688" s="1628"/>
    </row>
    <row r="2689" spans="11:15">
      <c r="K2689" s="1625">
        <v>44746</v>
      </c>
      <c r="L2689" s="1626" t="s">
        <v>2301</v>
      </c>
      <c r="M2689" s="1627">
        <v>4.9036999999999997E-2</v>
      </c>
      <c r="N2689" s="1628">
        <v>1.7815004178557954</v>
      </c>
      <c r="O2689" s="1628"/>
    </row>
    <row r="2690" spans="11:15">
      <c r="K2690" s="1625">
        <v>44747</v>
      </c>
      <c r="L2690" s="1626" t="s">
        <v>2301</v>
      </c>
      <c r="M2690" s="1627">
        <v>4.9036999999999997E-2</v>
      </c>
      <c r="N2690" s="1628">
        <v>1.7823740122156995</v>
      </c>
      <c r="O2690" s="1628"/>
    </row>
    <row r="2691" spans="11:15">
      <c r="K2691" s="1625">
        <v>44748</v>
      </c>
      <c r="L2691" s="1626" t="s">
        <v>2301</v>
      </c>
      <c r="M2691" s="1627">
        <v>4.9036999999999997E-2</v>
      </c>
      <c r="N2691" s="1628">
        <v>1.7832480349600699</v>
      </c>
      <c r="O2691" s="1628"/>
    </row>
    <row r="2692" spans="11:15">
      <c r="K2692" s="1625">
        <v>44749</v>
      </c>
      <c r="L2692" s="1626" t="s">
        <v>2301</v>
      </c>
      <c r="M2692" s="1627">
        <v>4.9036999999999997E-2</v>
      </c>
      <c r="N2692" s="1628">
        <v>1.7841224862989733</v>
      </c>
      <c r="O2692" s="1628"/>
    </row>
    <row r="2693" spans="11:15">
      <c r="K2693" s="1625">
        <v>44750</v>
      </c>
      <c r="L2693" s="1626" t="s">
        <v>2301</v>
      </c>
      <c r="M2693" s="1627">
        <v>4.9036999999999997E-2</v>
      </c>
      <c r="N2693" s="1628">
        <v>1.7849973664425798</v>
      </c>
      <c r="O2693" s="1628"/>
    </row>
    <row r="2694" spans="11:15">
      <c r="K2694" s="1625">
        <v>44751</v>
      </c>
      <c r="L2694" s="1626"/>
      <c r="M2694" s="1627">
        <v>0</v>
      </c>
      <c r="N2694" s="1628">
        <v>1.7849973664425798</v>
      </c>
      <c r="O2694" s="1628"/>
    </row>
    <row r="2695" spans="11:15">
      <c r="K2695" s="1625">
        <v>44752</v>
      </c>
      <c r="L2695" s="1626"/>
      <c r="M2695" s="1627">
        <v>0</v>
      </c>
      <c r="N2695" s="1628">
        <v>1.7849973664425798</v>
      </c>
      <c r="O2695" s="1628"/>
    </row>
    <row r="2696" spans="11:15">
      <c r="K2696" s="1625">
        <v>44753</v>
      </c>
      <c r="L2696" s="1626" t="s">
        <v>2301</v>
      </c>
      <c r="M2696" s="1627">
        <v>4.9036999999999997E-2</v>
      </c>
      <c r="N2696" s="1628">
        <v>1.7858726756011623</v>
      </c>
      <c r="O2696" s="1628"/>
    </row>
    <row r="2697" spans="11:15">
      <c r="K2697" s="1625">
        <v>44754</v>
      </c>
      <c r="L2697" s="1626" t="s">
        <v>2301</v>
      </c>
      <c r="M2697" s="1627">
        <v>4.9036999999999997E-2</v>
      </c>
      <c r="N2697" s="1628">
        <v>1.7867484139850969</v>
      </c>
      <c r="O2697" s="1628"/>
    </row>
    <row r="2698" spans="11:15">
      <c r="K2698" s="1625">
        <v>44755</v>
      </c>
      <c r="L2698" s="1626" t="s">
        <v>2301</v>
      </c>
      <c r="M2698" s="1627">
        <v>4.9036999999999997E-2</v>
      </c>
      <c r="N2698" s="1628">
        <v>1.7876245818048628</v>
      </c>
      <c r="O2698" s="1628"/>
    </row>
    <row r="2699" spans="11:15">
      <c r="K2699" s="1625">
        <v>44756</v>
      </c>
      <c r="L2699" s="1626" t="s">
        <v>2301</v>
      </c>
      <c r="M2699" s="1627">
        <v>4.9036999999999997E-2</v>
      </c>
      <c r="N2699" s="1628">
        <v>1.7885011792710426</v>
      </c>
      <c r="O2699" s="1628"/>
    </row>
    <row r="2700" spans="11:15">
      <c r="K2700" s="1625">
        <v>44757</v>
      </c>
      <c r="L2700" s="1626" t="s">
        <v>2301</v>
      </c>
      <c r="M2700" s="1627">
        <v>4.9036999999999997E-2</v>
      </c>
      <c r="N2700" s="1628">
        <v>1.7893782065943218</v>
      </c>
      <c r="O2700" s="1628"/>
    </row>
    <row r="2701" spans="11:15">
      <c r="K2701" s="1625">
        <v>44758</v>
      </c>
      <c r="L2701" s="1626"/>
      <c r="M2701" s="1627">
        <v>0</v>
      </c>
      <c r="N2701" s="1628">
        <v>1.7893782065943218</v>
      </c>
      <c r="O2701" s="1628"/>
    </row>
    <row r="2702" spans="11:15">
      <c r="K2702" s="1625">
        <v>44759</v>
      </c>
      <c r="L2702" s="1626"/>
      <c r="M2702" s="1627">
        <v>0</v>
      </c>
      <c r="N2702" s="1628">
        <v>1.7893782065943218</v>
      </c>
      <c r="O2702" s="1628"/>
    </row>
    <row r="2703" spans="11:15">
      <c r="K2703" s="1625">
        <v>44760</v>
      </c>
      <c r="L2703" s="1626" t="s">
        <v>2301</v>
      </c>
      <c r="M2703" s="1627">
        <v>4.9036999999999997E-2</v>
      </c>
      <c r="N2703" s="1628">
        <v>1.7902556639854896</v>
      </c>
      <c r="O2703" s="1628"/>
    </row>
    <row r="2704" spans="11:15">
      <c r="K2704" s="1625">
        <v>44761</v>
      </c>
      <c r="L2704" s="1626" t="s">
        <v>2301</v>
      </c>
      <c r="M2704" s="1627">
        <v>4.9036999999999997E-2</v>
      </c>
      <c r="N2704" s="1628">
        <v>1.7911335516554383</v>
      </c>
      <c r="O2704" s="1628"/>
    </row>
    <row r="2705" spans="11:15">
      <c r="K2705" s="1625">
        <v>44762</v>
      </c>
      <c r="L2705" s="1626" t="s">
        <v>2301</v>
      </c>
      <c r="M2705" s="1627">
        <v>4.9036999999999997E-2</v>
      </c>
      <c r="N2705" s="1628">
        <v>1.7920118698151637</v>
      </c>
      <c r="O2705" s="1628"/>
    </row>
    <row r="2706" spans="11:15">
      <c r="K2706" s="1625">
        <v>44763</v>
      </c>
      <c r="L2706" s="1626" t="s">
        <v>2301</v>
      </c>
      <c r="M2706" s="1627">
        <v>4.9036999999999997E-2</v>
      </c>
      <c r="N2706" s="1628">
        <v>1.7928906186757652</v>
      </c>
      <c r="O2706" s="1628"/>
    </row>
    <row r="2707" spans="11:15">
      <c r="K2707" s="1625">
        <v>44764</v>
      </c>
      <c r="L2707" s="1626" t="s">
        <v>2301</v>
      </c>
      <c r="M2707" s="1627">
        <v>4.9036999999999997E-2</v>
      </c>
      <c r="N2707" s="1628">
        <v>1.7937697984484453</v>
      </c>
      <c r="O2707" s="1628"/>
    </row>
    <row r="2708" spans="11:15">
      <c r="K2708" s="1625">
        <v>44765</v>
      </c>
      <c r="L2708" s="1626"/>
      <c r="M2708" s="1627">
        <v>0</v>
      </c>
      <c r="N2708" s="1628">
        <v>1.7937697984484453</v>
      </c>
      <c r="O2708" s="1628"/>
    </row>
    <row r="2709" spans="11:15">
      <c r="K2709" s="1625">
        <v>44766</v>
      </c>
      <c r="L2709" s="1626"/>
      <c r="M2709" s="1627">
        <v>0</v>
      </c>
      <c r="N2709" s="1628">
        <v>1.7937697984484453</v>
      </c>
      <c r="O2709" s="1628"/>
    </row>
    <row r="2710" spans="11:15">
      <c r="K2710" s="1625">
        <v>44767</v>
      </c>
      <c r="L2710" s="1626" t="s">
        <v>2301</v>
      </c>
      <c r="M2710" s="1627">
        <v>4.9036999999999997E-2</v>
      </c>
      <c r="N2710" s="1628">
        <v>1.7946494093445107</v>
      </c>
      <c r="O2710" s="1628"/>
    </row>
    <row r="2711" spans="11:15">
      <c r="K2711" s="1625">
        <v>44768</v>
      </c>
      <c r="L2711" s="1626" t="s">
        <v>2301</v>
      </c>
      <c r="M2711" s="1627">
        <v>4.9036999999999997E-2</v>
      </c>
      <c r="N2711" s="1628">
        <v>1.795529451575371</v>
      </c>
      <c r="O2711" s="1628"/>
    </row>
    <row r="2712" spans="11:15">
      <c r="K2712" s="1625">
        <v>44769</v>
      </c>
      <c r="L2712" s="1626" t="s">
        <v>2301</v>
      </c>
      <c r="M2712" s="1627">
        <v>4.9036999999999997E-2</v>
      </c>
      <c r="N2712" s="1628">
        <v>1.7964099253525401</v>
      </c>
      <c r="O2712" s="1628"/>
    </row>
    <row r="2713" spans="11:15">
      <c r="K2713" s="1625">
        <v>44770</v>
      </c>
      <c r="L2713" s="1626" t="s">
        <v>2301</v>
      </c>
      <c r="M2713" s="1627">
        <v>4.9036999999999997E-2</v>
      </c>
      <c r="N2713" s="1628">
        <v>1.7972908308876354</v>
      </c>
      <c r="O2713" s="1628"/>
    </row>
    <row r="2714" spans="11:15">
      <c r="K2714" s="1625">
        <v>44771</v>
      </c>
      <c r="L2714" s="1626" t="s">
        <v>2301</v>
      </c>
      <c r="M2714" s="1627">
        <v>4.9036999999999997E-2</v>
      </c>
      <c r="N2714" s="1628">
        <v>1.7981721683923779</v>
      </c>
      <c r="O2714" s="1628"/>
    </row>
    <row r="2715" spans="11:15">
      <c r="K2715" s="1625">
        <v>44772</v>
      </c>
      <c r="L2715" s="1626"/>
      <c r="M2715" s="1627">
        <v>0</v>
      </c>
      <c r="N2715" s="1628">
        <v>1.7981721683923779</v>
      </c>
      <c r="O2715" s="1628"/>
    </row>
    <row r="2716" spans="11:15">
      <c r="K2716" s="1625">
        <v>44773</v>
      </c>
      <c r="L2716" s="1626"/>
      <c r="M2716" s="1627">
        <v>0</v>
      </c>
      <c r="N2716" s="1628">
        <v>1.7981721683923779</v>
      </c>
      <c r="O2716" s="1628"/>
    </row>
    <row r="2717" spans="11:15">
      <c r="K2717" s="1625">
        <v>44774</v>
      </c>
      <c r="L2717" s="1626" t="s">
        <v>2301</v>
      </c>
      <c r="M2717" s="1627">
        <v>4.9036999999999997E-2</v>
      </c>
      <c r="N2717" s="1628">
        <v>1.7990539380785926</v>
      </c>
      <c r="O2717" s="1628"/>
    </row>
    <row r="2718" spans="11:15">
      <c r="K2718" s="1625">
        <v>44775</v>
      </c>
      <c r="L2718" s="1626" t="s">
        <v>2301</v>
      </c>
      <c r="M2718" s="1627">
        <v>4.9036999999999997E-2</v>
      </c>
      <c r="N2718" s="1628">
        <v>1.7999361401582084</v>
      </c>
      <c r="O2718" s="1628"/>
    </row>
    <row r="2719" spans="11:15">
      <c r="K2719" s="1625">
        <v>44776</v>
      </c>
      <c r="L2719" s="1626" t="s">
        <v>2301</v>
      </c>
      <c r="M2719" s="1627">
        <v>4.9036999999999997E-2</v>
      </c>
      <c r="N2719" s="1628">
        <v>1.8008187748432578</v>
      </c>
      <c r="O2719" s="1628"/>
    </row>
    <row r="2720" spans="11:15">
      <c r="K2720" s="1625">
        <v>44777</v>
      </c>
      <c r="L2720" s="1626" t="s">
        <v>2301</v>
      </c>
      <c r="M2720" s="1627">
        <v>4.9036999999999997E-2</v>
      </c>
      <c r="N2720" s="1628">
        <v>1.8017018423458779</v>
      </c>
      <c r="O2720" s="1628"/>
    </row>
    <row r="2721" spans="11:15">
      <c r="K2721" s="1625">
        <v>44778</v>
      </c>
      <c r="L2721" s="1626" t="s">
        <v>2301</v>
      </c>
      <c r="M2721" s="1627">
        <v>4.9036999999999997E-2</v>
      </c>
      <c r="N2721" s="1628">
        <v>1.8025853428783092</v>
      </c>
      <c r="O2721" s="1628"/>
    </row>
    <row r="2722" spans="11:15">
      <c r="K2722" s="1625">
        <v>44779</v>
      </c>
      <c r="L2722" s="1626"/>
      <c r="M2722" s="1627">
        <v>0</v>
      </c>
      <c r="N2722" s="1628">
        <v>1.8025853428783092</v>
      </c>
      <c r="O2722" s="1628"/>
    </row>
    <row r="2723" spans="11:15">
      <c r="K2723" s="1625">
        <v>44780</v>
      </c>
      <c r="L2723" s="1626"/>
      <c r="M2723" s="1627">
        <v>0</v>
      </c>
      <c r="N2723" s="1628">
        <v>1.8025853428783092</v>
      </c>
      <c r="O2723" s="1628"/>
    </row>
    <row r="2724" spans="11:15">
      <c r="K2724" s="1625">
        <v>44781</v>
      </c>
      <c r="L2724" s="1626" t="s">
        <v>2301</v>
      </c>
      <c r="M2724" s="1627">
        <v>4.9036999999999997E-2</v>
      </c>
      <c r="N2724" s="1628">
        <v>1.8034692766528966</v>
      </c>
      <c r="O2724" s="1628"/>
    </row>
    <row r="2725" spans="11:15">
      <c r="K2725" s="1625">
        <v>44782</v>
      </c>
      <c r="L2725" s="1626" t="s">
        <v>2301</v>
      </c>
      <c r="M2725" s="1627">
        <v>4.9036999999999997E-2</v>
      </c>
      <c r="N2725" s="1628">
        <v>1.8043536438820891</v>
      </c>
      <c r="O2725" s="1628"/>
    </row>
    <row r="2726" spans="11:15">
      <c r="K2726" s="1625">
        <v>44783</v>
      </c>
      <c r="L2726" s="1626" t="s">
        <v>2301</v>
      </c>
      <c r="M2726" s="1627">
        <v>4.9036999999999997E-2</v>
      </c>
      <c r="N2726" s="1628">
        <v>1.8052384447784398</v>
      </c>
      <c r="O2726" s="1628"/>
    </row>
    <row r="2727" spans="11:15">
      <c r="K2727" s="1625">
        <v>44784</v>
      </c>
      <c r="L2727" s="1626" t="s">
        <v>2301</v>
      </c>
      <c r="M2727" s="1627">
        <v>4.9036999999999997E-2</v>
      </c>
      <c r="N2727" s="1628">
        <v>1.8061236795546058</v>
      </c>
      <c r="O2727" s="1628"/>
    </row>
    <row r="2728" spans="11:15">
      <c r="K2728" s="1625">
        <v>44785</v>
      </c>
      <c r="L2728" s="1626" t="s">
        <v>2301</v>
      </c>
      <c r="M2728" s="1627">
        <v>4.9036999999999997E-2</v>
      </c>
      <c r="N2728" s="1628">
        <v>1.8070093484233491</v>
      </c>
      <c r="O2728" s="1628"/>
    </row>
    <row r="2729" spans="11:15">
      <c r="K2729" s="1625">
        <v>44786</v>
      </c>
      <c r="L2729" s="1626"/>
      <c r="M2729" s="1627">
        <v>0</v>
      </c>
      <c r="N2729" s="1628">
        <v>1.8070093484233491</v>
      </c>
      <c r="O2729" s="1628"/>
    </row>
    <row r="2730" spans="11:15">
      <c r="K2730" s="1625">
        <v>44787</v>
      </c>
      <c r="L2730" s="1626"/>
      <c r="M2730" s="1627">
        <v>0</v>
      </c>
      <c r="N2730" s="1628">
        <v>1.8070093484233491</v>
      </c>
      <c r="O2730" s="1628"/>
    </row>
    <row r="2731" spans="11:15">
      <c r="K2731" s="1625">
        <v>44788</v>
      </c>
      <c r="L2731" s="1626" t="s">
        <v>2301</v>
      </c>
      <c r="M2731" s="1627">
        <v>4.9036999999999997E-2</v>
      </c>
      <c r="N2731" s="1628">
        <v>1.8078954515975356</v>
      </c>
      <c r="O2731" s="1628"/>
    </row>
    <row r="2732" spans="11:15">
      <c r="K2732" s="1625">
        <v>44789</v>
      </c>
      <c r="L2732" s="1626" t="s">
        <v>2301</v>
      </c>
      <c r="M2732" s="1627">
        <v>4.9036999999999997E-2</v>
      </c>
      <c r="N2732" s="1628">
        <v>1.8087819892901356</v>
      </c>
      <c r="O2732" s="1628"/>
    </row>
    <row r="2733" spans="11:15">
      <c r="K2733" s="1625">
        <v>44790</v>
      </c>
      <c r="L2733" s="1626" t="s">
        <v>2301</v>
      </c>
      <c r="M2733" s="1627">
        <v>4.9036999999999997E-2</v>
      </c>
      <c r="N2733" s="1628">
        <v>1.8096689617142239</v>
      </c>
      <c r="O2733" s="1628"/>
    </row>
    <row r="2734" spans="11:15">
      <c r="K2734" s="1625">
        <v>44791</v>
      </c>
      <c r="L2734" s="1626" t="s">
        <v>2301</v>
      </c>
      <c r="M2734" s="1627">
        <v>4.9036999999999997E-2</v>
      </c>
      <c r="N2734" s="1628">
        <v>1.8105563690829798</v>
      </c>
      <c r="O2734" s="1628"/>
    </row>
    <row r="2735" spans="11:15">
      <c r="K2735" s="1625">
        <v>44792</v>
      </c>
      <c r="L2735" s="1626" t="s">
        <v>2301</v>
      </c>
      <c r="M2735" s="1627">
        <v>4.9036999999999997E-2</v>
      </c>
      <c r="N2735" s="1628">
        <v>1.8114442116096872</v>
      </c>
      <c r="O2735" s="1628"/>
    </row>
    <row r="2736" spans="11:15">
      <c r="K2736" s="1625">
        <v>44793</v>
      </c>
      <c r="L2736" s="1626"/>
      <c r="M2736" s="1627">
        <v>0</v>
      </c>
      <c r="N2736" s="1628">
        <v>1.8114442116096872</v>
      </c>
      <c r="O2736" s="1628"/>
    </row>
    <row r="2737" spans="11:15">
      <c r="K2737" s="1625">
        <v>44794</v>
      </c>
      <c r="L2737" s="1626"/>
      <c r="M2737" s="1627">
        <v>0</v>
      </c>
      <c r="N2737" s="1628">
        <v>1.8114442116096872</v>
      </c>
      <c r="O2737" s="1628"/>
    </row>
    <row r="2738" spans="11:15">
      <c r="K2738" s="1625">
        <v>44795</v>
      </c>
      <c r="L2738" s="1626" t="s">
        <v>2301</v>
      </c>
      <c r="M2738" s="1627">
        <v>4.9036999999999997E-2</v>
      </c>
      <c r="N2738" s="1628">
        <v>1.8123324895077344</v>
      </c>
      <c r="O2738" s="1628"/>
    </row>
    <row r="2739" spans="11:15">
      <c r="K2739" s="1625">
        <v>44796</v>
      </c>
      <c r="L2739" s="1626" t="s">
        <v>2301</v>
      </c>
      <c r="M2739" s="1627">
        <v>4.9036999999999997E-2</v>
      </c>
      <c r="N2739" s="1628">
        <v>1.8132212029906145</v>
      </c>
      <c r="O2739" s="1628"/>
    </row>
    <row r="2740" spans="11:15">
      <c r="K2740" s="1625">
        <v>44797</v>
      </c>
      <c r="L2740" s="1626" t="s">
        <v>2301</v>
      </c>
      <c r="M2740" s="1627">
        <v>4.9036999999999997E-2</v>
      </c>
      <c r="N2740" s="1628">
        <v>1.8141103522719251</v>
      </c>
      <c r="O2740" s="1628"/>
    </row>
    <row r="2741" spans="11:15">
      <c r="K2741" s="1625">
        <v>44798</v>
      </c>
      <c r="L2741" s="1626" t="s">
        <v>2301</v>
      </c>
      <c r="M2741" s="1627">
        <v>4.9036999999999997E-2</v>
      </c>
      <c r="N2741" s="1628">
        <v>1.8149999375653687</v>
      </c>
      <c r="O2741" s="1628"/>
    </row>
    <row r="2742" spans="11:15">
      <c r="K2742" s="1625">
        <v>44799</v>
      </c>
      <c r="L2742" s="1626" t="s">
        <v>2301</v>
      </c>
      <c r="M2742" s="1627">
        <v>4.9036999999999997E-2</v>
      </c>
      <c r="N2742" s="1628">
        <v>1.8158899590847528</v>
      </c>
      <c r="O2742" s="1628"/>
    </row>
    <row r="2743" spans="11:15">
      <c r="K2743" s="1625">
        <v>44800</v>
      </c>
      <c r="L2743" s="1626"/>
      <c r="M2743" s="1627">
        <v>0</v>
      </c>
      <c r="N2743" s="1628">
        <v>1.8158899590847528</v>
      </c>
      <c r="O2743" s="1628"/>
    </row>
    <row r="2744" spans="11:15">
      <c r="K2744" s="1625">
        <v>44801</v>
      </c>
      <c r="L2744" s="1626"/>
      <c r="M2744" s="1627">
        <v>0</v>
      </c>
      <c r="N2744" s="1628">
        <v>1.8158899590847528</v>
      </c>
      <c r="O2744" s="1628"/>
    </row>
    <row r="2745" spans="11:15">
      <c r="K2745" s="1625">
        <v>44802</v>
      </c>
      <c r="L2745" s="1626" t="s">
        <v>2301</v>
      </c>
      <c r="M2745" s="1627">
        <v>4.9036999999999997E-2</v>
      </c>
      <c r="N2745" s="1628">
        <v>1.8167804170439894</v>
      </c>
      <c r="O2745" s="1628"/>
    </row>
    <row r="2746" spans="11:15">
      <c r="K2746" s="1625">
        <v>44803</v>
      </c>
      <c r="L2746" s="1626" t="s">
        <v>2301</v>
      </c>
      <c r="M2746" s="1627">
        <v>4.9036999999999997E-2</v>
      </c>
      <c r="N2746" s="1628">
        <v>1.8176713116570955</v>
      </c>
      <c r="O2746" s="1628"/>
    </row>
    <row r="2747" spans="11:15">
      <c r="K2747" s="1625">
        <v>44804</v>
      </c>
      <c r="L2747" s="1626" t="s">
        <v>2301</v>
      </c>
      <c r="M2747" s="1627">
        <v>4.9036999999999997E-2</v>
      </c>
      <c r="N2747" s="1628">
        <v>1.8185626431381929</v>
      </c>
      <c r="O2747" s="1628"/>
    </row>
    <row r="2748" spans="11:15">
      <c r="K2748" s="1625">
        <v>44805</v>
      </c>
      <c r="L2748" s="1626" t="s">
        <v>2301</v>
      </c>
      <c r="M2748" s="1627">
        <v>4.9036999999999997E-2</v>
      </c>
      <c r="N2748" s="1628">
        <v>1.8194544117015088</v>
      </c>
      <c r="O2748" s="1628"/>
    </row>
    <row r="2749" spans="11:15">
      <c r="K2749" s="1625">
        <v>44806</v>
      </c>
      <c r="L2749" s="1626" t="s">
        <v>2301</v>
      </c>
      <c r="M2749" s="1627">
        <v>4.9036999999999997E-2</v>
      </c>
      <c r="N2749" s="1628">
        <v>1.8203466175613749</v>
      </c>
      <c r="O2749" s="1628"/>
    </row>
    <row r="2750" spans="11:15">
      <c r="K2750" s="1625">
        <v>44807</v>
      </c>
      <c r="L2750" s="1626"/>
      <c r="M2750" s="1627">
        <v>0</v>
      </c>
      <c r="N2750" s="1628">
        <v>1.8203466175613749</v>
      </c>
      <c r="O2750" s="1628"/>
    </row>
    <row r="2751" spans="11:15">
      <c r="K2751" s="1625">
        <v>44808</v>
      </c>
      <c r="L2751" s="1626"/>
      <c r="M2751" s="1627">
        <v>0</v>
      </c>
      <c r="N2751" s="1628">
        <v>1.8203466175613749</v>
      </c>
      <c r="O2751" s="1628"/>
    </row>
    <row r="2752" spans="11:15">
      <c r="K2752" s="1625">
        <v>44809</v>
      </c>
      <c r="L2752" s="1626" t="s">
        <v>2301</v>
      </c>
      <c r="M2752" s="1627">
        <v>4.9036999999999997E-2</v>
      </c>
      <c r="N2752" s="1628">
        <v>1.8212392609322285</v>
      </c>
      <c r="O2752" s="1628"/>
    </row>
    <row r="2753" spans="11:15">
      <c r="K2753" s="1625">
        <v>44810</v>
      </c>
      <c r="L2753" s="1626" t="s">
        <v>2301</v>
      </c>
      <c r="M2753" s="1627">
        <v>4.9036999999999997E-2</v>
      </c>
      <c r="N2753" s="1628">
        <v>1.822132342028612</v>
      </c>
      <c r="O2753" s="1628"/>
    </row>
    <row r="2754" spans="11:15">
      <c r="K2754" s="1625">
        <v>44811</v>
      </c>
      <c r="L2754" s="1626"/>
      <c r="M2754" s="1627">
        <v>0</v>
      </c>
      <c r="N2754" s="1628">
        <v>1.822132342028612</v>
      </c>
      <c r="O2754" s="1628"/>
    </row>
    <row r="2755" spans="11:15">
      <c r="K2755" s="1625">
        <v>44812</v>
      </c>
      <c r="L2755" s="1626" t="s">
        <v>2301</v>
      </c>
      <c r="M2755" s="1627">
        <v>4.9036999999999997E-2</v>
      </c>
      <c r="N2755" s="1628">
        <v>1.8230258610651726</v>
      </c>
      <c r="O2755" s="1628"/>
    </row>
    <row r="2756" spans="11:15">
      <c r="K2756" s="1625">
        <v>44813</v>
      </c>
      <c r="L2756" s="1626" t="s">
        <v>2301</v>
      </c>
      <c r="M2756" s="1627">
        <v>4.9036999999999997E-2</v>
      </c>
      <c r="N2756" s="1628">
        <v>1.8239198182566634</v>
      </c>
      <c r="O2756" s="1628"/>
    </row>
    <row r="2757" spans="11:15">
      <c r="K2757" s="1625">
        <v>44814</v>
      </c>
      <c r="L2757" s="1626"/>
      <c r="M2757" s="1627">
        <v>0</v>
      </c>
      <c r="N2757" s="1628">
        <v>1.8239198182566634</v>
      </c>
      <c r="O2757" s="1628"/>
    </row>
    <row r="2758" spans="11:15">
      <c r="K2758" s="1625">
        <v>44815</v>
      </c>
      <c r="L2758" s="1626"/>
      <c r="M2758" s="1627">
        <v>0</v>
      </c>
      <c r="N2758" s="1628">
        <v>1.8239198182566634</v>
      </c>
      <c r="O2758" s="1628"/>
    </row>
    <row r="2759" spans="11:15">
      <c r="K2759" s="1625">
        <v>44816</v>
      </c>
      <c r="L2759" s="1626" t="s">
        <v>2301</v>
      </c>
      <c r="M2759" s="1627">
        <v>4.9036999999999997E-2</v>
      </c>
      <c r="N2759" s="1628">
        <v>1.824814213817942</v>
      </c>
      <c r="O2759" s="1628"/>
    </row>
    <row r="2760" spans="11:15">
      <c r="K2760" s="1625">
        <v>44817</v>
      </c>
      <c r="L2760" s="1626" t="s">
        <v>2301</v>
      </c>
      <c r="M2760" s="1627">
        <v>4.9036999999999997E-2</v>
      </c>
      <c r="N2760" s="1628">
        <v>1.8257090479639719</v>
      </c>
      <c r="O2760" s="1628"/>
    </row>
    <row r="2761" spans="11:15">
      <c r="K2761" s="1625">
        <v>44818</v>
      </c>
      <c r="L2761" s="1626" t="s">
        <v>2301</v>
      </c>
      <c r="M2761" s="1627">
        <v>4.9036999999999997E-2</v>
      </c>
      <c r="N2761" s="1628">
        <v>1.8266043209098222</v>
      </c>
      <c r="O2761" s="1628"/>
    </row>
    <row r="2762" spans="11:15">
      <c r="K2762" s="1625">
        <v>44819</v>
      </c>
      <c r="L2762" s="1626" t="s">
        <v>2301</v>
      </c>
      <c r="M2762" s="1627">
        <v>4.9036999999999997E-2</v>
      </c>
      <c r="N2762" s="1628">
        <v>1.8275000328706668</v>
      </c>
      <c r="O2762" s="1628"/>
    </row>
    <row r="2763" spans="11:15">
      <c r="K2763" s="1625">
        <v>44820</v>
      </c>
      <c r="L2763" s="1626" t="s">
        <v>2301</v>
      </c>
      <c r="M2763" s="1627">
        <v>4.9036999999999997E-2</v>
      </c>
      <c r="N2763" s="1628">
        <v>1.8283961840617857</v>
      </c>
      <c r="O2763" s="1628"/>
    </row>
    <row r="2764" spans="11:15">
      <c r="K2764" s="1625">
        <v>44821</v>
      </c>
      <c r="L2764" s="1626"/>
      <c r="M2764" s="1627">
        <v>0</v>
      </c>
      <c r="N2764" s="1628">
        <v>1.8283961840617857</v>
      </c>
      <c r="O2764" s="1628"/>
    </row>
    <row r="2765" spans="11:15">
      <c r="K2765" s="1625">
        <v>44822</v>
      </c>
      <c r="L2765" s="1626"/>
      <c r="M2765" s="1627">
        <v>0</v>
      </c>
      <c r="N2765" s="1628">
        <v>1.8283961840617857</v>
      </c>
      <c r="O2765" s="1628"/>
    </row>
    <row r="2766" spans="11:15">
      <c r="K2766" s="1625">
        <v>44823</v>
      </c>
      <c r="L2766" s="1626" t="s">
        <v>2301</v>
      </c>
      <c r="M2766" s="1627">
        <v>4.9036999999999997E-2</v>
      </c>
      <c r="N2766" s="1628">
        <v>1.8292927746985643</v>
      </c>
      <c r="O2766" s="1628"/>
    </row>
    <row r="2767" spans="11:15">
      <c r="K2767" s="1625">
        <v>44824</v>
      </c>
      <c r="L2767" s="1626" t="s">
        <v>2301</v>
      </c>
      <c r="M2767" s="1627">
        <v>4.9036999999999997E-2</v>
      </c>
      <c r="N2767" s="1628">
        <v>1.8301898049964933</v>
      </c>
      <c r="O2767" s="1628"/>
    </row>
    <row r="2768" spans="11:15">
      <c r="K2768" s="1625">
        <v>44825</v>
      </c>
      <c r="L2768" s="1626" t="s">
        <v>2301</v>
      </c>
      <c r="M2768" s="1627">
        <v>4.9036999999999997E-2</v>
      </c>
      <c r="N2768" s="1628">
        <v>1.8310872751711695</v>
      </c>
      <c r="O2768" s="1628"/>
    </row>
    <row r="2769" spans="11:15">
      <c r="K2769" s="1625">
        <v>44826</v>
      </c>
      <c r="L2769" s="1626" t="s">
        <v>2301</v>
      </c>
      <c r="M2769" s="1627">
        <v>4.9036999999999997E-2</v>
      </c>
      <c r="N2769" s="1628">
        <v>1.8319851854382954</v>
      </c>
      <c r="O2769" s="1628"/>
    </row>
    <row r="2770" spans="11:15">
      <c r="K2770" s="1625">
        <v>44827</v>
      </c>
      <c r="L2770" s="1626" t="s">
        <v>2301</v>
      </c>
      <c r="M2770" s="1627">
        <v>4.9036999999999997E-2</v>
      </c>
      <c r="N2770" s="1628">
        <v>1.8328835360136788</v>
      </c>
      <c r="O2770" s="1628"/>
    </row>
    <row r="2771" spans="11:15">
      <c r="K2771" s="1625">
        <v>44828</v>
      </c>
      <c r="L2771" s="1626"/>
      <c r="M2771" s="1627">
        <v>0</v>
      </c>
      <c r="N2771" s="1628">
        <v>1.8328835360136788</v>
      </c>
      <c r="O2771" s="1628"/>
    </row>
    <row r="2772" spans="11:15">
      <c r="K2772" s="1625">
        <v>44829</v>
      </c>
      <c r="L2772" s="1626"/>
      <c r="M2772" s="1627">
        <v>0</v>
      </c>
      <c r="N2772" s="1628">
        <v>1.8328835360136788</v>
      </c>
      <c r="O2772" s="1628"/>
    </row>
    <row r="2773" spans="11:15">
      <c r="K2773" s="1625">
        <v>44830</v>
      </c>
      <c r="L2773" s="1626" t="s">
        <v>2301</v>
      </c>
      <c r="M2773" s="1627">
        <v>4.9036999999999997E-2</v>
      </c>
      <c r="N2773" s="1628">
        <v>1.8337823271132341</v>
      </c>
      <c r="O2773" s="1628"/>
    </row>
    <row r="2774" spans="11:15">
      <c r="K2774" s="1625">
        <v>44831</v>
      </c>
      <c r="L2774" s="1626" t="s">
        <v>2301</v>
      </c>
      <c r="M2774" s="1627">
        <v>4.9036999999999997E-2</v>
      </c>
      <c r="N2774" s="1628">
        <v>1.8346815589529808</v>
      </c>
      <c r="O2774" s="1628"/>
    </row>
    <row r="2775" spans="11:15">
      <c r="K2775" s="1625">
        <v>44832</v>
      </c>
      <c r="L2775" s="1626" t="s">
        <v>2301</v>
      </c>
      <c r="M2775" s="1627">
        <v>4.9036999999999997E-2</v>
      </c>
      <c r="N2775" s="1628">
        <v>1.8355812317490448</v>
      </c>
      <c r="O2775" s="1628"/>
    </row>
    <row r="2776" spans="11:15">
      <c r="K2776" s="1625">
        <v>44833</v>
      </c>
      <c r="L2776" s="1626" t="s">
        <v>2301</v>
      </c>
      <c r="M2776" s="1627">
        <v>4.9036999999999997E-2</v>
      </c>
      <c r="N2776" s="1628">
        <v>1.8364813457176576</v>
      </c>
      <c r="O2776" s="1628"/>
    </row>
    <row r="2777" spans="11:15">
      <c r="K2777" s="1625">
        <v>44834</v>
      </c>
      <c r="L2777" s="1626" t="s">
        <v>2301</v>
      </c>
      <c r="M2777" s="1627">
        <v>4.9036999999999997E-2</v>
      </c>
      <c r="N2777" s="1628">
        <v>1.8373819010751573</v>
      </c>
      <c r="O2777" s="1628"/>
    </row>
    <row r="2778" spans="11:15">
      <c r="K2778" s="1625">
        <v>44835</v>
      </c>
      <c r="L2778" s="1626"/>
      <c r="M2778" s="1627">
        <v>0</v>
      </c>
      <c r="N2778" s="1628">
        <v>1.8373819010751573</v>
      </c>
      <c r="O2778" s="1628"/>
    </row>
    <row r="2779" spans="11:15">
      <c r="K2779" s="1625">
        <v>44836</v>
      </c>
      <c r="L2779" s="1626"/>
      <c r="M2779" s="1627">
        <v>0</v>
      </c>
      <c r="N2779" s="1628">
        <v>1.8373819010751573</v>
      </c>
      <c r="O2779" s="1628"/>
    </row>
    <row r="2780" spans="11:15">
      <c r="K2780" s="1625">
        <v>44837</v>
      </c>
      <c r="L2780" s="1626" t="s">
        <v>2301</v>
      </c>
      <c r="M2780" s="1627">
        <v>4.9036999999999997E-2</v>
      </c>
      <c r="N2780" s="1628">
        <v>1.8382828980379877</v>
      </c>
      <c r="O2780" s="1628"/>
    </row>
    <row r="2781" spans="11:15">
      <c r="K2781" s="1625">
        <v>44838</v>
      </c>
      <c r="L2781" s="1626" t="s">
        <v>2301</v>
      </c>
      <c r="M2781" s="1627">
        <v>4.9036999999999997E-2</v>
      </c>
      <c r="N2781" s="1628">
        <v>1.8391843368226988</v>
      </c>
      <c r="O2781" s="1628"/>
    </row>
    <row r="2782" spans="11:15">
      <c r="K2782" s="1625">
        <v>44839</v>
      </c>
      <c r="L2782" s="1626" t="s">
        <v>2301</v>
      </c>
      <c r="M2782" s="1627">
        <v>4.9036999999999997E-2</v>
      </c>
      <c r="N2782" s="1628">
        <v>1.8400862176459467</v>
      </c>
      <c r="O2782" s="1628"/>
    </row>
    <row r="2783" spans="11:15">
      <c r="K2783" s="1625">
        <v>44840</v>
      </c>
      <c r="L2783" s="1626" t="s">
        <v>2301</v>
      </c>
      <c r="M2783" s="1627">
        <v>4.9036999999999997E-2</v>
      </c>
      <c r="N2783" s="1628">
        <v>1.8409885407244939</v>
      </c>
      <c r="O2783" s="1628"/>
    </row>
    <row r="2784" spans="11:15">
      <c r="K2784" s="1625">
        <v>44841</v>
      </c>
      <c r="L2784" s="1626" t="s">
        <v>2301</v>
      </c>
      <c r="M2784" s="1627">
        <v>4.9036999999999997E-2</v>
      </c>
      <c r="N2784" s="1628">
        <v>1.8418913062752091</v>
      </c>
      <c r="O2784" s="1628"/>
    </row>
    <row r="2785" spans="11:15">
      <c r="K2785" s="1625">
        <v>44842</v>
      </c>
      <c r="L2785" s="1626"/>
      <c r="M2785" s="1627">
        <v>0</v>
      </c>
      <c r="N2785" s="1628">
        <v>1.8418913062752091</v>
      </c>
      <c r="O2785" s="1628"/>
    </row>
    <row r="2786" spans="11:15">
      <c r="K2786" s="1625">
        <v>44843</v>
      </c>
      <c r="L2786" s="1626"/>
      <c r="M2786" s="1627">
        <v>0</v>
      </c>
      <c r="N2786" s="1628">
        <v>1.8418913062752091</v>
      </c>
      <c r="O2786" s="1628"/>
    </row>
    <row r="2787" spans="11:15">
      <c r="K2787" s="1625">
        <v>44844</v>
      </c>
      <c r="L2787" s="1626" t="s">
        <v>2301</v>
      </c>
      <c r="M2787" s="1627">
        <v>4.9036999999999997E-2</v>
      </c>
      <c r="N2787" s="1628">
        <v>1.8427945145150675</v>
      </c>
      <c r="O2787" s="1628"/>
    </row>
    <row r="2788" spans="11:15">
      <c r="K2788" s="1625">
        <v>44845</v>
      </c>
      <c r="L2788" s="1626" t="s">
        <v>2301</v>
      </c>
      <c r="M2788" s="1627">
        <v>4.9036999999999997E-2</v>
      </c>
      <c r="N2788" s="1628">
        <v>1.8436981656611504</v>
      </c>
      <c r="O2788" s="1628"/>
    </row>
    <row r="2789" spans="11:15">
      <c r="K2789" s="1625">
        <v>44846</v>
      </c>
      <c r="L2789" s="1626"/>
      <c r="M2789" s="1627">
        <v>0</v>
      </c>
      <c r="N2789" s="1628">
        <v>1.8436981656611504</v>
      </c>
      <c r="O2789" s="1628"/>
    </row>
    <row r="2790" spans="11:15">
      <c r="K2790" s="1625">
        <v>44847</v>
      </c>
      <c r="L2790" s="1626" t="s">
        <v>2301</v>
      </c>
      <c r="M2790" s="1627">
        <v>4.9036999999999997E-2</v>
      </c>
      <c r="N2790" s="1628">
        <v>1.8446022599306457</v>
      </c>
      <c r="O2790" s="1628"/>
    </row>
    <row r="2791" spans="11:15">
      <c r="K2791" s="1625">
        <v>44848</v>
      </c>
      <c r="L2791" s="1626" t="s">
        <v>2301</v>
      </c>
      <c r="M2791" s="1627">
        <v>4.9036999999999997E-2</v>
      </c>
      <c r="N2791" s="1628">
        <v>1.8455067975408481</v>
      </c>
      <c r="O2791" s="1628"/>
    </row>
    <row r="2792" spans="11:15">
      <c r="K2792" s="1625">
        <v>44849</v>
      </c>
      <c r="L2792" s="1626"/>
      <c r="M2792" s="1627">
        <v>0</v>
      </c>
      <c r="N2792" s="1628">
        <v>1.8455067975408481</v>
      </c>
      <c r="O2792" s="1628"/>
    </row>
    <row r="2793" spans="11:15">
      <c r="K2793" s="1625">
        <v>44850</v>
      </c>
      <c r="L2793" s="1626"/>
      <c r="M2793" s="1627">
        <v>0</v>
      </c>
      <c r="N2793" s="1628">
        <v>1.8455067975408481</v>
      </c>
      <c r="O2793" s="1628"/>
    </row>
    <row r="2794" spans="11:15">
      <c r="K2794" s="1625">
        <v>44851</v>
      </c>
      <c r="L2794" s="1626" t="s">
        <v>2301</v>
      </c>
      <c r="M2794" s="1627">
        <v>4.9036999999999997E-2</v>
      </c>
      <c r="N2794" s="1628">
        <v>1.8464117787091583</v>
      </c>
      <c r="O2794" s="1628"/>
    </row>
    <row r="2795" spans="11:15">
      <c r="K2795" s="1625">
        <v>44852</v>
      </c>
      <c r="L2795" s="1626" t="s">
        <v>2301</v>
      </c>
      <c r="M2795" s="1627">
        <v>4.9036999999999997E-2</v>
      </c>
      <c r="N2795" s="1628">
        <v>1.8473172036530841</v>
      </c>
      <c r="O2795" s="1628"/>
    </row>
    <row r="2796" spans="11:15">
      <c r="K2796" s="1625">
        <v>44853</v>
      </c>
      <c r="L2796" s="1626" t="s">
        <v>2301</v>
      </c>
      <c r="M2796" s="1627">
        <v>4.9036999999999997E-2</v>
      </c>
      <c r="N2796" s="1628">
        <v>1.8482230725902395</v>
      </c>
      <c r="O2796" s="1628"/>
    </row>
    <row r="2797" spans="11:15">
      <c r="K2797" s="1625">
        <v>44854</v>
      </c>
      <c r="L2797" s="1626" t="s">
        <v>2301</v>
      </c>
      <c r="M2797" s="1627">
        <v>4.9036999999999997E-2</v>
      </c>
      <c r="N2797" s="1628">
        <v>1.8491293857383457</v>
      </c>
      <c r="O2797" s="1628"/>
    </row>
    <row r="2798" spans="11:15">
      <c r="K2798" s="1625">
        <v>44855</v>
      </c>
      <c r="L2798" s="1626" t="s">
        <v>2301</v>
      </c>
      <c r="M2798" s="1627">
        <v>4.9036999999999997E-2</v>
      </c>
      <c r="N2798" s="1628">
        <v>1.8500361433152304</v>
      </c>
      <c r="O2798" s="1628"/>
    </row>
    <row r="2799" spans="11:15">
      <c r="K2799" s="1625">
        <v>44856</v>
      </c>
      <c r="L2799" s="1626"/>
      <c r="M2799" s="1627">
        <v>0</v>
      </c>
      <c r="N2799" s="1628">
        <v>1.8500361433152304</v>
      </c>
      <c r="O2799" s="1628"/>
    </row>
    <row r="2800" spans="11:15">
      <c r="K2800" s="1625">
        <v>44857</v>
      </c>
      <c r="L2800" s="1626"/>
      <c r="M2800" s="1627">
        <v>0</v>
      </c>
      <c r="N2800" s="1628">
        <v>1.8500361433152304</v>
      </c>
      <c r="O2800" s="1628"/>
    </row>
    <row r="2801" spans="11:15">
      <c r="K2801" s="1625">
        <v>44858</v>
      </c>
      <c r="L2801" s="1626" t="s">
        <v>2301</v>
      </c>
      <c r="M2801" s="1627">
        <v>4.9036999999999997E-2</v>
      </c>
      <c r="N2801" s="1628">
        <v>1.850943345538828</v>
      </c>
      <c r="O2801" s="1628"/>
    </row>
    <row r="2802" spans="11:15">
      <c r="K2802" s="1625">
        <v>44859</v>
      </c>
      <c r="L2802" s="1626" t="s">
        <v>2301</v>
      </c>
      <c r="M2802" s="1627">
        <v>4.9036999999999997E-2</v>
      </c>
      <c r="N2802" s="1628">
        <v>1.85185099262718</v>
      </c>
      <c r="O2802" s="1628"/>
    </row>
    <row r="2803" spans="11:15">
      <c r="K2803" s="1625">
        <v>44860</v>
      </c>
      <c r="L2803" s="1626" t="s">
        <v>2301</v>
      </c>
      <c r="M2803" s="1627">
        <v>4.9036999999999997E-2</v>
      </c>
      <c r="N2803" s="1628">
        <v>1.8527590847984348</v>
      </c>
      <c r="O2803" s="1628"/>
    </row>
    <row r="2804" spans="11:15">
      <c r="K2804" s="1625">
        <v>44861</v>
      </c>
      <c r="L2804" s="1626" t="s">
        <v>2301</v>
      </c>
      <c r="M2804" s="1627">
        <v>4.9036999999999997E-2</v>
      </c>
      <c r="N2804" s="1628">
        <v>1.8536676222708475</v>
      </c>
      <c r="O2804" s="1628"/>
    </row>
    <row r="2805" spans="11:15">
      <c r="K2805" s="1625">
        <v>44862</v>
      </c>
      <c r="L2805" s="1626" t="s">
        <v>2301</v>
      </c>
      <c r="M2805" s="1627">
        <v>4.9036999999999997E-2</v>
      </c>
      <c r="N2805" s="1628">
        <v>1.8545766052627806</v>
      </c>
      <c r="O2805" s="1628"/>
    </row>
    <row r="2806" spans="11:15">
      <c r="K2806" s="1625">
        <v>44863</v>
      </c>
      <c r="L2806" s="1626"/>
      <c r="M2806" s="1627">
        <v>0</v>
      </c>
      <c r="N2806" s="1628">
        <v>1.8545766052627806</v>
      </c>
      <c r="O2806" s="1628"/>
    </row>
    <row r="2807" spans="11:15">
      <c r="K2807" s="1625">
        <v>44864</v>
      </c>
      <c r="L2807" s="1626"/>
      <c r="M2807" s="1627">
        <v>0</v>
      </c>
      <c r="N2807" s="1628">
        <v>1.8545766052627806</v>
      </c>
      <c r="O2807" s="1628"/>
    </row>
    <row r="2808" spans="11:15">
      <c r="K2808" s="1625">
        <v>44865</v>
      </c>
      <c r="L2808" s="1626" t="s">
        <v>2301</v>
      </c>
      <c r="M2808" s="1627">
        <v>4.9036999999999997E-2</v>
      </c>
      <c r="N2808" s="1628">
        <v>1.8554860339927035</v>
      </c>
      <c r="O2808" s="1628"/>
    </row>
    <row r="2809" spans="11:15">
      <c r="K2809" s="1625">
        <v>44866</v>
      </c>
      <c r="L2809" s="1626" t="s">
        <v>2301</v>
      </c>
      <c r="M2809" s="1627">
        <v>4.9036999999999997E-2</v>
      </c>
      <c r="N2809" s="1628">
        <v>1.8563959086791926</v>
      </c>
      <c r="O2809" s="1628"/>
    </row>
    <row r="2810" spans="11:15">
      <c r="K2810" s="1625">
        <v>44867</v>
      </c>
      <c r="L2810" s="1626"/>
      <c r="M2810" s="1627">
        <v>0</v>
      </c>
      <c r="N2810" s="1628">
        <v>1.8563959086791926</v>
      </c>
      <c r="O2810" s="1628"/>
    </row>
    <row r="2811" spans="11:15">
      <c r="K2811" s="1625">
        <v>44868</v>
      </c>
      <c r="L2811" s="1626" t="s">
        <v>2301</v>
      </c>
      <c r="M2811" s="1627">
        <v>4.9036999999999997E-2</v>
      </c>
      <c r="N2811" s="1628">
        <v>1.8573062295409317</v>
      </c>
      <c r="O2811" s="1628"/>
    </row>
    <row r="2812" spans="11:15">
      <c r="K2812" s="1625">
        <v>44869</v>
      </c>
      <c r="L2812" s="1626" t="s">
        <v>2301</v>
      </c>
      <c r="M2812" s="1627">
        <v>4.9036999999999997E-2</v>
      </c>
      <c r="N2812" s="1628">
        <v>1.8582169967967119</v>
      </c>
      <c r="O2812" s="1628"/>
    </row>
    <row r="2813" spans="11:15">
      <c r="K2813" s="1625">
        <v>44870</v>
      </c>
      <c r="L2813" s="1626"/>
      <c r="M2813" s="1627">
        <v>0</v>
      </c>
      <c r="N2813" s="1628">
        <v>1.8582169967967119</v>
      </c>
      <c r="O2813" s="1628"/>
    </row>
    <row r="2814" spans="11:15">
      <c r="K2814" s="1625">
        <v>44871</v>
      </c>
      <c r="L2814" s="1626"/>
      <c r="M2814" s="1627">
        <v>0</v>
      </c>
      <c r="N2814" s="1628">
        <v>1.8582169967967119</v>
      </c>
      <c r="O2814" s="1628"/>
    </row>
    <row r="2815" spans="11:15">
      <c r="K2815" s="1625">
        <v>44872</v>
      </c>
      <c r="L2815" s="1626" t="s">
        <v>2301</v>
      </c>
      <c r="M2815" s="1627">
        <v>4.9036999999999997E-2</v>
      </c>
      <c r="N2815" s="1628">
        <v>1.8591282106654312</v>
      </c>
      <c r="O2815" s="1628"/>
    </row>
    <row r="2816" spans="11:15">
      <c r="K2816" s="1625">
        <v>44873</v>
      </c>
      <c r="L2816" s="1626" t="s">
        <v>2301</v>
      </c>
      <c r="M2816" s="1627">
        <v>4.9036999999999997E-2</v>
      </c>
      <c r="N2816" s="1628">
        <v>1.8600398713660953</v>
      </c>
      <c r="O2816" s="1628"/>
    </row>
    <row r="2817" spans="11:15">
      <c r="K2817" s="1625">
        <v>44874</v>
      </c>
      <c r="L2817" s="1626" t="s">
        <v>2301</v>
      </c>
      <c r="M2817" s="1627">
        <v>4.9036999999999997E-2</v>
      </c>
      <c r="N2817" s="1628">
        <v>1.8609519791178173</v>
      </c>
      <c r="O2817" s="1628"/>
    </row>
    <row r="2818" spans="11:15">
      <c r="K2818" s="1625">
        <v>44875</v>
      </c>
      <c r="L2818" s="1626" t="s">
        <v>2301</v>
      </c>
      <c r="M2818" s="1627">
        <v>4.9036999999999997E-2</v>
      </c>
      <c r="N2818" s="1628">
        <v>1.8618645341398175</v>
      </c>
      <c r="O2818" s="1628"/>
    </row>
    <row r="2819" spans="11:15">
      <c r="K2819" s="1625">
        <v>44876</v>
      </c>
      <c r="L2819" s="1626" t="s">
        <v>2301</v>
      </c>
      <c r="M2819" s="1627">
        <v>4.9036999999999997E-2</v>
      </c>
      <c r="N2819" s="1628">
        <v>1.8627775366514236</v>
      </c>
      <c r="O2819" s="1628"/>
    </row>
    <row r="2820" spans="11:15">
      <c r="K2820" s="1625">
        <v>44877</v>
      </c>
      <c r="L2820" s="1626"/>
      <c r="M2820" s="1627">
        <v>0</v>
      </c>
      <c r="N2820" s="1628">
        <v>1.8627775366514236</v>
      </c>
      <c r="O2820" s="1628"/>
    </row>
    <row r="2821" spans="11:15">
      <c r="K2821" s="1625">
        <v>44878</v>
      </c>
      <c r="L2821" s="1626"/>
      <c r="M2821" s="1627">
        <v>0</v>
      </c>
      <c r="N2821" s="1628">
        <v>1.8627775366514236</v>
      </c>
      <c r="O2821" s="1628"/>
    </row>
    <row r="2822" spans="11:15">
      <c r="K2822" s="1625">
        <v>44879</v>
      </c>
      <c r="L2822" s="1626" t="s">
        <v>2301</v>
      </c>
      <c r="M2822" s="1627">
        <v>4.9036999999999997E-2</v>
      </c>
      <c r="N2822" s="1628">
        <v>1.8636909868720715</v>
      </c>
      <c r="O2822" s="1628"/>
    </row>
    <row r="2823" spans="11:15">
      <c r="K2823" s="1625">
        <v>44880</v>
      </c>
      <c r="L2823" s="1626"/>
      <c r="M2823" s="1627">
        <v>0</v>
      </c>
      <c r="N2823" s="1628">
        <v>1.8636909868720715</v>
      </c>
      <c r="O2823" s="1628"/>
    </row>
    <row r="2824" spans="11:15">
      <c r="K2824" s="1625">
        <v>44881</v>
      </c>
      <c r="L2824" s="1626" t="s">
        <v>2301</v>
      </c>
      <c r="M2824" s="1627">
        <v>4.9036999999999997E-2</v>
      </c>
      <c r="N2824" s="1628">
        <v>1.8646048850213039</v>
      </c>
      <c r="O2824" s="1628"/>
    </row>
    <row r="2825" spans="11:15">
      <c r="K2825" s="1625">
        <v>44882</v>
      </c>
      <c r="L2825" s="1626" t="s">
        <v>2301</v>
      </c>
      <c r="M2825" s="1627">
        <v>4.9036999999999997E-2</v>
      </c>
      <c r="N2825" s="1628">
        <v>1.8655192313187721</v>
      </c>
      <c r="O2825" s="1628"/>
    </row>
    <row r="2826" spans="11:15">
      <c r="K2826" s="1625">
        <v>44883</v>
      </c>
      <c r="L2826" s="1626" t="s">
        <v>2301</v>
      </c>
      <c r="M2826" s="1627">
        <v>4.9036999999999997E-2</v>
      </c>
      <c r="N2826" s="1628">
        <v>1.866434025984234</v>
      </c>
      <c r="O2826" s="1628"/>
    </row>
    <row r="2827" spans="11:15">
      <c r="K2827" s="1625">
        <v>44884</v>
      </c>
      <c r="L2827" s="1626"/>
      <c r="M2827" s="1627">
        <v>0</v>
      </c>
      <c r="N2827" s="1628">
        <v>1.866434025984234</v>
      </c>
      <c r="O2827" s="1628"/>
    </row>
    <row r="2828" spans="11:15">
      <c r="K2828" s="1625">
        <v>44885</v>
      </c>
      <c r="L2828" s="1626"/>
      <c r="M2828" s="1627">
        <v>0</v>
      </c>
      <c r="N2828" s="1628">
        <v>1.866434025984234</v>
      </c>
      <c r="O2828" s="1628"/>
    </row>
    <row r="2829" spans="11:15">
      <c r="K2829" s="1625">
        <v>44886</v>
      </c>
      <c r="L2829" s="1626" t="s">
        <v>2301</v>
      </c>
      <c r="M2829" s="1627">
        <v>4.9036999999999997E-2</v>
      </c>
      <c r="N2829" s="1628">
        <v>1.867349269237556</v>
      </c>
      <c r="O2829" s="1628"/>
    </row>
    <row r="2830" spans="11:15">
      <c r="K2830" s="1625">
        <v>44887</v>
      </c>
      <c r="L2830" s="1626" t="s">
        <v>2301</v>
      </c>
      <c r="M2830" s="1627">
        <v>4.9036999999999997E-2</v>
      </c>
      <c r="N2830" s="1628">
        <v>1.8682649612987121</v>
      </c>
      <c r="O2830" s="1628"/>
    </row>
    <row r="2831" spans="11:15">
      <c r="K2831" s="1625">
        <v>44888</v>
      </c>
      <c r="L2831" s="1626" t="s">
        <v>2301</v>
      </c>
      <c r="M2831" s="1627">
        <v>4.9036999999999997E-2</v>
      </c>
      <c r="N2831" s="1628">
        <v>1.8691811023877842</v>
      </c>
      <c r="O2831" s="1628"/>
    </row>
    <row r="2832" spans="11:15">
      <c r="K2832" s="1625">
        <v>44889</v>
      </c>
      <c r="L2832" s="1626" t="s">
        <v>2301</v>
      </c>
      <c r="M2832" s="1627">
        <v>4.9036999999999997E-2</v>
      </c>
      <c r="N2832" s="1628">
        <v>1.8700976927249622</v>
      </c>
      <c r="O2832" s="1628"/>
    </row>
    <row r="2833" spans="11:15">
      <c r="K2833" s="1625">
        <v>44890</v>
      </c>
      <c r="L2833" s="1626" t="s">
        <v>2301</v>
      </c>
      <c r="M2833" s="1627">
        <v>4.9036999999999997E-2</v>
      </c>
      <c r="N2833" s="1628">
        <v>1.871014732530544</v>
      </c>
      <c r="O2833" s="1628"/>
    </row>
    <row r="2834" spans="11:15">
      <c r="K2834" s="1625">
        <v>44891</v>
      </c>
      <c r="L2834" s="1626"/>
      <c r="M2834" s="1627">
        <v>0</v>
      </c>
      <c r="N2834" s="1628">
        <v>1.871014732530544</v>
      </c>
      <c r="O2834" s="1628"/>
    </row>
    <row r="2835" spans="11:15">
      <c r="K2835" s="1625">
        <v>44892</v>
      </c>
      <c r="L2835" s="1626"/>
      <c r="M2835" s="1627">
        <v>0</v>
      </c>
      <c r="N2835" s="1628">
        <v>1.871014732530544</v>
      </c>
      <c r="O2835" s="1628"/>
    </row>
    <row r="2836" spans="11:15">
      <c r="K2836" s="1625">
        <v>44893</v>
      </c>
      <c r="L2836" s="1626" t="s">
        <v>2301</v>
      </c>
      <c r="M2836" s="1627">
        <v>4.9036999999999997E-2</v>
      </c>
      <c r="N2836" s="1628">
        <v>1.871932222024935</v>
      </c>
      <c r="O2836" s="1628"/>
    </row>
    <row r="2837" spans="11:15">
      <c r="K2837" s="1625">
        <v>44894</v>
      </c>
      <c r="L2837" s="1626" t="s">
        <v>2301</v>
      </c>
      <c r="M2837" s="1627">
        <v>4.9036999999999997E-2</v>
      </c>
      <c r="N2837" s="1628">
        <v>1.8728501614286495</v>
      </c>
      <c r="O2837" s="1628"/>
    </row>
    <row r="2838" spans="11:15">
      <c r="K2838" s="1625">
        <v>44895</v>
      </c>
      <c r="L2838" s="1626" t="s">
        <v>2301</v>
      </c>
      <c r="M2838" s="1627">
        <v>4.9036999999999997E-2</v>
      </c>
      <c r="N2838" s="1628">
        <v>1.8737685509623094</v>
      </c>
      <c r="O2838" s="1628"/>
    </row>
    <row r="2839" spans="11:15">
      <c r="K2839" s="1625">
        <v>44896</v>
      </c>
      <c r="L2839" s="1626" t="s">
        <v>2301</v>
      </c>
      <c r="M2839" s="1627">
        <v>4.9036999999999997E-2</v>
      </c>
      <c r="N2839" s="1628">
        <v>1.874687390846645</v>
      </c>
      <c r="O2839" s="1628"/>
    </row>
    <row r="2840" spans="11:15">
      <c r="K2840" s="1625">
        <v>44897</v>
      </c>
      <c r="L2840" s="1626" t="s">
        <v>2301</v>
      </c>
      <c r="M2840" s="1627">
        <v>4.9036999999999997E-2</v>
      </c>
      <c r="N2840" s="1628">
        <v>1.8756066813024947</v>
      </c>
      <c r="O2840" s="1628"/>
    </row>
    <row r="2841" spans="11:15">
      <c r="K2841" s="1625">
        <v>44898</v>
      </c>
      <c r="L2841" s="1626"/>
      <c r="M2841" s="1627">
        <v>0</v>
      </c>
      <c r="N2841" s="1628">
        <v>1.8756066813024947</v>
      </c>
      <c r="O2841" s="1628"/>
    </row>
    <row r="2842" spans="11:15">
      <c r="K2842" s="1625">
        <v>44899</v>
      </c>
      <c r="L2842" s="1626"/>
      <c r="M2842" s="1627">
        <v>0</v>
      </c>
      <c r="N2842" s="1628">
        <v>1.8756066813024947</v>
      </c>
      <c r="O2842" s="1628"/>
    </row>
    <row r="2843" spans="11:15">
      <c r="K2843" s="1625">
        <v>44900</v>
      </c>
      <c r="L2843" s="1626" t="s">
        <v>2301</v>
      </c>
      <c r="M2843" s="1627">
        <v>4.9036999999999997E-2</v>
      </c>
      <c r="N2843" s="1628">
        <v>1.8765264225508052</v>
      </c>
      <c r="O2843" s="1628"/>
    </row>
    <row r="2844" spans="11:15">
      <c r="K2844" s="1625">
        <v>44901</v>
      </c>
      <c r="L2844" s="1626" t="s">
        <v>2301</v>
      </c>
      <c r="M2844" s="1627">
        <v>4.9036999999999997E-2</v>
      </c>
      <c r="N2844" s="1628">
        <v>1.8774466148126314</v>
      </c>
      <c r="O2844" s="1628"/>
    </row>
    <row r="2845" spans="11:15">
      <c r="K2845" s="1625">
        <v>44902</v>
      </c>
      <c r="L2845" s="1626" t="s">
        <v>2301</v>
      </c>
      <c r="M2845" s="1627">
        <v>4.9036999999999997E-2</v>
      </c>
      <c r="N2845" s="1628">
        <v>1.8783672583091373</v>
      </c>
      <c r="O2845" s="1628"/>
    </row>
    <row r="2846" spans="11:15">
      <c r="K2846" s="1625">
        <v>44903</v>
      </c>
      <c r="L2846" s="1626" t="s">
        <v>2301</v>
      </c>
      <c r="M2846" s="1627">
        <v>4.9036999999999997E-2</v>
      </c>
      <c r="N2846" s="1628">
        <v>1.8792883532615945</v>
      </c>
      <c r="O2846" s="1628"/>
    </row>
    <row r="2847" spans="11:15">
      <c r="K2847" s="1625">
        <v>44904</v>
      </c>
      <c r="L2847" s="1626" t="s">
        <v>2301</v>
      </c>
      <c r="M2847" s="1627">
        <v>4.9036999999999997E-2</v>
      </c>
      <c r="N2847" s="1628">
        <v>1.8802098998913834</v>
      </c>
      <c r="O2847" s="1628"/>
    </row>
    <row r="2848" spans="11:15">
      <c r="K2848" s="1625">
        <v>44905</v>
      </c>
      <c r="L2848" s="1626"/>
      <c r="M2848" s="1627">
        <v>0</v>
      </c>
      <c r="N2848" s="1628">
        <v>1.8802098998913834</v>
      </c>
      <c r="O2848" s="1628"/>
    </row>
    <row r="2849" spans="11:15">
      <c r="K2849" s="1625">
        <v>44906</v>
      </c>
      <c r="L2849" s="1626"/>
      <c r="M2849" s="1627">
        <v>0</v>
      </c>
      <c r="N2849" s="1628">
        <v>1.8802098998913834</v>
      </c>
      <c r="O2849" s="1628"/>
    </row>
    <row r="2850" spans="11:15">
      <c r="K2850" s="1625">
        <v>44907</v>
      </c>
      <c r="L2850" s="1626" t="s">
        <v>2301</v>
      </c>
      <c r="M2850" s="1627">
        <v>4.9036999999999997E-2</v>
      </c>
      <c r="N2850" s="1628">
        <v>1.8811318984199934</v>
      </c>
      <c r="O2850" s="1628"/>
    </row>
    <row r="2851" spans="11:15">
      <c r="K2851" s="1625">
        <v>44908</v>
      </c>
      <c r="L2851" s="1626" t="s">
        <v>2301</v>
      </c>
      <c r="M2851" s="1627">
        <v>4.9036999999999997E-2</v>
      </c>
      <c r="N2851" s="1628">
        <v>1.8820543490690218</v>
      </c>
      <c r="O2851" s="1628"/>
    </row>
    <row r="2852" spans="11:15">
      <c r="K2852" s="1625">
        <v>44909</v>
      </c>
      <c r="L2852" s="1626" t="s">
        <v>2301</v>
      </c>
      <c r="M2852" s="1627">
        <v>4.9036999999999997E-2</v>
      </c>
      <c r="N2852" s="1628">
        <v>1.8829772520601749</v>
      </c>
      <c r="O2852" s="1628"/>
    </row>
    <row r="2853" spans="11:15">
      <c r="K2853" s="1625">
        <v>44910</v>
      </c>
      <c r="L2853" s="1626" t="s">
        <v>2301</v>
      </c>
      <c r="M2853" s="1627">
        <v>4.9036999999999997E-2</v>
      </c>
      <c r="N2853" s="1628">
        <v>1.8839006076152678</v>
      </c>
      <c r="O2853" s="1628"/>
    </row>
    <row r="2854" spans="11:15">
      <c r="K2854" s="1625">
        <v>44911</v>
      </c>
      <c r="L2854" s="1626" t="s">
        <v>2301</v>
      </c>
      <c r="M2854" s="1627">
        <v>4.9036999999999997E-2</v>
      </c>
      <c r="N2854" s="1628">
        <v>1.8848244159562242</v>
      </c>
      <c r="O2854" s="1628"/>
    </row>
    <row r="2855" spans="11:15">
      <c r="K2855" s="1625">
        <v>44912</v>
      </c>
      <c r="L2855" s="1626"/>
      <c r="M2855" s="1627">
        <v>0</v>
      </c>
      <c r="N2855" s="1628">
        <v>1.8848244159562242</v>
      </c>
      <c r="O2855" s="1628"/>
    </row>
    <row r="2856" spans="11:15">
      <c r="K2856" s="1625">
        <v>44913</v>
      </c>
      <c r="L2856" s="1626"/>
      <c r="M2856" s="1627">
        <v>0</v>
      </c>
      <c r="N2856" s="1628">
        <v>1.8848244159562242</v>
      </c>
      <c r="O2856" s="1628"/>
    </row>
    <row r="2857" spans="11:15">
      <c r="K2857" s="1625">
        <v>44914</v>
      </c>
      <c r="L2857" s="1626" t="s">
        <v>2301</v>
      </c>
      <c r="M2857" s="1627">
        <v>4.9036999999999997E-2</v>
      </c>
      <c r="N2857" s="1628">
        <v>1.8857486773050767</v>
      </c>
      <c r="O2857" s="1628"/>
    </row>
    <row r="2858" spans="11:15">
      <c r="K2858" s="1625">
        <v>44915</v>
      </c>
      <c r="L2858" s="1626" t="s">
        <v>2301</v>
      </c>
      <c r="M2858" s="1627">
        <v>4.9036999999999997E-2</v>
      </c>
      <c r="N2858" s="1628">
        <v>1.8866733918839669</v>
      </c>
      <c r="O2858" s="1628"/>
    </row>
    <row r="2859" spans="11:15">
      <c r="K2859" s="1625">
        <v>44916</v>
      </c>
      <c r="L2859" s="1626" t="s">
        <v>2301</v>
      </c>
      <c r="M2859" s="1627">
        <v>4.9036999999999997E-2</v>
      </c>
      <c r="N2859" s="1628">
        <v>1.8875985599151452</v>
      </c>
      <c r="O2859" s="1628"/>
    </row>
    <row r="2860" spans="11:15">
      <c r="K2860" s="1625">
        <v>44917</v>
      </c>
      <c r="L2860" s="1626" t="s">
        <v>2301</v>
      </c>
      <c r="M2860" s="1627">
        <v>4.9036999999999997E-2</v>
      </c>
      <c r="N2860" s="1628">
        <v>1.888524181620971</v>
      </c>
      <c r="O2860" s="1628"/>
    </row>
    <row r="2861" spans="11:15">
      <c r="K2861" s="1625">
        <v>44918</v>
      </c>
      <c r="L2861" s="1626" t="s">
        <v>2301</v>
      </c>
      <c r="M2861" s="1627">
        <v>4.9036999999999997E-2</v>
      </c>
      <c r="N2861" s="1628">
        <v>1.8894502572239127</v>
      </c>
      <c r="O2861" s="1628"/>
    </row>
    <row r="2862" spans="11:15">
      <c r="K2862" s="1625">
        <v>44919</v>
      </c>
      <c r="L2862" s="1626"/>
      <c r="M2862" s="1627">
        <v>0</v>
      </c>
      <c r="N2862" s="1628">
        <v>1.8894502572239127</v>
      </c>
      <c r="O2862" s="1628"/>
    </row>
    <row r="2863" spans="11:15">
      <c r="K2863" s="1625">
        <v>44920</v>
      </c>
      <c r="L2863" s="1626"/>
      <c r="M2863" s="1627">
        <v>0</v>
      </c>
      <c r="N2863" s="1628">
        <v>1.8894502572239127</v>
      </c>
      <c r="O2863" s="1628"/>
    </row>
    <row r="2864" spans="11:15">
      <c r="K2864" s="1625">
        <v>44921</v>
      </c>
      <c r="L2864" s="1626" t="s">
        <v>2301</v>
      </c>
      <c r="M2864" s="1627">
        <v>4.9036999999999997E-2</v>
      </c>
      <c r="N2864" s="1628">
        <v>1.8903767869465478</v>
      </c>
      <c r="O2864" s="1628"/>
    </row>
    <row r="2865" spans="11:15">
      <c r="K2865" s="1625">
        <v>44922</v>
      </c>
      <c r="L2865" s="1626" t="s">
        <v>2301</v>
      </c>
      <c r="M2865" s="1627">
        <v>4.9036999999999997E-2</v>
      </c>
      <c r="N2865" s="1628">
        <v>1.8913037710115628</v>
      </c>
      <c r="O2865" s="1628"/>
    </row>
    <row r="2866" spans="11:15">
      <c r="K2866" s="1625">
        <v>44923</v>
      </c>
      <c r="L2866" s="1626" t="s">
        <v>2301</v>
      </c>
      <c r="M2866" s="1627">
        <v>4.9036999999999997E-2</v>
      </c>
      <c r="N2866" s="1628">
        <v>1.892231209641754</v>
      </c>
      <c r="O2866" s="1628"/>
    </row>
    <row r="2867" spans="11:15">
      <c r="K2867" s="1625">
        <v>44924</v>
      </c>
      <c r="L2867" s="1626" t="s">
        <v>2301</v>
      </c>
      <c r="M2867" s="1627">
        <v>4.9036999999999997E-2</v>
      </c>
      <c r="N2867" s="1628">
        <v>1.8931591030600261</v>
      </c>
      <c r="O2867" s="1628"/>
    </row>
    <row r="2868" spans="11:15">
      <c r="K2868" s="1625">
        <v>44925</v>
      </c>
      <c r="L2868" s="1626" t="s">
        <v>2301</v>
      </c>
      <c r="M2868" s="1627">
        <v>4.9036999999999997E-2</v>
      </c>
      <c r="N2868" s="1628">
        <v>1.8940874514893937</v>
      </c>
      <c r="O2868" s="1628"/>
    </row>
    <row r="2869" spans="11:15">
      <c r="K2869" s="1625">
        <v>44926</v>
      </c>
      <c r="L2869" s="1626"/>
      <c r="M2869" s="1627">
        <v>0</v>
      </c>
      <c r="N2869" s="1628">
        <v>1.8940874514893937</v>
      </c>
      <c r="O2869" s="1628"/>
    </row>
    <row r="2870" spans="11:15">
      <c r="K2870" s="1625">
        <v>44927</v>
      </c>
      <c r="L2870" s="1626"/>
      <c r="M2870" s="1627">
        <v>0</v>
      </c>
      <c r="N2870" s="1628">
        <v>1.8940874514893937</v>
      </c>
      <c r="O2870" s="1628"/>
    </row>
    <row r="2871" spans="11:15">
      <c r="K2871" s="1625">
        <v>44928</v>
      </c>
      <c r="L2871" s="1626" t="s">
        <v>2301</v>
      </c>
      <c r="M2871" s="1627">
        <v>4.9036999999999997E-2</v>
      </c>
      <c r="N2871" s="1628">
        <v>1.8950162551529808</v>
      </c>
      <c r="O2871" s="1628"/>
    </row>
    <row r="2872" spans="11:15">
      <c r="K2872" s="1625">
        <v>44929</v>
      </c>
      <c r="L2872" s="1626" t="s">
        <v>2301</v>
      </c>
      <c r="M2872" s="1627">
        <v>4.9036999999999997E-2</v>
      </c>
      <c r="N2872" s="1628">
        <v>1.8959455142740202</v>
      </c>
      <c r="O2872" s="1628"/>
    </row>
    <row r="2873" spans="11:15">
      <c r="K2873" s="1625">
        <v>44930</v>
      </c>
      <c r="L2873" s="1626" t="s">
        <v>2301</v>
      </c>
      <c r="M2873" s="1627">
        <v>4.9036999999999997E-2</v>
      </c>
      <c r="N2873" s="1628">
        <v>1.896875229075855</v>
      </c>
      <c r="O2873" s="1628"/>
    </row>
    <row r="2874" spans="11:15">
      <c r="K2874" s="1625">
        <v>44931</v>
      </c>
      <c r="L2874" s="1626" t="s">
        <v>2301</v>
      </c>
      <c r="M2874" s="1627">
        <v>4.9036999999999997E-2</v>
      </c>
      <c r="N2874" s="1628">
        <v>1.8978053997819371</v>
      </c>
      <c r="O2874" s="1628"/>
    </row>
    <row r="2875" spans="11:15">
      <c r="K2875" s="1625">
        <v>44932</v>
      </c>
      <c r="L2875" s="1626" t="s">
        <v>2301</v>
      </c>
      <c r="M2875" s="1627">
        <v>4.9036999999999997E-2</v>
      </c>
      <c r="N2875" s="1628">
        <v>1.8987360266158282</v>
      </c>
      <c r="O2875" s="1628"/>
    </row>
    <row r="2876" spans="11:15">
      <c r="K2876" s="1625">
        <v>44933</v>
      </c>
      <c r="L2876" s="1626"/>
      <c r="M2876" s="1627">
        <v>0</v>
      </c>
      <c r="N2876" s="1628">
        <v>1.8987360266158282</v>
      </c>
      <c r="O2876" s="1628"/>
    </row>
    <row r="2877" spans="11:15">
      <c r="K2877" s="1625">
        <v>44934</v>
      </c>
      <c r="L2877" s="1626"/>
      <c r="M2877" s="1627">
        <v>0</v>
      </c>
      <c r="N2877" s="1628">
        <v>1.8987360266158282</v>
      </c>
      <c r="O2877" s="1628"/>
    </row>
    <row r="2878" spans="11:15">
      <c r="K2878" s="1625">
        <v>44935</v>
      </c>
      <c r="L2878" s="1626" t="s">
        <v>2301</v>
      </c>
      <c r="M2878" s="1627">
        <v>4.9036999999999997E-2</v>
      </c>
      <c r="N2878" s="1628">
        <v>1.8996671098011999</v>
      </c>
      <c r="O2878" s="1628"/>
    </row>
    <row r="2879" spans="11:15">
      <c r="K2879" s="1625">
        <v>44936</v>
      </c>
      <c r="L2879" s="1626" t="s">
        <v>2301</v>
      </c>
      <c r="M2879" s="1627">
        <v>4.9036999999999997E-2</v>
      </c>
      <c r="N2879" s="1628">
        <v>1.9005986495618332</v>
      </c>
      <c r="O2879" s="1628"/>
    </row>
    <row r="2880" spans="11:15">
      <c r="K2880" s="1625">
        <v>44937</v>
      </c>
      <c r="L2880" s="1626" t="s">
        <v>2301</v>
      </c>
      <c r="M2880" s="1627">
        <v>4.9036999999999997E-2</v>
      </c>
      <c r="N2880" s="1628">
        <v>1.901530646121619</v>
      </c>
      <c r="O2880" s="1628"/>
    </row>
    <row r="2881" spans="11:15">
      <c r="K2881" s="1625">
        <v>44938</v>
      </c>
      <c r="L2881" s="1626" t="s">
        <v>2301</v>
      </c>
      <c r="M2881" s="1627">
        <v>4.9036999999999997E-2</v>
      </c>
      <c r="N2881" s="1628">
        <v>1.9024630997045577</v>
      </c>
      <c r="O2881" s="1628"/>
    </row>
    <row r="2882" spans="11:15">
      <c r="K2882" s="1625">
        <v>44939</v>
      </c>
      <c r="L2882" s="1626" t="s">
        <v>2301</v>
      </c>
      <c r="M2882" s="1627">
        <v>4.9036999999999997E-2</v>
      </c>
      <c r="N2882" s="1628">
        <v>1.90339601053476</v>
      </c>
      <c r="O2882" s="1628"/>
    </row>
    <row r="2883" spans="11:15">
      <c r="K2883" s="1625">
        <v>44940</v>
      </c>
      <c r="L2883" s="1626"/>
      <c r="M2883" s="1627">
        <v>0</v>
      </c>
      <c r="N2883" s="1628">
        <v>1.90339601053476</v>
      </c>
      <c r="O2883" s="1628"/>
    </row>
    <row r="2884" spans="11:15">
      <c r="K2884" s="1625">
        <v>44941</v>
      </c>
      <c r="L2884" s="1626"/>
      <c r="M2884" s="1627">
        <v>0</v>
      </c>
      <c r="N2884" s="1628">
        <v>1.90339601053476</v>
      </c>
      <c r="O2884" s="1628"/>
    </row>
    <row r="2885" spans="11:15">
      <c r="K2885" s="1625">
        <v>44942</v>
      </c>
      <c r="L2885" s="1626" t="s">
        <v>2301</v>
      </c>
      <c r="M2885" s="1627">
        <v>4.9036999999999997E-2</v>
      </c>
      <c r="N2885" s="1628">
        <v>1.9043293788364462</v>
      </c>
      <c r="O2885" s="1628"/>
    </row>
    <row r="2886" spans="11:15">
      <c r="K2886" s="1625">
        <v>44943</v>
      </c>
      <c r="L2886" s="1626" t="s">
        <v>2301</v>
      </c>
      <c r="M2886" s="1627">
        <v>4.9036999999999997E-2</v>
      </c>
      <c r="N2886" s="1628">
        <v>1.9052632048339464</v>
      </c>
      <c r="O2886" s="1628"/>
    </row>
    <row r="2887" spans="11:15">
      <c r="K2887" s="1625">
        <v>44944</v>
      </c>
      <c r="L2887" s="1626" t="s">
        <v>2301</v>
      </c>
      <c r="M2887" s="1627">
        <v>4.9036999999999997E-2</v>
      </c>
      <c r="N2887" s="1628">
        <v>1.906197488751701</v>
      </c>
      <c r="O2887" s="1628"/>
    </row>
    <row r="2888" spans="11:15">
      <c r="K2888" s="1625">
        <v>44945</v>
      </c>
      <c r="L2888" s="1626" t="s">
        <v>2301</v>
      </c>
      <c r="M2888" s="1627">
        <v>4.9036999999999997E-2</v>
      </c>
      <c r="N2888" s="1628">
        <v>1.9071322308142604</v>
      </c>
      <c r="O2888" s="1628"/>
    </row>
    <row r="2889" spans="11:15">
      <c r="K2889" s="1625">
        <v>44946</v>
      </c>
      <c r="L2889" s="1626" t="s">
        <v>2301</v>
      </c>
      <c r="M2889" s="1627">
        <v>4.9036999999999997E-2</v>
      </c>
      <c r="N2889" s="1628">
        <v>1.9080674312462849</v>
      </c>
      <c r="O2889" s="1628"/>
    </row>
    <row r="2890" spans="11:15">
      <c r="K2890" s="1625">
        <v>44947</v>
      </c>
      <c r="L2890" s="1626"/>
      <c r="M2890" s="1627">
        <v>0</v>
      </c>
      <c r="N2890" s="1628">
        <v>1.9080674312462849</v>
      </c>
      <c r="O2890" s="1628"/>
    </row>
    <row r="2891" spans="11:15">
      <c r="K2891" s="1625">
        <v>44948</v>
      </c>
      <c r="L2891" s="1626"/>
      <c r="M2891" s="1627">
        <v>0</v>
      </c>
      <c r="N2891" s="1628">
        <v>1.9080674312462849</v>
      </c>
      <c r="O2891" s="1628"/>
    </row>
    <row r="2892" spans="11:15">
      <c r="K2892" s="1625">
        <v>44949</v>
      </c>
      <c r="L2892" s="1626" t="s">
        <v>2301</v>
      </c>
      <c r="M2892" s="1627">
        <v>4.9036999999999997E-2</v>
      </c>
      <c r="N2892" s="1628">
        <v>1.9090030902725452</v>
      </c>
      <c r="O2892" s="1628"/>
    </row>
    <row r="2893" spans="11:15">
      <c r="K2893" s="1625">
        <v>44950</v>
      </c>
      <c r="L2893" s="1626" t="s">
        <v>2301</v>
      </c>
      <c r="M2893" s="1627">
        <v>4.9036999999999997E-2</v>
      </c>
      <c r="N2893" s="1628">
        <v>1.9099392081179223</v>
      </c>
      <c r="O2893" s="1628"/>
    </row>
    <row r="2894" spans="11:15">
      <c r="K2894" s="1625">
        <v>44951</v>
      </c>
      <c r="L2894" s="1626" t="s">
        <v>2301</v>
      </c>
      <c r="M2894" s="1627">
        <v>4.9036999999999997E-2</v>
      </c>
      <c r="N2894" s="1628">
        <v>1.9108757850074072</v>
      </c>
      <c r="O2894" s="1628"/>
    </row>
    <row r="2895" spans="11:15">
      <c r="K2895" s="1625">
        <v>44952</v>
      </c>
      <c r="L2895" s="1626" t="s">
        <v>2301</v>
      </c>
      <c r="M2895" s="1627">
        <v>4.9036999999999997E-2</v>
      </c>
      <c r="N2895" s="1628">
        <v>1.9118128211661014</v>
      </c>
      <c r="O2895" s="1628"/>
    </row>
    <row r="2896" spans="11:15">
      <c r="K2896" s="1625">
        <v>44953</v>
      </c>
      <c r="L2896" s="1626" t="s">
        <v>2301</v>
      </c>
      <c r="M2896" s="1627">
        <v>4.9036999999999997E-2</v>
      </c>
      <c r="N2896" s="1628">
        <v>1.9127503168192168</v>
      </c>
      <c r="O2896" s="1628"/>
    </row>
    <row r="2897" spans="11:15">
      <c r="K2897" s="1625">
        <v>44954</v>
      </c>
      <c r="L2897" s="1626"/>
      <c r="M2897" s="1627">
        <v>0</v>
      </c>
      <c r="N2897" s="1628">
        <v>1.9127503168192168</v>
      </c>
      <c r="O2897" s="1628"/>
    </row>
    <row r="2898" spans="11:15">
      <c r="K2898" s="1625">
        <v>44955</v>
      </c>
      <c r="L2898" s="1626"/>
      <c r="M2898" s="1627">
        <v>0</v>
      </c>
      <c r="N2898" s="1628">
        <v>1.9127503168192168</v>
      </c>
      <c r="O2898" s="1628"/>
    </row>
    <row r="2899" spans="11:15">
      <c r="K2899" s="1625">
        <v>44956</v>
      </c>
      <c r="L2899" s="1626" t="s">
        <v>2301</v>
      </c>
      <c r="M2899" s="1627">
        <v>4.9036999999999997E-2</v>
      </c>
      <c r="N2899" s="1628">
        <v>1.9136882721920756</v>
      </c>
      <c r="O2899" s="1628"/>
    </row>
    <row r="2900" spans="11:15">
      <c r="K2900" s="1625">
        <v>44957</v>
      </c>
      <c r="L2900" s="1626" t="s">
        <v>2301</v>
      </c>
      <c r="M2900" s="1627">
        <v>4.9036999999999997E-2</v>
      </c>
      <c r="N2900" s="1628">
        <v>1.9146266875101106</v>
      </c>
      <c r="O2900" s="1628"/>
    </row>
    <row r="2901" spans="11:15">
      <c r="K2901" s="1625">
        <v>44958</v>
      </c>
      <c r="L2901" s="1626" t="s">
        <v>2301</v>
      </c>
      <c r="M2901" s="1627">
        <v>4.9036999999999997E-2</v>
      </c>
      <c r="N2901" s="1628">
        <v>1.915565562998865</v>
      </c>
      <c r="O2901" s="1628"/>
    </row>
    <row r="2902" spans="11:15">
      <c r="K2902" s="1625">
        <v>44959</v>
      </c>
      <c r="L2902" s="1626" t="s">
        <v>2301</v>
      </c>
      <c r="M2902" s="1627">
        <v>4.9036999999999997E-2</v>
      </c>
      <c r="N2902" s="1628">
        <v>1.916504898883993</v>
      </c>
      <c r="O2902" s="1628"/>
    </row>
    <row r="2903" spans="11:15">
      <c r="K2903" s="1625">
        <v>44960</v>
      </c>
      <c r="L2903" s="1626" t="s">
        <v>2301</v>
      </c>
      <c r="M2903" s="1627">
        <v>4.9036999999999997E-2</v>
      </c>
      <c r="N2903" s="1628">
        <v>1.9174446953912589</v>
      </c>
      <c r="O2903" s="1628"/>
    </row>
    <row r="2904" spans="11:15">
      <c r="K2904" s="1625">
        <v>44961</v>
      </c>
      <c r="L2904" s="1626"/>
      <c r="M2904" s="1627">
        <v>0</v>
      </c>
      <c r="N2904" s="1628">
        <v>1.9174446953912589</v>
      </c>
      <c r="O2904" s="1628"/>
    </row>
    <row r="2905" spans="11:15">
      <c r="K2905" s="1625">
        <v>44962</v>
      </c>
      <c r="L2905" s="1626"/>
      <c r="M2905" s="1627">
        <v>0</v>
      </c>
      <c r="N2905" s="1628">
        <v>1.9174446953912589</v>
      </c>
      <c r="O2905" s="1628"/>
    </row>
    <row r="2906" spans="11:15">
      <c r="K2906" s="1625">
        <v>44963</v>
      </c>
      <c r="L2906" s="1626" t="s">
        <v>2301</v>
      </c>
      <c r="M2906" s="1627">
        <v>4.9036999999999997E-2</v>
      </c>
      <c r="N2906" s="1628">
        <v>1.9183849527465382</v>
      </c>
      <c r="O2906" s="1628"/>
    </row>
    <row r="2907" spans="11:15">
      <c r="K2907" s="1625">
        <v>44964</v>
      </c>
      <c r="L2907" s="1626" t="s">
        <v>2301</v>
      </c>
      <c r="M2907" s="1627">
        <v>4.9036999999999997E-2</v>
      </c>
      <c r="N2907" s="1628">
        <v>1.9193256711758166</v>
      </c>
      <c r="O2907" s="1628"/>
    </row>
    <row r="2908" spans="11:15">
      <c r="K2908" s="1625">
        <v>44965</v>
      </c>
      <c r="L2908" s="1626" t="s">
        <v>2301</v>
      </c>
      <c r="M2908" s="1627">
        <v>4.9036999999999997E-2</v>
      </c>
      <c r="N2908" s="1628">
        <v>1.9202668509051912</v>
      </c>
      <c r="O2908" s="1628"/>
    </row>
    <row r="2909" spans="11:15">
      <c r="K2909" s="1625">
        <v>44966</v>
      </c>
      <c r="L2909" s="1626" t="s">
        <v>2301</v>
      </c>
      <c r="M2909" s="1627">
        <v>4.9036999999999997E-2</v>
      </c>
      <c r="N2909" s="1628">
        <v>1.9212084921608696</v>
      </c>
      <c r="O2909" s="1628"/>
    </row>
    <row r="2910" spans="11:15">
      <c r="K2910" s="1625">
        <v>44967</v>
      </c>
      <c r="L2910" s="1626" t="s">
        <v>2301</v>
      </c>
      <c r="M2910" s="1627">
        <v>4.9036999999999997E-2</v>
      </c>
      <c r="N2910" s="1628">
        <v>1.9221505951691706</v>
      </c>
      <c r="O2910" s="1628"/>
    </row>
    <row r="2911" spans="11:15">
      <c r="K2911" s="1625">
        <v>44968</v>
      </c>
      <c r="L2911" s="1626"/>
      <c r="M2911" s="1627">
        <v>0</v>
      </c>
      <c r="N2911" s="1628">
        <v>1.9221505951691706</v>
      </c>
      <c r="O2911" s="1628"/>
    </row>
    <row r="2912" spans="11:15">
      <c r="K2912" s="1625">
        <v>44969</v>
      </c>
      <c r="L2912" s="1626"/>
      <c r="M2912" s="1627">
        <v>0</v>
      </c>
      <c r="N2912" s="1628">
        <v>1.9221505951691706</v>
      </c>
      <c r="O2912" s="1628"/>
    </row>
    <row r="2913" spans="11:15">
      <c r="K2913" s="1625">
        <v>44970</v>
      </c>
      <c r="L2913" s="1626" t="s">
        <v>2301</v>
      </c>
      <c r="M2913" s="1627">
        <v>4.9036999999999997E-2</v>
      </c>
      <c r="N2913" s="1628">
        <v>1.923093160156524</v>
      </c>
      <c r="O2913" s="1628"/>
    </row>
    <row r="2914" spans="11:15">
      <c r="K2914" s="1625">
        <v>44971</v>
      </c>
      <c r="L2914" s="1626" t="s">
        <v>2301</v>
      </c>
      <c r="M2914" s="1627">
        <v>4.9036999999999997E-2</v>
      </c>
      <c r="N2914" s="1628">
        <v>1.92403618734947</v>
      </c>
      <c r="O2914" s="1628"/>
    </row>
    <row r="2915" spans="11:15">
      <c r="K2915" s="1625">
        <v>44972</v>
      </c>
      <c r="L2915" s="1626" t="s">
        <v>2301</v>
      </c>
      <c r="M2915" s="1627">
        <v>4.9036999999999997E-2</v>
      </c>
      <c r="N2915" s="1628">
        <v>1.9249796769746608</v>
      </c>
      <c r="O2915" s="1628"/>
    </row>
    <row r="2916" spans="11:15">
      <c r="K2916" s="1625">
        <v>44973</v>
      </c>
      <c r="L2916" s="1626" t="s">
        <v>2301</v>
      </c>
      <c r="M2916" s="1627">
        <v>4.9036999999999997E-2</v>
      </c>
      <c r="N2916" s="1628">
        <v>1.9259236292588591</v>
      </c>
      <c r="O2916" s="1628"/>
    </row>
    <row r="2917" spans="11:15">
      <c r="K2917" s="1625">
        <v>44974</v>
      </c>
      <c r="L2917" s="1626" t="s">
        <v>2301</v>
      </c>
      <c r="M2917" s="1627">
        <v>4.9036999999999997E-2</v>
      </c>
      <c r="N2917" s="1628">
        <v>1.9268680444289388</v>
      </c>
      <c r="O2917" s="1628"/>
    </row>
    <row r="2918" spans="11:15">
      <c r="K2918" s="1625">
        <v>44975</v>
      </c>
      <c r="L2918" s="1626"/>
      <c r="M2918" s="1627">
        <v>0</v>
      </c>
      <c r="N2918" s="1628">
        <v>1.9268680444289388</v>
      </c>
      <c r="O2918" s="1628"/>
    </row>
    <row r="2919" spans="11:15">
      <c r="K2919" s="1625">
        <v>44976</v>
      </c>
      <c r="L2919" s="1626"/>
      <c r="M2919" s="1627">
        <v>0</v>
      </c>
      <c r="N2919" s="1628">
        <v>1.9268680444289388</v>
      </c>
      <c r="O2919" s="1628"/>
    </row>
    <row r="2920" spans="11:15">
      <c r="K2920" s="1625">
        <v>44977</v>
      </c>
      <c r="L2920" s="1626"/>
      <c r="M2920" s="1627">
        <v>0</v>
      </c>
      <c r="N2920" s="1628">
        <v>1.9268680444289388</v>
      </c>
      <c r="O2920" s="1628"/>
    </row>
    <row r="2921" spans="11:15">
      <c r="K2921" s="1625">
        <v>44978</v>
      </c>
      <c r="L2921" s="1626"/>
      <c r="M2921" s="1627">
        <v>0</v>
      </c>
      <c r="N2921" s="1628">
        <v>1.9268680444289388</v>
      </c>
      <c r="O2921" s="1628"/>
    </row>
    <row r="2922" spans="11:15">
      <c r="K2922" s="1625">
        <v>44979</v>
      </c>
      <c r="L2922" s="1626" t="s">
        <v>2301</v>
      </c>
      <c r="M2922" s="1627">
        <v>4.9036999999999997E-2</v>
      </c>
      <c r="N2922" s="1628">
        <v>1.9278129227118856</v>
      </c>
      <c r="O2922" s="1628"/>
    </row>
    <row r="2923" spans="11:15">
      <c r="K2923" s="1625">
        <v>44980</v>
      </c>
      <c r="L2923" s="1626" t="s">
        <v>2301</v>
      </c>
      <c r="M2923" s="1627">
        <v>4.9036999999999997E-2</v>
      </c>
      <c r="N2923" s="1628">
        <v>1.928758264334796</v>
      </c>
      <c r="O2923" s="1628"/>
    </row>
    <row r="2924" spans="11:15">
      <c r="K2924" s="1625">
        <v>44981</v>
      </c>
      <c r="L2924" s="1626" t="s">
        <v>2301</v>
      </c>
      <c r="M2924" s="1627">
        <v>4.9036999999999997E-2</v>
      </c>
      <c r="N2924" s="1628">
        <v>1.9297040695248779</v>
      </c>
      <c r="O2924" s="1628"/>
    </row>
    <row r="2925" spans="11:15">
      <c r="K2925" s="1625">
        <v>44982</v>
      </c>
      <c r="L2925" s="1626"/>
      <c r="M2925" s="1627">
        <v>0</v>
      </c>
      <c r="N2925" s="1628">
        <v>1.9297040695248779</v>
      </c>
      <c r="O2925" s="1628"/>
    </row>
    <row r="2926" spans="11:15">
      <c r="K2926" s="1625">
        <v>44983</v>
      </c>
      <c r="L2926" s="1626"/>
      <c r="M2926" s="1627">
        <v>0</v>
      </c>
      <c r="N2926" s="1628">
        <v>1.9297040695248779</v>
      </c>
      <c r="O2926" s="1628"/>
    </row>
    <row r="2927" spans="11:15">
      <c r="K2927" s="1625">
        <v>44984</v>
      </c>
      <c r="L2927" s="1626" t="s">
        <v>2301</v>
      </c>
      <c r="M2927" s="1627">
        <v>4.9036999999999997E-2</v>
      </c>
      <c r="N2927" s="1628">
        <v>1.9306503385094509</v>
      </c>
      <c r="O2927" s="1628"/>
    </row>
    <row r="2928" spans="11:15">
      <c r="K2928" s="1625">
        <v>44985</v>
      </c>
      <c r="L2928" s="1626" t="s">
        <v>2301</v>
      </c>
      <c r="M2928" s="1627">
        <v>4.9036999999999997E-2</v>
      </c>
      <c r="N2928" s="1628">
        <v>1.9315970715159458</v>
      </c>
      <c r="O2928" s="1628"/>
    </row>
    <row r="2929" spans="11:15">
      <c r="K2929" s="1625">
        <v>44986</v>
      </c>
      <c r="L2929" s="1626" t="s">
        <v>2301</v>
      </c>
      <c r="M2929" s="1627">
        <v>4.9036999999999997E-2</v>
      </c>
      <c r="N2929" s="1628">
        <v>1.9325442687719052</v>
      </c>
      <c r="O2929" s="1628"/>
    </row>
    <row r="2930" spans="11:15">
      <c r="K2930" s="1625">
        <v>44987</v>
      </c>
      <c r="L2930" s="1629" t="s">
        <v>2301</v>
      </c>
      <c r="M2930" s="907">
        <v>4.9036999999999997E-2</v>
      </c>
      <c r="N2930" s="1629">
        <v>1.9334919305049831</v>
      </c>
      <c r="O2930" s="1629"/>
    </row>
    <row r="2931" spans="11:15">
      <c r="K2931" s="1625">
        <v>44988</v>
      </c>
      <c r="L2931" s="1629" t="s">
        <v>2301</v>
      </c>
      <c r="M2931" s="907">
        <v>4.9036999999999997E-2</v>
      </c>
      <c r="N2931" s="1629">
        <v>1.934440056942945</v>
      </c>
      <c r="O2931" s="1629"/>
    </row>
    <row r="2932" spans="11:15">
      <c r="K2932" s="1625">
        <v>44989</v>
      </c>
      <c r="L2932" s="1629"/>
      <c r="M2932" s="907">
        <v>0</v>
      </c>
      <c r="N2932" s="1629">
        <v>1.934440056942945</v>
      </c>
      <c r="O2932" s="1629"/>
    </row>
    <row r="2933" spans="11:15">
      <c r="K2933" s="1625">
        <v>44990</v>
      </c>
      <c r="L2933" s="1629"/>
      <c r="M2933" s="907">
        <v>0</v>
      </c>
      <c r="N2933" s="1629">
        <v>1.934440056942945</v>
      </c>
      <c r="O2933" s="1629"/>
    </row>
    <row r="2934" spans="11:15">
      <c r="K2934" s="1625">
        <v>44991</v>
      </c>
      <c r="L2934" s="1629" t="s">
        <v>2301</v>
      </c>
      <c r="M2934" s="907">
        <v>4.9036999999999997E-2</v>
      </c>
      <c r="N2934" s="1629">
        <v>1.9353886483136682</v>
      </c>
      <c r="O2934" s="1629"/>
    </row>
    <row r="2935" spans="11:15">
      <c r="K2935" s="1625">
        <v>44992</v>
      </c>
      <c r="L2935" s="1629" t="s">
        <v>2301</v>
      </c>
      <c r="M2935" s="907">
        <v>4.9036999999999997E-2</v>
      </c>
      <c r="N2935" s="1629">
        <v>1.936337704845142</v>
      </c>
      <c r="O2935" s="1629"/>
    </row>
    <row r="2936" spans="11:15">
      <c r="K2936" s="1625">
        <v>44993</v>
      </c>
      <c r="L2936" s="1629" t="s">
        <v>2301</v>
      </c>
      <c r="M2936" s="907">
        <v>4.9036999999999997E-2</v>
      </c>
      <c r="N2936" s="1629">
        <v>1.9372872267654671</v>
      </c>
      <c r="O2936" s="1629"/>
    </row>
    <row r="2937" spans="11:15">
      <c r="K2937" s="1625">
        <v>44994</v>
      </c>
      <c r="L2937" s="1629" t="s">
        <v>2301</v>
      </c>
      <c r="M2937" s="907">
        <v>4.9036999999999997E-2</v>
      </c>
      <c r="N2937" s="1629">
        <v>1.9382372143028561</v>
      </c>
      <c r="O2937" s="1629"/>
    </row>
    <row r="2938" spans="11:15">
      <c r="K2938" s="1625">
        <v>44995</v>
      </c>
      <c r="L2938" s="1629" t="s">
        <v>2301</v>
      </c>
      <c r="M2938" s="907">
        <v>4.9036999999999997E-2</v>
      </c>
      <c r="N2938" s="1629">
        <v>1.9391876676856339</v>
      </c>
      <c r="O2938" s="1629"/>
    </row>
    <row r="2939" spans="11:15">
      <c r="K2939" s="1625">
        <v>44996</v>
      </c>
      <c r="L2939" s="1629"/>
      <c r="M2939" s="907">
        <v>0</v>
      </c>
      <c r="N2939" s="1629">
        <v>1.9391876676856339</v>
      </c>
      <c r="O2939" s="1629"/>
    </row>
    <row r="2940" spans="11:15">
      <c r="K2940" s="1625">
        <v>44997</v>
      </c>
      <c r="L2940" s="1629"/>
      <c r="M2940" s="907">
        <v>0</v>
      </c>
      <c r="N2940" s="1629">
        <v>1.9391876676856339</v>
      </c>
      <c r="O2940" s="1629"/>
    </row>
    <row r="2941" spans="11:15">
      <c r="K2941" s="1625">
        <v>44998</v>
      </c>
      <c r="L2941" s="1629" t="s">
        <v>2301</v>
      </c>
      <c r="M2941" s="907">
        <v>4.9036999999999997E-2</v>
      </c>
      <c r="N2941" s="1629">
        <v>1.940138587142237</v>
      </c>
      <c r="O2941" s="1629"/>
    </row>
    <row r="2942" spans="11:15">
      <c r="K2942" s="1625">
        <v>44999</v>
      </c>
      <c r="L2942" s="1629" t="s">
        <v>2301</v>
      </c>
      <c r="M2942" s="907">
        <v>4.9036999999999997E-2</v>
      </c>
      <c r="N2942" s="1629">
        <v>1.9410899729012141</v>
      </c>
      <c r="O2942" s="1629"/>
    </row>
    <row r="2943" spans="11:15">
      <c r="K2943" s="1625">
        <v>45000</v>
      </c>
      <c r="L2943" s="1629" t="s">
        <v>2301</v>
      </c>
      <c r="M2943" s="907">
        <v>4.9036999999999997E-2</v>
      </c>
      <c r="N2943" s="1629">
        <v>1.9420418251912257</v>
      </c>
      <c r="O2943" s="1629"/>
    </row>
    <row r="2944" spans="11:15">
      <c r="K2944" s="1625">
        <v>45001</v>
      </c>
      <c r="L2944" s="1629" t="s">
        <v>2301</v>
      </c>
      <c r="M2944" s="907">
        <v>4.9036999999999997E-2</v>
      </c>
      <c r="N2944" s="1629">
        <v>1.9429941442410448</v>
      </c>
      <c r="O2944" s="1629"/>
    </row>
    <row r="2945" spans="11:15">
      <c r="K2945" s="1625">
        <v>45002</v>
      </c>
      <c r="L2945" s="1629" t="s">
        <v>2301</v>
      </c>
      <c r="M2945" s="907">
        <v>4.9036999999999997E-2</v>
      </c>
      <c r="N2945" s="1629">
        <v>1.9439469302795565</v>
      </c>
      <c r="O2945" s="1629"/>
    </row>
    <row r="2946" spans="11:15">
      <c r="K2946" s="1625">
        <v>45003</v>
      </c>
      <c r="L2946" s="1629"/>
      <c r="M2946" s="907">
        <v>0</v>
      </c>
      <c r="N2946" s="1629">
        <v>1.9439469302795565</v>
      </c>
      <c r="O2946" s="1629"/>
    </row>
    <row r="2947" spans="11:15">
      <c r="K2947" s="1625">
        <v>45004</v>
      </c>
      <c r="L2947" s="1629"/>
      <c r="M2947" s="907">
        <v>0</v>
      </c>
      <c r="N2947" s="1629">
        <v>1.9439469302795565</v>
      </c>
      <c r="O2947" s="1629"/>
    </row>
    <row r="2948" spans="11:15">
      <c r="K2948" s="1625">
        <v>45005</v>
      </c>
      <c r="L2948" s="1629" t="s">
        <v>2301</v>
      </c>
      <c r="M2948" s="907">
        <v>4.9036999999999997E-2</v>
      </c>
      <c r="N2948" s="1629">
        <v>1.9449001835357578</v>
      </c>
      <c r="O2948" s="1629"/>
    </row>
    <row r="2949" spans="11:15">
      <c r="K2949" s="1625">
        <v>45006</v>
      </c>
      <c r="L2949" s="1629" t="s">
        <v>2301</v>
      </c>
      <c r="M2949" s="907">
        <v>4.9036999999999997E-2</v>
      </c>
      <c r="N2949" s="1629">
        <v>1.9458539042387584</v>
      </c>
      <c r="O2949" s="1629"/>
    </row>
    <row r="2950" spans="11:15">
      <c r="K2950" s="1625">
        <v>45007</v>
      </c>
      <c r="L2950" s="1629" t="s">
        <v>2301</v>
      </c>
      <c r="M2950" s="907">
        <v>4.9036999999999997E-2</v>
      </c>
      <c r="N2950" s="1629">
        <v>1.94680809261778</v>
      </c>
      <c r="O2950" s="1629"/>
    </row>
    <row r="2951" spans="11:15">
      <c r="K2951" s="1625">
        <v>45008</v>
      </c>
      <c r="L2951" s="1629" t="s">
        <v>2301</v>
      </c>
      <c r="M2951" s="907">
        <v>4.9036999999999997E-2</v>
      </c>
      <c r="N2951" s="1629">
        <v>1.9477627489021572</v>
      </c>
      <c r="O2951" s="1629"/>
    </row>
    <row r="2952" spans="11:15">
      <c r="K2952" s="1625">
        <v>45009</v>
      </c>
      <c r="L2952" s="1629" t="s">
        <v>2301</v>
      </c>
      <c r="M2952" s="907">
        <v>4.9036999999999997E-2</v>
      </c>
      <c r="N2952" s="1629">
        <v>1.9487178733213364</v>
      </c>
      <c r="O2952" s="1629"/>
    </row>
    <row r="2953" spans="11:15">
      <c r="K2953" s="1625">
        <v>45010</v>
      </c>
      <c r="L2953" s="1629"/>
      <c r="M2953" s="907">
        <v>0</v>
      </c>
      <c r="N2953" s="1629">
        <v>1.9487178733213364</v>
      </c>
      <c r="O2953" s="1629"/>
    </row>
    <row r="2954" spans="11:15">
      <c r="K2954" s="1625">
        <v>45011</v>
      </c>
      <c r="L2954" s="1629"/>
      <c r="M2954" s="907">
        <v>0</v>
      </c>
      <c r="N2954" s="1629">
        <v>1.9487178733213364</v>
      </c>
      <c r="O2954" s="1629"/>
    </row>
    <row r="2955" spans="11:15">
      <c r="K2955" s="1625">
        <v>45012</v>
      </c>
      <c r="L2955" s="1629" t="s">
        <v>2301</v>
      </c>
      <c r="M2955" s="907">
        <v>4.9036999999999997E-2</v>
      </c>
      <c r="N2955" s="1629">
        <v>1.9496734661048771</v>
      </c>
      <c r="O2955" s="1629"/>
    </row>
    <row r="2956" spans="11:15">
      <c r="K2956" s="1625">
        <v>45013</v>
      </c>
      <c r="L2956" s="1629" t="s">
        <v>2301</v>
      </c>
      <c r="M2956" s="907">
        <v>4.9036999999999997E-2</v>
      </c>
      <c r="N2956" s="1629">
        <v>1.9506295274824512</v>
      </c>
      <c r="O2956" s="1629"/>
    </row>
    <row r="2957" spans="11:15">
      <c r="K2957" s="1625">
        <v>45014</v>
      </c>
      <c r="L2957" s="1629" t="s">
        <v>2301</v>
      </c>
      <c r="M2957" s="907">
        <v>4.9036999999999997E-2</v>
      </c>
      <c r="N2957" s="1629">
        <v>1.9515860576838429</v>
      </c>
      <c r="O2957" s="1629"/>
    </row>
    <row r="2958" spans="11:15">
      <c r="K2958" s="1625">
        <v>45015</v>
      </c>
      <c r="L2958" s="1629" t="s">
        <v>2301</v>
      </c>
      <c r="M2958" s="907">
        <v>4.9036999999999997E-2</v>
      </c>
      <c r="N2958" s="1629">
        <v>1.9525430569389495</v>
      </c>
      <c r="O2958" s="1629"/>
    </row>
    <row r="2959" spans="11:15">
      <c r="K2959" s="1625">
        <v>45016</v>
      </c>
      <c r="L2959" s="1629" t="s">
        <v>2301</v>
      </c>
      <c r="M2959" s="907">
        <v>4.9036999999999997E-2</v>
      </c>
      <c r="N2959" s="1629">
        <v>1.9535005254777809</v>
      </c>
      <c r="O2959" s="1629"/>
    </row>
    <row r="2960" spans="11:15">
      <c r="K2960" s="1625">
        <v>45017</v>
      </c>
      <c r="L2960" s="1629"/>
      <c r="M2960" s="907">
        <v>0</v>
      </c>
      <c r="N2960" s="1629">
        <v>1.9535005254777809</v>
      </c>
      <c r="O2960" s="1629"/>
    </row>
    <row r="2961" spans="11:15">
      <c r="K2961" s="1625">
        <v>45018</v>
      </c>
      <c r="L2961" s="1629"/>
      <c r="M2961" s="907">
        <v>0</v>
      </c>
      <c r="N2961" s="1629">
        <v>1.9535005254777809</v>
      </c>
      <c r="O2961" s="1629"/>
    </row>
    <row r="2962" spans="11:15">
      <c r="K2962" s="1625">
        <v>45019</v>
      </c>
      <c r="L2962" s="1629" t="s">
        <v>2301</v>
      </c>
      <c r="M2962" s="907">
        <v>4.9036999999999997E-2</v>
      </c>
      <c r="N2962" s="1629">
        <v>1.9544584635304596</v>
      </c>
      <c r="O2962" s="1629"/>
    </row>
    <row r="2963" spans="11:15">
      <c r="K2963" s="1625">
        <v>45020</v>
      </c>
      <c r="L2963" s="1629" t="s">
        <v>2301</v>
      </c>
      <c r="M2963" s="907">
        <v>4.9036999999999997E-2</v>
      </c>
      <c r="N2963" s="1629">
        <v>1.9554168713272211</v>
      </c>
      <c r="O2963" s="1629"/>
    </row>
    <row r="2964" spans="11:15">
      <c r="K2964" s="1625">
        <v>45021</v>
      </c>
      <c r="L2964" s="1629" t="s">
        <v>2301</v>
      </c>
      <c r="M2964" s="907">
        <v>4.9036999999999997E-2</v>
      </c>
      <c r="N2964" s="1629">
        <v>1.9563757490984139</v>
      </c>
      <c r="O2964" s="1629"/>
    </row>
    <row r="2965" spans="11:15">
      <c r="K2965" s="1625">
        <v>45022</v>
      </c>
      <c r="L2965" s="1629" t="s">
        <v>2301</v>
      </c>
      <c r="M2965" s="907">
        <v>4.9036999999999997E-2</v>
      </c>
      <c r="N2965" s="1629">
        <v>1.9573350970744994</v>
      </c>
      <c r="O2965" s="1629"/>
    </row>
    <row r="2966" spans="11:15">
      <c r="K2966" s="1625">
        <v>45023</v>
      </c>
      <c r="L2966" s="1629"/>
      <c r="M2966" s="907">
        <v>0</v>
      </c>
      <c r="N2966" s="1629">
        <v>1.9573350970744994</v>
      </c>
      <c r="O2966" s="1629"/>
    </row>
    <row r="2967" spans="11:15">
      <c r="K2967" s="1625">
        <v>45024</v>
      </c>
      <c r="L2967" s="1629"/>
      <c r="M2967" s="907">
        <v>0</v>
      </c>
      <c r="N2967" s="1629">
        <v>1.9573350970744994</v>
      </c>
      <c r="O2967" s="1629"/>
    </row>
    <row r="2968" spans="11:15">
      <c r="K2968" s="1625">
        <v>45025</v>
      </c>
      <c r="L2968" s="1629"/>
      <c r="M2968" s="907">
        <v>0</v>
      </c>
      <c r="N2968" s="1629">
        <v>1.9573350970744994</v>
      </c>
      <c r="O2968" s="1629"/>
    </row>
    <row r="2969" spans="11:15">
      <c r="K2969" s="1625">
        <v>45026</v>
      </c>
      <c r="L2969" s="1629" t="s">
        <v>2301</v>
      </c>
      <c r="M2969" s="907">
        <v>4.9036999999999997E-2</v>
      </c>
      <c r="N2969" s="1629">
        <v>1.9582949154860518</v>
      </c>
      <c r="O2969" s="1629"/>
    </row>
    <row r="2970" spans="11:15">
      <c r="K2970" s="1625">
        <v>45027</v>
      </c>
      <c r="L2970" s="1629" t="s">
        <v>2301</v>
      </c>
      <c r="M2970" s="907">
        <v>4.9036999999999997E-2</v>
      </c>
      <c r="N2970" s="1629">
        <v>1.9592552045637588</v>
      </c>
      <c r="O2970" s="1629"/>
    </row>
    <row r="2971" spans="11:15">
      <c r="K2971" s="1625">
        <v>45028</v>
      </c>
      <c r="L2971" s="1629" t="s">
        <v>2301</v>
      </c>
      <c r="M2971" s="907">
        <v>4.9036999999999997E-2</v>
      </c>
      <c r="N2971" s="1629">
        <v>1.960215964538421</v>
      </c>
      <c r="O2971" s="1629"/>
    </row>
    <row r="2972" spans="11:15">
      <c r="K2972" s="1625">
        <v>45029</v>
      </c>
      <c r="L2972" s="1629" t="s">
        <v>2301</v>
      </c>
      <c r="M2972" s="907">
        <v>4.9036999999999997E-2</v>
      </c>
      <c r="N2972" s="1629">
        <v>1.9611771956409518</v>
      </c>
      <c r="O2972" s="1629"/>
    </row>
    <row r="2973" spans="11:15">
      <c r="K2973" s="1625">
        <v>45030</v>
      </c>
      <c r="L2973" s="1629" t="s">
        <v>2301</v>
      </c>
      <c r="M2973" s="907">
        <v>4.9036999999999997E-2</v>
      </c>
      <c r="N2973" s="1629">
        <v>1.9621388981023784</v>
      </c>
      <c r="O2973" s="1629"/>
    </row>
    <row r="2974" spans="11:15">
      <c r="K2974" s="1625">
        <v>45031</v>
      </c>
      <c r="L2974" s="1629"/>
      <c r="M2974" s="907">
        <v>0</v>
      </c>
      <c r="N2974" s="1629">
        <v>1.9621388981023784</v>
      </c>
      <c r="O2974" s="1629"/>
    </row>
    <row r="2975" spans="11:15">
      <c r="K2975" s="1625">
        <v>45032</v>
      </c>
      <c r="L2975" s="1629"/>
      <c r="M2975" s="907">
        <v>0</v>
      </c>
      <c r="N2975" s="1629">
        <v>1.9621388981023784</v>
      </c>
      <c r="O2975" s="1629"/>
    </row>
    <row r="2976" spans="11:15">
      <c r="K2976" s="1625">
        <v>45033</v>
      </c>
      <c r="L2976" s="1629" t="s">
        <v>2301</v>
      </c>
      <c r="M2976" s="907">
        <v>4.9036999999999997E-2</v>
      </c>
      <c r="N2976" s="1629">
        <v>1.9631010721538411</v>
      </c>
      <c r="O2976" s="1629"/>
    </row>
    <row r="2977" spans="11:15">
      <c r="K2977" s="1625">
        <v>45034</v>
      </c>
      <c r="L2977" s="1629" t="s">
        <v>2301</v>
      </c>
      <c r="M2977" s="907">
        <v>4.9036999999999997E-2</v>
      </c>
      <c r="N2977" s="1629">
        <v>1.9640637180265934</v>
      </c>
      <c r="O2977" s="1629"/>
    </row>
    <row r="2978" spans="11:15">
      <c r="K2978" s="1625">
        <v>45035</v>
      </c>
      <c r="L2978" s="1629" t="s">
        <v>2301</v>
      </c>
      <c r="M2978" s="907">
        <v>4.9036999999999997E-2</v>
      </c>
      <c r="N2978" s="1629">
        <v>1.9650268359520022</v>
      </c>
      <c r="O2978" s="1629"/>
    </row>
    <row r="2979" spans="11:15">
      <c r="K2979" s="1625">
        <v>45036</v>
      </c>
      <c r="L2979" s="1629" t="s">
        <v>2301</v>
      </c>
      <c r="M2979" s="907">
        <v>4.9036999999999997E-2</v>
      </c>
      <c r="N2979" s="1629">
        <v>1.9659904261615482</v>
      </c>
      <c r="O2979" s="1629"/>
    </row>
    <row r="2980" spans="11:15">
      <c r="K2980" s="1625">
        <v>45037</v>
      </c>
      <c r="L2980" s="1629"/>
      <c r="M2980" s="907">
        <v>0</v>
      </c>
      <c r="N2980" s="1629">
        <v>1.9659904261615482</v>
      </c>
      <c r="O2980" s="1629"/>
    </row>
    <row r="2981" spans="11:15">
      <c r="K2981" s="1625">
        <v>45038</v>
      </c>
      <c r="L2981" s="1629"/>
      <c r="M2981" s="907">
        <v>0</v>
      </c>
      <c r="N2981" s="1629">
        <v>1.9659904261615482</v>
      </c>
      <c r="O2981" s="1629"/>
    </row>
    <row r="2982" spans="11:15">
      <c r="K2982" s="1625">
        <v>45039</v>
      </c>
      <c r="L2982" s="1629"/>
      <c r="M2982" s="907">
        <v>0</v>
      </c>
      <c r="N2982" s="1629">
        <v>1.9659904261615482</v>
      </c>
      <c r="O2982" s="1629"/>
    </row>
    <row r="2983" spans="11:15">
      <c r="K2983" s="1625">
        <v>45040</v>
      </c>
      <c r="L2983" s="1629" t="s">
        <v>2301</v>
      </c>
      <c r="M2983" s="907">
        <v>4.9036999999999997E-2</v>
      </c>
      <c r="N2983" s="1629">
        <v>1.9669544888868251</v>
      </c>
      <c r="O2983" s="1629"/>
    </row>
    <row r="2984" spans="11:15">
      <c r="K2984" s="1625">
        <v>45041</v>
      </c>
      <c r="L2984" s="1629" t="s">
        <v>2301</v>
      </c>
      <c r="M2984" s="907">
        <v>4.9036999999999997E-2</v>
      </c>
      <c r="N2984" s="1629">
        <v>1.9679190243595406</v>
      </c>
      <c r="O2984" s="1629"/>
    </row>
    <row r="2985" spans="11:15">
      <c r="K2985" s="1625">
        <v>45042</v>
      </c>
      <c r="L2985" s="1629" t="s">
        <v>2301</v>
      </c>
      <c r="M2985" s="907">
        <v>4.9036999999999997E-2</v>
      </c>
      <c r="N2985" s="1629">
        <v>1.9688840328115158</v>
      </c>
      <c r="O2985" s="1629"/>
    </row>
    <row r="2986" spans="11:15">
      <c r="K2986" s="1625">
        <v>45043</v>
      </c>
      <c r="L2986" s="1629" t="s">
        <v>2301</v>
      </c>
      <c r="M2986" s="907">
        <v>4.9036999999999997E-2</v>
      </c>
      <c r="N2986" s="1629">
        <v>1.9698495144746857</v>
      </c>
      <c r="O2986" s="1629"/>
    </row>
    <row r="2987" spans="11:15">
      <c r="K2987" s="1625">
        <v>45044</v>
      </c>
      <c r="L2987" s="1629" t="s">
        <v>2301</v>
      </c>
      <c r="M2987" s="907">
        <v>4.9036999999999997E-2</v>
      </c>
      <c r="N2987" s="1629">
        <v>1.9708154695810989</v>
      </c>
      <c r="O2987" s="1629"/>
    </row>
    <row r="2988" spans="11:15">
      <c r="K2988" s="1625">
        <v>45045</v>
      </c>
      <c r="L2988" s="1629"/>
      <c r="M2988" s="907">
        <v>0</v>
      </c>
      <c r="N2988" s="1629">
        <v>1.9708154695810989</v>
      </c>
      <c r="O2988" s="1629"/>
    </row>
    <row r="2989" spans="11:15">
      <c r="K2989" s="1625">
        <v>45046</v>
      </c>
      <c r="L2989" s="1629"/>
      <c r="M2989" s="907">
        <v>0</v>
      </c>
      <c r="N2989" s="1629">
        <v>1.9708154695810989</v>
      </c>
      <c r="O2989" s="1629"/>
    </row>
    <row r="2990" spans="11:15">
      <c r="K2990" s="1625">
        <v>45047</v>
      </c>
      <c r="L2990" s="1629"/>
      <c r="M2990" s="907">
        <v>0</v>
      </c>
      <c r="N2990" s="1629">
        <v>1.9708154695810989</v>
      </c>
      <c r="O2990" s="1629"/>
    </row>
    <row r="2991" spans="11:15">
      <c r="K2991" s="1625">
        <v>45048</v>
      </c>
      <c r="L2991" s="1629" t="s">
        <v>2301</v>
      </c>
      <c r="M2991" s="907">
        <v>4.9036999999999997E-2</v>
      </c>
      <c r="N2991" s="1629">
        <v>1.9717818983629174</v>
      </c>
      <c r="O2991" s="1629"/>
    </row>
    <row r="2992" spans="11:15">
      <c r="K2992" s="1625">
        <v>45049</v>
      </c>
      <c r="L2992" s="1629" t="s">
        <v>2301</v>
      </c>
      <c r="M2992" s="907">
        <v>4.9036999999999997E-2</v>
      </c>
      <c r="N2992" s="1629">
        <v>1.9727488010524177</v>
      </c>
      <c r="O2992" s="1629"/>
    </row>
    <row r="2993" spans="11:15">
      <c r="K2993" s="1625">
        <v>45050</v>
      </c>
      <c r="L2993" s="1629" t="s">
        <v>2301</v>
      </c>
      <c r="M2993" s="907">
        <v>4.9036999999999997E-2</v>
      </c>
      <c r="N2993" s="1629">
        <v>1.9737161778819898</v>
      </c>
      <c r="O2993" s="1629"/>
    </row>
    <row r="2994" spans="11:15">
      <c r="K2994" s="1625">
        <v>45051</v>
      </c>
      <c r="L2994" s="1629" t="s">
        <v>2301</v>
      </c>
      <c r="M2994" s="907">
        <v>4.9036999999999997E-2</v>
      </c>
      <c r="N2994" s="1629">
        <v>1.9746840290841379</v>
      </c>
      <c r="O2994" s="1629"/>
    </row>
    <row r="2995" spans="11:15">
      <c r="K2995" s="1625">
        <v>45052</v>
      </c>
      <c r="L2995" s="1629"/>
      <c r="M2995" s="907">
        <v>0</v>
      </c>
      <c r="N2995" s="1629">
        <v>1.9746840290841379</v>
      </c>
      <c r="O2995" s="1629"/>
    </row>
    <row r="2996" spans="11:15">
      <c r="K2996" s="1625">
        <v>45053</v>
      </c>
      <c r="L2996" s="1629"/>
      <c r="M2996" s="907">
        <v>0</v>
      </c>
      <c r="N2996" s="1629">
        <v>1.9746840290841379</v>
      </c>
      <c r="O2996" s="1629"/>
    </row>
    <row r="2997" spans="11:15">
      <c r="K2997" s="1625">
        <v>45054</v>
      </c>
      <c r="L2997" s="1629" t="s">
        <v>2301</v>
      </c>
      <c r="M2997" s="907">
        <v>4.9036999999999997E-2</v>
      </c>
      <c r="N2997" s="1629">
        <v>1.9756523548914799</v>
      </c>
      <c r="O2997" s="1629"/>
    </row>
    <row r="2998" spans="11:15">
      <c r="K2998" s="1625">
        <v>45055</v>
      </c>
      <c r="L2998" s="1629" t="s">
        <v>2301</v>
      </c>
      <c r="M2998" s="907">
        <v>4.9036999999999997E-2</v>
      </c>
      <c r="N2998" s="1629">
        <v>1.9766211555367483</v>
      </c>
      <c r="O2998" s="1629"/>
    </row>
    <row r="2999" spans="11:15">
      <c r="K2999" s="1625">
        <v>45056</v>
      </c>
      <c r="L2999" s="1629" t="s">
        <v>2301</v>
      </c>
      <c r="M2999" s="907">
        <v>4.9036999999999997E-2</v>
      </c>
      <c r="N2999" s="1629">
        <v>1.977590431252789</v>
      </c>
      <c r="O2999" s="1629"/>
    </row>
    <row r="3000" spans="11:15">
      <c r="K3000" s="1625">
        <v>45057</v>
      </c>
      <c r="L3000" s="1629" t="s">
        <v>2301</v>
      </c>
      <c r="M3000" s="907">
        <v>4.9036999999999997E-2</v>
      </c>
      <c r="N3000" s="1629">
        <v>1.9785601822725625</v>
      </c>
      <c r="O3000" s="1629"/>
    </row>
    <row r="3001" spans="11:15">
      <c r="K3001" s="1625">
        <v>45058</v>
      </c>
      <c r="L3001" s="1629" t="s">
        <v>2301</v>
      </c>
      <c r="M3001" s="907">
        <v>4.9036999999999997E-2</v>
      </c>
      <c r="N3001" s="1629">
        <v>1.9795304088291437</v>
      </c>
      <c r="O3001" s="1629"/>
    </row>
    <row r="3002" spans="11:15">
      <c r="K3002" s="1625">
        <v>45059</v>
      </c>
      <c r="L3002" s="1629"/>
      <c r="M3002" s="907">
        <v>0</v>
      </c>
      <c r="N3002" s="1629">
        <v>1.9795304088291437</v>
      </c>
      <c r="O3002" s="1629"/>
    </row>
    <row r="3003" spans="11:15">
      <c r="K3003" s="1625">
        <v>45060</v>
      </c>
      <c r="L3003" s="1629"/>
      <c r="M3003" s="907">
        <v>0</v>
      </c>
      <c r="N3003" s="1629">
        <v>1.9795304088291437</v>
      </c>
      <c r="O3003" s="1629"/>
    </row>
    <row r="3004" spans="11:15">
      <c r="K3004" s="1625">
        <v>45061</v>
      </c>
      <c r="L3004" s="1629" t="s">
        <v>2301</v>
      </c>
      <c r="M3004" s="907">
        <v>4.9036999999999997E-2</v>
      </c>
      <c r="N3004" s="1629">
        <v>1.9805011111557214</v>
      </c>
      <c r="O3004" s="1629"/>
    </row>
    <row r="3005" spans="11:15">
      <c r="K3005" s="1625">
        <v>45062</v>
      </c>
      <c r="L3005" s="1629" t="s">
        <v>2301</v>
      </c>
      <c r="M3005" s="907">
        <v>4.9036999999999997E-2</v>
      </c>
      <c r="N3005" s="1629">
        <v>1.9814722894855989</v>
      </c>
      <c r="O3005" s="1629"/>
    </row>
    <row r="3006" spans="11:15">
      <c r="K3006" s="1625">
        <v>45063</v>
      </c>
      <c r="L3006" s="1629" t="s">
        <v>2301</v>
      </c>
      <c r="M3006" s="907">
        <v>4.9036999999999997E-2</v>
      </c>
      <c r="N3006" s="1629">
        <v>1.9824439440521942</v>
      </c>
      <c r="O3006" s="1629"/>
    </row>
    <row r="3007" spans="11:15">
      <c r="K3007" s="1625">
        <v>45064</v>
      </c>
      <c r="L3007" s="1629" t="s">
        <v>2301</v>
      </c>
      <c r="M3007" s="907">
        <v>4.9036999999999997E-2</v>
      </c>
      <c r="N3007" s="1629">
        <v>1.9834160750890393</v>
      </c>
      <c r="O3007" s="1629"/>
    </row>
    <row r="3008" spans="11:15">
      <c r="K3008" s="1625">
        <v>45065</v>
      </c>
      <c r="L3008" s="1629" t="s">
        <v>2301</v>
      </c>
      <c r="M3008" s="907">
        <v>4.9036999999999997E-2</v>
      </c>
      <c r="N3008" s="1629">
        <v>1.9843886828297808</v>
      </c>
      <c r="O3008" s="1629"/>
    </row>
    <row r="3009" spans="11:15">
      <c r="K3009" s="1625">
        <v>45066</v>
      </c>
      <c r="L3009" s="1629"/>
      <c r="M3009" s="907">
        <v>0</v>
      </c>
      <c r="N3009" s="1629">
        <v>1.9843886828297808</v>
      </c>
      <c r="O3009" s="1629"/>
    </row>
    <row r="3010" spans="11:15">
      <c r="K3010" s="1625">
        <v>45067</v>
      </c>
      <c r="L3010" s="1629"/>
      <c r="M3010" s="907">
        <v>0</v>
      </c>
      <c r="N3010" s="1629">
        <v>1.9843886828297808</v>
      </c>
      <c r="O3010" s="1629"/>
    </row>
    <row r="3011" spans="11:15">
      <c r="K3011" s="1625">
        <v>45068</v>
      </c>
      <c r="L3011" s="1629" t="s">
        <v>2301</v>
      </c>
      <c r="M3011" s="907">
        <v>4.9036999999999997E-2</v>
      </c>
      <c r="N3011" s="1629">
        <v>1.9853617675081801</v>
      </c>
      <c r="O3011" s="1629"/>
    </row>
    <row r="3012" spans="11:15">
      <c r="K3012" s="1625">
        <v>45069</v>
      </c>
      <c r="L3012" s="1629" t="s">
        <v>2301</v>
      </c>
      <c r="M3012" s="907">
        <v>4.9036999999999997E-2</v>
      </c>
      <c r="N3012" s="1629">
        <v>1.9863353293581132</v>
      </c>
      <c r="O3012" s="1629"/>
    </row>
    <row r="3013" spans="11:15">
      <c r="K3013" s="1625">
        <v>45070</v>
      </c>
      <c r="L3013" s="1629" t="s">
        <v>2301</v>
      </c>
      <c r="M3013" s="907">
        <v>4.9036999999999997E-2</v>
      </c>
      <c r="N3013" s="1629">
        <v>1.9873093686135708</v>
      </c>
      <c r="O3013" s="1629"/>
    </row>
    <row r="3014" spans="11:15">
      <c r="K3014" s="1625">
        <v>45071</v>
      </c>
      <c r="L3014" s="1629" t="s">
        <v>2301</v>
      </c>
      <c r="M3014" s="907">
        <v>4.9036999999999997E-2</v>
      </c>
      <c r="N3014" s="1629">
        <v>1.988283885508658</v>
      </c>
      <c r="O3014" s="1629"/>
    </row>
    <row r="3015" spans="11:15">
      <c r="K3015" s="1625">
        <v>45072</v>
      </c>
      <c r="L3015" s="1629" t="s">
        <v>2301</v>
      </c>
      <c r="M3015" s="907">
        <v>4.9036999999999997E-2</v>
      </c>
      <c r="N3015" s="1629">
        <v>1.989258880277595</v>
      </c>
      <c r="O3015" s="1629"/>
    </row>
    <row r="3016" spans="11:15">
      <c r="K3016" s="1625">
        <v>45073</v>
      </c>
      <c r="L3016" s="1629"/>
      <c r="M3016" s="907">
        <v>0</v>
      </c>
      <c r="N3016" s="1629">
        <v>1.989258880277595</v>
      </c>
      <c r="O3016" s="1629"/>
    </row>
    <row r="3017" spans="11:15">
      <c r="K3017" s="1625">
        <v>45074</v>
      </c>
      <c r="L3017" s="1629"/>
      <c r="M3017" s="907">
        <v>0</v>
      </c>
      <c r="N3017" s="1629">
        <v>1.989258880277595</v>
      </c>
      <c r="O3017" s="1629"/>
    </row>
    <row r="3018" spans="11:15">
      <c r="K3018" s="1625">
        <v>45075</v>
      </c>
      <c r="L3018" s="1629" t="s">
        <v>2301</v>
      </c>
      <c r="M3018" s="907">
        <v>4.9036999999999997E-2</v>
      </c>
      <c r="N3018" s="1629">
        <v>1.9902343531547169</v>
      </c>
      <c r="O3018" s="1629"/>
    </row>
    <row r="3019" spans="11:15">
      <c r="K3019" s="1625">
        <v>45076</v>
      </c>
      <c r="L3019" s="1629" t="s">
        <v>2301</v>
      </c>
      <c r="M3019" s="907">
        <v>4.9036999999999997E-2</v>
      </c>
      <c r="N3019" s="1629">
        <v>1.9912103043744735</v>
      </c>
      <c r="O3019" s="1629"/>
    </row>
    <row r="3020" spans="11:15">
      <c r="K3020" s="1625">
        <v>45077</v>
      </c>
      <c r="L3020" s="1629" t="s">
        <v>2301</v>
      </c>
      <c r="M3020" s="907">
        <v>4.9036999999999997E-2</v>
      </c>
      <c r="N3020" s="1629">
        <v>1.9921867341714299</v>
      </c>
      <c r="O3020" s="1629"/>
    </row>
    <row r="3021" spans="11:15">
      <c r="K3021" s="1625">
        <v>45078</v>
      </c>
      <c r="L3021" s="1629" t="s">
        <v>2301</v>
      </c>
      <c r="M3021" s="907">
        <v>4.9036999999999997E-2</v>
      </c>
      <c r="N3021" s="1629">
        <v>1.9931636427802657</v>
      </c>
      <c r="O3021" s="1629"/>
    </row>
    <row r="3022" spans="11:15">
      <c r="K3022" s="1625">
        <v>45079</v>
      </c>
      <c r="L3022" s="1629" t="s">
        <v>2301</v>
      </c>
      <c r="M3022" s="907">
        <v>4.9036999999999997E-2</v>
      </c>
      <c r="N3022" s="1629">
        <v>1.9941410304357761</v>
      </c>
      <c r="O3022" s="1629"/>
    </row>
    <row r="3023" spans="11:15">
      <c r="K3023" s="1625">
        <v>45080</v>
      </c>
      <c r="L3023" s="1629"/>
      <c r="M3023" s="907">
        <v>0</v>
      </c>
      <c r="N3023" s="1629">
        <v>1.9941410304357761</v>
      </c>
      <c r="O3023" s="1629"/>
    </row>
    <row r="3024" spans="11:15">
      <c r="K3024" s="1625">
        <v>45081</v>
      </c>
      <c r="L3024" s="1629"/>
      <c r="M3024" s="907">
        <v>0</v>
      </c>
      <c r="N3024" s="1629">
        <v>1.9941410304357761</v>
      </c>
      <c r="O3024" s="1629"/>
    </row>
    <row r="3025" spans="11:15">
      <c r="K3025" s="1625">
        <v>45082</v>
      </c>
      <c r="L3025" s="1629" t="s">
        <v>2301</v>
      </c>
      <c r="M3025" s="907">
        <v>4.9036999999999997E-2</v>
      </c>
      <c r="N3025" s="1629">
        <v>1.9951188973728711</v>
      </c>
      <c r="O3025" s="1629"/>
    </row>
    <row r="3026" spans="11:15">
      <c r="K3026" s="1625">
        <v>45083</v>
      </c>
      <c r="L3026" s="1629" t="s">
        <v>2301</v>
      </c>
      <c r="M3026" s="907">
        <v>4.9036999999999997E-2</v>
      </c>
      <c r="N3026" s="1629">
        <v>1.9960972438265761</v>
      </c>
      <c r="O3026" s="1629"/>
    </row>
    <row r="3027" spans="11:15">
      <c r="K3027" s="1625">
        <v>45084</v>
      </c>
      <c r="L3027" s="1629" t="s">
        <v>2301</v>
      </c>
      <c r="M3027" s="907">
        <v>4.9036999999999997E-2</v>
      </c>
      <c r="N3027" s="1629">
        <v>1.9970760700320314</v>
      </c>
      <c r="O3027" s="1629"/>
    </row>
    <row r="3028" spans="11:15">
      <c r="K3028" s="1625">
        <v>45085</v>
      </c>
      <c r="L3028" s="1629"/>
      <c r="M3028" s="907">
        <v>0</v>
      </c>
      <c r="N3028" s="1629">
        <v>1.9970760700320314</v>
      </c>
      <c r="O3028" s="1629"/>
    </row>
    <row r="3029" spans="11:15">
      <c r="K3029" s="1625">
        <v>45086</v>
      </c>
      <c r="L3029" s="1629" t="s">
        <v>2301</v>
      </c>
      <c r="M3029" s="907">
        <v>4.9036999999999997E-2</v>
      </c>
      <c r="N3029" s="1629">
        <v>1.998055376224493</v>
      </c>
      <c r="O3029" s="1629"/>
    </row>
    <row r="3030" spans="11:15">
      <c r="K3030" s="1625">
        <v>45087</v>
      </c>
      <c r="L3030" s="1629"/>
      <c r="M3030" s="907">
        <v>0</v>
      </c>
      <c r="N3030" s="1629">
        <v>1.998055376224493</v>
      </c>
      <c r="O3030" s="1629"/>
    </row>
    <row r="3031" spans="11:15">
      <c r="K3031" s="1625">
        <v>45088</v>
      </c>
      <c r="L3031" s="1629"/>
      <c r="M3031" s="907">
        <v>0</v>
      </c>
      <c r="N3031" s="1629">
        <v>1.998055376224493</v>
      </c>
      <c r="O3031" s="1629"/>
    </row>
    <row r="3032" spans="11:15">
      <c r="K3032" s="1625">
        <v>45089</v>
      </c>
      <c r="L3032" s="1629" t="s">
        <v>2301</v>
      </c>
      <c r="M3032" s="907">
        <v>4.9036999999999997E-2</v>
      </c>
      <c r="N3032" s="1629">
        <v>1.9990351626393323</v>
      </c>
      <c r="O3032" s="1629"/>
    </row>
    <row r="3033" spans="11:15">
      <c r="K3033" s="1625">
        <v>45090</v>
      </c>
      <c r="L3033" s="1629" t="s">
        <v>2301</v>
      </c>
      <c r="M3033" s="907">
        <v>4.9036999999999997E-2</v>
      </c>
      <c r="N3033" s="1629">
        <v>2.000015429512036</v>
      </c>
      <c r="O3033" s="1629"/>
    </row>
    <row r="3034" spans="11:15">
      <c r="K3034" s="1625">
        <v>45091</v>
      </c>
      <c r="L3034" s="1629" t="s">
        <v>2301</v>
      </c>
      <c r="M3034" s="907">
        <v>4.9036999999999997E-2</v>
      </c>
      <c r="N3034" s="1629">
        <v>2.0009961770782061</v>
      </c>
      <c r="O3034" s="1629"/>
    </row>
    <row r="3035" spans="11:15">
      <c r="K3035" s="1625">
        <v>45092</v>
      </c>
      <c r="L3035" s="1629" t="s">
        <v>2301</v>
      </c>
      <c r="M3035" s="907">
        <v>4.9036999999999997E-2</v>
      </c>
      <c r="N3035" s="1629">
        <v>2.0019774055735602</v>
      </c>
      <c r="O3035" s="1629"/>
    </row>
    <row r="3036" spans="11:15">
      <c r="K3036" s="1625">
        <v>45093</v>
      </c>
      <c r="L3036" s="1629" t="s">
        <v>2301</v>
      </c>
      <c r="M3036" s="907">
        <v>4.9036999999999997E-2</v>
      </c>
      <c r="N3036" s="1629">
        <v>2.0029591152339314</v>
      </c>
      <c r="O3036" s="1629"/>
    </row>
    <row r="3037" spans="11:15">
      <c r="K3037" s="1625">
        <v>45094</v>
      </c>
      <c r="L3037" s="1629"/>
      <c r="M3037" s="907">
        <v>0</v>
      </c>
      <c r="N3037" s="1629">
        <v>2.0029591152339314</v>
      </c>
      <c r="O3037" s="1629"/>
    </row>
    <row r="3038" spans="11:15">
      <c r="K3038" s="1625">
        <v>45095</v>
      </c>
      <c r="L3038" s="1629"/>
      <c r="M3038" s="907">
        <v>0</v>
      </c>
      <c r="N3038" s="1629">
        <v>2.0029591152339314</v>
      </c>
      <c r="O3038" s="1629"/>
    </row>
    <row r="3039" spans="11:15">
      <c r="K3039" s="1625">
        <v>45096</v>
      </c>
      <c r="L3039" s="1629" t="s">
        <v>2301</v>
      </c>
      <c r="M3039" s="907">
        <v>4.9036999999999997E-2</v>
      </c>
      <c r="N3039" s="1629">
        <v>2.0039413062952689</v>
      </c>
      <c r="O3039" s="1629"/>
    </row>
    <row r="3040" spans="11:15">
      <c r="K3040" s="1625">
        <v>45097</v>
      </c>
      <c r="L3040" s="1629" t="s">
        <v>2301</v>
      </c>
      <c r="M3040" s="907">
        <v>4.9036999999999997E-2</v>
      </c>
      <c r="N3040" s="1629">
        <v>2.0049239789936371</v>
      </c>
      <c r="O3040" s="1629"/>
    </row>
    <row r="3041" spans="11:15">
      <c r="K3041" s="1625">
        <v>45098</v>
      </c>
      <c r="L3041" s="1629" t="s">
        <v>2301</v>
      </c>
      <c r="M3041" s="907">
        <v>4.9036999999999997E-2</v>
      </c>
      <c r="N3041" s="1629">
        <v>2.0059071335652163</v>
      </c>
      <c r="O3041" s="1629"/>
    </row>
    <row r="3042" spans="11:15">
      <c r="K3042" s="1625">
        <v>45099</v>
      </c>
      <c r="L3042" s="1629" t="s">
        <v>2301</v>
      </c>
      <c r="M3042" s="907">
        <v>4.9036999999999997E-2</v>
      </c>
      <c r="N3042" s="1629">
        <v>2.006890770246303</v>
      </c>
      <c r="O3042" s="1629"/>
    </row>
    <row r="3043" spans="11:15">
      <c r="K3043" s="1625">
        <v>45100</v>
      </c>
      <c r="L3043" s="1629" t="s">
        <v>2301</v>
      </c>
      <c r="M3043" s="907">
        <v>4.9036999999999997E-2</v>
      </c>
      <c r="N3043" s="1629">
        <v>2.0078748892733089</v>
      </c>
      <c r="O3043" s="1629"/>
    </row>
    <row r="3044" spans="11:15">
      <c r="K3044" s="1625">
        <v>45101</v>
      </c>
      <c r="L3044" s="1629"/>
      <c r="M3044" s="907">
        <v>0</v>
      </c>
      <c r="N3044" s="1629">
        <v>2.0078748892733089</v>
      </c>
      <c r="O3044" s="1629"/>
    </row>
    <row r="3045" spans="11:15">
      <c r="K3045" s="1625">
        <v>45102</v>
      </c>
      <c r="L3045" s="1629"/>
      <c r="M3045" s="907">
        <v>0</v>
      </c>
      <c r="N3045" s="1629">
        <v>2.0078748892733089</v>
      </c>
      <c r="O3045" s="1629"/>
    </row>
    <row r="3046" spans="11:15">
      <c r="K3046" s="1625">
        <v>45103</v>
      </c>
      <c r="L3046" s="1629" t="s">
        <v>2301</v>
      </c>
      <c r="M3046" s="907">
        <v>4.9036999999999997E-2</v>
      </c>
      <c r="N3046" s="1629">
        <v>2.0088594908827622</v>
      </c>
      <c r="O3046" s="1629"/>
    </row>
    <row r="3047" spans="11:15">
      <c r="K3047" s="1625">
        <v>45104</v>
      </c>
      <c r="L3047" s="1629" t="s">
        <v>2301</v>
      </c>
      <c r="M3047" s="907">
        <v>4.9036999999999997E-2</v>
      </c>
      <c r="N3047" s="1629">
        <v>2.0098445753113063</v>
      </c>
      <c r="O3047" s="1629"/>
    </row>
    <row r="3048" spans="11:15">
      <c r="K3048" s="1625">
        <v>45105</v>
      </c>
      <c r="L3048" s="1629" t="s">
        <v>2301</v>
      </c>
      <c r="M3048" s="907">
        <v>4.9036999999999997E-2</v>
      </c>
      <c r="N3048" s="1629">
        <v>2.0108301427957018</v>
      </c>
      <c r="O3048" s="1629"/>
    </row>
    <row r="3049" spans="11:15">
      <c r="K3049" s="1625">
        <v>45106</v>
      </c>
      <c r="L3049" s="1629" t="s">
        <v>2301</v>
      </c>
      <c r="M3049" s="907">
        <v>4.9036999999999997E-2</v>
      </c>
      <c r="N3049" s="1629">
        <v>2.0118161935728245</v>
      </c>
      <c r="O3049" s="1629"/>
    </row>
    <row r="3050" spans="11:15">
      <c r="K3050" s="1625">
        <v>45107</v>
      </c>
      <c r="L3050" s="1629" t="s">
        <v>2301</v>
      </c>
      <c r="M3050" s="907">
        <v>4.9036999999999997E-2</v>
      </c>
      <c r="N3050" s="1629">
        <v>2.012802727879667</v>
      </c>
      <c r="O3050" s="1629"/>
    </row>
    <row r="3051" spans="11:15">
      <c r="K3051" s="1625">
        <v>45108</v>
      </c>
      <c r="L3051" s="1629"/>
      <c r="M3051" s="907">
        <v>0</v>
      </c>
      <c r="N3051" s="1629">
        <v>2.012802727879667</v>
      </c>
      <c r="O3051" s="1629"/>
    </row>
    <row r="3052" spans="11:15">
      <c r="K3052" s="1625">
        <v>45109</v>
      </c>
      <c r="L3052" s="1629"/>
      <c r="M3052" s="907">
        <v>0</v>
      </c>
      <c r="N3052" s="1629">
        <v>2.012802727879667</v>
      </c>
      <c r="O3052" s="1629"/>
    </row>
    <row r="3053" spans="11:15">
      <c r="K3053" s="1625">
        <v>45110</v>
      </c>
      <c r="L3053" s="1629" t="s">
        <v>2301</v>
      </c>
      <c r="M3053" s="907">
        <v>4.9036999999999997E-2</v>
      </c>
      <c r="N3053" s="1629">
        <v>2.0137897459533374</v>
      </c>
      <c r="O3053" s="1629"/>
    </row>
    <row r="3054" spans="11:15">
      <c r="K3054" s="1625">
        <v>45111</v>
      </c>
      <c r="L3054" s="1629" t="s">
        <v>2301</v>
      </c>
      <c r="M3054" s="907">
        <v>4.9036999999999997E-2</v>
      </c>
      <c r="N3054" s="1629">
        <v>2.0147772480310606</v>
      </c>
      <c r="O3054" s="1629"/>
    </row>
    <row r="3055" spans="11:15">
      <c r="K3055" s="1625">
        <v>45112</v>
      </c>
      <c r="L3055" s="1629" t="s">
        <v>2301</v>
      </c>
      <c r="M3055" s="907">
        <v>4.9036999999999997E-2</v>
      </c>
      <c r="N3055" s="1629">
        <v>2.015765234350178</v>
      </c>
      <c r="O3055" s="1629"/>
    </row>
    <row r="3056" spans="11:15">
      <c r="K3056" s="1625">
        <v>45113</v>
      </c>
      <c r="L3056" s="1629" t="s">
        <v>2301</v>
      </c>
      <c r="M3056" s="907">
        <v>4.9036999999999997E-2</v>
      </c>
      <c r="N3056" s="1629">
        <v>2.0167537051481466</v>
      </c>
      <c r="O3056" s="1629"/>
    </row>
    <row r="3057" spans="11:15">
      <c r="K3057" s="1625">
        <v>45114</v>
      </c>
      <c r="L3057" s="1629" t="s">
        <v>2301</v>
      </c>
      <c r="M3057" s="907">
        <v>4.9036999999999997E-2</v>
      </c>
      <c r="N3057" s="1629">
        <v>2.0177426606625404</v>
      </c>
      <c r="O3057" s="1629"/>
    </row>
    <row r="3058" spans="11:15">
      <c r="K3058" s="1625">
        <v>45115</v>
      </c>
      <c r="L3058" s="1629"/>
      <c r="M3058" s="907">
        <v>0</v>
      </c>
      <c r="N3058" s="1629">
        <v>2.0177426606625404</v>
      </c>
      <c r="O3058" s="1629"/>
    </row>
    <row r="3059" spans="11:15">
      <c r="K3059" s="1625">
        <v>45116</v>
      </c>
      <c r="L3059" s="1629"/>
      <c r="M3059" s="907">
        <v>0</v>
      </c>
      <c r="N3059" s="1629">
        <v>2.0177426606625404</v>
      </c>
      <c r="O3059" s="1629"/>
    </row>
    <row r="3060" spans="11:15">
      <c r="K3060" s="1625">
        <v>45117</v>
      </c>
      <c r="L3060" s="1629" t="s">
        <v>2301</v>
      </c>
      <c r="M3060" s="907">
        <v>4.9036999999999997E-2</v>
      </c>
      <c r="N3060" s="1629">
        <v>2.0187321011310497</v>
      </c>
      <c r="O3060" s="1629"/>
    </row>
    <row r="3061" spans="11:15">
      <c r="K3061" s="1625">
        <v>45118</v>
      </c>
      <c r="L3061" s="1629" t="s">
        <v>2301</v>
      </c>
      <c r="M3061" s="907">
        <v>4.9036999999999997E-2</v>
      </c>
      <c r="N3061" s="1629">
        <v>2.0197220267914817</v>
      </c>
      <c r="O3061" s="1629"/>
    </row>
    <row r="3062" spans="11:15">
      <c r="K3062" s="1625">
        <v>45119</v>
      </c>
      <c r="L3062" s="1629" t="s">
        <v>2301</v>
      </c>
      <c r="M3062" s="907">
        <v>4.9036999999999997E-2</v>
      </c>
      <c r="N3062" s="1629">
        <v>2.0207124378817598</v>
      </c>
      <c r="O3062" s="1629"/>
    </row>
    <row r="3063" spans="11:15">
      <c r="K3063" s="1625">
        <v>45120</v>
      </c>
      <c r="L3063" s="1629" t="s">
        <v>2301</v>
      </c>
      <c r="M3063" s="907">
        <v>4.9036999999999997E-2</v>
      </c>
      <c r="N3063" s="1629">
        <v>2.0217033346399242</v>
      </c>
      <c r="O3063" s="1629"/>
    </row>
    <row r="3064" spans="11:15">
      <c r="K3064" s="1625">
        <v>45121</v>
      </c>
      <c r="L3064" s="1629" t="s">
        <v>2301</v>
      </c>
      <c r="M3064" s="907">
        <v>4.9036999999999997E-2</v>
      </c>
      <c r="N3064" s="1629">
        <v>2.0226947173041316</v>
      </c>
      <c r="O3064" s="1629"/>
    </row>
    <row r="3065" spans="11:15">
      <c r="K3065" s="1625">
        <v>45122</v>
      </c>
      <c r="L3065" s="1629"/>
      <c r="M3065" s="907">
        <v>0</v>
      </c>
      <c r="N3065" s="1629">
        <v>2.0226947173041316</v>
      </c>
      <c r="O3065" s="1629"/>
    </row>
    <row r="3066" spans="11:15">
      <c r="K3066" s="1625">
        <v>45123</v>
      </c>
      <c r="L3066" s="1629"/>
      <c r="M3066" s="907">
        <v>0</v>
      </c>
      <c r="N3066" s="1629">
        <v>2.0226947173041316</v>
      </c>
      <c r="O3066" s="1629"/>
    </row>
    <row r="3067" spans="11:15">
      <c r="K3067" s="1625">
        <v>45124</v>
      </c>
      <c r="L3067" s="1629" t="s">
        <v>2301</v>
      </c>
      <c r="M3067" s="907">
        <v>4.9036999999999997E-2</v>
      </c>
      <c r="N3067" s="1629">
        <v>2.0236865861126563</v>
      </c>
      <c r="O3067" s="1629"/>
    </row>
    <row r="3068" spans="11:15">
      <c r="K3068" s="1625">
        <v>45125</v>
      </c>
      <c r="L3068" s="1629" t="s">
        <v>2301</v>
      </c>
      <c r="M3068" s="907">
        <v>4.9036999999999997E-2</v>
      </c>
      <c r="N3068" s="1629">
        <v>2.0246789413038884</v>
      </c>
      <c r="O3068" s="1629"/>
    </row>
    <row r="3069" spans="11:15">
      <c r="K3069" s="1625">
        <v>45126</v>
      </c>
      <c r="L3069" s="1629" t="s">
        <v>2301</v>
      </c>
      <c r="M3069" s="907">
        <v>4.9036999999999997E-2</v>
      </c>
      <c r="N3069" s="1629">
        <v>2.0256717831163358</v>
      </c>
      <c r="O3069" s="1629"/>
    </row>
    <row r="3070" spans="11:15">
      <c r="K3070" s="1625">
        <v>45127</v>
      </c>
      <c r="L3070" s="1629" t="s">
        <v>2301</v>
      </c>
      <c r="M3070" s="907">
        <v>4.9036999999999997E-2</v>
      </c>
      <c r="N3070" s="1629">
        <v>2.0266651117886227</v>
      </c>
      <c r="O3070" s="1629"/>
    </row>
    <row r="3071" spans="11:15">
      <c r="K3071" s="1625">
        <v>45128</v>
      </c>
      <c r="L3071" s="1629" t="s">
        <v>2301</v>
      </c>
      <c r="M3071" s="907">
        <v>4.9036999999999997E-2</v>
      </c>
      <c r="N3071" s="1629">
        <v>2.0276589275594907</v>
      </c>
      <c r="O3071" s="1629"/>
    </row>
    <row r="3072" spans="11:15">
      <c r="K3072" s="1625">
        <v>45129</v>
      </c>
      <c r="L3072" s="1629"/>
      <c r="M3072" s="907">
        <v>0</v>
      </c>
      <c r="N3072" s="1629">
        <v>2.0276589275594907</v>
      </c>
      <c r="O3072" s="1629"/>
    </row>
    <row r="3073" spans="11:15">
      <c r="K3073" s="1625">
        <v>45130</v>
      </c>
      <c r="L3073" s="1629"/>
      <c r="M3073" s="907">
        <v>0</v>
      </c>
      <c r="N3073" s="1629">
        <v>2.0276589275594907</v>
      </c>
      <c r="O3073" s="1629"/>
    </row>
    <row r="3074" spans="11:15">
      <c r="K3074" s="1625">
        <v>45131</v>
      </c>
      <c r="L3074" s="1629" t="s">
        <v>2301</v>
      </c>
      <c r="M3074" s="907">
        <v>4.9036999999999997E-2</v>
      </c>
      <c r="N3074" s="1629">
        <v>2.028653230667798</v>
      </c>
      <c r="O3074" s="1629"/>
    </row>
    <row r="3075" spans="11:15">
      <c r="K3075" s="1625">
        <v>45132</v>
      </c>
      <c r="L3075" s="1629" t="s">
        <v>2301</v>
      </c>
      <c r="M3075" s="907">
        <v>4.9036999999999997E-2</v>
      </c>
      <c r="N3075" s="1629">
        <v>2.0296480213525205</v>
      </c>
      <c r="O3075" s="1629"/>
    </row>
    <row r="3076" spans="11:15">
      <c r="K3076" s="1625">
        <v>45133</v>
      </c>
      <c r="L3076" s="1629" t="s">
        <v>2301</v>
      </c>
      <c r="M3076" s="907">
        <v>4.9036999999999997E-2</v>
      </c>
      <c r="N3076" s="1629">
        <v>2.0306432998527515</v>
      </c>
      <c r="O3076" s="1629"/>
    </row>
    <row r="3077" spans="11:15">
      <c r="K3077" s="1625">
        <v>45134</v>
      </c>
      <c r="L3077" s="1629" t="s">
        <v>2301</v>
      </c>
      <c r="M3077" s="907">
        <v>4.9036999999999997E-2</v>
      </c>
      <c r="N3077" s="1629">
        <v>2.0316390664077004</v>
      </c>
      <c r="O3077" s="1629"/>
    </row>
    <row r="3078" spans="11:15">
      <c r="K3078" s="1625">
        <v>45135</v>
      </c>
      <c r="L3078" s="1629" t="s">
        <v>2301</v>
      </c>
      <c r="M3078" s="907">
        <v>4.9036999999999997E-2</v>
      </c>
      <c r="N3078" s="1629">
        <v>2.032635321256695</v>
      </c>
      <c r="O3078" s="1629"/>
    </row>
    <row r="3079" spans="11:15">
      <c r="K3079" s="1625">
        <v>45136</v>
      </c>
      <c r="L3079" s="1629"/>
      <c r="M3079" s="907">
        <v>0</v>
      </c>
      <c r="N3079" s="1629">
        <v>2.032635321256695</v>
      </c>
      <c r="O3079" s="1629"/>
    </row>
    <row r="3080" spans="11:15">
      <c r="K3080" s="1625">
        <v>45137</v>
      </c>
      <c r="L3080" s="1629"/>
      <c r="M3080" s="907">
        <v>0</v>
      </c>
      <c r="N3080" s="1629">
        <v>2.032635321256695</v>
      </c>
      <c r="O3080" s="1629"/>
    </row>
    <row r="3081" spans="11:15">
      <c r="K3081" s="1625">
        <v>45138</v>
      </c>
      <c r="L3081" s="1629" t="s">
        <v>2301</v>
      </c>
      <c r="M3081" s="907">
        <v>4.9036999999999997E-2</v>
      </c>
      <c r="N3081" s="1629">
        <v>2.0336320646391797</v>
      </c>
      <c r="O3081" s="1629"/>
    </row>
    <row r="3082" spans="11:15">
      <c r="K3082" s="1625">
        <v>45139</v>
      </c>
      <c r="L3082" s="1629" t="s">
        <v>2301</v>
      </c>
      <c r="M3082" s="907">
        <v>4.9036999999999997E-2</v>
      </c>
      <c r="N3082" s="1629">
        <v>2.034629296794717</v>
      </c>
      <c r="O3082" s="1629"/>
    </row>
    <row r="3083" spans="11:15">
      <c r="K3083" s="1625">
        <v>45140</v>
      </c>
      <c r="L3083" s="1629" t="s">
        <v>2301</v>
      </c>
      <c r="M3083" s="907">
        <v>4.9036999999999997E-2</v>
      </c>
      <c r="N3083" s="1629">
        <v>2.0356270179629865</v>
      </c>
      <c r="O3083" s="1629"/>
    </row>
    <row r="3084" spans="11:15">
      <c r="K3084" s="1625">
        <v>45141</v>
      </c>
      <c r="L3084" s="1629" t="s">
        <v>2301</v>
      </c>
      <c r="M3084" s="907">
        <v>4.9036999999999997E-2</v>
      </c>
      <c r="N3084" s="1629">
        <v>2.0366252283837851</v>
      </c>
      <c r="O3084" s="1629"/>
    </row>
    <row r="3085" spans="11:15">
      <c r="K3085" s="1625">
        <v>45142</v>
      </c>
      <c r="L3085" s="1629" t="s">
        <v>2301</v>
      </c>
      <c r="M3085" s="907">
        <v>4.9036999999999997E-2</v>
      </c>
      <c r="N3085" s="1629">
        <v>2.0376239282970277</v>
      </c>
      <c r="O3085" s="1629"/>
    </row>
    <row r="3086" spans="11:15">
      <c r="K3086" s="1625">
        <v>45143</v>
      </c>
      <c r="L3086" s="1629"/>
      <c r="M3086" s="907">
        <v>0</v>
      </c>
      <c r="N3086" s="1629">
        <v>2.0376239282970277</v>
      </c>
      <c r="O3086" s="1629"/>
    </row>
    <row r="3087" spans="11:15">
      <c r="K3087" s="1625">
        <v>45144</v>
      </c>
      <c r="L3087" s="1629"/>
      <c r="M3087" s="907">
        <v>0</v>
      </c>
      <c r="N3087" s="1629">
        <v>2.0376239282970277</v>
      </c>
      <c r="O3087" s="1629"/>
    </row>
    <row r="3088" spans="11:15">
      <c r="K3088" s="1625">
        <v>45145</v>
      </c>
      <c r="L3088" s="1629" t="s">
        <v>2301</v>
      </c>
      <c r="M3088" s="907">
        <v>4.9036999999999997E-2</v>
      </c>
      <c r="N3088" s="1629">
        <v>2.038623117942747</v>
      </c>
      <c r="O3088" s="1629"/>
    </row>
    <row r="3089" spans="11:15">
      <c r="K3089" s="1625">
        <v>45146</v>
      </c>
      <c r="L3089" s="1629" t="s">
        <v>2301</v>
      </c>
      <c r="M3089" s="907">
        <v>4.9036999999999997E-2</v>
      </c>
      <c r="N3089" s="1629">
        <v>2.0396227975610928</v>
      </c>
      <c r="O3089" s="1629"/>
    </row>
    <row r="3090" spans="11:15">
      <c r="K3090" s="1625">
        <v>45147</v>
      </c>
      <c r="L3090" s="1629" t="s">
        <v>2301</v>
      </c>
      <c r="M3090" s="907">
        <v>4.9036999999999997E-2</v>
      </c>
      <c r="N3090" s="1629">
        <v>2.0406229673923328</v>
      </c>
      <c r="O3090" s="1629"/>
    </row>
    <row r="3091" spans="11:15">
      <c r="K3091" s="1625">
        <v>45148</v>
      </c>
      <c r="L3091" s="1629" t="s">
        <v>2301</v>
      </c>
      <c r="M3091" s="907">
        <v>4.9036999999999997E-2</v>
      </c>
      <c r="N3091" s="1629">
        <v>2.0416236276768531</v>
      </c>
      <c r="O3091" s="1629"/>
    </row>
    <row r="3092" spans="11:15">
      <c r="K3092" s="1625">
        <v>45149</v>
      </c>
      <c r="L3092" s="1629" t="s">
        <v>2301</v>
      </c>
      <c r="M3092" s="907">
        <v>4.9036999999999997E-2</v>
      </c>
      <c r="N3092" s="1629">
        <v>2.0426247786551572</v>
      </c>
      <c r="O3092" s="1629"/>
    </row>
    <row r="3093" spans="11:15">
      <c r="K3093" s="1625">
        <v>45150</v>
      </c>
      <c r="L3093" s="1629"/>
      <c r="M3093" s="907">
        <v>0</v>
      </c>
      <c r="N3093" s="1629">
        <v>2.0426247786551572</v>
      </c>
      <c r="O3093" s="1629"/>
    </row>
    <row r="3094" spans="11:15">
      <c r="K3094" s="1625">
        <v>45151</v>
      </c>
      <c r="L3094" s="1629"/>
      <c r="M3094" s="907">
        <v>0</v>
      </c>
      <c r="N3094" s="1629">
        <v>2.0426247786551572</v>
      </c>
      <c r="O3094" s="1629"/>
    </row>
    <row r="3095" spans="11:15">
      <c r="K3095" s="1625">
        <v>45152</v>
      </c>
      <c r="L3095" s="1629" t="s">
        <v>2301</v>
      </c>
      <c r="M3095" s="907">
        <v>4.9036999999999997E-2</v>
      </c>
      <c r="N3095" s="1629">
        <v>2.0436264205678665</v>
      </c>
      <c r="O3095" s="1629"/>
    </row>
    <row r="3096" spans="11:15">
      <c r="K3096" s="1625">
        <v>45153</v>
      </c>
      <c r="L3096" s="1629" t="s">
        <v>2301</v>
      </c>
      <c r="M3096" s="907">
        <v>4.9036999999999997E-2</v>
      </c>
      <c r="N3096" s="1629">
        <v>2.0446285536557203</v>
      </c>
      <c r="O3096" s="1629"/>
    </row>
    <row r="3097" spans="11:15">
      <c r="K3097" s="1625">
        <v>45154</v>
      </c>
      <c r="L3097" s="1629" t="s">
        <v>2301</v>
      </c>
      <c r="M3097" s="907">
        <v>4.9036999999999997E-2</v>
      </c>
      <c r="N3097" s="1629">
        <v>2.0456311781595766</v>
      </c>
      <c r="O3097" s="1629"/>
    </row>
    <row r="3098" spans="11:15">
      <c r="K3098" s="1625">
        <v>45155</v>
      </c>
      <c r="L3098" s="1629" t="s">
        <v>2301</v>
      </c>
      <c r="M3098" s="907">
        <v>4.9036999999999997E-2</v>
      </c>
      <c r="N3098" s="1629">
        <v>2.0466342943204108</v>
      </c>
      <c r="O3098" s="1629"/>
    </row>
    <row r="3099" spans="11:15">
      <c r="K3099" s="1625">
        <v>45156</v>
      </c>
      <c r="L3099" s="1629" t="s">
        <v>2301</v>
      </c>
      <c r="M3099" s="907">
        <v>4.9036999999999997E-2</v>
      </c>
      <c r="N3099" s="1629">
        <v>2.047637902379317</v>
      </c>
      <c r="O3099" s="1629"/>
    </row>
    <row r="3100" spans="11:15">
      <c r="K3100" s="1625">
        <v>45157</v>
      </c>
      <c r="L3100" s="1629"/>
      <c r="M3100" s="907">
        <v>0</v>
      </c>
      <c r="N3100" s="1629">
        <v>2.047637902379317</v>
      </c>
      <c r="O3100" s="1629"/>
    </row>
    <row r="3101" spans="11:15">
      <c r="K3101" s="1625">
        <v>45158</v>
      </c>
      <c r="L3101" s="1629"/>
      <c r="M3101" s="907">
        <v>0</v>
      </c>
      <c r="N3101" s="1629">
        <v>2.047637902379317</v>
      </c>
      <c r="O3101" s="1629"/>
    </row>
    <row r="3102" spans="11:15">
      <c r="K3102" s="1625">
        <v>45159</v>
      </c>
      <c r="L3102" s="1629" t="s">
        <v>2301</v>
      </c>
      <c r="M3102" s="907">
        <v>4.9036999999999997E-2</v>
      </c>
      <c r="N3102" s="1629">
        <v>2.0486420025775067</v>
      </c>
      <c r="O3102" s="1629"/>
    </row>
    <row r="3103" spans="11:15">
      <c r="K3103" s="1625">
        <v>45160</v>
      </c>
      <c r="L3103" s="1629" t="s">
        <v>2301</v>
      </c>
      <c r="M3103" s="907">
        <v>4.9036999999999997E-2</v>
      </c>
      <c r="N3103" s="1629">
        <v>2.049646595156311</v>
      </c>
      <c r="O3103" s="1629"/>
    </row>
    <row r="3104" spans="11:15">
      <c r="K3104" s="1625">
        <v>45161</v>
      </c>
      <c r="L3104" s="1629" t="s">
        <v>2301</v>
      </c>
      <c r="M3104" s="907">
        <v>4.9036999999999997E-2</v>
      </c>
      <c r="N3104" s="1629">
        <v>2.0506516803571779</v>
      </c>
      <c r="O3104" s="1629"/>
    </row>
    <row r="3105" spans="11:15">
      <c r="K3105" s="1625">
        <v>45162</v>
      </c>
      <c r="L3105" s="1629" t="s">
        <v>2301</v>
      </c>
      <c r="M3105" s="907">
        <v>4.9036999999999997E-2</v>
      </c>
      <c r="N3105" s="1629">
        <v>2.0516572584216748</v>
      </c>
      <c r="O3105" s="1629"/>
    </row>
    <row r="3106" spans="11:15">
      <c r="K3106" s="1625">
        <v>45163</v>
      </c>
      <c r="L3106" s="1629" t="s">
        <v>2301</v>
      </c>
      <c r="M3106" s="907">
        <v>4.9036999999999997E-2</v>
      </c>
      <c r="N3106" s="1629">
        <v>2.0526633295914873</v>
      </c>
      <c r="O3106" s="1629"/>
    </row>
    <row r="3107" spans="11:15">
      <c r="K3107" s="1625">
        <v>45164</v>
      </c>
      <c r="L3107" s="1629"/>
      <c r="M3107" s="907">
        <v>0</v>
      </c>
      <c r="N3107" s="1629">
        <v>2.0526633295914873</v>
      </c>
      <c r="O3107" s="1629"/>
    </row>
    <row r="3108" spans="11:15">
      <c r="K3108" s="1625">
        <v>45165</v>
      </c>
      <c r="L3108" s="1629"/>
      <c r="M3108" s="907">
        <v>0</v>
      </c>
      <c r="N3108" s="1629">
        <v>2.0526633295914873</v>
      </c>
      <c r="O3108" s="1629"/>
    </row>
    <row r="3109" spans="11:15">
      <c r="K3109" s="1625">
        <v>45166</v>
      </c>
      <c r="L3109" s="1629" t="s">
        <v>2301</v>
      </c>
      <c r="M3109" s="907">
        <v>4.9036999999999997E-2</v>
      </c>
      <c r="N3109" s="1629">
        <v>2.053669894108419</v>
      </c>
      <c r="O3109" s="1629"/>
    </row>
    <row r="3110" spans="11:15">
      <c r="K3110" s="1625">
        <v>45167</v>
      </c>
      <c r="L3110" s="1629" t="s">
        <v>2301</v>
      </c>
      <c r="M3110" s="907">
        <v>4.9036999999999997E-2</v>
      </c>
      <c r="N3110" s="1629">
        <v>2.0546769522143933</v>
      </c>
      <c r="O3110" s="1629"/>
    </row>
    <row r="3111" spans="11:15">
      <c r="K3111" s="1625">
        <v>45168</v>
      </c>
      <c r="L3111" s="1629" t="s">
        <v>2301</v>
      </c>
      <c r="M3111" s="907">
        <v>4.9036999999999997E-2</v>
      </c>
      <c r="N3111" s="1629">
        <v>2.0556845041514507</v>
      </c>
      <c r="O3111" s="1629"/>
    </row>
    <row r="3112" spans="11:15">
      <c r="K3112" s="1625">
        <v>45169</v>
      </c>
      <c r="L3112" s="1629" t="s">
        <v>2301</v>
      </c>
      <c r="M3112" s="907">
        <v>4.9036999999999997E-2</v>
      </c>
      <c r="N3112" s="1629">
        <v>2.0566925501617517</v>
      </c>
      <c r="O3112" s="1629"/>
    </row>
    <row r="3113" spans="11:15">
      <c r="K3113" s="1625">
        <v>45170</v>
      </c>
      <c r="L3113" s="1629" t="s">
        <v>2301</v>
      </c>
      <c r="M3113" s="907">
        <v>4.9036999999999997E-2</v>
      </c>
      <c r="N3113" s="1629">
        <v>2.0577010904875745</v>
      </c>
      <c r="O3113" s="1629"/>
    </row>
    <row r="3114" spans="11:15">
      <c r="K3114" s="1625">
        <v>45171</v>
      </c>
      <c r="L3114" s="1629"/>
      <c r="M3114" s="907">
        <v>0</v>
      </c>
      <c r="N3114" s="1629">
        <v>2.0577010904875745</v>
      </c>
      <c r="O3114" s="1629"/>
    </row>
    <row r="3115" spans="11:15">
      <c r="K3115" s="1625">
        <v>45172</v>
      </c>
      <c r="L3115" s="1629"/>
      <c r="M3115" s="907">
        <v>0</v>
      </c>
      <c r="N3115" s="1629">
        <v>2.0577010904875745</v>
      </c>
      <c r="O3115" s="1629"/>
    </row>
    <row r="3116" spans="11:15">
      <c r="K3116" s="1625">
        <v>45173</v>
      </c>
      <c r="L3116" s="1629" t="s">
        <v>2301</v>
      </c>
      <c r="M3116" s="907">
        <v>4.9036999999999997E-2</v>
      </c>
      <c r="N3116" s="1629">
        <v>2.0587101253713169</v>
      </c>
      <c r="O3116" s="1629"/>
    </row>
    <row r="3117" spans="11:15">
      <c r="K3117" s="1625">
        <v>45174</v>
      </c>
      <c r="L3117" s="1629" t="s">
        <v>2301</v>
      </c>
      <c r="M3117" s="907">
        <v>4.9036999999999997E-2</v>
      </c>
      <c r="N3117" s="1629">
        <v>2.0597196550554955</v>
      </c>
      <c r="O3117" s="1629"/>
    </row>
    <row r="3118" spans="11:15">
      <c r="K3118" s="1625">
        <v>45175</v>
      </c>
      <c r="L3118" s="1629" t="s">
        <v>2301</v>
      </c>
      <c r="M3118" s="907">
        <v>4.9036999999999997E-2</v>
      </c>
      <c r="N3118" s="1629">
        <v>2.060729679782745</v>
      </c>
      <c r="O3118" s="1629"/>
    </row>
    <row r="3119" spans="11:15">
      <c r="K3119" s="1625">
        <v>45176</v>
      </c>
      <c r="L3119" s="1629"/>
      <c r="M3119" s="907">
        <v>0</v>
      </c>
      <c r="N3119" s="1629">
        <v>2.060729679782745</v>
      </c>
      <c r="O3119" s="1629"/>
    </row>
    <row r="3120" spans="11:15">
      <c r="K3120" s="1625">
        <v>45177</v>
      </c>
      <c r="L3120" s="1629" t="s">
        <v>2301</v>
      </c>
      <c r="M3120" s="907">
        <v>4.9036999999999997E-2</v>
      </c>
      <c r="N3120" s="1629">
        <v>2.0617401997958202</v>
      </c>
      <c r="O3120" s="1629"/>
    </row>
    <row r="3121" spans="11:15">
      <c r="K3121" s="1625">
        <v>45178</v>
      </c>
      <c r="L3121" s="1629"/>
      <c r="M3121" s="907">
        <v>0</v>
      </c>
      <c r="N3121" s="1629">
        <v>2.0617401997958202</v>
      </c>
      <c r="O3121" s="1629"/>
    </row>
    <row r="3122" spans="11:15">
      <c r="K3122" s="1625">
        <v>45179</v>
      </c>
      <c r="L3122" s="1629"/>
      <c r="M3122" s="907">
        <v>0</v>
      </c>
      <c r="N3122" s="1629">
        <v>2.0617401997958202</v>
      </c>
      <c r="O3122" s="1629"/>
    </row>
    <row r="3123" spans="11:15">
      <c r="K3123" s="1625">
        <v>45180</v>
      </c>
      <c r="L3123" s="1629" t="s">
        <v>2301</v>
      </c>
      <c r="M3123" s="907">
        <v>4.9036999999999997E-2</v>
      </c>
      <c r="N3123" s="1629">
        <v>2.0627512153375944</v>
      </c>
      <c r="O3123" s="1629"/>
    </row>
    <row r="3124" spans="11:15">
      <c r="K3124" s="1625">
        <v>45181</v>
      </c>
      <c r="L3124" s="1629" t="s">
        <v>2301</v>
      </c>
      <c r="M3124" s="907">
        <v>4.9036999999999997E-2</v>
      </c>
      <c r="N3124" s="1629">
        <v>2.0637627266510599</v>
      </c>
      <c r="O3124" s="1629"/>
    </row>
    <row r="3125" spans="11:15">
      <c r="K3125" s="1625">
        <v>45182</v>
      </c>
      <c r="L3125" s="1629" t="s">
        <v>2301</v>
      </c>
      <c r="M3125" s="907">
        <v>4.9036999999999997E-2</v>
      </c>
      <c r="N3125" s="1629">
        <v>2.0647747339793279</v>
      </c>
      <c r="O3125" s="1629"/>
    </row>
    <row r="3126" spans="11:15">
      <c r="K3126" s="1625">
        <v>45183</v>
      </c>
      <c r="L3126" s="1629" t="s">
        <v>2301</v>
      </c>
      <c r="M3126" s="907">
        <v>4.9036999999999997E-2</v>
      </c>
      <c r="N3126" s="1629">
        <v>2.0657872375656297</v>
      </c>
      <c r="O3126" s="1629"/>
    </row>
    <row r="3127" spans="11:15">
      <c r="K3127" s="1625">
        <v>45184</v>
      </c>
      <c r="L3127" s="1629" t="s">
        <v>2301</v>
      </c>
      <c r="M3127" s="907">
        <v>4.9036999999999997E-2</v>
      </c>
      <c r="N3127" s="1629">
        <v>2.066800237653315</v>
      </c>
      <c r="O3127" s="1629"/>
    </row>
    <row r="3128" spans="11:15">
      <c r="K3128" s="1625">
        <v>45185</v>
      </c>
      <c r="L3128" s="1629"/>
      <c r="M3128" s="907">
        <v>0</v>
      </c>
      <c r="N3128" s="1629">
        <v>2.066800237653315</v>
      </c>
      <c r="O3128" s="1629"/>
    </row>
    <row r="3129" spans="11:15">
      <c r="K3129" s="1625">
        <v>45186</v>
      </c>
      <c r="L3129" s="1629"/>
      <c r="M3129" s="907">
        <v>0</v>
      </c>
      <c r="N3129" s="1629">
        <v>2.066800237653315</v>
      </c>
      <c r="O3129" s="1629"/>
    </row>
    <row r="3130" spans="11:15">
      <c r="K3130" s="1625">
        <v>45187</v>
      </c>
      <c r="L3130" s="1629" t="s">
        <v>2301</v>
      </c>
      <c r="M3130" s="907">
        <v>4.9036999999999997E-2</v>
      </c>
      <c r="N3130" s="1629">
        <v>2.0678137344858531</v>
      </c>
      <c r="O3130" s="1629"/>
    </row>
    <row r="3131" spans="11:15">
      <c r="K3131" s="1625">
        <v>45188</v>
      </c>
      <c r="L3131" s="1629" t="s">
        <v>2301</v>
      </c>
      <c r="M3131" s="907">
        <v>4.9036999999999997E-2</v>
      </c>
      <c r="N3131" s="1629">
        <v>2.0688277283068333</v>
      </c>
      <c r="O3131" s="1629"/>
    </row>
    <row r="3132" spans="11:15">
      <c r="K3132" s="1625">
        <v>45189</v>
      </c>
      <c r="L3132" s="1629" t="s">
        <v>2301</v>
      </c>
      <c r="M3132" s="907">
        <v>4.9036999999999997E-2</v>
      </c>
      <c r="N3132" s="1629">
        <v>2.069842219359963</v>
      </c>
      <c r="O3132" s="1629"/>
    </row>
    <row r="3133" spans="11:15">
      <c r="K3133" s="1625">
        <v>45190</v>
      </c>
      <c r="L3133" s="1629" t="s">
        <v>2301</v>
      </c>
      <c r="M3133" s="907">
        <v>4.9036999999999997E-2</v>
      </c>
      <c r="N3133" s="1629">
        <v>2.0708572078890706</v>
      </c>
      <c r="O3133" s="1629"/>
    </row>
    <row r="3134" spans="11:15">
      <c r="K3134" s="1625">
        <v>45191</v>
      </c>
      <c r="L3134" s="1629" t="s">
        <v>2301</v>
      </c>
      <c r="M3134" s="907">
        <v>4.9036999999999997E-2</v>
      </c>
      <c r="N3134" s="1629">
        <v>2.0718726941381034</v>
      </c>
      <c r="O3134" s="1629"/>
    </row>
    <row r="3135" spans="11:15">
      <c r="K3135" s="1625">
        <v>45192</v>
      </c>
      <c r="L3135" s="1629"/>
      <c r="M3135" s="907">
        <v>0</v>
      </c>
      <c r="N3135" s="1629">
        <v>2.0718726941381034</v>
      </c>
      <c r="O3135" s="1629"/>
    </row>
    <row r="3136" spans="11:15">
      <c r="K3136" s="1625">
        <v>45193</v>
      </c>
      <c r="L3136" s="1629"/>
      <c r="M3136" s="907">
        <v>0</v>
      </c>
      <c r="N3136" s="1629">
        <v>2.0718726941381034</v>
      </c>
      <c r="O3136" s="1629"/>
    </row>
    <row r="3137" spans="11:15">
      <c r="K3137" s="1625">
        <v>45194</v>
      </c>
      <c r="L3137" s="1629" t="s">
        <v>2301</v>
      </c>
      <c r="M3137" s="907">
        <v>4.9036999999999997E-2</v>
      </c>
      <c r="N3137" s="1629">
        <v>2.072888678351128</v>
      </c>
      <c r="O3137" s="1629"/>
    </row>
    <row r="3138" spans="11:15">
      <c r="K3138" s="1625">
        <v>45195</v>
      </c>
      <c r="L3138" s="1629" t="s">
        <v>2301</v>
      </c>
      <c r="M3138" s="907">
        <v>4.9036999999999997E-2</v>
      </c>
      <c r="N3138" s="1629">
        <v>2.0739051607723313</v>
      </c>
      <c r="O3138" s="1629"/>
    </row>
    <row r="3139" spans="11:15">
      <c r="K3139" s="1625">
        <v>45196</v>
      </c>
      <c r="L3139" s="1629" t="s">
        <v>2301</v>
      </c>
      <c r="M3139" s="907">
        <v>4.9036999999999997E-2</v>
      </c>
      <c r="N3139" s="1629">
        <v>2.0749221416460193</v>
      </c>
      <c r="O3139" s="1629"/>
    </row>
    <row r="3140" spans="11:15">
      <c r="K3140" s="1625">
        <v>45197</v>
      </c>
      <c r="L3140" s="1629" t="s">
        <v>2301</v>
      </c>
      <c r="M3140" s="907">
        <v>4.9036999999999997E-2</v>
      </c>
      <c r="N3140" s="1629">
        <v>2.0759396212166186</v>
      </c>
      <c r="O3140" s="1629"/>
    </row>
    <row r="3141" spans="11:15">
      <c r="K3141" s="1625">
        <v>45198</v>
      </c>
      <c r="L3141" s="1629" t="s">
        <v>2301</v>
      </c>
      <c r="M3141" s="907">
        <v>4.9036999999999997E-2</v>
      </c>
      <c r="N3141" s="1629">
        <v>2.0769575997286749</v>
      </c>
      <c r="O3141" s="1629"/>
    </row>
    <row r="3142" spans="11:15">
      <c r="K3142" s="1625">
        <v>45199</v>
      </c>
      <c r="L3142" s="1629"/>
      <c r="M3142" s="907">
        <v>0</v>
      </c>
      <c r="N3142" s="1629">
        <v>2.0769575997286749</v>
      </c>
      <c r="O3142" s="1629"/>
    </row>
    <row r="3143" spans="11:15">
      <c r="K3143" s="1625">
        <v>45200</v>
      </c>
      <c r="L3143" s="1629"/>
      <c r="M3143" s="907">
        <v>0</v>
      </c>
      <c r="N3143" s="1629">
        <v>2.0769575997286749</v>
      </c>
      <c r="O3143" s="1629"/>
    </row>
    <row r="3144" spans="11:15">
      <c r="K3144" s="1625">
        <v>45201</v>
      </c>
      <c r="L3144" s="1629" t="s">
        <v>2301</v>
      </c>
      <c r="M3144" s="907">
        <v>4.9036999999999997E-2</v>
      </c>
      <c r="N3144" s="1629">
        <v>2.0779760774268539</v>
      </c>
      <c r="O3144" s="1629"/>
    </row>
    <row r="3145" spans="11:15">
      <c r="K3145" s="1625">
        <v>45202</v>
      </c>
      <c r="L3145" s="1629" t="s">
        <v>2301</v>
      </c>
      <c r="M3145" s="907">
        <v>4.9036999999999997E-2</v>
      </c>
      <c r="N3145" s="1629">
        <v>2.0789950545559419</v>
      </c>
      <c r="O3145" s="1629"/>
    </row>
    <row r="3146" spans="11:15">
      <c r="K3146" s="1625">
        <v>45203</v>
      </c>
      <c r="L3146" s="1629" t="s">
        <v>2301</v>
      </c>
      <c r="M3146" s="907">
        <v>4.9036999999999997E-2</v>
      </c>
      <c r="N3146" s="1629">
        <v>2.0800145313608445</v>
      </c>
      <c r="O3146" s="1629"/>
    </row>
    <row r="3147" spans="11:15">
      <c r="K3147" s="1625">
        <v>45204</v>
      </c>
      <c r="L3147" s="1629" t="s">
        <v>2301</v>
      </c>
      <c r="M3147" s="907">
        <v>4.9036999999999997E-2</v>
      </c>
      <c r="N3147" s="1629">
        <v>2.0810345080865882</v>
      </c>
      <c r="O3147" s="1629"/>
    </row>
    <row r="3148" spans="11:15">
      <c r="K3148" s="1625">
        <v>45205</v>
      </c>
      <c r="L3148" s="1629" t="s">
        <v>2301</v>
      </c>
      <c r="M3148" s="907">
        <v>4.9036999999999997E-2</v>
      </c>
      <c r="N3148" s="1629">
        <v>2.0820549849783188</v>
      </c>
      <c r="O3148" s="1629"/>
    </row>
    <row r="3149" spans="11:15">
      <c r="K3149" s="1625">
        <v>45206</v>
      </c>
      <c r="L3149" s="1629"/>
      <c r="M3149" s="907">
        <v>0</v>
      </c>
      <c r="N3149" s="1629">
        <v>2.0820549849783188</v>
      </c>
      <c r="O3149" s="1629"/>
    </row>
    <row r="3150" spans="11:15">
      <c r="K3150" s="1625">
        <v>45207</v>
      </c>
      <c r="L3150" s="1629"/>
      <c r="M3150" s="907">
        <v>0</v>
      </c>
      <c r="N3150" s="1629">
        <v>2.0820549849783188</v>
      </c>
      <c r="O3150" s="1629"/>
    </row>
    <row r="3151" spans="11:15">
      <c r="K3151" s="1625">
        <v>45208</v>
      </c>
      <c r="L3151" s="1629" t="s">
        <v>2301</v>
      </c>
      <c r="M3151" s="907">
        <v>4.9036999999999997E-2</v>
      </c>
      <c r="N3151" s="1629">
        <v>2.0830759622813027</v>
      </c>
      <c r="O3151" s="1629"/>
    </row>
    <row r="3152" spans="11:15">
      <c r="K3152" s="1625">
        <v>45209</v>
      </c>
      <c r="L3152" s="1629" t="s">
        <v>2301</v>
      </c>
      <c r="M3152" s="907">
        <v>4.9036999999999997E-2</v>
      </c>
      <c r="N3152" s="1629">
        <v>2.0840974402409267</v>
      </c>
      <c r="O3152" s="1629"/>
    </row>
    <row r="3153" spans="11:15">
      <c r="K3153" s="1625">
        <v>45210</v>
      </c>
      <c r="L3153" s="1629" t="s">
        <v>2301</v>
      </c>
      <c r="M3153" s="907">
        <v>4.9036999999999997E-2</v>
      </c>
      <c r="N3153" s="1629">
        <v>2.0851194191026976</v>
      </c>
      <c r="O3153" s="1629"/>
    </row>
    <row r="3154" spans="11:15">
      <c r="K3154" s="1625">
        <v>45211</v>
      </c>
      <c r="L3154" s="1629"/>
      <c r="M3154" s="907">
        <v>0</v>
      </c>
      <c r="N3154" s="1629">
        <v>2.0851194191026976</v>
      </c>
      <c r="O3154" s="1629"/>
    </row>
    <row r="3155" spans="11:15">
      <c r="K3155" s="1625">
        <v>45212</v>
      </c>
      <c r="L3155" s="1629" t="s">
        <v>2301</v>
      </c>
      <c r="M3155" s="907">
        <v>4.9036999999999997E-2</v>
      </c>
      <c r="N3155" s="1629">
        <v>2.0861418991122433</v>
      </c>
      <c r="O3155" s="1629"/>
    </row>
    <row r="3156" spans="11:15">
      <c r="K3156" s="1625">
        <v>45213</v>
      </c>
      <c r="L3156" s="1629"/>
      <c r="M3156" s="907">
        <v>0</v>
      </c>
      <c r="N3156" s="1629">
        <v>2.0861418991122433</v>
      </c>
      <c r="O3156" s="1629"/>
    </row>
    <row r="3157" spans="11:15">
      <c r="K3157" s="1625">
        <v>45214</v>
      </c>
      <c r="L3157" s="1629"/>
      <c r="M3157" s="907">
        <v>0</v>
      </c>
      <c r="N3157" s="1629">
        <v>2.0861418991122433</v>
      </c>
      <c r="O3157" s="1629"/>
    </row>
    <row r="3158" spans="11:15">
      <c r="K3158" s="1625">
        <v>45215</v>
      </c>
      <c r="L3158" s="1629" t="s">
        <v>2301</v>
      </c>
      <c r="M3158" s="907">
        <v>4.9036999999999997E-2</v>
      </c>
      <c r="N3158" s="1629">
        <v>2.0871648805153113</v>
      </c>
      <c r="O3158" s="1629"/>
    </row>
    <row r="3159" spans="11:15">
      <c r="K3159" s="1625">
        <v>45216</v>
      </c>
      <c r="L3159" s="1629" t="s">
        <v>2301</v>
      </c>
      <c r="M3159" s="907">
        <v>4.9036999999999997E-2</v>
      </c>
      <c r="N3159" s="1629">
        <v>2.0881883635577698</v>
      </c>
      <c r="O3159" s="1629"/>
    </row>
    <row r="3160" spans="11:15">
      <c r="K3160" s="1625">
        <v>45217</v>
      </c>
      <c r="L3160" s="1629" t="s">
        <v>2301</v>
      </c>
      <c r="M3160" s="907">
        <v>4.9036999999999997E-2</v>
      </c>
      <c r="N3160" s="1629">
        <v>2.0892123484856078</v>
      </c>
      <c r="O3160" s="1629"/>
    </row>
    <row r="3161" spans="11:15">
      <c r="K3161" s="1625">
        <v>45218</v>
      </c>
      <c r="L3161" s="1629" t="s">
        <v>2301</v>
      </c>
      <c r="M3161" s="907">
        <v>4.9036999999999997E-2</v>
      </c>
      <c r="N3161" s="1629">
        <v>2.090236835544935</v>
      </c>
      <c r="O3161" s="1629"/>
    </row>
    <row r="3162" spans="11:15">
      <c r="K3162" s="1625">
        <v>45219</v>
      </c>
      <c r="L3162" s="1629" t="s">
        <v>2301</v>
      </c>
      <c r="M3162" s="907">
        <v>4.9036999999999997E-2</v>
      </c>
      <c r="N3162" s="1629">
        <v>2.0912618249819812</v>
      </c>
      <c r="O3162" s="1629"/>
    </row>
    <row r="3163" spans="11:15">
      <c r="K3163" s="1625">
        <v>45220</v>
      </c>
      <c r="L3163" s="1629"/>
      <c r="M3163" s="907">
        <v>0</v>
      </c>
      <c r="N3163" s="1629">
        <v>2.0912618249819812</v>
      </c>
      <c r="O3163" s="1629"/>
    </row>
    <row r="3164" spans="11:15">
      <c r="K3164" s="1625">
        <v>45221</v>
      </c>
      <c r="L3164" s="1629"/>
      <c r="M3164" s="907">
        <v>0</v>
      </c>
      <c r="N3164" s="1629">
        <v>2.0912618249819812</v>
      </c>
      <c r="O3164" s="1629"/>
    </row>
    <row r="3165" spans="11:15">
      <c r="K3165" s="1625">
        <v>45222</v>
      </c>
      <c r="L3165" s="1629" t="s">
        <v>2301</v>
      </c>
      <c r="M3165" s="907">
        <v>4.9036999999999997E-2</v>
      </c>
      <c r="N3165" s="1629">
        <v>2.0922873170430978</v>
      </c>
      <c r="O3165" s="1629"/>
    </row>
    <row r="3166" spans="11:15">
      <c r="K3166" s="1625">
        <v>45223</v>
      </c>
      <c r="L3166" s="1629" t="s">
        <v>2301</v>
      </c>
      <c r="M3166" s="907">
        <v>4.9036999999999997E-2</v>
      </c>
      <c r="N3166" s="1629">
        <v>2.0933133119747565</v>
      </c>
      <c r="O3166" s="1629"/>
    </row>
    <row r="3167" spans="11:15">
      <c r="K3167" s="1625">
        <v>45224</v>
      </c>
      <c r="L3167" s="1629" t="s">
        <v>2301</v>
      </c>
      <c r="M3167" s="907">
        <v>4.9036999999999997E-2</v>
      </c>
      <c r="N3167" s="1629">
        <v>2.0943398100235497</v>
      </c>
      <c r="O3167" s="1629"/>
    </row>
    <row r="3168" spans="11:15">
      <c r="K3168" s="1625">
        <v>45225</v>
      </c>
      <c r="L3168" s="1629" t="s">
        <v>2301</v>
      </c>
      <c r="M3168" s="907">
        <v>4.9036999999999997E-2</v>
      </c>
      <c r="N3168" s="1629">
        <v>2.095366811436191</v>
      </c>
      <c r="O3168" s="1629"/>
    </row>
    <row r="3169" spans="11:15">
      <c r="K3169" s="1625">
        <v>45226</v>
      </c>
      <c r="L3169" s="1629" t="s">
        <v>2301</v>
      </c>
      <c r="M3169" s="907">
        <v>4.9036999999999997E-2</v>
      </c>
      <c r="N3169" s="1629">
        <v>2.0963943164595151</v>
      </c>
      <c r="O3169" s="1629"/>
    </row>
    <row r="3170" spans="11:15">
      <c r="K3170" s="1625">
        <v>45227</v>
      </c>
      <c r="L3170" s="1629"/>
      <c r="M3170" s="907">
        <v>0</v>
      </c>
      <c r="N3170" s="1629">
        <v>2.0963943164595151</v>
      </c>
      <c r="O3170" s="1629"/>
    </row>
    <row r="3171" spans="11:15">
      <c r="K3171" s="1625">
        <v>45228</v>
      </c>
      <c r="L3171" s="1629"/>
      <c r="M3171" s="907">
        <v>0</v>
      </c>
      <c r="N3171" s="1629">
        <v>2.0963943164595151</v>
      </c>
      <c r="O3171" s="1629"/>
    </row>
    <row r="3172" spans="11:15">
      <c r="K3172" s="1625">
        <v>45229</v>
      </c>
      <c r="L3172" s="1629" t="s">
        <v>2301</v>
      </c>
      <c r="M3172" s="907">
        <v>4.9036999999999997E-2</v>
      </c>
      <c r="N3172" s="1629">
        <v>2.0974223253404776</v>
      </c>
      <c r="O3172" s="1629"/>
    </row>
    <row r="3173" spans="11:15">
      <c r="K3173" s="1625">
        <v>45230</v>
      </c>
      <c r="L3173" s="1629" t="s">
        <v>2301</v>
      </c>
      <c r="M3173" s="907">
        <v>4.9036999999999997E-2</v>
      </c>
      <c r="N3173" s="1629">
        <v>2.0984508383261549</v>
      </c>
      <c r="O3173" s="1629"/>
    </row>
    <row r="3174" spans="11:15">
      <c r="K3174" s="1625">
        <v>45231</v>
      </c>
      <c r="L3174" s="1629" t="s">
        <v>2301</v>
      </c>
      <c r="M3174" s="907">
        <v>4.9036999999999997E-2</v>
      </c>
      <c r="N3174" s="1629">
        <v>2.0994798556637448</v>
      </c>
      <c r="O3174" s="1629"/>
    </row>
    <row r="3175" spans="11:15">
      <c r="K3175" s="1625">
        <v>45232</v>
      </c>
      <c r="L3175" s="1629"/>
      <c r="M3175" s="907">
        <v>0</v>
      </c>
      <c r="N3175" s="1629">
        <v>2.0994798556637448</v>
      </c>
      <c r="O3175" s="1629"/>
    </row>
    <row r="3176" spans="11:15">
      <c r="K3176" s="1625">
        <v>45233</v>
      </c>
      <c r="L3176" s="1629" t="s">
        <v>2301</v>
      </c>
      <c r="M3176" s="907">
        <v>4.9036999999999997E-2</v>
      </c>
      <c r="N3176" s="1629">
        <v>2.100509377600567</v>
      </c>
      <c r="O3176" s="1629"/>
    </row>
    <row r="3177" spans="11:15">
      <c r="K3177" s="1625">
        <v>45234</v>
      </c>
      <c r="L3177" s="1629"/>
      <c r="M3177" s="907">
        <v>0</v>
      </c>
      <c r="N3177" s="1629">
        <v>2.100509377600567</v>
      </c>
      <c r="O3177" s="1629"/>
    </row>
    <row r="3178" spans="11:15">
      <c r="K3178" s="1625">
        <v>45235</v>
      </c>
      <c r="L3178" s="1629"/>
      <c r="M3178" s="907">
        <v>0</v>
      </c>
      <c r="N3178" s="1629">
        <v>2.100509377600567</v>
      </c>
      <c r="O3178" s="1629"/>
    </row>
    <row r="3179" spans="11:15">
      <c r="K3179" s="1625">
        <v>45236</v>
      </c>
      <c r="L3179" s="1629" t="s">
        <v>2301</v>
      </c>
      <c r="M3179" s="907">
        <v>4.9036999999999997E-2</v>
      </c>
      <c r="N3179" s="1629">
        <v>2.1015394043840612</v>
      </c>
      <c r="O3179" s="1629"/>
    </row>
    <row r="3180" spans="11:15">
      <c r="K3180" s="1625">
        <v>45237</v>
      </c>
      <c r="L3180" s="1629" t="s">
        <v>2301</v>
      </c>
      <c r="M3180" s="907">
        <v>4.9036999999999997E-2</v>
      </c>
      <c r="N3180" s="1629">
        <v>2.1025699362617893</v>
      </c>
      <c r="O3180" s="1629"/>
    </row>
    <row r="3181" spans="11:15">
      <c r="K3181" s="1625">
        <v>45238</v>
      </c>
      <c r="L3181" s="1629" t="s">
        <v>2301</v>
      </c>
      <c r="M3181" s="907">
        <v>4.9036999999999997E-2</v>
      </c>
      <c r="N3181" s="1629">
        <v>2.1036009734814343</v>
      </c>
      <c r="O3181" s="1629"/>
    </row>
    <row r="3182" spans="11:15">
      <c r="K3182" s="1625">
        <v>45239</v>
      </c>
      <c r="L3182" s="1629" t="s">
        <v>2301</v>
      </c>
      <c r="M3182" s="907">
        <v>4.9036999999999997E-2</v>
      </c>
      <c r="N3182" s="1629">
        <v>2.1046325162908004</v>
      </c>
      <c r="O3182" s="1629"/>
    </row>
    <row r="3183" spans="11:15">
      <c r="K3183" s="1625">
        <v>45240</v>
      </c>
      <c r="L3183" s="1629" t="s">
        <v>2301</v>
      </c>
      <c r="M3183" s="907">
        <v>4.9036999999999997E-2</v>
      </c>
      <c r="N3183" s="1629">
        <v>2.1056645649378143</v>
      </c>
      <c r="O3183" s="1629"/>
    </row>
    <row r="3184" spans="11:15">
      <c r="K3184" s="1625">
        <v>45241</v>
      </c>
      <c r="L3184" s="1629"/>
      <c r="M3184" s="907">
        <v>0</v>
      </c>
      <c r="N3184" s="1629">
        <v>2.1056645649378143</v>
      </c>
      <c r="O3184" s="1629"/>
    </row>
    <row r="3185" spans="11:15">
      <c r="K3185" s="1625">
        <v>45242</v>
      </c>
      <c r="L3185" s="1629"/>
      <c r="M3185" s="907">
        <v>0</v>
      </c>
      <c r="N3185" s="1629">
        <v>2.1056645649378143</v>
      </c>
      <c r="O3185" s="1629"/>
    </row>
    <row r="3186" spans="11:15">
      <c r="K3186" s="1625">
        <v>45243</v>
      </c>
      <c r="L3186" s="1629" t="s">
        <v>2301</v>
      </c>
      <c r="M3186" s="907">
        <v>4.9036999999999997E-2</v>
      </c>
      <c r="N3186" s="1629">
        <v>2.1066971196705229</v>
      </c>
      <c r="O3186" s="1629"/>
    </row>
    <row r="3187" spans="11:15">
      <c r="K3187" s="1625">
        <v>45244</v>
      </c>
      <c r="L3187" s="1629" t="s">
        <v>2301</v>
      </c>
      <c r="M3187" s="907">
        <v>4.9036999999999997E-2</v>
      </c>
      <c r="N3187" s="1629">
        <v>2.1077301807370961</v>
      </c>
      <c r="O3187" s="1629"/>
    </row>
    <row r="3188" spans="11:15">
      <c r="K3188" s="1625">
        <v>45245</v>
      </c>
      <c r="L3188" s="1629"/>
      <c r="M3188" s="907">
        <v>0</v>
      </c>
      <c r="N3188" s="1629">
        <v>2.1077301807370961</v>
      </c>
      <c r="O3188" s="1629"/>
    </row>
    <row r="3189" spans="11:15">
      <c r="K3189" s="1625">
        <v>45246</v>
      </c>
      <c r="L3189" s="1629" t="s">
        <v>2301</v>
      </c>
      <c r="M3189" s="907">
        <v>4.9036999999999997E-2</v>
      </c>
      <c r="N3189" s="1629">
        <v>2.1087637483858241</v>
      </c>
      <c r="O3189" s="1629"/>
    </row>
    <row r="3190" spans="11:15">
      <c r="K3190" s="1625">
        <v>45247</v>
      </c>
      <c r="L3190" s="1629" t="s">
        <v>2301</v>
      </c>
      <c r="M3190" s="907">
        <v>4.9036999999999997E-2</v>
      </c>
      <c r="N3190" s="1629">
        <v>2.1097978228651204</v>
      </c>
      <c r="O3190" s="1629"/>
    </row>
    <row r="3191" spans="11:15">
      <c r="K3191" s="1625">
        <v>45248</v>
      </c>
      <c r="L3191" s="1629"/>
      <c r="M3191" s="907">
        <v>0</v>
      </c>
      <c r="N3191" s="1629">
        <v>2.1097978228651204</v>
      </c>
      <c r="O3191" s="1629"/>
    </row>
    <row r="3192" spans="11:15">
      <c r="K3192" s="1625">
        <v>45249</v>
      </c>
      <c r="L3192" s="1629"/>
      <c r="M3192" s="907">
        <v>0</v>
      </c>
      <c r="N3192" s="1629">
        <v>2.1097978228651204</v>
      </c>
      <c r="O3192" s="1629"/>
    </row>
    <row r="3193" spans="11:15">
      <c r="K3193" s="1625">
        <v>45250</v>
      </c>
      <c r="L3193" s="1629" t="s">
        <v>2301</v>
      </c>
      <c r="M3193" s="907">
        <v>4.9036999999999997E-2</v>
      </c>
      <c r="N3193" s="1629">
        <v>2.1108324044235189</v>
      </c>
      <c r="O3193" s="1629"/>
    </row>
    <row r="3194" spans="11:15">
      <c r="K3194" s="1625">
        <v>45251</v>
      </c>
      <c r="L3194" s="1629" t="s">
        <v>2301</v>
      </c>
      <c r="M3194" s="907">
        <v>4.9036999999999997E-2</v>
      </c>
      <c r="N3194" s="1629">
        <v>2.1118674933096764</v>
      </c>
      <c r="O3194" s="1629"/>
    </row>
    <row r="3195" spans="11:15">
      <c r="K3195" s="1625">
        <v>45252</v>
      </c>
      <c r="L3195" s="1629" t="s">
        <v>2301</v>
      </c>
      <c r="M3195" s="907">
        <v>4.9036999999999997E-2</v>
      </c>
      <c r="N3195" s="1629">
        <v>2.1129030897723706</v>
      </c>
      <c r="O3195" s="1629"/>
    </row>
    <row r="3196" spans="11:15">
      <c r="K3196" s="1625">
        <v>45253</v>
      </c>
      <c r="L3196" s="1629" t="s">
        <v>2301</v>
      </c>
      <c r="M3196" s="907">
        <v>4.9036999999999997E-2</v>
      </c>
      <c r="N3196" s="1629">
        <v>2.1139391940605026</v>
      </c>
      <c r="O3196" s="1629"/>
    </row>
    <row r="3197" spans="11:15">
      <c r="K3197" s="1625">
        <v>45254</v>
      </c>
      <c r="L3197" s="1629" t="s">
        <v>2301</v>
      </c>
      <c r="M3197" s="907">
        <v>4.9036999999999997E-2</v>
      </c>
      <c r="N3197" s="1629">
        <v>2.1149758064230944</v>
      </c>
      <c r="O3197" s="1629"/>
    </row>
    <row r="3198" spans="11:15">
      <c r="K3198" s="1625">
        <v>45255</v>
      </c>
      <c r="L3198" s="1629"/>
      <c r="M3198" s="907">
        <v>0</v>
      </c>
      <c r="N3198" s="1629">
        <v>2.1149758064230944</v>
      </c>
      <c r="O3198" s="1629"/>
    </row>
    <row r="3199" spans="11:15">
      <c r="K3199" s="1625">
        <v>45256</v>
      </c>
      <c r="L3199" s="1629"/>
      <c r="M3199" s="907">
        <v>0</v>
      </c>
      <c r="N3199" s="1629">
        <v>2.1149758064230944</v>
      </c>
      <c r="O3199" s="1629"/>
    </row>
    <row r="3200" spans="11:15">
      <c r="K3200" s="1625">
        <v>45257</v>
      </c>
      <c r="L3200" s="1629" t="s">
        <v>2301</v>
      </c>
      <c r="M3200" s="907">
        <v>4.9036999999999997E-2</v>
      </c>
      <c r="N3200" s="1629">
        <v>2.1160129271092902</v>
      </c>
      <c r="O3200" s="1629"/>
    </row>
    <row r="3201" spans="11:15">
      <c r="K3201" s="1625">
        <v>45258</v>
      </c>
      <c r="L3201" s="1629" t="s">
        <v>2301</v>
      </c>
      <c r="M3201" s="907">
        <v>4.9036999999999997E-2</v>
      </c>
      <c r="N3201" s="1629">
        <v>2.117050556368357</v>
      </c>
      <c r="O3201" s="1629"/>
    </row>
    <row r="3202" spans="11:15">
      <c r="K3202" s="1625">
        <v>45259</v>
      </c>
      <c r="L3202" s="1629" t="s">
        <v>2301</v>
      </c>
      <c r="M3202" s="907">
        <v>4.9036999999999997E-2</v>
      </c>
      <c r="N3202" s="1629">
        <v>2.1180886944496837</v>
      </c>
      <c r="O3202" s="1629"/>
    </row>
    <row r="3203" spans="11:15">
      <c r="K3203" s="1625">
        <v>45260</v>
      </c>
      <c r="L3203" s="1629" t="s">
        <v>2301</v>
      </c>
      <c r="M3203" s="907">
        <v>4.9036999999999997E-2</v>
      </c>
      <c r="N3203" s="1629">
        <v>2.1191273416027814</v>
      </c>
      <c r="O3203" s="1629"/>
    </row>
    <row r="3204" spans="11:15">
      <c r="K3204" s="1625">
        <v>45261</v>
      </c>
      <c r="L3204" s="1629" t="s">
        <v>2301</v>
      </c>
      <c r="M3204" s="907">
        <v>4.9036999999999997E-2</v>
      </c>
      <c r="N3204" s="1629">
        <v>2.1201664980772832</v>
      </c>
      <c r="O3204" s="1629"/>
    </row>
    <row r="3205" spans="11:15">
      <c r="K3205" s="1625">
        <v>45262</v>
      </c>
      <c r="L3205" s="1629"/>
      <c r="M3205" s="907">
        <v>0</v>
      </c>
      <c r="N3205" s="1629">
        <v>2.1201664980772832</v>
      </c>
      <c r="O3205" s="1629"/>
    </row>
    <row r="3206" spans="11:15">
      <c r="K3206" s="1625">
        <v>45263</v>
      </c>
      <c r="L3206" s="1629"/>
      <c r="M3206" s="907">
        <v>0</v>
      </c>
      <c r="N3206" s="1629">
        <v>2.1201664980772832</v>
      </c>
      <c r="O3206" s="1629"/>
    </row>
    <row r="3207" spans="11:15">
      <c r="K3207" s="1625">
        <v>45264</v>
      </c>
      <c r="L3207" s="1629" t="s">
        <v>2301</v>
      </c>
      <c r="M3207" s="907">
        <v>4.9036999999999997E-2</v>
      </c>
      <c r="N3207" s="1629">
        <v>2.1212061641229454</v>
      </c>
      <c r="O3207" s="1629"/>
    </row>
    <row r="3208" spans="11:15">
      <c r="K3208" s="1625">
        <v>45265</v>
      </c>
      <c r="L3208" s="1629" t="s">
        <v>2301</v>
      </c>
      <c r="M3208" s="907">
        <v>4.9036999999999997E-2</v>
      </c>
      <c r="N3208" s="1629">
        <v>2.1222463399896463</v>
      </c>
      <c r="O3208" s="1629"/>
    </row>
    <row r="3209" spans="11:15">
      <c r="K3209" s="1625">
        <v>45266</v>
      </c>
      <c r="L3209" s="1629" t="s">
        <v>2301</v>
      </c>
      <c r="M3209" s="907">
        <v>4.9036999999999997E-2</v>
      </c>
      <c r="N3209" s="1629">
        <v>2.1232870259273873</v>
      </c>
      <c r="O3209" s="1629"/>
    </row>
    <row r="3210" spans="11:15">
      <c r="K3210" s="1625">
        <v>45267</v>
      </c>
      <c r="L3210" s="1629" t="s">
        <v>2301</v>
      </c>
      <c r="M3210" s="907">
        <v>4.9036999999999997E-2</v>
      </c>
      <c r="N3210" s="1629">
        <v>2.1243282221862914</v>
      </c>
      <c r="O3210" s="1629"/>
    </row>
    <row r="3211" spans="11:15">
      <c r="K3211" s="1625">
        <v>45268</v>
      </c>
      <c r="L3211" s="1629" t="s">
        <v>2301</v>
      </c>
      <c r="M3211" s="907">
        <v>4.9036999999999997E-2</v>
      </c>
      <c r="N3211" s="1629">
        <v>2.125369929016605</v>
      </c>
      <c r="O3211" s="1629"/>
    </row>
    <row r="3212" spans="11:15">
      <c r="K3212" s="1625">
        <v>45269</v>
      </c>
      <c r="L3212" s="1629"/>
      <c r="M3212" s="907">
        <v>0</v>
      </c>
      <c r="N3212" s="1629">
        <v>2.125369929016605</v>
      </c>
      <c r="O3212" s="1629"/>
    </row>
    <row r="3213" spans="11:15">
      <c r="K3213" s="1625">
        <v>45270</v>
      </c>
      <c r="L3213" s="1629"/>
      <c r="M3213" s="907">
        <v>0</v>
      </c>
      <c r="N3213" s="1629">
        <v>2.125369929016605</v>
      </c>
      <c r="O3213" s="1629"/>
    </row>
    <row r="3214" spans="11:15">
      <c r="K3214" s="1625">
        <v>45271</v>
      </c>
      <c r="L3214" s="1629" t="s">
        <v>2301</v>
      </c>
      <c r="M3214" s="907">
        <v>4.9036999999999997E-2</v>
      </c>
      <c r="N3214" s="1629">
        <v>2.1264121466686969</v>
      </c>
      <c r="O3214" s="1629"/>
    </row>
    <row r="3215" spans="11:15">
      <c r="K3215" s="1625">
        <v>45272</v>
      </c>
      <c r="L3215" s="1" t="s">
        <v>2301</v>
      </c>
      <c r="M3215" s="1">
        <v>4.9036999999999997E-2</v>
      </c>
      <c r="N3215" s="1">
        <v>2.1274548753930591</v>
      </c>
    </row>
    <row r="3216" spans="11:15">
      <c r="K3216" s="1625">
        <v>45273</v>
      </c>
      <c r="L3216" s="1" t="s">
        <v>2301</v>
      </c>
      <c r="M3216" s="1">
        <v>4.9036999999999997E-2</v>
      </c>
      <c r="N3216" s="1">
        <v>2.1284981154403058</v>
      </c>
    </row>
    <row r="3217" spans="11:14">
      <c r="K3217" s="1625">
        <v>45274</v>
      </c>
      <c r="L3217" s="1" t="s">
        <v>2301</v>
      </c>
      <c r="M3217" s="1">
        <v>4.9036999999999997E-2</v>
      </c>
      <c r="N3217" s="1">
        <v>2.1295418670611745</v>
      </c>
    </row>
    <row r="3218" spans="11:14">
      <c r="K3218" s="1625">
        <v>45275</v>
      </c>
      <c r="L3218" s="1" t="s">
        <v>2301</v>
      </c>
      <c r="M3218" s="1">
        <v>4.9036999999999997E-2</v>
      </c>
      <c r="N3218" s="1">
        <v>2.1305861305065257</v>
      </c>
    </row>
    <row r="3219" spans="11:14">
      <c r="K3219" s="1625">
        <v>45276</v>
      </c>
      <c r="M3219" s="1">
        <v>0</v>
      </c>
      <c r="N3219" s="1">
        <v>2.1305861305065257</v>
      </c>
    </row>
    <row r="3220" spans="11:14">
      <c r="K3220" s="1625">
        <v>45277</v>
      </c>
      <c r="M3220" s="1">
        <v>0</v>
      </c>
      <c r="N3220" s="1">
        <v>2.1305861305065257</v>
      </c>
    </row>
    <row r="3221" spans="11:14">
      <c r="K3221" s="1625">
        <v>45278</v>
      </c>
      <c r="L3221" s="1" t="s">
        <v>2301</v>
      </c>
      <c r="M3221" s="1">
        <v>4.9036999999999997E-2</v>
      </c>
      <c r="N3221" s="1">
        <v>2.1316309060273424</v>
      </c>
    </row>
    <row r="3222" spans="11:14">
      <c r="K3222" s="1625">
        <v>45279</v>
      </c>
      <c r="L3222" s="1" t="s">
        <v>2301</v>
      </c>
      <c r="M3222" s="1">
        <v>4.9036999999999997E-2</v>
      </c>
      <c r="N3222" s="1">
        <v>2.1326761938747314</v>
      </c>
    </row>
    <row r="3223" spans="11:14">
      <c r="K3223" s="1625">
        <v>45280</v>
      </c>
      <c r="L3223" s="1" t="s">
        <v>2301</v>
      </c>
      <c r="M3223" s="1">
        <v>4.9036999999999997E-2</v>
      </c>
      <c r="N3223" s="1">
        <v>2.1337219942999219</v>
      </c>
    </row>
    <row r="3224" spans="11:14">
      <c r="K3224" s="1625">
        <v>45281</v>
      </c>
      <c r="L3224" s="1" t="s">
        <v>2301</v>
      </c>
      <c r="M3224" s="1">
        <v>4.9036999999999997E-2</v>
      </c>
      <c r="N3224" s="1">
        <v>2.1347683075542667</v>
      </c>
    </row>
    <row r="3225" spans="11:14">
      <c r="K3225" s="1625">
        <v>45282</v>
      </c>
      <c r="L3225" s="1" t="s">
        <v>2301</v>
      </c>
      <c r="M3225" s="1">
        <v>4.9036999999999997E-2</v>
      </c>
      <c r="N3225" s="1">
        <v>2.1358151338892424</v>
      </c>
    </row>
    <row r="3226" spans="11:14">
      <c r="K3226" s="1625">
        <v>45283</v>
      </c>
      <c r="M3226" s="1">
        <v>0</v>
      </c>
      <c r="N3226" s="1">
        <v>2.1358151338892424</v>
      </c>
    </row>
    <row r="3227" spans="11:14">
      <c r="K3227" s="1625">
        <v>45284</v>
      </c>
      <c r="M3227" s="1">
        <v>0</v>
      </c>
      <c r="N3227" s="1">
        <v>2.1358151338892424</v>
      </c>
    </row>
    <row r="3228" spans="11:14">
      <c r="K3228" s="1625">
        <v>45285</v>
      </c>
      <c r="M3228" s="1">
        <v>0</v>
      </c>
      <c r="N3228" s="1">
        <v>2.1358151338892424</v>
      </c>
    </row>
    <row r="3229" spans="11:14">
      <c r="K3229" s="1625">
        <v>45286</v>
      </c>
      <c r="L3229" s="1" t="s">
        <v>2301</v>
      </c>
      <c r="M3229" s="1">
        <v>4.9036999999999997E-2</v>
      </c>
      <c r="N3229" s="1">
        <v>2.1368624735564477</v>
      </c>
    </row>
    <row r="3230" spans="11:14">
      <c r="K3230" s="1625">
        <v>45287</v>
      </c>
      <c r="L3230" s="1" t="s">
        <v>2301</v>
      </c>
      <c r="M3230" s="1">
        <v>4.9036999999999997E-2</v>
      </c>
      <c r="N3230" s="1">
        <v>2.1379103268076056</v>
      </c>
    </row>
    <row r="3231" spans="11:14">
      <c r="K3231" s="1625">
        <v>45288</v>
      </c>
      <c r="L3231" s="1" t="s">
        <v>2301</v>
      </c>
      <c r="M3231" s="1">
        <v>4.9036999999999997E-2</v>
      </c>
      <c r="N3231" s="1">
        <v>2.1389586938945624</v>
      </c>
    </row>
    <row r="3232" spans="11:14">
      <c r="K3232" s="1625">
        <v>45289</v>
      </c>
      <c r="L3232" s="1" t="s">
        <v>2301</v>
      </c>
      <c r="M3232" s="1">
        <v>4.9036999999999997E-2</v>
      </c>
      <c r="N3232" s="1">
        <v>2.1400075750692875</v>
      </c>
    </row>
    <row r="3233" spans="11:14">
      <c r="K3233" s="1625">
        <v>45290</v>
      </c>
      <c r="M3233" s="1">
        <v>0</v>
      </c>
      <c r="N3233" s="1">
        <v>2.1400075750692875</v>
      </c>
    </row>
    <row r="3234" spans="11:14">
      <c r="K3234" s="1625">
        <v>45291</v>
      </c>
      <c r="M3234" s="1">
        <v>0</v>
      </c>
      <c r="N3234" s="1">
        <v>2.1400075750692875</v>
      </c>
    </row>
    <row r="3235" spans="11:14">
      <c r="K3235" s="1625">
        <v>45292</v>
      </c>
      <c r="M3235" s="1">
        <v>0</v>
      </c>
      <c r="N3235" s="1">
        <v>2.1400075750692875</v>
      </c>
    </row>
    <row r="3236" spans="11:14">
      <c r="K3236" s="1625">
        <v>45293</v>
      </c>
      <c r="L3236" s="1" t="s">
        <v>2301</v>
      </c>
      <c r="M3236" s="1">
        <v>4.9036999999999997E-2</v>
      </c>
      <c r="N3236" s="1">
        <v>2.1410569705838745</v>
      </c>
    </row>
    <row r="3237" spans="11:14">
      <c r="K3237" s="1625">
        <v>45294</v>
      </c>
      <c r="L3237" s="1" t="s">
        <v>2301</v>
      </c>
      <c r="M3237" s="1">
        <v>4.9036999999999997E-2</v>
      </c>
      <c r="N3237" s="1">
        <v>2.1421068806905397</v>
      </c>
    </row>
    <row r="3238" spans="11:14">
      <c r="K3238" s="1625">
        <v>45295</v>
      </c>
      <c r="L3238" s="1" t="s">
        <v>2301</v>
      </c>
      <c r="M3238" s="1">
        <v>4.9036999999999997E-2</v>
      </c>
      <c r="N3238" s="1">
        <v>2.143157305641624</v>
      </c>
    </row>
    <row r="3239" spans="11:14">
      <c r="K3239" s="1625">
        <v>45296</v>
      </c>
      <c r="L3239" s="1" t="s">
        <v>2301</v>
      </c>
      <c r="M3239" s="1">
        <v>4.9036999999999997E-2</v>
      </c>
      <c r="N3239" s="1">
        <v>2.1442082456895917</v>
      </c>
    </row>
    <row r="3240" spans="11:14">
      <c r="K3240" s="1625">
        <v>45297</v>
      </c>
      <c r="M3240" s="1">
        <v>0</v>
      </c>
      <c r="N3240" s="1">
        <v>2.1442082456895917</v>
      </c>
    </row>
    <row r="3241" spans="11:14">
      <c r="K3241" s="1625">
        <v>45298</v>
      </c>
      <c r="M3241" s="1">
        <v>0</v>
      </c>
      <c r="N3241" s="1">
        <v>2.1442082456895917</v>
      </c>
    </row>
    <row r="3242" spans="11:14">
      <c r="K3242" s="1625">
        <v>45299</v>
      </c>
      <c r="L3242" s="1" t="s">
        <v>2301</v>
      </c>
      <c r="M3242" s="1">
        <v>4.9036999999999997E-2</v>
      </c>
      <c r="N3242" s="1">
        <v>2.1452597010870305</v>
      </c>
    </row>
    <row r="3243" spans="11:14">
      <c r="K3243" s="1625">
        <v>45300</v>
      </c>
      <c r="L3243" s="1" t="s">
        <v>2301</v>
      </c>
      <c r="M3243" s="1">
        <v>4.9036999999999997E-2</v>
      </c>
      <c r="N3243" s="1">
        <v>2.1463116720866529</v>
      </c>
    </row>
    <row r="3244" spans="11:14">
      <c r="K3244" s="1625">
        <v>45301</v>
      </c>
      <c r="L3244" s="1" t="s">
        <v>2301</v>
      </c>
      <c r="M3244" s="1">
        <v>4.9036999999999997E-2</v>
      </c>
      <c r="N3244" s="1">
        <v>2.147364158941294</v>
      </c>
    </row>
    <row r="3245" spans="11:14">
      <c r="K3245" s="1625">
        <v>45302</v>
      </c>
      <c r="L3245" s="1" t="s">
        <v>2301</v>
      </c>
      <c r="M3245" s="1">
        <v>4.9036999999999997E-2</v>
      </c>
      <c r="N3245" s="1">
        <v>2.1484171619039141</v>
      </c>
    </row>
    <row r="3246" spans="11:14">
      <c r="K3246" s="1625">
        <v>45303</v>
      </c>
      <c r="L3246" s="1" t="s">
        <v>2301</v>
      </c>
      <c r="M3246" s="1">
        <v>4.9036999999999997E-2</v>
      </c>
      <c r="N3246" s="1">
        <v>2.149470681227597</v>
      </c>
    </row>
    <row r="3247" spans="11:14">
      <c r="K3247" s="1625">
        <v>45304</v>
      </c>
      <c r="M3247" s="1">
        <v>0</v>
      </c>
      <c r="N3247" s="1">
        <v>2.149470681227597</v>
      </c>
    </row>
    <row r="3248" spans="11:14">
      <c r="K3248" s="1625">
        <v>45305</v>
      </c>
      <c r="M3248" s="1">
        <v>0</v>
      </c>
      <c r="N3248" s="1">
        <v>2.149470681227597</v>
      </c>
    </row>
    <row r="3249" spans="11:14">
      <c r="K3249" s="1625">
        <v>45306</v>
      </c>
      <c r="L3249" s="1" t="s">
        <v>2301</v>
      </c>
      <c r="M3249" s="1">
        <v>4.9036999999999997E-2</v>
      </c>
      <c r="N3249" s="1">
        <v>2.1505247171655508</v>
      </c>
    </row>
    <row r="3250" spans="11:14">
      <c r="K3250" s="1625">
        <v>45307</v>
      </c>
      <c r="L3250" s="1" t="s">
        <v>2301</v>
      </c>
      <c r="M3250" s="1">
        <v>4.9036999999999997E-2</v>
      </c>
      <c r="N3250" s="1">
        <v>2.1515792699711076</v>
      </c>
    </row>
    <row r="3251" spans="11:14">
      <c r="K3251" s="1625">
        <v>45308</v>
      </c>
      <c r="L3251" s="1" t="s">
        <v>2301</v>
      </c>
      <c r="M3251" s="1">
        <v>4.9036999999999997E-2</v>
      </c>
      <c r="N3251" s="1">
        <v>2.1526343398977237</v>
      </c>
    </row>
    <row r="3252" spans="11:14">
      <c r="K3252" s="1625">
        <v>45309</v>
      </c>
      <c r="L3252" s="1" t="s">
        <v>2301</v>
      </c>
      <c r="M3252" s="1">
        <v>4.9036999999999997E-2</v>
      </c>
      <c r="N3252" s="1">
        <v>2.1536899271989793</v>
      </c>
    </row>
    <row r="3253" spans="11:14">
      <c r="K3253" s="1625">
        <v>45310</v>
      </c>
      <c r="L3253" s="1" t="s">
        <v>2301</v>
      </c>
      <c r="M3253" s="1">
        <v>4.9036999999999997E-2</v>
      </c>
      <c r="N3253" s="1">
        <v>2.1547460321285801</v>
      </c>
    </row>
    <row r="3254" spans="11:14">
      <c r="K3254" s="1625">
        <v>45311</v>
      </c>
      <c r="M3254" s="1">
        <v>0</v>
      </c>
      <c r="N3254" s="1">
        <v>2.1547460321285801</v>
      </c>
    </row>
    <row r="3255" spans="11:14">
      <c r="K3255" s="1625">
        <v>45312</v>
      </c>
      <c r="M3255" s="1">
        <v>0</v>
      </c>
      <c r="N3255" s="1">
        <v>2.1547460321285801</v>
      </c>
    </row>
    <row r="3256" spans="11:14">
      <c r="K3256" s="1625">
        <v>45313</v>
      </c>
      <c r="L3256" s="1" t="s">
        <v>2301</v>
      </c>
      <c r="M3256" s="1">
        <v>4.9036999999999997E-2</v>
      </c>
      <c r="N3256" s="1">
        <v>2.1558026549403553</v>
      </c>
    </row>
    <row r="3257" spans="11:14">
      <c r="K3257" s="1625">
        <v>45314</v>
      </c>
      <c r="L3257" s="1" t="s">
        <v>2301</v>
      </c>
      <c r="M3257" s="1">
        <v>4.9036999999999997E-2</v>
      </c>
      <c r="N3257" s="1">
        <v>2.1568597958882587</v>
      </c>
    </row>
    <row r="3258" spans="11:14">
      <c r="K3258" s="1625">
        <v>45315</v>
      </c>
      <c r="L3258" s="1" t="s">
        <v>2301</v>
      </c>
      <c r="M3258" s="1">
        <v>4.9036999999999997E-2</v>
      </c>
      <c r="N3258" s="1">
        <v>2.1579174552263685</v>
      </c>
    </row>
    <row r="3259" spans="11:14">
      <c r="K3259" s="1625">
        <v>45316</v>
      </c>
      <c r="L3259" s="1" t="s">
        <v>2301</v>
      </c>
      <c r="M3259" s="1">
        <v>4.9036999999999997E-2</v>
      </c>
      <c r="N3259" s="1">
        <v>2.1589756332088879</v>
      </c>
    </row>
    <row r="3260" spans="11:14">
      <c r="K3260" s="1625">
        <v>45317</v>
      </c>
      <c r="L3260" s="1" t="s">
        <v>2301</v>
      </c>
      <c r="M3260" s="1">
        <v>4.9036999999999997E-2</v>
      </c>
      <c r="N3260" s="1">
        <v>2.1600343300901446</v>
      </c>
    </row>
    <row r="3261" spans="11:14">
      <c r="K3261" s="1625"/>
    </row>
    <row r="3262" spans="11:14">
      <c r="K3262" s="1625"/>
    </row>
    <row r="3263" spans="11:14">
      <c r="K3263" s="1625"/>
    </row>
    <row r="3264" spans="11:14">
      <c r="K3264" s="1625"/>
    </row>
    <row r="3265" spans="11:11">
      <c r="K3265" s="1625"/>
    </row>
    <row r="3266" spans="11:11">
      <c r="K3266" s="1625"/>
    </row>
    <row r="3267" spans="11:11">
      <c r="K3267" s="1625"/>
    </row>
    <row r="3268" spans="11:11">
      <c r="K3268" s="1625"/>
    </row>
    <row r="3269" spans="11:11">
      <c r="K3269" s="1625"/>
    </row>
    <row r="3270" spans="11:11">
      <c r="K3270" s="1625"/>
    </row>
    <row r="3271" spans="11:11">
      <c r="K3271" s="1625"/>
    </row>
    <row r="3272" spans="11:11">
      <c r="K3272" s="1625"/>
    </row>
    <row r="3273" spans="11:11">
      <c r="K3273" s="1625"/>
    </row>
    <row r="3274" spans="11:11">
      <c r="K3274" s="1625"/>
    </row>
    <row r="3275" spans="11:11">
      <c r="K3275" s="1625"/>
    </row>
    <row r="3276" spans="11:11">
      <c r="K3276" s="1625"/>
    </row>
    <row r="3277" spans="11:11">
      <c r="K3277" s="1625"/>
    </row>
    <row r="3278" spans="11:11">
      <c r="K3278" s="1625"/>
    </row>
    <row r="3279" spans="11:11">
      <c r="K3279" s="1625"/>
    </row>
    <row r="3280" spans="11:11">
      <c r="K3280" s="1625"/>
    </row>
    <row r="3281" spans="11:11">
      <c r="K3281" s="1625"/>
    </row>
    <row r="3282" spans="11:11">
      <c r="K3282" s="1625"/>
    </row>
    <row r="3283" spans="11:11">
      <c r="K3283" s="1625"/>
    </row>
    <row r="3284" spans="11:11">
      <c r="K3284" s="1625"/>
    </row>
    <row r="3285" spans="11:11">
      <c r="K3285" s="1625"/>
    </row>
    <row r="3286" spans="11:11">
      <c r="K3286" s="1625"/>
    </row>
    <row r="3287" spans="11:11">
      <c r="K3287" s="1625"/>
    </row>
    <row r="3288" spans="11:11">
      <c r="K3288" s="1625"/>
    </row>
    <row r="3289" spans="11:11">
      <c r="K3289" s="1625"/>
    </row>
    <row r="3290" spans="11:11">
      <c r="K3290" s="1625"/>
    </row>
    <row r="3291" spans="11:11">
      <c r="K3291" s="1625"/>
    </row>
    <row r="3292" spans="11:11">
      <c r="K3292" s="1625"/>
    </row>
    <row r="3293" spans="11:11">
      <c r="K3293" s="1625"/>
    </row>
    <row r="3294" spans="11:11">
      <c r="K3294" s="1625"/>
    </row>
    <row r="3295" spans="11:11">
      <c r="K3295" s="1625"/>
    </row>
    <row r="3296" spans="11:11">
      <c r="K3296" s="1625"/>
    </row>
    <row r="3297" spans="11:11">
      <c r="K3297" s="1625"/>
    </row>
    <row r="3298" spans="11:11">
      <c r="K3298" s="1625"/>
    </row>
    <row r="3299" spans="11:11">
      <c r="K3299" s="1625"/>
    </row>
    <row r="3300" spans="11:11">
      <c r="K3300" s="1625"/>
    </row>
    <row r="3301" spans="11:11">
      <c r="K3301" s="1625"/>
    </row>
    <row r="3302" spans="11:11">
      <c r="K3302" s="1625"/>
    </row>
    <row r="3303" spans="11:11">
      <c r="K3303" s="1625"/>
    </row>
    <row r="3304" spans="11:11">
      <c r="K3304" s="1625"/>
    </row>
    <row r="3305" spans="11:11">
      <c r="K3305" s="1625"/>
    </row>
    <row r="3306" spans="11:11">
      <c r="K3306" s="1625"/>
    </row>
    <row r="3307" spans="11:11">
      <c r="K3307" s="1625"/>
    </row>
    <row r="3308" spans="11:11">
      <c r="K3308" s="1625"/>
    </row>
    <row r="3309" spans="11:11">
      <c r="K3309" s="1625"/>
    </row>
    <row r="3310" spans="11:11">
      <c r="K3310" s="1625"/>
    </row>
    <row r="3311" spans="11:11">
      <c r="K3311" s="1625"/>
    </row>
    <row r="3312" spans="11:11">
      <c r="K3312" s="1625"/>
    </row>
    <row r="3313" spans="11:11">
      <c r="K3313" s="1625"/>
    </row>
    <row r="3314" spans="11:11">
      <c r="K3314" s="1625"/>
    </row>
    <row r="3315" spans="11:11">
      <c r="K3315" s="1625"/>
    </row>
    <row r="3316" spans="11:11">
      <c r="K3316" s="1625"/>
    </row>
    <row r="3317" spans="11:11">
      <c r="K3317" s="1625"/>
    </row>
    <row r="3318" spans="11:11">
      <c r="K3318" s="1625"/>
    </row>
    <row r="3319" spans="11:11">
      <c r="K3319" s="1625"/>
    </row>
    <row r="3320" spans="11:11">
      <c r="K3320" s="1625"/>
    </row>
    <row r="3321" spans="11:11">
      <c r="K3321" s="1625"/>
    </row>
    <row r="3322" spans="11:11">
      <c r="K3322" s="1625"/>
    </row>
    <row r="3323" spans="11:11">
      <c r="K3323" s="1625"/>
    </row>
    <row r="3324" spans="11:11">
      <c r="K3324" s="1625"/>
    </row>
    <row r="3325" spans="11:11">
      <c r="K3325" s="1625"/>
    </row>
    <row r="3326" spans="11:11">
      <c r="K3326" s="1625"/>
    </row>
    <row r="3327" spans="11:11">
      <c r="K3327" s="1625"/>
    </row>
    <row r="3328" spans="11:11">
      <c r="K3328" s="1625"/>
    </row>
    <row r="3329" spans="11:11">
      <c r="K3329" s="1625"/>
    </row>
    <row r="3330" spans="11:11">
      <c r="K3330" s="1625"/>
    </row>
    <row r="3331" spans="11:11">
      <c r="K3331" s="1625"/>
    </row>
    <row r="3332" spans="11:11">
      <c r="K3332" s="1625"/>
    </row>
    <row r="3333" spans="11:11">
      <c r="K3333" s="1625"/>
    </row>
    <row r="3334" spans="11:11">
      <c r="K3334" s="1625"/>
    </row>
    <row r="3335" spans="11:11">
      <c r="K3335" s="1625"/>
    </row>
    <row r="3336" spans="11:11">
      <c r="K3336" s="1625"/>
    </row>
    <row r="3337" spans="11:11">
      <c r="K3337" s="1625"/>
    </row>
    <row r="3338" spans="11:11">
      <c r="K3338" s="1625"/>
    </row>
    <row r="3339" spans="11:11">
      <c r="K3339" s="1625"/>
    </row>
    <row r="3340" spans="11:11">
      <c r="K3340" s="1625"/>
    </row>
    <row r="3341" spans="11:11">
      <c r="K3341" s="1625"/>
    </row>
    <row r="3342" spans="11:11">
      <c r="K3342" s="1625"/>
    </row>
    <row r="3343" spans="11:11">
      <c r="K3343" s="1625"/>
    </row>
    <row r="3344" spans="11:11">
      <c r="K3344" s="1625"/>
    </row>
    <row r="3345" spans="11:11">
      <c r="K3345" s="1625"/>
    </row>
    <row r="3346" spans="11:11">
      <c r="K3346" s="1625"/>
    </row>
    <row r="3347" spans="11:11">
      <c r="K3347" s="1625"/>
    </row>
    <row r="3348" spans="11:11">
      <c r="K3348" s="1625"/>
    </row>
    <row r="3349" spans="11:11">
      <c r="K3349" s="1625"/>
    </row>
    <row r="3350" spans="11:11">
      <c r="K3350" s="1625"/>
    </row>
    <row r="3351" spans="11:11">
      <c r="K3351" s="1625"/>
    </row>
    <row r="3352" spans="11:11">
      <c r="K3352" s="1625"/>
    </row>
    <row r="3353" spans="11:11">
      <c r="K3353" s="1625"/>
    </row>
    <row r="3354" spans="11:11">
      <c r="K3354" s="1625"/>
    </row>
    <row r="3355" spans="11:11">
      <c r="K3355" s="1625"/>
    </row>
    <row r="3356" spans="11:11">
      <c r="K3356" s="1625"/>
    </row>
    <row r="3357" spans="11:11">
      <c r="K3357" s="1625"/>
    </row>
    <row r="3358" spans="11:11">
      <c r="K3358" s="1625"/>
    </row>
    <row r="3359" spans="11:11">
      <c r="K3359" s="1625"/>
    </row>
    <row r="3360" spans="11:11">
      <c r="K3360" s="1625"/>
    </row>
    <row r="3361" spans="11:11">
      <c r="K3361" s="1625"/>
    </row>
    <row r="3362" spans="11:11">
      <c r="K3362" s="1625"/>
    </row>
    <row r="3363" spans="11:11">
      <c r="K3363" s="1625"/>
    </row>
    <row r="3364" spans="11:11">
      <c r="K3364" s="1625"/>
    </row>
    <row r="3365" spans="11:11">
      <c r="K3365" s="1625"/>
    </row>
    <row r="3366" spans="11:11">
      <c r="K3366" s="1625"/>
    </row>
    <row r="3367" spans="11:11">
      <c r="K3367" s="1625"/>
    </row>
    <row r="3368" spans="11:11">
      <c r="K3368" s="1625"/>
    </row>
    <row r="3369" spans="11:11">
      <c r="K3369" s="1625"/>
    </row>
    <row r="3370" spans="11:11">
      <c r="K3370" s="1625"/>
    </row>
    <row r="3371" spans="11:11">
      <c r="K3371" s="1625"/>
    </row>
    <row r="3372" spans="11:11">
      <c r="K3372" s="1625"/>
    </row>
    <row r="3373" spans="11:11">
      <c r="K3373" s="1625"/>
    </row>
    <row r="3374" spans="11:11">
      <c r="K3374" s="1625"/>
    </row>
    <row r="3375" spans="11:11">
      <c r="K3375" s="1625"/>
    </row>
    <row r="3376" spans="11:11">
      <c r="K3376" s="1625"/>
    </row>
    <row r="3377" spans="11:11">
      <c r="K3377" s="1625"/>
    </row>
    <row r="3378" spans="11:11">
      <c r="K3378" s="1625"/>
    </row>
    <row r="3379" spans="11:11">
      <c r="K3379" s="1625"/>
    </row>
    <row r="3380" spans="11:11">
      <c r="K3380" s="1625"/>
    </row>
    <row r="3381" spans="11:11">
      <c r="K3381" s="1625"/>
    </row>
    <row r="3382" spans="11:11">
      <c r="K3382" s="1625"/>
    </row>
    <row r="3383" spans="11:11">
      <c r="K3383" s="1625"/>
    </row>
    <row r="3384" spans="11:11">
      <c r="K3384" s="1625"/>
    </row>
    <row r="3385" spans="11:11">
      <c r="K3385" s="1625"/>
    </row>
    <row r="3386" spans="11:11">
      <c r="K3386" s="1625"/>
    </row>
    <row r="3387" spans="11:11">
      <c r="K3387" s="1625"/>
    </row>
    <row r="3388" spans="11:11">
      <c r="K3388" s="1625"/>
    </row>
    <row r="3389" spans="11:11">
      <c r="K3389" s="1625"/>
    </row>
    <row r="3390" spans="11:11">
      <c r="K3390" s="1625"/>
    </row>
    <row r="3391" spans="11:11">
      <c r="K3391" s="1625"/>
    </row>
    <row r="3392" spans="11:11">
      <c r="K3392" s="1625"/>
    </row>
    <row r="3393" spans="11:11">
      <c r="K3393" s="1625"/>
    </row>
    <row r="3394" spans="11:11">
      <c r="K3394" s="1625"/>
    </row>
    <row r="3395" spans="11:11">
      <c r="K3395" s="1625"/>
    </row>
    <row r="3396" spans="11:11">
      <c r="K3396" s="1625"/>
    </row>
    <row r="3397" spans="11:11">
      <c r="K3397" s="1625"/>
    </row>
    <row r="3398" spans="11:11">
      <c r="K3398" s="1625"/>
    </row>
    <row r="3399" spans="11:11">
      <c r="K3399" s="1625"/>
    </row>
    <row r="3400" spans="11:11">
      <c r="K3400" s="1625"/>
    </row>
    <row r="3401" spans="11:11">
      <c r="K3401" s="1625"/>
    </row>
    <row r="3402" spans="11:11">
      <c r="K3402" s="1625"/>
    </row>
    <row r="3403" spans="11:11">
      <c r="K3403" s="1625"/>
    </row>
    <row r="3404" spans="11:11">
      <c r="K3404" s="1625"/>
    </row>
    <row r="3405" spans="11:11">
      <c r="K3405" s="1625"/>
    </row>
    <row r="3406" spans="11:11">
      <c r="K3406" s="1625"/>
    </row>
    <row r="3407" spans="11:11">
      <c r="K3407" s="1625"/>
    </row>
    <row r="3408" spans="11:11">
      <c r="K3408" s="1625"/>
    </row>
    <row r="3409" spans="11:11">
      <c r="K3409" s="1625"/>
    </row>
    <row r="3410" spans="11:11">
      <c r="K3410" s="1625"/>
    </row>
    <row r="3411" spans="11:11">
      <c r="K3411" s="1625"/>
    </row>
    <row r="3412" spans="11:11">
      <c r="K3412" s="1625"/>
    </row>
    <row r="3413" spans="11:11">
      <c r="K3413" s="1625"/>
    </row>
    <row r="3414" spans="11:11">
      <c r="K3414" s="1625"/>
    </row>
    <row r="3415" spans="11:11">
      <c r="K3415" s="1625"/>
    </row>
    <row r="3416" spans="11:11">
      <c r="K3416" s="1625"/>
    </row>
    <row r="3417" spans="11:11">
      <c r="K3417" s="1625"/>
    </row>
    <row r="3418" spans="11:11">
      <c r="K3418" s="1625"/>
    </row>
    <row r="3419" spans="11:11">
      <c r="K3419" s="1625"/>
    </row>
    <row r="3420" spans="11:11">
      <c r="K3420" s="1625"/>
    </row>
    <row r="3421" spans="11:11">
      <c r="K3421" s="1625"/>
    </row>
    <row r="3422" spans="11:11">
      <c r="K3422" s="1625"/>
    </row>
    <row r="3423" spans="11:11">
      <c r="K3423" s="1625"/>
    </row>
    <row r="3424" spans="11:11">
      <c r="K3424" s="1625"/>
    </row>
    <row r="3425" spans="11:11">
      <c r="K3425" s="1625"/>
    </row>
    <row r="3426" spans="11:11">
      <c r="K3426" s="1625"/>
    </row>
    <row r="3427" spans="11:11">
      <c r="K3427" s="1625"/>
    </row>
    <row r="3428" spans="11:11">
      <c r="K3428" s="1625"/>
    </row>
    <row r="3429" spans="11:11">
      <c r="K3429" s="1625"/>
    </row>
    <row r="3430" spans="11:11">
      <c r="K3430" s="1625"/>
    </row>
    <row r="3431" spans="11:11">
      <c r="K3431" s="1625"/>
    </row>
    <row r="3432" spans="11:11">
      <c r="K3432" s="1625"/>
    </row>
    <row r="3433" spans="11:11">
      <c r="K3433" s="1625"/>
    </row>
    <row r="3434" spans="11:11">
      <c r="K3434" s="1625"/>
    </row>
    <row r="3435" spans="11:11">
      <c r="K3435" s="1625"/>
    </row>
    <row r="3436" spans="11:11">
      <c r="K3436" s="1625"/>
    </row>
    <row r="3437" spans="11:11">
      <c r="K3437" s="1625"/>
    </row>
    <row r="3438" spans="11:11">
      <c r="K3438" s="1625"/>
    </row>
    <row r="3439" spans="11:11">
      <c r="K3439" s="1625"/>
    </row>
    <row r="3440" spans="11:11">
      <c r="K3440" s="1625"/>
    </row>
    <row r="3441" spans="11:11">
      <c r="K3441" s="1625"/>
    </row>
    <row r="3442" spans="11:11">
      <c r="K3442" s="1625"/>
    </row>
    <row r="3443" spans="11:11">
      <c r="K3443" s="1625"/>
    </row>
    <row r="3444" spans="11:11">
      <c r="K3444" s="1625"/>
    </row>
    <row r="3445" spans="11:11">
      <c r="K3445" s="1625"/>
    </row>
    <row r="3446" spans="11:11">
      <c r="K3446" s="1625"/>
    </row>
    <row r="3447" spans="11:11">
      <c r="K3447" s="1625"/>
    </row>
    <row r="3448" spans="11:11">
      <c r="K3448" s="1625"/>
    </row>
    <row r="3449" spans="11:11">
      <c r="K3449" s="1625"/>
    </row>
    <row r="3450" spans="11:11">
      <c r="K3450" s="1625"/>
    </row>
    <row r="3451" spans="11:11">
      <c r="K3451" s="1625"/>
    </row>
    <row r="3452" spans="11:11">
      <c r="K3452" s="1625"/>
    </row>
    <row r="3453" spans="11:11">
      <c r="K3453" s="1625"/>
    </row>
    <row r="3454" spans="11:11">
      <c r="K3454" s="1625"/>
    </row>
    <row r="3455" spans="11:11">
      <c r="K3455" s="1625"/>
    </row>
    <row r="3456" spans="11:11">
      <c r="K3456" s="1625"/>
    </row>
    <row r="3457" spans="11:11">
      <c r="K3457" s="1625"/>
    </row>
    <row r="3458" spans="11:11">
      <c r="K3458" s="1625"/>
    </row>
    <row r="3459" spans="11:11">
      <c r="K3459" s="1625"/>
    </row>
    <row r="3460" spans="11:11">
      <c r="K3460" s="1625"/>
    </row>
    <row r="3461" spans="11:11">
      <c r="K3461" s="1625"/>
    </row>
    <row r="3462" spans="11:11">
      <c r="K3462" s="1625"/>
    </row>
    <row r="3463" spans="11:11">
      <c r="K3463" s="1625"/>
    </row>
    <row r="3464" spans="11:11">
      <c r="K3464" s="1625"/>
    </row>
    <row r="3465" spans="11:11">
      <c r="K3465" s="1625"/>
    </row>
    <row r="3466" spans="11:11">
      <c r="K3466" s="1625"/>
    </row>
    <row r="3467" spans="11:11">
      <c r="K3467" s="1625"/>
    </row>
    <row r="3468" spans="11:11">
      <c r="K3468" s="1625"/>
    </row>
    <row r="3469" spans="11:11">
      <c r="K3469" s="1625"/>
    </row>
    <row r="3470" spans="11:11">
      <c r="K3470" s="1625"/>
    </row>
    <row r="3471" spans="11:11">
      <c r="K3471" s="1625"/>
    </row>
    <row r="3472" spans="11:11">
      <c r="K3472" s="1625"/>
    </row>
    <row r="3473" spans="11:11">
      <c r="K3473" s="1625"/>
    </row>
    <row r="3474" spans="11:11">
      <c r="K3474" s="1625"/>
    </row>
    <row r="3475" spans="11:11">
      <c r="K3475" s="1625"/>
    </row>
    <row r="3476" spans="11:11">
      <c r="K3476" s="1625"/>
    </row>
    <row r="3477" spans="11:11">
      <c r="K3477" s="1625"/>
    </row>
    <row r="3478" spans="11:11">
      <c r="K3478" s="1625"/>
    </row>
    <row r="3479" spans="11:11">
      <c r="K3479" s="1625"/>
    </row>
    <row r="3480" spans="11:11">
      <c r="K3480" s="1625"/>
    </row>
    <row r="3481" spans="11:11">
      <c r="K3481" s="1625"/>
    </row>
    <row r="3482" spans="11:11">
      <c r="K3482" s="1625"/>
    </row>
    <row r="3483" spans="11:11">
      <c r="K3483" s="1625"/>
    </row>
    <row r="3484" spans="11:11">
      <c r="K3484" s="1625"/>
    </row>
    <row r="3485" spans="11:11">
      <c r="K3485" s="1625"/>
    </row>
    <row r="3486" spans="11:11">
      <c r="K3486" s="1625"/>
    </row>
    <row r="3487" spans="11:11">
      <c r="K3487" s="1625"/>
    </row>
    <row r="3488" spans="11:11">
      <c r="K3488" s="1625"/>
    </row>
    <row r="3489" spans="11:11">
      <c r="K3489" s="1625"/>
    </row>
    <row r="3490" spans="11:11">
      <c r="K3490" s="1625"/>
    </row>
    <row r="3491" spans="11:11">
      <c r="K3491" s="1625"/>
    </row>
    <row r="3492" spans="11:11">
      <c r="K3492" s="1625"/>
    </row>
    <row r="3493" spans="11:11">
      <c r="K3493" s="1625"/>
    </row>
    <row r="3494" spans="11:11">
      <c r="K3494" s="1625"/>
    </row>
    <row r="3495" spans="11:11">
      <c r="K3495" s="1625"/>
    </row>
    <row r="3496" spans="11:11">
      <c r="K3496" s="1625"/>
    </row>
    <row r="3497" spans="11:11">
      <c r="K3497" s="1625"/>
    </row>
    <row r="3498" spans="11:11">
      <c r="K3498" s="1625"/>
    </row>
    <row r="3499" spans="11:11">
      <c r="K3499" s="1625"/>
    </row>
    <row r="3500" spans="11:11">
      <c r="K3500" s="1625"/>
    </row>
    <row r="3501" spans="11:11">
      <c r="K3501" s="1625"/>
    </row>
    <row r="3502" spans="11:11">
      <c r="K3502" s="1625"/>
    </row>
    <row r="3503" spans="11:11">
      <c r="K3503" s="1625"/>
    </row>
    <row r="3504" spans="11:11">
      <c r="K3504" s="1625"/>
    </row>
    <row r="3505" spans="11:11">
      <c r="K3505" s="1625"/>
    </row>
    <row r="3506" spans="11:11">
      <c r="K3506" s="1625"/>
    </row>
    <row r="3507" spans="11:11">
      <c r="K3507" s="1625"/>
    </row>
    <row r="3508" spans="11:11">
      <c r="K3508" s="1625"/>
    </row>
    <row r="3509" spans="11:11">
      <c r="K3509" s="1625"/>
    </row>
    <row r="3510" spans="11:11">
      <c r="K3510" s="1625"/>
    </row>
    <row r="3511" spans="11:11">
      <c r="K3511" s="1625"/>
    </row>
    <row r="3512" spans="11:11">
      <c r="K3512" s="1625"/>
    </row>
    <row r="3513" spans="11:11">
      <c r="K3513" s="1625"/>
    </row>
    <row r="3514" spans="11:11">
      <c r="K3514" s="1625"/>
    </row>
    <row r="3515" spans="11:11">
      <c r="K3515" s="1625"/>
    </row>
    <row r="3516" spans="11:11">
      <c r="K3516" s="1625"/>
    </row>
    <row r="3517" spans="11:11">
      <c r="K3517" s="1625"/>
    </row>
    <row r="3518" spans="11:11">
      <c r="K3518" s="1625"/>
    </row>
    <row r="3519" spans="11:11">
      <c r="K3519" s="1625"/>
    </row>
    <row r="3520" spans="11:11">
      <c r="K3520" s="1625"/>
    </row>
    <row r="3521" spans="11:11">
      <c r="K3521" s="1625"/>
    </row>
    <row r="3522" spans="11:11">
      <c r="K3522" s="1625"/>
    </row>
    <row r="3523" spans="11:11">
      <c r="K3523" s="1625"/>
    </row>
    <row r="3524" spans="11:11">
      <c r="K3524" s="1625"/>
    </row>
    <row r="3525" spans="11:11">
      <c r="K3525" s="1625"/>
    </row>
    <row r="3526" spans="11:11">
      <c r="K3526" s="1625"/>
    </row>
    <row r="3527" spans="11:11">
      <c r="K3527" s="1625"/>
    </row>
    <row r="3528" spans="11:11">
      <c r="K3528" s="1625"/>
    </row>
    <row r="3529" spans="11:11">
      <c r="K3529" s="1625"/>
    </row>
    <row r="3530" spans="11:11">
      <c r="K3530" s="1625"/>
    </row>
    <row r="3531" spans="11:11">
      <c r="K3531" s="1625"/>
    </row>
    <row r="3532" spans="11:11">
      <c r="K3532" s="1625"/>
    </row>
    <row r="3533" spans="11:11">
      <c r="K3533" s="1625"/>
    </row>
    <row r="3534" spans="11:11">
      <c r="K3534" s="1625"/>
    </row>
    <row r="3535" spans="11:11">
      <c r="K3535" s="1625"/>
    </row>
    <row r="3536" spans="11:11">
      <c r="K3536" s="1625"/>
    </row>
    <row r="3537" spans="11:11">
      <c r="K3537" s="1625"/>
    </row>
    <row r="3538" spans="11:11">
      <c r="K3538" s="1625"/>
    </row>
    <row r="3539" spans="11:11">
      <c r="K3539" s="1625"/>
    </row>
    <row r="3540" spans="11:11">
      <c r="K3540" s="1625"/>
    </row>
    <row r="3541" spans="11:11">
      <c r="K3541" s="1625"/>
    </row>
    <row r="3542" spans="11:11">
      <c r="K3542" s="1625"/>
    </row>
    <row r="3543" spans="11:11">
      <c r="K3543" s="1625"/>
    </row>
    <row r="3544" spans="11:11">
      <c r="K3544" s="1625"/>
    </row>
    <row r="3545" spans="11:11">
      <c r="K3545" s="1625"/>
    </row>
    <row r="3546" spans="11:11">
      <c r="K3546" s="1625"/>
    </row>
    <row r="3547" spans="11:11">
      <c r="K3547" s="1625"/>
    </row>
    <row r="3548" spans="11:11">
      <c r="K3548" s="1625"/>
    </row>
    <row r="3549" spans="11:11">
      <c r="K3549" s="1625"/>
    </row>
    <row r="3550" spans="11:11">
      <c r="K3550" s="1625"/>
    </row>
    <row r="3551" spans="11:11">
      <c r="K3551" s="1625"/>
    </row>
    <row r="3552" spans="11:11">
      <c r="K3552" s="1625"/>
    </row>
    <row r="3553" spans="11:11">
      <c r="K3553" s="1625"/>
    </row>
    <row r="3554" spans="11:11">
      <c r="K3554" s="1625"/>
    </row>
    <row r="3555" spans="11:11">
      <c r="K3555" s="1625"/>
    </row>
    <row r="3556" spans="11:11">
      <c r="K3556" s="1625"/>
    </row>
    <row r="3557" spans="11:11">
      <c r="K3557" s="1625"/>
    </row>
    <row r="3558" spans="11:11">
      <c r="K3558" s="1625"/>
    </row>
    <row r="3559" spans="11:11">
      <c r="K3559" s="1625"/>
    </row>
    <row r="3560" spans="11:11">
      <c r="K3560" s="1625"/>
    </row>
    <row r="3561" spans="11:11">
      <c r="K3561" s="1625"/>
    </row>
    <row r="3562" spans="11:11">
      <c r="K3562" s="1625"/>
    </row>
    <row r="3563" spans="11:11">
      <c r="K3563" s="1625"/>
    </row>
    <row r="3564" spans="11:11">
      <c r="K3564" s="1625"/>
    </row>
    <row r="3565" spans="11:11">
      <c r="K3565" s="1625"/>
    </row>
    <row r="3566" spans="11:11">
      <c r="K3566" s="1625"/>
    </row>
    <row r="3567" spans="11:11">
      <c r="K3567" s="1625"/>
    </row>
    <row r="3568" spans="11:11">
      <c r="K3568" s="1625"/>
    </row>
    <row r="3569" spans="11:11">
      <c r="K3569" s="1625"/>
    </row>
    <row r="3570" spans="11:11">
      <c r="K3570" s="1625"/>
    </row>
    <row r="3571" spans="11:11">
      <c r="K3571" s="1625"/>
    </row>
    <row r="3572" spans="11:11">
      <c r="K3572" s="1625"/>
    </row>
    <row r="3573" spans="11:11">
      <c r="K3573" s="1625"/>
    </row>
    <row r="3574" spans="11:11">
      <c r="K3574" s="1625"/>
    </row>
    <row r="3575" spans="11:11">
      <c r="K3575" s="1625"/>
    </row>
    <row r="3576" spans="11:11">
      <c r="K3576" s="1625"/>
    </row>
    <row r="3577" spans="11:11">
      <c r="K3577" s="1625"/>
    </row>
    <row r="3578" spans="11:11">
      <c r="K3578" s="1625"/>
    </row>
    <row r="3579" spans="11:11">
      <c r="K3579" s="1625"/>
    </row>
    <row r="3580" spans="11:11">
      <c r="K3580" s="1625"/>
    </row>
    <row r="3581" spans="11:11">
      <c r="K3581" s="1625"/>
    </row>
    <row r="3582" spans="11:11">
      <c r="K3582" s="1625"/>
    </row>
    <row r="3583" spans="11:11">
      <c r="K3583" s="1625"/>
    </row>
    <row r="3584" spans="11:11">
      <c r="K3584" s="1625"/>
    </row>
    <row r="3585" spans="11:11">
      <c r="K3585" s="1625"/>
    </row>
    <row r="3586" spans="11:11">
      <c r="K3586" s="1625"/>
    </row>
    <row r="3587" spans="11:11">
      <c r="K3587" s="1625"/>
    </row>
    <row r="3588" spans="11:11">
      <c r="K3588" s="1625"/>
    </row>
    <row r="3589" spans="11:11">
      <c r="K3589" s="1625"/>
    </row>
    <row r="3590" spans="11:11">
      <c r="K3590" s="1625"/>
    </row>
    <row r="3591" spans="11:11">
      <c r="K3591" s="1625"/>
    </row>
    <row r="3592" spans="11:11">
      <c r="K3592" s="1625"/>
    </row>
    <row r="3593" spans="11:11">
      <c r="K3593" s="1625"/>
    </row>
    <row r="3594" spans="11:11">
      <c r="K3594" s="1625"/>
    </row>
    <row r="3595" spans="11:11">
      <c r="K3595" s="1625"/>
    </row>
    <row r="3596" spans="11:11">
      <c r="K3596" s="1625"/>
    </row>
    <row r="3597" spans="11:11">
      <c r="K3597" s="1625"/>
    </row>
    <row r="3598" spans="11:11">
      <c r="K3598" s="1625"/>
    </row>
    <row r="3599" spans="11:11">
      <c r="K3599" s="1625"/>
    </row>
    <row r="3600" spans="11:11">
      <c r="K3600" s="1625"/>
    </row>
    <row r="3601" spans="11:11">
      <c r="K3601" s="1625"/>
    </row>
    <row r="3602" spans="11:11">
      <c r="K3602" s="1625"/>
    </row>
    <row r="3603" spans="11:11">
      <c r="K3603" s="1625"/>
    </row>
    <row r="3604" spans="11:11">
      <c r="K3604" s="1625"/>
    </row>
    <row r="3605" spans="11:11">
      <c r="K3605" s="1625"/>
    </row>
    <row r="3606" spans="11:11">
      <c r="K3606" s="1625"/>
    </row>
    <row r="3607" spans="11:11">
      <c r="K3607" s="1625"/>
    </row>
    <row r="3608" spans="11:11">
      <c r="K3608" s="1625"/>
    </row>
    <row r="3609" spans="11:11">
      <c r="K3609" s="1625"/>
    </row>
    <row r="3610" spans="11:11">
      <c r="K3610" s="1625"/>
    </row>
    <row r="3611" spans="11:11">
      <c r="K3611" s="1625"/>
    </row>
    <row r="3612" spans="11:11">
      <c r="K3612" s="1625"/>
    </row>
    <row r="3613" spans="11:11">
      <c r="K3613" s="1625"/>
    </row>
    <row r="3614" spans="11:11">
      <c r="K3614" s="1625"/>
    </row>
    <row r="3615" spans="11:11">
      <c r="K3615" s="1625"/>
    </row>
    <row r="3616" spans="11:11">
      <c r="K3616" s="1625"/>
    </row>
    <row r="3617" spans="11:11">
      <c r="K3617" s="1625"/>
    </row>
    <row r="3618" spans="11:11">
      <c r="K3618" s="1625"/>
    </row>
    <row r="3619" spans="11:11">
      <c r="K3619" s="1625"/>
    </row>
    <row r="3620" spans="11:11">
      <c r="K3620" s="1625"/>
    </row>
    <row r="3621" spans="11:11">
      <c r="K3621" s="1625"/>
    </row>
    <row r="3622" spans="11:11">
      <c r="K3622" s="1625"/>
    </row>
    <row r="3623" spans="11:11">
      <c r="K3623" s="1625"/>
    </row>
    <row r="3624" spans="11:11">
      <c r="K3624" s="1625"/>
    </row>
    <row r="3625" spans="11:11">
      <c r="K3625" s="1625"/>
    </row>
    <row r="3626" spans="11:11">
      <c r="K3626" s="1625"/>
    </row>
    <row r="3627" spans="11:11">
      <c r="K3627" s="1625"/>
    </row>
    <row r="3628" spans="11:11">
      <c r="K3628" s="1625"/>
    </row>
    <row r="3629" spans="11:11">
      <c r="K3629" s="1625"/>
    </row>
    <row r="3630" spans="11:11">
      <c r="K3630" s="1625"/>
    </row>
    <row r="3631" spans="11:11">
      <c r="K3631" s="1625"/>
    </row>
    <row r="3632" spans="11:11">
      <c r="K3632" s="1625"/>
    </row>
    <row r="3633" spans="11:11">
      <c r="K3633" s="1625"/>
    </row>
    <row r="3634" spans="11:11">
      <c r="K3634" s="1625"/>
    </row>
    <row r="3635" spans="11:11">
      <c r="K3635" s="1625"/>
    </row>
    <row r="3636" spans="11:11">
      <c r="K3636" s="1625"/>
    </row>
    <row r="3637" spans="11:11">
      <c r="K3637" s="1625"/>
    </row>
    <row r="3638" spans="11:11">
      <c r="K3638" s="1625"/>
    </row>
    <row r="3639" spans="11:11">
      <c r="K3639" s="1625"/>
    </row>
    <row r="3640" spans="11:11">
      <c r="K3640" s="1625"/>
    </row>
    <row r="3641" spans="11:11">
      <c r="K3641" s="1625"/>
    </row>
    <row r="3642" spans="11:11">
      <c r="K3642" s="1625"/>
    </row>
    <row r="3643" spans="11:11">
      <c r="K3643" s="1625"/>
    </row>
    <row r="3644" spans="11:11">
      <c r="K3644" s="1625"/>
    </row>
    <row r="3645" spans="11:11">
      <c r="K3645" s="1625"/>
    </row>
    <row r="3646" spans="11:11">
      <c r="K3646" s="1625"/>
    </row>
    <row r="3647" spans="11:11">
      <c r="K3647" s="1625"/>
    </row>
    <row r="3648" spans="11:11">
      <c r="K3648" s="1625"/>
    </row>
    <row r="3649" spans="11:11">
      <c r="K3649" s="1625"/>
    </row>
    <row r="3650" spans="11:11">
      <c r="K3650" s="1625"/>
    </row>
    <row r="3651" spans="11:11">
      <c r="K3651" s="1625"/>
    </row>
    <row r="3652" spans="11:11">
      <c r="K3652" s="1625"/>
    </row>
    <row r="3653" spans="11:11">
      <c r="K3653" s="1625"/>
    </row>
    <row r="3654" spans="11:11">
      <c r="K3654" s="1625"/>
    </row>
    <row r="3655" spans="11:11">
      <c r="K3655" s="1625"/>
    </row>
    <row r="3656" spans="11:11">
      <c r="K3656" s="1625"/>
    </row>
    <row r="3657" spans="11:11">
      <c r="K3657" s="1625"/>
    </row>
    <row r="3658" spans="11:11">
      <c r="K3658" s="1625"/>
    </row>
    <row r="3659" spans="11:11">
      <c r="K3659" s="1625"/>
    </row>
    <row r="3660" spans="11:11">
      <c r="K3660" s="1625"/>
    </row>
    <row r="3661" spans="11:11">
      <c r="K3661" s="1625"/>
    </row>
    <row r="3662" spans="11:11">
      <c r="K3662" s="1625"/>
    </row>
    <row r="3663" spans="11:11">
      <c r="K3663" s="1625"/>
    </row>
    <row r="3664" spans="11:11">
      <c r="K3664" s="1625"/>
    </row>
    <row r="3665" spans="11:11">
      <c r="K3665" s="1625"/>
    </row>
    <row r="3666" spans="11:11">
      <c r="K3666" s="1625"/>
    </row>
    <row r="3667" spans="11:11">
      <c r="K3667" s="1625"/>
    </row>
    <row r="3668" spans="11:11">
      <c r="K3668" s="1625"/>
    </row>
    <row r="3669" spans="11:11">
      <c r="K3669" s="1625"/>
    </row>
    <row r="3670" spans="11:11">
      <c r="K3670" s="1625"/>
    </row>
    <row r="3671" spans="11:11">
      <c r="K3671" s="1625"/>
    </row>
    <row r="3672" spans="11:11">
      <c r="K3672" s="1625"/>
    </row>
    <row r="3673" spans="11:11">
      <c r="K3673" s="1625"/>
    </row>
    <row r="3674" spans="11:11">
      <c r="K3674" s="1625"/>
    </row>
    <row r="3675" spans="11:11">
      <c r="K3675" s="1625"/>
    </row>
    <row r="3676" spans="11:11">
      <c r="K3676" s="1625"/>
    </row>
    <row r="3677" spans="11:11">
      <c r="K3677" s="1625"/>
    </row>
    <row r="3678" spans="11:11">
      <c r="K3678" s="1625"/>
    </row>
    <row r="3679" spans="11:11">
      <c r="K3679" s="1625"/>
    </row>
    <row r="3680" spans="11:11">
      <c r="K3680" s="1625"/>
    </row>
    <row r="3681" spans="11:11">
      <c r="K3681" s="1625"/>
    </row>
    <row r="3682" spans="11:11">
      <c r="K3682" s="1625"/>
    </row>
    <row r="3683" spans="11:11">
      <c r="K3683" s="1625"/>
    </row>
    <row r="3684" spans="11:11">
      <c r="K3684" s="1625"/>
    </row>
    <row r="3685" spans="11:11">
      <c r="K3685" s="1625"/>
    </row>
    <row r="3686" spans="11:11">
      <c r="K3686" s="1625"/>
    </row>
    <row r="3687" spans="11:11">
      <c r="K3687" s="1625"/>
    </row>
    <row r="3688" spans="11:11">
      <c r="K3688" s="1625"/>
    </row>
    <row r="3689" spans="11:11">
      <c r="K3689" s="1625"/>
    </row>
    <row r="3690" spans="11:11">
      <c r="K3690" s="1625"/>
    </row>
    <row r="3691" spans="11:11">
      <c r="K3691" s="1625"/>
    </row>
    <row r="3692" spans="11:11">
      <c r="K3692" s="1625"/>
    </row>
  </sheetData>
  <autoFilter ref="B6:F500" xr:uid="{00000000-0009-0000-0000-000011000000}"/>
  <phoneticPr fontId="44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6"/>
  <sheetViews>
    <sheetView showGridLines="0" topLeftCell="A238" zoomScale="85" zoomScaleNormal="85" workbookViewId="0">
      <selection activeCell="F242" sqref="F242:K247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1501</v>
      </c>
      <c r="B1" t="s">
        <v>1519</v>
      </c>
      <c r="C1" t="s">
        <v>22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1369</v>
      </c>
      <c r="J1" t="s">
        <v>1370</v>
      </c>
      <c r="K1" t="s">
        <v>1371</v>
      </c>
      <c r="L1" t="s">
        <v>1525</v>
      </c>
      <c r="M1" t="s">
        <v>1526</v>
      </c>
      <c r="N1" t="s">
        <v>1527</v>
      </c>
      <c r="O1" t="s">
        <v>1528</v>
      </c>
      <c r="P1" t="s">
        <v>1529</v>
      </c>
      <c r="Q1" t="s">
        <v>1530</v>
      </c>
    </row>
    <row r="2" spans="1:17" s="13" customFormat="1" ht="15.75">
      <c r="A2" t="s">
        <v>772</v>
      </c>
      <c r="B2" t="s">
        <v>1531</v>
      </c>
      <c r="C2" t="s">
        <v>1515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772</v>
      </c>
      <c r="B3" t="s">
        <v>1531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772</v>
      </c>
      <c r="B4" t="s">
        <v>1531</v>
      </c>
      <c r="C4" t="s">
        <v>1515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772</v>
      </c>
      <c r="B5" t="s">
        <v>1531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772</v>
      </c>
      <c r="B6" t="s">
        <v>1531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0.1182</v>
      </c>
      <c r="Q6" s="234">
        <f ca="1">Resultado!C7</f>
        <v>0.1182</v>
      </c>
    </row>
    <row r="7" spans="1:17" s="13" customFormat="1" ht="15.75">
      <c r="A7" t="s">
        <v>772</v>
      </c>
      <c r="B7" t="s">
        <v>1531</v>
      </c>
      <c r="C7" t="s">
        <v>1342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-0.3226</v>
      </c>
      <c r="Q7" s="234">
        <f ca="1">Resultado!C8</f>
        <v>-0.3226</v>
      </c>
    </row>
    <row r="8" spans="1:17" s="13" customFormat="1" ht="15.75">
      <c r="A8" t="s">
        <v>772</v>
      </c>
      <c r="B8" t="s">
        <v>1531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-0.2044</v>
      </c>
      <c r="Q8" s="234">
        <f ca="1">Resultado!C9</f>
        <v>-0.2044</v>
      </c>
    </row>
    <row r="9" spans="1:17" s="13" customFormat="1" ht="15.75">
      <c r="A9" t="s">
        <v>772</v>
      </c>
      <c r="B9" t="s">
        <v>1531</v>
      </c>
      <c r="C9" t="s">
        <v>1532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0.20341415939009497</v>
      </c>
      <c r="Q9" s="234">
        <f ca="1">IF(ISERROR(LnkTXTICMS),0,LnkTXTICMS)</f>
        <v>0.20341415939009497</v>
      </c>
    </row>
    <row r="10" spans="1:17" s="13" customFormat="1" ht="15.75">
      <c r="A10" t="s">
        <v>772</v>
      </c>
      <c r="B10" t="s">
        <v>1531</v>
      </c>
      <c r="C10" t="s">
        <v>1533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1.7473654678081277E-2</v>
      </c>
      <c r="Q10" s="234">
        <f ca="1">IF(ISERROR(LNKTXTPercPISCOFINS),0,LNKTXTPercPISCOFINS)</f>
        <v>1.7473654678081277E-2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199478.20248349171</v>
      </c>
      <c r="Q13" s="234">
        <f ca="1">Resultado!D17</f>
        <v>199478.20248349171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9609270.7302100025</v>
      </c>
      <c r="Q14" s="234">
        <f ca="1">Encargos!I19</f>
        <v>9609270.7302100025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2564882.9365526969</v>
      </c>
      <c r="Q16" s="234">
        <f>Resultado!D20</f>
        <v>2564882.9365526969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1612207.5660000003</v>
      </c>
      <c r="Q17" s="234">
        <f ca="1">Resultado!D21</f>
        <v>1612207.5660000003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793</v>
      </c>
      <c r="C20" t="s">
        <v>1534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793</v>
      </c>
      <c r="C21" t="s">
        <v>1535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4495042.4685952002</v>
      </c>
      <c r="Q21" s="234">
        <f>Q22/(1-Q20)</f>
        <v>4495042.4685952002</v>
      </c>
    </row>
    <row r="22" spans="1:17" ht="15.75">
      <c r="A22" t="s">
        <v>772</v>
      </c>
      <c r="B22" t="s">
        <v>793</v>
      </c>
      <c r="C22" t="s">
        <v>1536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4495042.4685952002</v>
      </c>
      <c r="Q22" s="234">
        <f>CUSD!C3</f>
        <v>4495042.4685952002</v>
      </c>
    </row>
    <row r="23" spans="1:17" ht="15.75">
      <c r="A23" t="s">
        <v>772</v>
      </c>
      <c r="B23" t="s">
        <v>793</v>
      </c>
      <c r="C23" s="9" t="s">
        <v>1234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3736975</v>
      </c>
      <c r="Q23" s="234">
        <f>Resultado!D25</f>
        <v>3736975</v>
      </c>
    </row>
    <row r="24" spans="1:17" ht="15.75">
      <c r="A24" t="s">
        <v>772</v>
      </c>
      <c r="B24" t="s">
        <v>793</v>
      </c>
      <c r="C24" t="s">
        <v>1262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714546.8</v>
      </c>
      <c r="Q24" s="234">
        <f>Resultado!D26</f>
        <v>714546.8</v>
      </c>
    </row>
    <row r="25" spans="1:17" ht="15.75">
      <c r="A25" t="s">
        <v>772</v>
      </c>
      <c r="B25" t="s">
        <v>793</v>
      </c>
      <c r="C25" t="s">
        <v>1537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118926.88481049077</v>
      </c>
      <c r="Q25" s="234">
        <f>Resultado!D31</f>
        <v>118926.88481049077</v>
      </c>
    </row>
    <row r="26" spans="1:17" ht="15.75">
      <c r="A26" t="s">
        <v>772</v>
      </c>
      <c r="B26" t="s">
        <v>793</v>
      </c>
      <c r="C26" t="s">
        <v>1538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793</v>
      </c>
      <c r="C27" t="s">
        <v>1539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793</v>
      </c>
      <c r="C28" t="s">
        <v>1540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793</v>
      </c>
      <c r="C29" t="s">
        <v>1541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821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821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122987.91510000001</v>
      </c>
      <c r="Q31" s="234">
        <f ca="1">Energia!C5</f>
        <v>122987.91510000001</v>
      </c>
    </row>
    <row r="32" spans="1:17" ht="15.75">
      <c r="A32" t="s">
        <v>772</v>
      </c>
      <c r="B32" t="s">
        <v>120</v>
      </c>
      <c r="C32" t="s">
        <v>1542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11535.279299999997</v>
      </c>
      <c r="Q32" s="234">
        <f ca="1">Energia!N17</f>
        <v>11535.279299999997</v>
      </c>
    </row>
    <row r="33" spans="1:17" ht="15.75">
      <c r="A33" t="s">
        <v>772</v>
      </c>
      <c r="B33" t="s">
        <v>120</v>
      </c>
      <c r="C33" t="s">
        <v>1543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Energia!N16</f>
        <v>0</v>
      </c>
    </row>
    <row r="34" spans="1:17" ht="15.75">
      <c r="A34" t="s">
        <v>772</v>
      </c>
      <c r="B34" t="s">
        <v>120</v>
      </c>
      <c r="C34" t="s">
        <v>1544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350.23906484425817</v>
      </c>
      <c r="Q34" s="234">
        <f ca="1">Energia!N18</f>
        <v>350.23906484425817</v>
      </c>
    </row>
    <row r="35" spans="1:17" ht="15.75">
      <c r="A35" t="s">
        <v>772</v>
      </c>
      <c r="B35" t="s">
        <v>120</v>
      </c>
      <c r="C35" t="s">
        <v>1545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3273.9337351557419</v>
      </c>
      <c r="Q35" s="234">
        <f ca="1">Energia!N19</f>
        <v>3273.9337351557419</v>
      </c>
    </row>
    <row r="36" spans="1:17" ht="15.75">
      <c r="A36" t="s">
        <v>772</v>
      </c>
      <c r="B36" t="s">
        <v>120</v>
      </c>
      <c r="C36" t="s">
        <v>1546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9.6639725579381358E-2</v>
      </c>
      <c r="Q36" s="234">
        <f ca="1">Energia!N14</f>
        <v>9.6639725579381358E-2</v>
      </c>
    </row>
    <row r="37" spans="1:17" s="12" customFormat="1" ht="15.75">
      <c r="A37" t="s">
        <v>772</v>
      </c>
      <c r="B37" t="s">
        <v>120</v>
      </c>
      <c r="C37" t="s">
        <v>1547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Energia!N13</f>
        <v>0</v>
      </c>
    </row>
    <row r="38" spans="1:17" s="12" customFormat="1" ht="15.75">
      <c r="A38" t="s">
        <v>772</v>
      </c>
      <c r="B38" t="s">
        <v>120</v>
      </c>
      <c r="C38" t="s">
        <v>1548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3.0362426061435573E-2</v>
      </c>
      <c r="Q38" s="234">
        <f ca="1">Energia!N15</f>
        <v>3.0362426061435573E-2</v>
      </c>
    </row>
    <row r="39" spans="1:17" s="15" customFormat="1" ht="15.75">
      <c r="A39" t="s">
        <v>772</v>
      </c>
      <c r="B39" t="s">
        <v>120</v>
      </c>
      <c r="C39" t="s">
        <v>1549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21175365.944756776</v>
      </c>
      <c r="Q39" s="234">
        <f ca="1">Energia!C14</f>
        <v>21175365.944756776</v>
      </c>
    </row>
    <row r="40" spans="1:17" ht="15.75">
      <c r="A40" t="s">
        <v>771</v>
      </c>
      <c r="B40" t="s">
        <v>120</v>
      </c>
      <c r="C40" t="s">
        <v>1550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172.17436304647768</v>
      </c>
      <c r="Q40" s="234">
        <f ca="1">Energia!C13</f>
        <v>172.17436304647768</v>
      </c>
    </row>
    <row r="41" spans="1:17" ht="15.75">
      <c r="A41" t="s">
        <v>771</v>
      </c>
      <c r="B41" t="s">
        <v>120</v>
      </c>
      <c r="C41" t="s">
        <v>1551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1894.971763920269</v>
      </c>
      <c r="Q41" s="234">
        <f>Energia!C19</f>
        <v>1894.971763920269</v>
      </c>
    </row>
    <row r="42" spans="1:17" ht="15.75">
      <c r="A42" t="s">
        <v>772</v>
      </c>
      <c r="B42" t="s">
        <v>120</v>
      </c>
      <c r="C42" t="s">
        <v>1552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87483.01301213869</v>
      </c>
      <c r="Q42" s="234">
        <f ca="1">Energia!C22</f>
        <v>87483.01301213869</v>
      </c>
    </row>
    <row r="43" spans="1:17" ht="15.75">
      <c r="A43" t="s">
        <v>772</v>
      </c>
      <c r="B43" t="s">
        <v>120</v>
      </c>
      <c r="C43" s="9" t="s">
        <v>1553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15395754.331858117</v>
      </c>
      <c r="Q43" s="234">
        <f ca="1">Energia!F22</f>
        <v>15395754.331858117</v>
      </c>
    </row>
    <row r="44" spans="1:17" s="12" customFormat="1" ht="15.75">
      <c r="A44" t="s">
        <v>772</v>
      </c>
      <c r="B44" t="s">
        <v>120</v>
      </c>
      <c r="C44" t="s">
        <v>1554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1555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1556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1557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1">
        <f>VALUE(Energia!A28)</f>
        <v>396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772</v>
      </c>
      <c r="B48" t="s">
        <v>120</v>
      </c>
      <c r="C48" s="9" t="s">
        <v>1557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5707</v>
      </c>
      <c r="P48" s="234">
        <f t="shared" si="0"/>
        <v>0</v>
      </c>
      <c r="Q48" s="234">
        <f>Energia!F29</f>
        <v>0</v>
      </c>
    </row>
    <row r="49" spans="1:17" s="12" customFormat="1" ht="15.75">
      <c r="A49" t="s">
        <v>772</v>
      </c>
      <c r="B49" t="s">
        <v>120</v>
      </c>
      <c r="C49" s="9" t="s">
        <v>1557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1557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1557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973</v>
      </c>
      <c r="C52" t="s">
        <v>965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107828.46300000002</v>
      </c>
      <c r="Q52" s="234">
        <f ca="1">FornecimentoE</f>
        <v>107828.46300000002</v>
      </c>
    </row>
    <row r="53" spans="1:17" s="12" customFormat="1" ht="15.75">
      <c r="A53" t="s">
        <v>772</v>
      </c>
      <c r="B53" t="s">
        <v>973</v>
      </c>
      <c r="C53" t="s">
        <v>986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973</v>
      </c>
      <c r="C54" t="s">
        <v>1558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973</v>
      </c>
      <c r="C55" t="s">
        <v>1559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8298.1389999999992</v>
      </c>
      <c r="Q55" s="234">
        <f ca="1">Calc_Mercado!C22</f>
        <v>8298.1389999999992</v>
      </c>
    </row>
    <row r="56" spans="1:17" s="12" customFormat="1" ht="15.75">
      <c r="A56" t="s">
        <v>772</v>
      </c>
      <c r="B56" t="s">
        <v>973</v>
      </c>
      <c r="C56" t="s">
        <v>990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973</v>
      </c>
      <c r="C57" t="s">
        <v>1560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973</v>
      </c>
      <c r="C58" t="s">
        <v>1561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973</v>
      </c>
      <c r="C59" t="s">
        <v>1562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973</v>
      </c>
      <c r="C60" t="s">
        <v>1563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973</v>
      </c>
      <c r="C61" t="s">
        <v>1564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973</v>
      </c>
      <c r="C62" t="s">
        <v>1565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32667.811999999984</v>
      </c>
      <c r="Q62" s="234">
        <f ca="1">Calc_Mercado!C13</f>
        <v>32667.811999999984</v>
      </c>
    </row>
    <row r="63" spans="1:17" s="12" customFormat="1" ht="15.75">
      <c r="A63" t="s">
        <v>772</v>
      </c>
      <c r="B63" t="s">
        <v>973</v>
      </c>
      <c r="C63" t="s">
        <v>1566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973</v>
      </c>
      <c r="C64" t="s">
        <v>1567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75160.651000000042</v>
      </c>
      <c r="Q64" s="234">
        <f ca="1">FornecimentoE_BT</f>
        <v>75160.651000000042</v>
      </c>
    </row>
    <row r="65" spans="1:17" ht="15.75">
      <c r="A65" t="s">
        <v>772</v>
      </c>
      <c r="B65" t="s">
        <v>973</v>
      </c>
      <c r="C65" t="s">
        <v>965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71503992.823320016</v>
      </c>
      <c r="Q65" s="234">
        <f ca="1">Calc_Mercado!D8</f>
        <v>71503992.823320016</v>
      </c>
    </row>
    <row r="66" spans="1:17" ht="15.75">
      <c r="A66" t="s">
        <v>772</v>
      </c>
      <c r="B66" t="s">
        <v>973</v>
      </c>
      <c r="C66" t="s">
        <v>986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973</v>
      </c>
      <c r="C67" t="s">
        <v>1558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973</v>
      </c>
      <c r="C68" t="s">
        <v>1559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3474108.7150500002</v>
      </c>
      <c r="Q68" s="234">
        <f ca="1">Calc_Mercado!D22</f>
        <v>3474108.7150500002</v>
      </c>
    </row>
    <row r="69" spans="1:17" ht="15.75">
      <c r="A69" t="s">
        <v>772</v>
      </c>
      <c r="B69" t="s">
        <v>973</v>
      </c>
      <c r="C69" t="s">
        <v>990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973</v>
      </c>
      <c r="C70" t="s">
        <v>1560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585672</v>
      </c>
      <c r="Q70" s="234">
        <f ca="1">Calc_Mercado!D21</f>
        <v>585672</v>
      </c>
    </row>
    <row r="71" spans="1:17" ht="15.75">
      <c r="A71" t="s">
        <v>772</v>
      </c>
      <c r="B71" t="s">
        <v>973</v>
      </c>
      <c r="C71" t="s">
        <v>1561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973</v>
      </c>
      <c r="C72" t="s">
        <v>1562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973</v>
      </c>
      <c r="C73" t="s">
        <v>1563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973</v>
      </c>
      <c r="C74" t="s">
        <v>1564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973</v>
      </c>
      <c r="C75" t="s">
        <v>1565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20861828.496720012</v>
      </c>
      <c r="Q75" s="234">
        <f ca="1">Calc_Mercado!D13</f>
        <v>20861828.496720012</v>
      </c>
    </row>
    <row r="76" spans="1:17" ht="15.75">
      <c r="A76" t="s">
        <v>772</v>
      </c>
      <c r="B76" t="s">
        <v>973</v>
      </c>
      <c r="C76" t="s">
        <v>1566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973</v>
      </c>
      <c r="C77" t="s">
        <v>1567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50642164.3266</v>
      </c>
      <c r="Q77" s="234">
        <f ca="1">Calc_Mercado!D15</f>
        <v>50642164.3266</v>
      </c>
    </row>
    <row r="78" spans="1:17" ht="15.75">
      <c r="A78" t="s">
        <v>772</v>
      </c>
      <c r="B78" t="s">
        <v>973</v>
      </c>
      <c r="C78" t="s">
        <v>1568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771</v>
      </c>
      <c r="B79" t="s">
        <v>973</v>
      </c>
      <c r="C79" s="9" t="s">
        <v>1569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772</v>
      </c>
      <c r="B80" t="s">
        <v>973</v>
      </c>
      <c r="C80" t="s">
        <v>1570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107828.46300000002</v>
      </c>
      <c r="Q80" s="234">
        <f ca="1">LnkTXTEV</f>
        <v>107828.46300000002</v>
      </c>
    </row>
    <row r="81" spans="1:17" ht="15.75">
      <c r="A81" t="s">
        <v>772</v>
      </c>
      <c r="B81" t="s">
        <v>109</v>
      </c>
      <c r="C81" t="s">
        <v>1571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42000000</v>
      </c>
      <c r="Q81" s="234">
        <f>Resultado!D39</f>
        <v>42000000</v>
      </c>
    </row>
    <row r="82" spans="1:17" ht="15.75">
      <c r="A82" s="1614" t="s">
        <v>1587</v>
      </c>
      <c r="B82" s="1614" t="s">
        <v>1587</v>
      </c>
      <c r="C82" s="1614" t="s">
        <v>1587</v>
      </c>
      <c r="D82" s="1614">
        <v>99</v>
      </c>
      <c r="E82" s="1614">
        <v>99</v>
      </c>
      <c r="F82" s="1614">
        <v>999</v>
      </c>
      <c r="G82" s="1614">
        <v>999999</v>
      </c>
      <c r="H82" s="1614">
        <v>999</v>
      </c>
      <c r="I82" s="1614">
        <v>99</v>
      </c>
      <c r="J82" s="1614">
        <v>999</v>
      </c>
      <c r="K82" s="1614">
        <v>9</v>
      </c>
      <c r="L82" s="1614">
        <v>99</v>
      </c>
      <c r="M82" s="1614">
        <v>9</v>
      </c>
      <c r="N82" s="1614">
        <v>99</v>
      </c>
      <c r="O82" s="1614">
        <v>99999</v>
      </c>
      <c r="P82" s="402">
        <f t="shared" si="2"/>
        <v>0</v>
      </c>
      <c r="Q82" s="402">
        <v>0</v>
      </c>
    </row>
    <row r="83" spans="1:17" ht="15.75">
      <c r="A83" t="s">
        <v>772</v>
      </c>
      <c r="B83" t="s">
        <v>1375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si="2"/>
        <v>202385.27663996629</v>
      </c>
      <c r="Q83" s="234">
        <f>Financeiros!D10</f>
        <v>202385.27663996629</v>
      </c>
    </row>
    <row r="84" spans="1:17" ht="15.75">
      <c r="A84" t="s">
        <v>772</v>
      </c>
      <c r="B84" t="s">
        <v>1375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si="2"/>
        <v>78357.909120901313</v>
      </c>
      <c r="Q84" s="234">
        <f>Financeiros!D11</f>
        <v>78357.909120901313</v>
      </c>
    </row>
    <row r="85" spans="1:17" ht="15.75">
      <c r="A85" t="s">
        <v>772</v>
      </c>
      <c r="B85" t="s">
        <v>1375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-3262.5345531504045</v>
      </c>
      <c r="Q85" s="234">
        <f ca="1">Financeiros!D12</f>
        <v>-3262.5345531504045</v>
      </c>
    </row>
    <row r="86" spans="1:17" ht="15.75">
      <c r="A86" t="s">
        <v>772</v>
      </c>
      <c r="B86" t="s">
        <v>1375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-113742.2523034878</v>
      </c>
      <c r="Q86" s="234">
        <f ca="1">Financeiros!D13</f>
        <v>-113742.2523034878</v>
      </c>
    </row>
    <row r="87" spans="1:17" ht="15.75">
      <c r="A87" t="s">
        <v>772</v>
      </c>
      <c r="B87" t="s">
        <v>1375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1375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-7751.3989088710314</v>
      </c>
      <c r="Q88" s="234">
        <f ca="1">Financeiros!D15</f>
        <v>-7751.3989088710314</v>
      </c>
    </row>
    <row r="89" spans="1:17" ht="15.75">
      <c r="A89" t="s">
        <v>772</v>
      </c>
      <c r="B89" t="s">
        <v>1375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-19311.473276868819</v>
      </c>
      <c r="Q89" s="234">
        <f ca="1">Financeiros!D16</f>
        <v>-19311.473276868819</v>
      </c>
    </row>
    <row r="90" spans="1:17" ht="15.75">
      <c r="A90" t="s">
        <v>772</v>
      </c>
      <c r="B90" t="s">
        <v>1375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1375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1375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772</v>
      </c>
      <c r="B93" t="s">
        <v>1375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772</v>
      </c>
      <c r="B94" t="s">
        <v>1375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259261.06228841114</v>
      </c>
      <c r="Q94" s="234">
        <f>Financeiros!D21</f>
        <v>259261.06228841114</v>
      </c>
    </row>
    <row r="95" spans="1:17" ht="15.75">
      <c r="A95" t="s">
        <v>772</v>
      </c>
      <c r="B95" t="s">
        <v>1375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49573.294555833229</v>
      </c>
      <c r="Q95" s="234">
        <f>Financeiros!D22</f>
        <v>49573.294555833229</v>
      </c>
    </row>
    <row r="96" spans="1:17" ht="15.75">
      <c r="A96" t="s">
        <v>772</v>
      </c>
      <c r="B96" t="s">
        <v>1375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772</v>
      </c>
      <c r="B97" t="s">
        <v>1375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772</v>
      </c>
      <c r="B98" t="s">
        <v>1375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1587</v>
      </c>
      <c r="B99" t="s">
        <v>1587</v>
      </c>
      <c r="C99" t="s">
        <v>1587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772</v>
      </c>
      <c r="B100" t="s">
        <v>1375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-232206.45884047006</v>
      </c>
      <c r="Q100" s="234">
        <f>Financeiros!D27</f>
        <v>-232206.45884047006</v>
      </c>
    </row>
    <row r="101" spans="1:17" ht="15.75">
      <c r="A101" t="s">
        <v>772</v>
      </c>
      <c r="B101" t="s">
        <v>1375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-22774965.18163811</v>
      </c>
      <c r="Q101" s="234">
        <f ca="1">Financeiros!D28</f>
        <v>-22774965.18163811</v>
      </c>
    </row>
    <row r="102" spans="1:17" ht="15.75">
      <c r="A102" t="s">
        <v>772</v>
      </c>
      <c r="B102" t="s">
        <v>1375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0</v>
      </c>
      <c r="Q102" s="234">
        <f>Financeiros!D29</f>
        <v>0</v>
      </c>
    </row>
    <row r="103" spans="1:17" ht="15.75">
      <c r="A103" t="s">
        <v>772</v>
      </c>
      <c r="B103" t="s">
        <v>1375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772</v>
      </c>
      <c r="B104" t="s">
        <v>1375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772</v>
      </c>
      <c r="B105" t="s">
        <v>1375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772</v>
      </c>
      <c r="B106" t="s">
        <v>1375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772</v>
      </c>
      <c r="B107" t="s">
        <v>1375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772</v>
      </c>
      <c r="B108" t="s">
        <v>1375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1685561.1761699938</v>
      </c>
      <c r="Q108" s="234">
        <f>Financeiros!D36</f>
        <v>1685561.1761699938</v>
      </c>
    </row>
    <row r="109" spans="1:17" ht="15.75">
      <c r="A109" t="s">
        <v>772</v>
      </c>
      <c r="B109" t="s">
        <v>1375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772</v>
      </c>
      <c r="B110" t="s">
        <v>1375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-3716038.383190468</v>
      </c>
      <c r="Q110" s="234">
        <f>Financeiros!D38</f>
        <v>-3716038.383190468</v>
      </c>
    </row>
    <row r="111" spans="1:17" ht="15.75">
      <c r="A111" t="s">
        <v>772</v>
      </c>
      <c r="B111" t="s">
        <v>1375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772</v>
      </c>
      <c r="B112" t="s">
        <v>1375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772</v>
      </c>
      <c r="B113" t="s">
        <v>1375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-19057.990000000002</v>
      </c>
      <c r="Q113" s="234">
        <f>Financeiros!D41</f>
        <v>-19057.990000000002</v>
      </c>
    </row>
    <row r="114" spans="1:17" ht="15.75">
      <c r="A114" t="s">
        <v>772</v>
      </c>
      <c r="B114" t="s">
        <v>1375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772</v>
      </c>
      <c r="B115" t="s">
        <v>1375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772</v>
      </c>
      <c r="B116" t="s">
        <v>1375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772</v>
      </c>
      <c r="B117" t="s">
        <v>1375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2.6783373455694145E-3</v>
      </c>
      <c r="Q117" s="234">
        <f ca="1">Financeiros!E10</f>
        <v>2.6783373455694145E-3</v>
      </c>
    </row>
    <row r="118" spans="1:17" ht="15.75">
      <c r="A118" t="s">
        <v>772</v>
      </c>
      <c r="B118" t="s">
        <v>1375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1.0369771843264616E-3</v>
      </c>
      <c r="Q118" s="234">
        <f ca="1">Financeiros!E11</f>
        <v>1.0369771843264616E-3</v>
      </c>
    </row>
    <row r="119" spans="1:17" ht="15.75">
      <c r="A119" t="s">
        <v>772</v>
      </c>
      <c r="B119" t="s">
        <v>1375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-4.317590824780269E-5</v>
      </c>
      <c r="Q119" s="249">
        <f ca="1">Financeiros!E12</f>
        <v>-4.317590824780269E-5</v>
      </c>
    </row>
    <row r="120" spans="1:17" ht="15.75">
      <c r="A120" t="s">
        <v>772</v>
      </c>
      <c r="B120" t="s">
        <v>1375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-1.5052484408515066E-3</v>
      </c>
      <c r="Q120" s="249">
        <f ca="1">Financeiros!E13</f>
        <v>-1.5052484408515066E-3</v>
      </c>
    </row>
    <row r="121" spans="1:17" ht="15.75">
      <c r="A121" t="s">
        <v>772</v>
      </c>
      <c r="B121" t="s">
        <v>1375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772</v>
      </c>
      <c r="B122" t="s">
        <v>1375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-1.025808869237453E-4</v>
      </c>
      <c r="Q122" s="249">
        <f ca="1">Financeiros!E15</f>
        <v>-1.025808869237453E-4</v>
      </c>
    </row>
    <row r="123" spans="1:17" ht="15.75">
      <c r="A123" t="s">
        <v>772</v>
      </c>
      <c r="B123" t="s">
        <v>1375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-2.5556523149367039E-4</v>
      </c>
      <c r="Q123" s="249">
        <f ca="1">Financeiros!E16</f>
        <v>-2.5556523149367039E-4</v>
      </c>
    </row>
    <row r="124" spans="1:17" ht="15.75">
      <c r="A124" t="s">
        <v>772</v>
      </c>
      <c r="B124" t="s">
        <v>1375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772</v>
      </c>
      <c r="B125" t="s">
        <v>1375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772</v>
      </c>
      <c r="B126" t="s">
        <v>1375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772</v>
      </c>
      <c r="B127" t="s">
        <v>1375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772</v>
      </c>
      <c r="B128" t="s">
        <v>1375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3.4310232290975084E-3</v>
      </c>
      <c r="Q128" s="249">
        <f ca="1">Financeiros!E21</f>
        <v>3.4310232290975084E-3</v>
      </c>
    </row>
    <row r="129" spans="1:17" ht="15.75">
      <c r="A129" t="s">
        <v>772</v>
      </c>
      <c r="B129" t="s">
        <v>1375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6.5604577742085291E-4</v>
      </c>
      <c r="Q129" s="249">
        <f ca="1">Financeiros!E22</f>
        <v>6.5604577742085291E-4</v>
      </c>
    </row>
    <row r="130" spans="1:17" ht="15.75">
      <c r="A130" t="s">
        <v>772</v>
      </c>
      <c r="B130" t="s">
        <v>1375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772</v>
      </c>
      <c r="B131" t="s">
        <v>1375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772</v>
      </c>
      <c r="B132" t="s">
        <v>1375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772</v>
      </c>
      <c r="B133" t="s">
        <v>1375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-3.0729865379547187E-3</v>
      </c>
      <c r="Q133" s="249">
        <f ca="1">Financeiros!E27</f>
        <v>-3.0729865379547187E-3</v>
      </c>
    </row>
    <row r="134" spans="1:17" ht="15.75">
      <c r="A134" t="s">
        <v>772</v>
      </c>
      <c r="B134" t="s">
        <v>1375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-0.30140058013478332</v>
      </c>
      <c r="Q134" s="249">
        <f ca="1">Financeiros!E28</f>
        <v>-0.30140058013478332</v>
      </c>
    </row>
    <row r="135" spans="1:17" ht="15.75">
      <c r="A135" t="s">
        <v>772</v>
      </c>
      <c r="B135" t="s">
        <v>1375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0</v>
      </c>
      <c r="Q135" s="249">
        <f ca="1">Financeiros!E29</f>
        <v>0</v>
      </c>
    </row>
    <row r="136" spans="1:17" ht="15.75">
      <c r="A136" t="s">
        <v>772</v>
      </c>
      <c r="B136" t="s">
        <v>1375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772</v>
      </c>
      <c r="B137" t="s">
        <v>1375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772</v>
      </c>
      <c r="B138" t="s">
        <v>1375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772</v>
      </c>
      <c r="B139" t="s">
        <v>1375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772</v>
      </c>
      <c r="B140" t="s">
        <v>1375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772</v>
      </c>
      <c r="B141" t="s">
        <v>1375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772</v>
      </c>
      <c r="B142" t="s">
        <v>1375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2.2306471702529442E-2</v>
      </c>
      <c r="Q142" s="249">
        <f ca="1">Financeiros!E36</f>
        <v>2.2306471702529442E-2</v>
      </c>
    </row>
    <row r="143" spans="1:17" ht="15.75">
      <c r="A143" t="s">
        <v>772</v>
      </c>
      <c r="B143" t="s">
        <v>1375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772</v>
      </c>
      <c r="B144" t="s">
        <v>1375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-4.9177512042904083E-2</v>
      </c>
      <c r="Q144" s="249">
        <f ca="1">Financeiros!E38</f>
        <v>-4.9177512042904083E-2</v>
      </c>
    </row>
    <row r="145" spans="1:17" ht="15.75">
      <c r="A145" t="s">
        <v>772</v>
      </c>
      <c r="B145" t="s">
        <v>1375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0</v>
      </c>
      <c r="Q145" s="249">
        <f ca="1">Financeiros!E39</f>
        <v>0</v>
      </c>
    </row>
    <row r="146" spans="1:17" ht="15.75">
      <c r="A146" t="s">
        <v>772</v>
      </c>
      <c r="B146" t="s">
        <v>1375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0</v>
      </c>
      <c r="Q146" s="249">
        <f ca="1">Financeiros!E40</f>
        <v>0</v>
      </c>
    </row>
    <row r="147" spans="1:17" ht="15.75">
      <c r="A147" t="s">
        <v>772</v>
      </c>
      <c r="B147" t="s">
        <v>1375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-2.5221067063733489E-4</v>
      </c>
      <c r="Q147" s="249">
        <f ca="1">Financeiros!E41</f>
        <v>-2.5221067063733489E-4</v>
      </c>
    </row>
    <row r="148" spans="1:17" ht="15.75">
      <c r="A148" t="s">
        <v>772</v>
      </c>
      <c r="B148" t="s">
        <v>1375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772</v>
      </c>
      <c r="B149" t="s">
        <v>1375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772</v>
      </c>
      <c r="B150" t="s">
        <v>1375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-2.5221067063733489E-4</v>
      </c>
      <c r="Q150" s="249">
        <f ca="1">Financeiros!E41</f>
        <v>-2.5221067063733489E-4</v>
      </c>
    </row>
    <row r="151" spans="1:17" ht="15.75">
      <c r="A151" t="s">
        <v>772</v>
      </c>
      <c r="B151" t="s">
        <v>1375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772</v>
      </c>
      <c r="B152" t="s">
        <v>1375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772</v>
      </c>
      <c r="B153" t="s">
        <v>72</v>
      </c>
      <c r="C153" t="s">
        <v>1572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1573</v>
      </c>
      <c r="B154" t="s">
        <v>1574</v>
      </c>
      <c r="C154" t="s">
        <v>1575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1573</v>
      </c>
      <c r="B155" t="s">
        <v>1574</v>
      </c>
      <c r="C155" t="s">
        <v>1576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0</v>
      </c>
      <c r="Q155" s="234">
        <f ca="1">IF(CAPA!C110="Revisão",1,0)</f>
        <v>0</v>
      </c>
    </row>
    <row r="156" spans="1:17" ht="15.75">
      <c r="A156" t="s">
        <v>1573</v>
      </c>
      <c r="B156" t="s">
        <v>1574</v>
      </c>
      <c r="C156" t="s">
        <v>1577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772</v>
      </c>
      <c r="B157" t="s">
        <v>973</v>
      </c>
      <c r="C157" t="s">
        <v>1578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772</v>
      </c>
      <c r="B158" s="16" t="s">
        <v>120</v>
      </c>
      <c r="C158" s="16" t="s">
        <v>821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122987.91510000001</v>
      </c>
      <c r="Q158" s="234">
        <f ca="1">Energia!C5</f>
        <v>122987.91510000001</v>
      </c>
    </row>
    <row r="159" spans="1:17" ht="15.75">
      <c r="A159" s="16" t="s">
        <v>772</v>
      </c>
      <c r="B159" s="16" t="s">
        <v>120</v>
      </c>
      <c r="C159" s="16" t="s">
        <v>821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21175365.944756776</v>
      </c>
      <c r="Q159" s="234">
        <f ca="1">Energia!C14</f>
        <v>21175365.944756776</v>
      </c>
    </row>
    <row r="160" spans="1:17" ht="15.75">
      <c r="A160" s="16" t="s">
        <v>772</v>
      </c>
      <c r="B160" s="16" t="s">
        <v>1579</v>
      </c>
      <c r="C160" s="16" t="s">
        <v>1580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42496696.533408657</v>
      </c>
      <c r="Q160" s="234">
        <f ca="1">Resultado!D34</f>
        <v>42496696.533408657</v>
      </c>
    </row>
    <row r="161" spans="1:21" ht="15.75">
      <c r="A161" s="16" t="s">
        <v>772</v>
      </c>
      <c r="B161" s="16" t="s">
        <v>109</v>
      </c>
      <c r="C161" s="16" t="s">
        <v>836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42000000</v>
      </c>
      <c r="Q161" s="234">
        <f>Resultado!D39</f>
        <v>42000000</v>
      </c>
    </row>
    <row r="162" spans="1:21" ht="15.75">
      <c r="A162" s="16" t="s">
        <v>772</v>
      </c>
      <c r="B162" s="16" t="s">
        <v>72</v>
      </c>
      <c r="C162" s="16" t="s">
        <v>836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12255839.435246192</v>
      </c>
      <c r="Q162" s="234">
        <f ca="1">Resultado!D14</f>
        <v>12255839.435246192</v>
      </c>
    </row>
    <row r="163" spans="1:21" ht="15.75">
      <c r="A163" s="16" t="s">
        <v>772</v>
      </c>
      <c r="B163" s="16" t="s">
        <v>793</v>
      </c>
      <c r="C163" s="16" t="s">
        <v>836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9065491.1534056906</v>
      </c>
      <c r="Q163" s="234">
        <f>Resultado!D24</f>
        <v>9065491.1534056906</v>
      </c>
    </row>
    <row r="164" spans="1:21" ht="15.75">
      <c r="A164" s="16" t="s">
        <v>772</v>
      </c>
      <c r="B164" s="16" t="s">
        <v>1579</v>
      </c>
      <c r="C164" s="16" t="s">
        <v>1581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84496696.533408657</v>
      </c>
      <c r="Q164" s="234">
        <f ca="1">Resultado!C5</f>
        <v>84496696.533408657</v>
      </c>
    </row>
    <row r="165" spans="1:21" ht="15.75">
      <c r="A165" s="16" t="s">
        <v>772</v>
      </c>
      <c r="B165" s="16" t="s">
        <v>120</v>
      </c>
      <c r="C165" s="16" t="s">
        <v>1582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3.0362426061435573E-2</v>
      </c>
      <c r="Q165" s="234">
        <f ca="1">Energia!N15</f>
        <v>3.0362426061435573E-2</v>
      </c>
    </row>
    <row r="166" spans="1:21" ht="15.75">
      <c r="A166" s="16" t="s">
        <v>772</v>
      </c>
      <c r="B166" s="16" t="s">
        <v>120</v>
      </c>
      <c r="C166" s="16" t="s">
        <v>1583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3624.1728000000003</v>
      </c>
      <c r="Q166" s="234">
        <f ca="1">Energia!N18+Energia!N19</f>
        <v>3624.1728000000003</v>
      </c>
    </row>
    <row r="167" spans="1:21" ht="15.75">
      <c r="A167" s="16" t="s">
        <v>771</v>
      </c>
      <c r="B167" s="16" t="s">
        <v>120</v>
      </c>
      <c r="C167" s="16" t="s">
        <v>836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19319340.721340153</v>
      </c>
      <c r="Q167" s="234">
        <f ca="1">Resultado!C33</f>
        <v>19319340.721340153</v>
      </c>
      <c r="R167" s="255"/>
      <c r="S167" s="255"/>
      <c r="T167" s="255"/>
      <c r="U167" s="255"/>
    </row>
    <row r="168" spans="1:21" ht="15.75">
      <c r="A168" s="16" t="s">
        <v>771</v>
      </c>
      <c r="B168" s="16" t="s">
        <v>1579</v>
      </c>
      <c r="C168" s="16" t="s">
        <v>1584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75563773.538370013</v>
      </c>
      <c r="Q168" s="234">
        <f ca="1">Mercado_RA0_Reais</f>
        <v>75563773.538370013</v>
      </c>
    </row>
    <row r="169" spans="1:21" ht="15.75">
      <c r="A169" s="16" t="s">
        <v>772</v>
      </c>
      <c r="B169" s="16" t="s">
        <v>1375</v>
      </c>
      <c r="C169" s="16" t="s">
        <v>836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-24377206.118406419</v>
      </c>
      <c r="Q169" s="234">
        <f ca="1">Financeiros!D7</f>
        <v>-24377206.118406419</v>
      </c>
    </row>
    <row r="170" spans="1:21" ht="15.75">
      <c r="A170" s="16" t="s">
        <v>772</v>
      </c>
      <c r="B170" s="16" t="s">
        <v>1375</v>
      </c>
      <c r="C170" s="16" t="s">
        <v>836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-0.3226044038950503</v>
      </c>
      <c r="Q170" s="234">
        <f ca="1">Financeiros!E7</f>
        <v>-0.3226044038950503</v>
      </c>
    </row>
    <row r="171" spans="1:21" ht="15.75">
      <c r="A171" s="16" t="s">
        <v>772</v>
      </c>
      <c r="B171" s="16" t="s">
        <v>1585</v>
      </c>
      <c r="C171" s="16" t="s">
        <v>1586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60119490.415002242</v>
      </c>
      <c r="Q171" s="234">
        <f ca="1">Resultado!C5+Financeiros!D7/(1+IF(Q157&gt;0,Q157,0))</f>
        <v>60119490.415002242</v>
      </c>
    </row>
    <row r="172" spans="1:21" ht="15.75">
      <c r="A172" t="s">
        <v>772</v>
      </c>
      <c r="B172" t="s">
        <v>72</v>
      </c>
      <c r="C172" t="s">
        <v>1572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1006" t="s">
        <v>1587</v>
      </c>
      <c r="B173" s="1006" t="s">
        <v>1587</v>
      </c>
      <c r="C173" s="1006" t="s">
        <v>1587</v>
      </c>
      <c r="D173" s="1006">
        <v>99</v>
      </c>
      <c r="E173" s="1006">
        <v>99</v>
      </c>
      <c r="F173" s="1006">
        <v>999</v>
      </c>
      <c r="G173" s="1006">
        <v>999999</v>
      </c>
      <c r="H173" s="1006">
        <v>999</v>
      </c>
      <c r="I173" s="1006">
        <v>99</v>
      </c>
      <c r="J173" s="1006">
        <v>999</v>
      </c>
      <c r="K173" s="1006">
        <v>9</v>
      </c>
      <c r="L173" s="1006">
        <v>99</v>
      </c>
      <c r="M173" s="1006">
        <v>9</v>
      </c>
      <c r="N173" s="1006">
        <v>99</v>
      </c>
      <c r="O173" s="1006">
        <v>99999</v>
      </c>
      <c r="P173" s="401">
        <f t="shared" si="7"/>
        <v>0</v>
      </c>
      <c r="Q173" s="401">
        <v>0</v>
      </c>
    </row>
    <row r="174" spans="1:21" ht="15.75">
      <c r="A174" s="1006" t="s">
        <v>1587</v>
      </c>
      <c r="B174" s="1006" t="s">
        <v>1587</v>
      </c>
      <c r="C174" s="1006" t="s">
        <v>1587</v>
      </c>
      <c r="D174" s="1006">
        <v>99</v>
      </c>
      <c r="E174" s="1006">
        <v>99</v>
      </c>
      <c r="F174" s="1006">
        <v>999</v>
      </c>
      <c r="G174" s="1006">
        <v>999999</v>
      </c>
      <c r="H174" s="1006">
        <v>999</v>
      </c>
      <c r="I174" s="1006">
        <v>99</v>
      </c>
      <c r="J174" s="1006">
        <v>999</v>
      </c>
      <c r="K174" s="1006">
        <v>9</v>
      </c>
      <c r="L174" s="1006">
        <v>99</v>
      </c>
      <c r="M174" s="1006">
        <v>9</v>
      </c>
      <c r="N174" s="1006">
        <v>99</v>
      </c>
      <c r="O174" s="1006">
        <v>99999</v>
      </c>
      <c r="P174" s="401">
        <f t="shared" si="7"/>
        <v>0</v>
      </c>
      <c r="Q174" s="401">
        <v>0</v>
      </c>
    </row>
    <row r="175" spans="1:21" ht="15.75">
      <c r="A175" s="1006" t="s">
        <v>1587</v>
      </c>
      <c r="B175" s="1006" t="s">
        <v>1587</v>
      </c>
      <c r="C175" s="1006" t="s">
        <v>1587</v>
      </c>
      <c r="D175" s="1006">
        <v>99</v>
      </c>
      <c r="E175" s="1006">
        <v>99</v>
      </c>
      <c r="F175" s="1006">
        <v>999</v>
      </c>
      <c r="G175" s="1006">
        <v>999999</v>
      </c>
      <c r="H175" s="1006">
        <v>999</v>
      </c>
      <c r="I175" s="1006">
        <v>99</v>
      </c>
      <c r="J175" s="1006">
        <v>999</v>
      </c>
      <c r="K175" s="1006">
        <v>9</v>
      </c>
      <c r="L175" s="1006">
        <v>99</v>
      </c>
      <c r="M175" s="1006">
        <v>9</v>
      </c>
      <c r="N175" s="1006">
        <v>99</v>
      </c>
      <c r="O175" s="1006">
        <v>99999</v>
      </c>
      <c r="P175" s="401">
        <f t="shared" si="7"/>
        <v>0</v>
      </c>
      <c r="Q175" s="401">
        <v>0</v>
      </c>
    </row>
    <row r="176" spans="1:21" ht="15.75">
      <c r="A176" t="s">
        <v>772</v>
      </c>
      <c r="B176" t="s">
        <v>973</v>
      </c>
      <c r="C176" t="s">
        <v>1578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772</v>
      </c>
      <c r="B177" s="16" t="s">
        <v>120</v>
      </c>
      <c r="C177" s="16" t="s">
        <v>821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122987.91510000001</v>
      </c>
      <c r="Q177" s="234">
        <f ca="1">Energia!C5</f>
        <v>122987.91510000001</v>
      </c>
    </row>
    <row r="178" spans="1:19" ht="15.75">
      <c r="A178" s="16" t="s">
        <v>772</v>
      </c>
      <c r="B178" s="16" t="s">
        <v>120</v>
      </c>
      <c r="C178" s="16" t="s">
        <v>821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21175365.944756776</v>
      </c>
      <c r="Q178" s="234">
        <f ca="1">Energia!C14</f>
        <v>21175365.944756776</v>
      </c>
    </row>
    <row r="179" spans="1:19" ht="15.75">
      <c r="A179" s="16" t="s">
        <v>772</v>
      </c>
      <c r="B179" s="16" t="s">
        <v>120</v>
      </c>
      <c r="C179" s="16" t="s">
        <v>1588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15159.452099999997</v>
      </c>
      <c r="Q179" s="234">
        <f ca="1">SUM(LnkTXTPerdas)</f>
        <v>15159.452099999997</v>
      </c>
    </row>
    <row r="180" spans="1:19" ht="15.75">
      <c r="A180" s="16" t="s">
        <v>772</v>
      </c>
      <c r="B180" s="16" t="s">
        <v>1585</v>
      </c>
      <c r="C180" s="16" t="s">
        <v>1589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252358</v>
      </c>
      <c r="Q180" s="234">
        <f ca="1">SUM(INDIRECT("dados_MercadoBase[D]"))</f>
        <v>252358</v>
      </c>
    </row>
    <row r="181" spans="1:19" ht="15.75">
      <c r="A181" s="16" t="s">
        <v>772</v>
      </c>
      <c r="B181" s="16" t="s">
        <v>1585</v>
      </c>
      <c r="C181" s="16" t="s">
        <v>1590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116126.60199999991</v>
      </c>
      <c r="Q181" s="234">
        <f ca="1">SUM(INDIRECT("dados_MercadoBase[TUSD_E]"))</f>
        <v>116126.60199999991</v>
      </c>
    </row>
    <row r="182" spans="1:19" ht="15.75">
      <c r="A182" t="s">
        <v>771</v>
      </c>
      <c r="B182" t="s">
        <v>793</v>
      </c>
      <c r="C182" t="s">
        <v>1591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2512371.1955021746</v>
      </c>
      <c r="Q182" s="234">
        <f ca="1">Resultado!C25</f>
        <v>2512371.1955021746</v>
      </c>
    </row>
    <row r="183" spans="1:19" ht="15.75">
      <c r="A183" t="s">
        <v>771</v>
      </c>
      <c r="B183" t="s">
        <v>793</v>
      </c>
      <c r="C183" t="s">
        <v>1262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762419.84274428466</v>
      </c>
      <c r="Q183" s="234">
        <f ca="1">Resultado!C26</f>
        <v>762419.84274428466</v>
      </c>
    </row>
    <row r="184" spans="1:19" ht="15.75">
      <c r="A184" t="s">
        <v>771</v>
      </c>
      <c r="B184" t="s">
        <v>793</v>
      </c>
      <c r="C184" t="s">
        <v>1537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358285.69640434074</v>
      </c>
      <c r="Q184" s="234">
        <f ca="1">Resultado!C31</f>
        <v>358285.69640434074</v>
      </c>
    </row>
    <row r="185" spans="1:19" ht="15.75">
      <c r="A185" t="s">
        <v>771</v>
      </c>
      <c r="B185" t="s">
        <v>793</v>
      </c>
      <c r="C185" t="s">
        <v>1538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771</v>
      </c>
      <c r="B186" t="s">
        <v>793</v>
      </c>
      <c r="C186" t="s">
        <v>1539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772</v>
      </c>
      <c r="B187" t="s">
        <v>793</v>
      </c>
      <c r="C187" s="9" t="s">
        <v>1592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118926.88481049077</v>
      </c>
      <c r="Q187" s="254">
        <f>Resultado!D31</f>
        <v>118926.88481049077</v>
      </c>
    </row>
    <row r="188" spans="1:19" ht="15.75">
      <c r="A188" t="s">
        <v>772</v>
      </c>
      <c r="B188" t="s">
        <v>1585</v>
      </c>
      <c r="C188" s="9" t="s">
        <v>1593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107828.46299999993</v>
      </c>
      <c r="Q188" s="234">
        <f ca="1">SUM(INDIRECT("dados_MercadoBase[TE_E]"))</f>
        <v>107828.46299999993</v>
      </c>
    </row>
    <row r="189" spans="1:19" ht="15.75">
      <c r="A189" t="s">
        <v>772</v>
      </c>
      <c r="B189" t="s">
        <v>1594</v>
      </c>
      <c r="C189" s="9" t="s">
        <v>1595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9.9699999999999997E-2</v>
      </c>
      <c r="Q189" s="419">
        <f>VLOOKUP(LnkTXTSigla,Informacoes[],8,FALSE)</f>
        <v>9.9699999999999997E-2</v>
      </c>
    </row>
    <row r="190" spans="1:19" ht="15.75">
      <c r="A190" t="s">
        <v>772</v>
      </c>
      <c r="B190" t="s">
        <v>1594</v>
      </c>
      <c r="C190" s="9" t="s">
        <v>1596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772</v>
      </c>
      <c r="B191" t="s">
        <v>1594</v>
      </c>
      <c r="C191" s="9" t="s">
        <v>1597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24000000</v>
      </c>
      <c r="Q191" s="423">
        <f>CAPA!D32</f>
        <v>24000000</v>
      </c>
      <c r="S191" s="9"/>
    </row>
    <row r="192" spans="1:19" ht="15.75">
      <c r="A192" t="s">
        <v>772</v>
      </c>
      <c r="B192" t="s">
        <v>1594</v>
      </c>
      <c r="C192" s="9" t="s">
        <v>1598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772</v>
      </c>
      <c r="B193" t="s">
        <v>1594</v>
      </c>
      <c r="C193" s="9" t="s">
        <v>1599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18000000</v>
      </c>
      <c r="Q193" s="254">
        <f>CAPA!D33</f>
        <v>18000000</v>
      </c>
    </row>
    <row r="194" spans="1:17" ht="15.75">
      <c r="A194" t="s">
        <v>772</v>
      </c>
      <c r="B194" t="s">
        <v>1594</v>
      </c>
      <c r="C194" s="9" t="s">
        <v>1600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42000000</v>
      </c>
      <c r="Q194" s="234">
        <f>Resultado!D39</f>
        <v>42000000</v>
      </c>
    </row>
    <row r="195" spans="1:17" ht="15.75">
      <c r="A195" t="s">
        <v>772</v>
      </c>
      <c r="B195" t="s">
        <v>1594</v>
      </c>
      <c r="C195" t="s">
        <v>253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0.1507</v>
      </c>
      <c r="Q195" s="249">
        <f>VLOOKUP(LnkTXTSigla,Informacoes[],16,FALSE)</f>
        <v>0.1507</v>
      </c>
    </row>
    <row r="196" spans="1:17" ht="15.75">
      <c r="A196" t="s">
        <v>1585</v>
      </c>
      <c r="B196" t="s">
        <v>1601</v>
      </c>
      <c r="C196" t="s">
        <v>1602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560.29804065048427</v>
      </c>
      <c r="Q196" s="234">
        <f>'Tabelas e Gráficos'!BP288</f>
        <v>560.29804065048427</v>
      </c>
    </row>
    <row r="197" spans="1:17" ht="15.75">
      <c r="A197" t="s">
        <v>1585</v>
      </c>
      <c r="B197" t="s">
        <v>1601</v>
      </c>
      <c r="C197" t="s">
        <v>1603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4.3330192742675235</v>
      </c>
      <c r="Q197" s="234">
        <f>'Tabelas e Gráficos'!BP289</f>
        <v>4.3330192742675235</v>
      </c>
    </row>
    <row r="198" spans="1:17" ht="15.75">
      <c r="A198" t="s">
        <v>1585</v>
      </c>
      <c r="B198" t="s">
        <v>1601</v>
      </c>
      <c r="C198" t="s">
        <v>1604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1585</v>
      </c>
      <c r="B199" t="s">
        <v>1601</v>
      </c>
      <c r="C199" t="s">
        <v>1605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-2.4766081224731047</v>
      </c>
      <c r="Q199" s="234">
        <f>'Tabelas e Gráficos'!BP291</f>
        <v>-2.4766081224731047</v>
      </c>
    </row>
    <row r="200" spans="1:17" ht="15.75">
      <c r="A200" t="s">
        <v>1585</v>
      </c>
      <c r="B200" t="s">
        <v>1601</v>
      </c>
      <c r="C200" t="s">
        <v>1606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719.14559553109575</v>
      </c>
      <c r="Q200" s="234">
        <f>'Tabelas e Gráficos'!BP292</f>
        <v>719.14559553109575</v>
      </c>
    </row>
    <row r="201" spans="1:17" ht="15.75">
      <c r="A201" t="s">
        <v>1585</v>
      </c>
      <c r="B201" t="s">
        <v>1601</v>
      </c>
      <c r="C201" t="s">
        <v>1607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5651.9054806951508</v>
      </c>
      <c r="Q201" s="234">
        <f>'Tabelas e Gráficos'!BP293</f>
        <v>5651.9054806951508</v>
      </c>
    </row>
    <row r="202" spans="1:17" ht="15.75">
      <c r="A202" t="s">
        <v>1585</v>
      </c>
      <c r="B202" t="s">
        <v>1601</v>
      </c>
      <c r="C202" t="s">
        <v>1608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80609.654637198852</v>
      </c>
      <c r="Q202" s="234">
        <f>'Tabelas e Gráficos'!BQ288</f>
        <v>80609.654637198852</v>
      </c>
    </row>
    <row r="203" spans="1:17" ht="15.75">
      <c r="A203" t="s">
        <v>1585</v>
      </c>
      <c r="B203" t="s">
        <v>1601</v>
      </c>
      <c r="C203" t="s">
        <v>1609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10749.56470208407</v>
      </c>
      <c r="Q203" s="234">
        <f>'Tabelas e Gráficos'!BQ289</f>
        <v>10749.56470208407</v>
      </c>
    </row>
    <row r="204" spans="1:17" ht="15.75">
      <c r="A204" t="s">
        <v>1585</v>
      </c>
      <c r="B204" t="s">
        <v>1601</v>
      </c>
      <c r="C204" t="s">
        <v>1610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1585</v>
      </c>
      <c r="B205" t="s">
        <v>1601</v>
      </c>
      <c r="C205" t="s">
        <v>1611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699.63805856801298</v>
      </c>
      <c r="Q205" s="234">
        <f>'Tabelas e Gráficos'!BQ291</f>
        <v>699.63805856801298</v>
      </c>
    </row>
    <row r="206" spans="1:17" ht="15.75">
      <c r="A206" t="s">
        <v>1585</v>
      </c>
      <c r="B206" t="s">
        <v>1601</v>
      </c>
      <c r="C206" t="s">
        <v>1612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104258.51309490083</v>
      </c>
      <c r="Q206" s="234">
        <f>'Tabelas e Gráficos'!BQ292</f>
        <v>104258.51309490083</v>
      </c>
    </row>
    <row r="207" spans="1:17" ht="15.75">
      <c r="A207" t="s">
        <v>1585</v>
      </c>
      <c r="B207" t="s">
        <v>1601</v>
      </c>
      <c r="C207" t="s">
        <v>1613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47439.105424537818</v>
      </c>
      <c r="Q207" s="234">
        <f>'Tabelas e Gráficos'!BQ293</f>
        <v>47439.105424537818</v>
      </c>
    </row>
    <row r="208" spans="1:17" ht="15.75">
      <c r="A208" t="s">
        <v>1585</v>
      </c>
      <c r="B208" t="s">
        <v>1601</v>
      </c>
      <c r="C208" t="s">
        <v>1614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81169.952677849331</v>
      </c>
      <c r="Q208" s="234">
        <f>'Tabelas e Gráficos'!BR288</f>
        <v>81169.952677849331</v>
      </c>
    </row>
    <row r="209" spans="1:17" ht="15.75">
      <c r="A209" t="s">
        <v>1585</v>
      </c>
      <c r="B209" t="s">
        <v>1601</v>
      </c>
      <c r="C209" t="s">
        <v>1615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10753.897721358337</v>
      </c>
      <c r="Q209" s="234">
        <f>'Tabelas e Gráficos'!BR289</f>
        <v>10753.897721358337</v>
      </c>
    </row>
    <row r="210" spans="1:17" ht="15.75">
      <c r="A210" t="s">
        <v>1585</v>
      </c>
      <c r="B210" t="s">
        <v>1601</v>
      </c>
      <c r="C210" t="s">
        <v>1616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1585</v>
      </c>
      <c r="B211" t="s">
        <v>1601</v>
      </c>
      <c r="C211" t="s">
        <v>1617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697.16145044553991</v>
      </c>
      <c r="Q211" s="234">
        <f>'Tabelas e Gráficos'!BR291</f>
        <v>697.16145044553991</v>
      </c>
    </row>
    <row r="212" spans="1:17" ht="15.75">
      <c r="A212" t="s">
        <v>1585</v>
      </c>
      <c r="B212" t="s">
        <v>1601</v>
      </c>
      <c r="C212" t="s">
        <v>1618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104977.65869043193</v>
      </c>
      <c r="Q212" s="234">
        <f>'Tabelas e Gráficos'!BR292</f>
        <v>104977.65869043193</v>
      </c>
    </row>
    <row r="213" spans="1:17" ht="15.75">
      <c r="A213" t="s">
        <v>1585</v>
      </c>
      <c r="B213" t="s">
        <v>1601</v>
      </c>
      <c r="C213" t="s">
        <v>1619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53091.010905232972</v>
      </c>
      <c r="Q213" s="234">
        <f>'Tabelas e Gráficos'!BR293</f>
        <v>53091.010905232972</v>
      </c>
    </row>
    <row r="214" spans="1:17" ht="15.75">
      <c r="A214" s="902" t="s">
        <v>772</v>
      </c>
      <c r="B214" s="902" t="s">
        <v>72</v>
      </c>
      <c r="C214" s="902" t="s">
        <v>1620</v>
      </c>
      <c r="D214" s="902">
        <v>2</v>
      </c>
      <c r="E214" s="902">
        <v>1</v>
      </c>
      <c r="F214" s="902">
        <v>51</v>
      </c>
      <c r="G214" s="902">
        <v>73</v>
      </c>
      <c r="H214" s="902">
        <v>999</v>
      </c>
      <c r="I214" s="902">
        <v>3</v>
      </c>
      <c r="J214" s="902">
        <v>15</v>
      </c>
      <c r="K214" s="902">
        <v>1</v>
      </c>
      <c r="L214" s="902">
        <v>99</v>
      </c>
      <c r="M214" s="902">
        <v>9</v>
      </c>
      <c r="N214" s="902">
        <v>3</v>
      </c>
      <c r="O214" s="902">
        <v>99999</v>
      </c>
      <c r="P214" s="234">
        <f t="shared" si="12"/>
        <v>0</v>
      </c>
      <c r="Q214" s="234">
        <f>Encargos!I20</f>
        <v>0</v>
      </c>
    </row>
    <row r="215" spans="1:17" ht="15.75">
      <c r="A215" s="902" t="s">
        <v>772</v>
      </c>
      <c r="B215" s="902" t="s">
        <v>1375</v>
      </c>
      <c r="C215" s="902" t="str">
        <f>Financeiros!C48</f>
        <v>CVE ccc</v>
      </c>
      <c r="D215" s="902">
        <v>2</v>
      </c>
      <c r="E215" s="902">
        <v>2</v>
      </c>
      <c r="F215" s="902">
        <f>Financeiros!F48</f>
        <v>22</v>
      </c>
      <c r="G215" s="902">
        <f>Financeiros!G48</f>
        <v>60</v>
      </c>
      <c r="H215" s="902">
        <f>Financeiros!H48</f>
        <v>241</v>
      </c>
      <c r="I215" s="902">
        <f>Financeiros!I48</f>
        <v>3</v>
      </c>
      <c r="J215" s="902">
        <f>Financeiros!J48</f>
        <v>13</v>
      </c>
      <c r="K215" s="902">
        <f>Financeiros!K48</f>
        <v>9</v>
      </c>
      <c r="L215" s="902">
        <v>99</v>
      </c>
      <c r="M215" s="902">
        <v>9</v>
      </c>
      <c r="N215" s="902">
        <v>3</v>
      </c>
      <c r="O215" s="902">
        <v>99999</v>
      </c>
      <c r="P215" s="977">
        <f t="shared" ref="P215" si="13">IF(ISNUMBER(Q215),Q215,0)</f>
        <v>0</v>
      </c>
      <c r="Q215" s="234">
        <f>Financeiros!D48</f>
        <v>0</v>
      </c>
    </row>
    <row r="216" spans="1:17" ht="15.75">
      <c r="A216" s="902" t="s">
        <v>772</v>
      </c>
      <c r="B216" s="902" t="s">
        <v>1375</v>
      </c>
      <c r="C216" s="902" t="str">
        <f>Financeiros!C49</f>
        <v>CVE cde</v>
      </c>
      <c r="D216" s="902">
        <v>2</v>
      </c>
      <c r="E216" s="902">
        <v>2</v>
      </c>
      <c r="F216" s="902">
        <f>Financeiros!F49</f>
        <v>22</v>
      </c>
      <c r="G216" s="902">
        <f>Financeiros!G49</f>
        <v>60</v>
      </c>
      <c r="H216" s="902">
        <f>Financeiros!H49</f>
        <v>241</v>
      </c>
      <c r="I216" s="902">
        <f>Financeiros!I49</f>
        <v>3</v>
      </c>
      <c r="J216" s="902">
        <f>Financeiros!J49</f>
        <v>15</v>
      </c>
      <c r="K216" s="902">
        <f>Financeiros!K49</f>
        <v>9</v>
      </c>
      <c r="L216" s="902">
        <v>99</v>
      </c>
      <c r="M216" s="902">
        <v>9</v>
      </c>
      <c r="N216" s="902">
        <v>3</v>
      </c>
      <c r="O216" s="902">
        <v>99999</v>
      </c>
      <c r="P216" s="977">
        <f t="shared" ref="P216:P276" si="14">IF(ISNUMBER(Q216),Q216,0)</f>
        <v>0</v>
      </c>
      <c r="Q216" s="234">
        <f>Financeiros!D49</f>
        <v>0</v>
      </c>
    </row>
    <row r="217" spans="1:17" ht="15.75">
      <c r="A217" s="902" t="s">
        <v>772</v>
      </c>
      <c r="B217" s="902" t="s">
        <v>1375</v>
      </c>
      <c r="C217" s="902" t="str">
        <f>Financeiros!C50</f>
        <v>CVE cde energia</v>
      </c>
      <c r="D217" s="902">
        <v>2</v>
      </c>
      <c r="E217" s="902">
        <v>2</v>
      </c>
      <c r="F217" s="902">
        <f>Financeiros!F50</f>
        <v>22</v>
      </c>
      <c r="G217" s="902">
        <f>Financeiros!G50</f>
        <v>60</v>
      </c>
      <c r="H217" s="902">
        <f>Financeiros!H50</f>
        <v>241</v>
      </c>
      <c r="I217" s="902">
        <f>Financeiros!I50</f>
        <v>3</v>
      </c>
      <c r="J217" s="902">
        <f>Financeiros!J50</f>
        <v>25</v>
      </c>
      <c r="K217" s="902">
        <f>Financeiros!K50</f>
        <v>9</v>
      </c>
      <c r="L217" s="902">
        <v>99</v>
      </c>
      <c r="M217" s="902">
        <v>9</v>
      </c>
      <c r="N217" s="902">
        <v>3</v>
      </c>
      <c r="O217" s="902">
        <v>99999</v>
      </c>
      <c r="P217" s="977">
        <f t="shared" si="14"/>
        <v>0</v>
      </c>
      <c r="Q217" s="234">
        <f>Financeiros!D50</f>
        <v>0</v>
      </c>
    </row>
    <row r="218" spans="1:17" ht="15.75">
      <c r="A218" s="902" t="s">
        <v>772</v>
      </c>
      <c r="B218" s="902" t="s">
        <v>1375</v>
      </c>
      <c r="C218" s="902" t="str">
        <f>Financeiros!C51</f>
        <v>CVE RB - Nodal</v>
      </c>
      <c r="D218" s="902">
        <v>2</v>
      </c>
      <c r="E218" s="902">
        <v>2</v>
      </c>
      <c r="F218" s="902">
        <f>Financeiros!F51</f>
        <v>22</v>
      </c>
      <c r="G218" s="902">
        <f>Financeiros!G51</f>
        <v>60</v>
      </c>
      <c r="H218" s="902">
        <f>Financeiros!H51</f>
        <v>241</v>
      </c>
      <c r="I218" s="902">
        <f>Financeiros!I51</f>
        <v>1</v>
      </c>
      <c r="J218" s="902">
        <f>Financeiros!J51</f>
        <v>1</v>
      </c>
      <c r="K218" s="902">
        <f>Financeiros!K51</f>
        <v>9</v>
      </c>
      <c r="L218" s="902">
        <v>99</v>
      </c>
      <c r="M218" s="902">
        <v>9</v>
      </c>
      <c r="N218" s="902">
        <v>3</v>
      </c>
      <c r="O218" s="902">
        <v>99999</v>
      </c>
      <c r="P218" s="977">
        <f t="shared" si="14"/>
        <v>0</v>
      </c>
      <c r="Q218" s="234">
        <f>Financeiros!D51</f>
        <v>0</v>
      </c>
    </row>
    <row r="219" spans="1:17" ht="15.75">
      <c r="A219" s="902" t="s">
        <v>772</v>
      </c>
      <c r="B219" s="902" t="s">
        <v>1375</v>
      </c>
      <c r="C219" s="902" t="str">
        <f>Financeiros!C52</f>
        <v>CVE RB - Fronteira</v>
      </c>
      <c r="D219" s="902">
        <v>2</v>
      </c>
      <c r="E219" s="902">
        <v>2</v>
      </c>
      <c r="F219" s="902">
        <f>Financeiros!F52</f>
        <v>22</v>
      </c>
      <c r="G219" s="902">
        <f>Financeiros!G52</f>
        <v>60</v>
      </c>
      <c r="H219" s="902">
        <f>Financeiros!H52</f>
        <v>241</v>
      </c>
      <c r="I219" s="902">
        <f>Financeiros!I52</f>
        <v>1</v>
      </c>
      <c r="J219" s="902">
        <f>Financeiros!J52</f>
        <v>1</v>
      </c>
      <c r="K219" s="902">
        <f>Financeiros!K52</f>
        <v>9</v>
      </c>
      <c r="L219" s="902">
        <v>99</v>
      </c>
      <c r="M219" s="902">
        <v>9</v>
      </c>
      <c r="N219" s="902">
        <v>3</v>
      </c>
      <c r="O219" s="902">
        <v>99999</v>
      </c>
      <c r="P219" s="977">
        <f t="shared" si="14"/>
        <v>0</v>
      </c>
      <c r="Q219" s="234">
        <f>Financeiros!D52</f>
        <v>0</v>
      </c>
    </row>
    <row r="220" spans="1:17" ht="15.75">
      <c r="A220" s="902" t="s">
        <v>772</v>
      </c>
      <c r="B220" s="902" t="s">
        <v>1375</v>
      </c>
      <c r="C220" s="902" t="str">
        <f>Financeiros!C53</f>
        <v>CVE RB - TUSDg EXP</v>
      </c>
      <c r="D220" s="902">
        <v>2</v>
      </c>
      <c r="E220" s="902">
        <v>2</v>
      </c>
      <c r="F220" s="902">
        <f>Financeiros!F53</f>
        <v>22</v>
      </c>
      <c r="G220" s="902">
        <f>Financeiros!G53</f>
        <v>60</v>
      </c>
      <c r="H220" s="902">
        <f>Financeiros!H53</f>
        <v>241</v>
      </c>
      <c r="I220" s="902">
        <f>Financeiros!I53</f>
        <v>1</v>
      </c>
      <c r="J220" s="902">
        <f>Financeiros!J53</f>
        <v>1</v>
      </c>
      <c r="K220" s="902">
        <f>Financeiros!K53</f>
        <v>9</v>
      </c>
      <c r="L220" s="902">
        <v>99</v>
      </c>
      <c r="M220" s="902">
        <v>9</v>
      </c>
      <c r="N220" s="902">
        <v>3</v>
      </c>
      <c r="O220" s="902">
        <v>99999</v>
      </c>
      <c r="P220" s="977">
        <f t="shared" si="14"/>
        <v>0</v>
      </c>
      <c r="Q220" s="234">
        <f>Financeiros!D53</f>
        <v>0</v>
      </c>
    </row>
    <row r="221" spans="1:17" ht="15.75">
      <c r="A221" s="902" t="s">
        <v>772</v>
      </c>
      <c r="B221" s="902" t="s">
        <v>1375</v>
      </c>
      <c r="C221" s="902" t="str">
        <f>Financeiros!C54</f>
        <v>CVE RB - TUSDg ONS</v>
      </c>
      <c r="D221" s="902">
        <v>2</v>
      </c>
      <c r="E221" s="902">
        <v>2</v>
      </c>
      <c r="F221" s="902">
        <f>Financeiros!F54</f>
        <v>22</v>
      </c>
      <c r="G221" s="902">
        <f>Financeiros!G54</f>
        <v>60</v>
      </c>
      <c r="H221" s="902">
        <f>Financeiros!H54</f>
        <v>241</v>
      </c>
      <c r="I221" s="902">
        <f>Financeiros!I54</f>
        <v>1</v>
      </c>
      <c r="J221" s="902">
        <f>Financeiros!J54</f>
        <v>1</v>
      </c>
      <c r="K221" s="902">
        <f>Financeiros!K54</f>
        <v>9</v>
      </c>
      <c r="L221" s="902">
        <v>99</v>
      </c>
      <c r="M221" s="902">
        <v>9</v>
      </c>
      <c r="N221" s="902">
        <v>3</v>
      </c>
      <c r="O221" s="902">
        <v>99999</v>
      </c>
      <c r="P221" s="977">
        <f t="shared" si="14"/>
        <v>0</v>
      </c>
      <c r="Q221" s="234">
        <f>Financeiros!D54</f>
        <v>0</v>
      </c>
    </row>
    <row r="222" spans="1:17" ht="15.75">
      <c r="A222" s="902" t="s">
        <v>772</v>
      </c>
      <c r="B222" s="902" t="s">
        <v>1375</v>
      </c>
      <c r="C222" s="902" t="str">
        <f>Financeiros!C55</f>
        <v>CVE RB - EUST Itaipu</v>
      </c>
      <c r="D222" s="902">
        <v>2</v>
      </c>
      <c r="E222" s="902">
        <v>2</v>
      </c>
      <c r="F222" s="902">
        <f>Financeiros!F55</f>
        <v>22</v>
      </c>
      <c r="G222" s="902">
        <f>Financeiros!G55</f>
        <v>60</v>
      </c>
      <c r="H222" s="902">
        <f>Financeiros!H55</f>
        <v>241</v>
      </c>
      <c r="I222" s="902">
        <f>Financeiros!I55</f>
        <v>1</v>
      </c>
      <c r="J222" s="902">
        <f>Financeiros!J55</f>
        <v>1</v>
      </c>
      <c r="K222" s="902">
        <f>Financeiros!K55</f>
        <v>9</v>
      </c>
      <c r="L222" s="902">
        <v>99</v>
      </c>
      <c r="M222" s="902">
        <v>9</v>
      </c>
      <c r="N222" s="902">
        <v>3</v>
      </c>
      <c r="O222" s="902">
        <v>99999</v>
      </c>
      <c r="P222" s="977">
        <f t="shared" si="14"/>
        <v>0</v>
      </c>
      <c r="Q222" s="234">
        <f>Financeiros!D55</f>
        <v>0</v>
      </c>
    </row>
    <row r="223" spans="1:17" ht="15.75">
      <c r="A223" s="902" t="s">
        <v>772</v>
      </c>
      <c r="B223" s="902" t="s">
        <v>1375</v>
      </c>
      <c r="C223" s="902" t="str">
        <f>Financeiros!C56</f>
        <v>CVE- Transporte Itaipu</v>
      </c>
      <c r="D223" s="902">
        <v>2</v>
      </c>
      <c r="E223" s="902">
        <v>2</v>
      </c>
      <c r="F223" s="902">
        <f>Financeiros!F56</f>
        <v>22</v>
      </c>
      <c r="G223" s="902">
        <f>Financeiros!G56</f>
        <v>60</v>
      </c>
      <c r="H223" s="902">
        <f>Financeiros!H56</f>
        <v>241</v>
      </c>
      <c r="I223" s="902">
        <f>Financeiros!I56</f>
        <v>1</v>
      </c>
      <c r="J223" s="902">
        <f>Financeiros!J56</f>
        <v>21</v>
      </c>
      <c r="K223" s="902">
        <f>Financeiros!K56</f>
        <v>9</v>
      </c>
      <c r="L223" s="902">
        <v>99</v>
      </c>
      <c r="M223" s="902">
        <v>9</v>
      </c>
      <c r="N223" s="902">
        <v>3</v>
      </c>
      <c r="O223" s="902">
        <v>99999</v>
      </c>
      <c r="P223" s="977">
        <f t="shared" si="14"/>
        <v>0</v>
      </c>
      <c r="Q223" s="234">
        <f>Financeiros!D56</f>
        <v>0</v>
      </c>
    </row>
    <row r="224" spans="1:17" ht="15.75">
      <c r="A224" s="902" t="s">
        <v>772</v>
      </c>
      <c r="B224" s="902" t="s">
        <v>1375</v>
      </c>
      <c r="C224" s="902" t="str">
        <f>Financeiros!C57</f>
        <v>CVE - Energia - Energia de Revenda</v>
      </c>
      <c r="D224" s="902">
        <v>2</v>
      </c>
      <c r="E224" s="902">
        <v>2</v>
      </c>
      <c r="F224" s="902">
        <f>Financeiros!F57</f>
        <v>22</v>
      </c>
      <c r="G224" s="902">
        <f>Financeiros!G57</f>
        <v>60</v>
      </c>
      <c r="H224" s="902">
        <f>Financeiros!H57</f>
        <v>241</v>
      </c>
      <c r="I224" s="902">
        <f>Financeiros!I57</f>
        <v>2</v>
      </c>
      <c r="J224" s="902">
        <f>Financeiros!J57</f>
        <v>11</v>
      </c>
      <c r="K224" s="902">
        <f>Financeiros!K57</f>
        <v>9</v>
      </c>
      <c r="L224" s="902">
        <v>99</v>
      </c>
      <c r="M224" s="902">
        <v>9</v>
      </c>
      <c r="N224" s="902">
        <v>3</v>
      </c>
      <c r="O224" s="902">
        <v>99999</v>
      </c>
      <c r="P224" s="977">
        <f t="shared" ca="1" si="14"/>
        <v>1304784.3672955362</v>
      </c>
      <c r="Q224" s="234">
        <f ca="1">Financeiros!D57</f>
        <v>1304784.3672955362</v>
      </c>
    </row>
    <row r="225" spans="1:17" ht="15.75">
      <c r="A225" s="902" t="s">
        <v>772</v>
      </c>
      <c r="B225" s="902" t="s">
        <v>1375</v>
      </c>
      <c r="C225" s="902" t="str">
        <f>Financeiros!C58</f>
        <v>CVE - Energia - Perda Não Técnica</v>
      </c>
      <c r="D225" s="902">
        <v>2</v>
      </c>
      <c r="E225" s="902">
        <v>2</v>
      </c>
      <c r="F225" s="902">
        <f>Financeiros!F58</f>
        <v>22</v>
      </c>
      <c r="G225" s="902">
        <f>Financeiros!G58</f>
        <v>60</v>
      </c>
      <c r="H225" s="902">
        <f>Financeiros!H58</f>
        <v>241</v>
      </c>
      <c r="I225" s="902">
        <f>Financeiros!I58</f>
        <v>2</v>
      </c>
      <c r="J225" s="902">
        <f>Financeiros!J58</f>
        <v>9</v>
      </c>
      <c r="K225" s="902">
        <f>Financeiros!K58</f>
        <v>9</v>
      </c>
      <c r="L225" s="902">
        <v>99</v>
      </c>
      <c r="M225" s="902">
        <v>9</v>
      </c>
      <c r="N225" s="902">
        <v>3</v>
      </c>
      <c r="O225" s="902">
        <v>99999</v>
      </c>
      <c r="P225" s="977">
        <f t="shared" ca="1" si="14"/>
        <v>0</v>
      </c>
      <c r="Q225" s="234">
        <f ca="1">Financeiros!D58</f>
        <v>0</v>
      </c>
    </row>
    <row r="226" spans="1:17" ht="15.75">
      <c r="A226" s="902" t="s">
        <v>772</v>
      </c>
      <c r="B226" s="902" t="s">
        <v>1375</v>
      </c>
      <c r="C226" s="902" t="str">
        <f>Financeiros!C59</f>
        <v>CVE - Energia - Perda Técnica</v>
      </c>
      <c r="D226" s="902">
        <v>2</v>
      </c>
      <c r="E226" s="902">
        <v>2</v>
      </c>
      <c r="F226" s="902">
        <f>Financeiros!F59</f>
        <v>22</v>
      </c>
      <c r="G226" s="902">
        <f>Financeiros!G59</f>
        <v>60</v>
      </c>
      <c r="H226" s="902">
        <f>Financeiros!H59</f>
        <v>241</v>
      </c>
      <c r="I226" s="902">
        <f>Financeiros!I59</f>
        <v>2</v>
      </c>
      <c r="J226" s="902">
        <f>Financeiros!J59</f>
        <v>8</v>
      </c>
      <c r="K226" s="902">
        <f>Financeiros!K59</f>
        <v>9</v>
      </c>
      <c r="L226" s="902">
        <v>99</v>
      </c>
      <c r="M226" s="902">
        <v>9</v>
      </c>
      <c r="N226" s="902">
        <v>3</v>
      </c>
      <c r="O226" s="902">
        <v>99999</v>
      </c>
      <c r="P226" s="977">
        <f t="shared" ca="1" si="14"/>
        <v>139583.29446862088</v>
      </c>
      <c r="Q226" s="234">
        <f ca="1">Financeiros!D59</f>
        <v>139583.29446862088</v>
      </c>
    </row>
    <row r="227" spans="1:17" ht="15.75">
      <c r="A227" s="902" t="s">
        <v>772</v>
      </c>
      <c r="B227" s="902" t="s">
        <v>1375</v>
      </c>
      <c r="C227" s="902" t="str">
        <f>Financeiros!C60</f>
        <v>CVE - Energia -  Perda de RB sobre a distribuição</v>
      </c>
      <c r="D227" s="902">
        <v>2</v>
      </c>
      <c r="E227" s="902">
        <v>2</v>
      </c>
      <c r="F227" s="902">
        <f>Financeiros!F60</f>
        <v>22</v>
      </c>
      <c r="G227" s="902">
        <f>Financeiros!G60</f>
        <v>60</v>
      </c>
      <c r="H227" s="902">
        <f>Financeiros!H60</f>
        <v>241</v>
      </c>
      <c r="I227" s="902">
        <f>Financeiros!I60</f>
        <v>2</v>
      </c>
      <c r="J227" s="902">
        <f>Financeiros!J60</f>
        <v>10</v>
      </c>
      <c r="K227" s="902">
        <f>Financeiros!K60</f>
        <v>9</v>
      </c>
      <c r="L227" s="902">
        <v>99</v>
      </c>
      <c r="M227" s="902">
        <v>9</v>
      </c>
      <c r="N227" s="902">
        <v>3</v>
      </c>
      <c r="O227" s="902">
        <v>99999</v>
      </c>
      <c r="P227" s="977">
        <f t="shared" ca="1" si="14"/>
        <v>4238.0874577150898</v>
      </c>
      <c r="Q227" s="234">
        <f ca="1">Financeiros!D60</f>
        <v>4238.0874577150898</v>
      </c>
    </row>
    <row r="228" spans="1:17" ht="15.75">
      <c r="A228" s="902" t="s">
        <v>772</v>
      </c>
      <c r="B228" s="902" t="s">
        <v>1375</v>
      </c>
      <c r="C228" s="902" t="str">
        <f>Financeiros!C61</f>
        <v>CVE - Energia -  Perda de RB sobre o mercado cativo</v>
      </c>
      <c r="D228" s="902">
        <v>2</v>
      </c>
      <c r="E228" s="902">
        <v>2</v>
      </c>
      <c r="F228" s="902">
        <f>Financeiros!F61</f>
        <v>22</v>
      </c>
      <c r="G228" s="902">
        <f>Financeiros!G61</f>
        <v>60</v>
      </c>
      <c r="H228" s="902">
        <f>Financeiros!H61</f>
        <v>241</v>
      </c>
      <c r="I228" s="902">
        <f>Financeiros!I61</f>
        <v>2</v>
      </c>
      <c r="J228" s="902">
        <f>Financeiros!J61</f>
        <v>24</v>
      </c>
      <c r="K228" s="902">
        <f>Financeiros!K61</f>
        <v>9</v>
      </c>
      <c r="L228" s="902">
        <v>99</v>
      </c>
      <c r="M228" s="902">
        <v>9</v>
      </c>
      <c r="N228" s="902">
        <v>3</v>
      </c>
      <c r="O228" s="902">
        <v>99999</v>
      </c>
      <c r="P228" s="977">
        <f t="shared" ca="1" si="14"/>
        <v>39616.418878127712</v>
      </c>
      <c r="Q228" s="234">
        <f ca="1">Financeiros!D61</f>
        <v>39616.418878127712</v>
      </c>
    </row>
    <row r="229" spans="1:17" ht="15.75">
      <c r="A229" s="902" t="s">
        <v>772</v>
      </c>
      <c r="B229" s="902" t="s">
        <v>1375</v>
      </c>
      <c r="C229" s="902" t="str">
        <f>Financeiros!C62</f>
        <v>CVE - Encargos - PROINFA</v>
      </c>
      <c r="D229" s="902">
        <v>2</v>
      </c>
      <c r="E229" s="902">
        <v>2</v>
      </c>
      <c r="F229" s="902">
        <f>Financeiros!F62</f>
        <v>22</v>
      </c>
      <c r="G229" s="902">
        <f>Financeiros!G62</f>
        <v>60</v>
      </c>
      <c r="H229" s="902">
        <f>Financeiros!H62</f>
        <v>241</v>
      </c>
      <c r="I229" s="902">
        <f>Financeiros!I62</f>
        <v>3</v>
      </c>
      <c r="J229" s="902">
        <f>Financeiros!J62</f>
        <v>18</v>
      </c>
      <c r="K229" s="902">
        <f>Financeiros!K62</f>
        <v>9</v>
      </c>
      <c r="L229" s="902">
        <v>99</v>
      </c>
      <c r="M229" s="902">
        <v>9</v>
      </c>
      <c r="N229" s="902">
        <v>3</v>
      </c>
      <c r="O229" s="902">
        <v>99999</v>
      </c>
      <c r="P229" s="977">
        <f t="shared" ca="1" si="14"/>
        <v>0</v>
      </c>
      <c r="Q229" s="234">
        <f ca="1">Financeiros!D62</f>
        <v>0</v>
      </c>
    </row>
    <row r="230" spans="1:17" ht="15.75">
      <c r="A230" s="902" t="s">
        <v>772</v>
      </c>
      <c r="B230" s="902" t="s">
        <v>1375</v>
      </c>
      <c r="C230" s="902" t="str">
        <f>Financeiros!C63</f>
        <v>CVE - Encargos - CFURH</v>
      </c>
      <c r="D230" s="902">
        <v>2</v>
      </c>
      <c r="E230" s="902">
        <v>2</v>
      </c>
      <c r="F230" s="902">
        <f>Financeiros!F63</f>
        <v>22</v>
      </c>
      <c r="G230" s="902">
        <f>Financeiros!G63</f>
        <v>60</v>
      </c>
      <c r="H230" s="902">
        <f>Financeiros!H63</f>
        <v>241</v>
      </c>
      <c r="I230" s="902">
        <f>Financeiros!I63</f>
        <v>3</v>
      </c>
      <c r="J230" s="902">
        <f>Financeiros!J63</f>
        <v>16</v>
      </c>
      <c r="K230" s="902">
        <f>Financeiros!K63</f>
        <v>9</v>
      </c>
      <c r="L230" s="902">
        <v>99</v>
      </c>
      <c r="M230" s="902">
        <v>9</v>
      </c>
      <c r="N230" s="902">
        <v>3</v>
      </c>
      <c r="O230" s="902">
        <v>99999</v>
      </c>
      <c r="P230" s="977">
        <f t="shared" si="14"/>
        <v>0</v>
      </c>
      <c r="Q230" s="234">
        <f>Financeiros!D63</f>
        <v>0</v>
      </c>
    </row>
    <row r="231" spans="1:17" ht="15.75">
      <c r="A231" s="902" t="s">
        <v>772</v>
      </c>
      <c r="B231" s="902" t="s">
        <v>1375</v>
      </c>
      <c r="C231" s="902" t="str">
        <f>Financeiros!C64</f>
        <v>CVE - Encargos - ESS/EER</v>
      </c>
      <c r="D231" s="902">
        <v>2</v>
      </c>
      <c r="E231" s="902">
        <v>2</v>
      </c>
      <c r="F231" s="902">
        <f>Financeiros!F64</f>
        <v>22</v>
      </c>
      <c r="G231" s="902">
        <f>Financeiros!G64</f>
        <v>60</v>
      </c>
      <c r="H231" s="902">
        <f>Financeiros!H64</f>
        <v>241</v>
      </c>
      <c r="I231" s="902">
        <f>Financeiros!I64</f>
        <v>3</v>
      </c>
      <c r="J231" s="902">
        <f>Financeiros!J64</f>
        <v>17</v>
      </c>
      <c r="K231" s="902">
        <f>Financeiros!K64</f>
        <v>9</v>
      </c>
      <c r="L231" s="902">
        <v>99</v>
      </c>
      <c r="M231" s="902">
        <v>9</v>
      </c>
      <c r="N231" s="902">
        <v>3</v>
      </c>
      <c r="O231" s="902">
        <v>99999</v>
      </c>
      <c r="P231" s="977">
        <f t="shared" si="14"/>
        <v>2452923.1017</v>
      </c>
      <c r="Q231" s="234">
        <f>Financeiros!D64</f>
        <v>2452923.1017</v>
      </c>
    </row>
    <row r="232" spans="1:17" ht="15.75">
      <c r="A232" s="902" t="s">
        <v>772</v>
      </c>
      <c r="B232" s="902" t="s">
        <v>1375</v>
      </c>
      <c r="C232" s="902" t="str">
        <f>Financeiros!C65</f>
        <v>Conta Escassez H. - Importação julho- agosto/2021 - RTA 2022 - Energia de Revenda</v>
      </c>
      <c r="D232" s="902">
        <v>2</v>
      </c>
      <c r="E232" s="902">
        <v>2</v>
      </c>
      <c r="F232" s="902">
        <f>Financeiros!F65</f>
        <v>22</v>
      </c>
      <c r="G232" s="902">
        <f>Financeiros!G65</f>
        <v>60</v>
      </c>
      <c r="H232" s="902">
        <f>Financeiros!H65</f>
        <v>240</v>
      </c>
      <c r="I232" s="902">
        <f>Financeiros!I65</f>
        <v>2</v>
      </c>
      <c r="J232" s="902">
        <f>Financeiros!J65</f>
        <v>11</v>
      </c>
      <c r="K232" s="902">
        <f>Financeiros!K65</f>
        <v>9</v>
      </c>
      <c r="L232" s="902">
        <v>99</v>
      </c>
      <c r="M232" s="902">
        <v>9</v>
      </c>
      <c r="N232" s="902">
        <v>3</v>
      </c>
      <c r="O232" s="902">
        <v>99999</v>
      </c>
      <c r="P232" s="977">
        <f t="shared" ca="1" si="14"/>
        <v>-211419.35251272083</v>
      </c>
      <c r="Q232" s="234">
        <f ca="1">Financeiros!D65</f>
        <v>-211419.35251272083</v>
      </c>
    </row>
    <row r="233" spans="1:17" ht="15.75">
      <c r="A233" s="902" t="s">
        <v>772</v>
      </c>
      <c r="B233" s="902" t="s">
        <v>1375</v>
      </c>
      <c r="C233" s="902" t="str">
        <f>Financeiros!C66</f>
        <v>Conta Escassez H. - Importação julho- agosto/2021 - RTA 2022 - Perda Não Técnica</v>
      </c>
      <c r="D233" s="902">
        <v>2</v>
      </c>
      <c r="E233" s="902">
        <v>2</v>
      </c>
      <c r="F233" s="902">
        <f>Financeiros!F66</f>
        <v>22</v>
      </c>
      <c r="G233" s="902">
        <f>Financeiros!G66</f>
        <v>60</v>
      </c>
      <c r="H233" s="902">
        <f>Financeiros!H66</f>
        <v>240</v>
      </c>
      <c r="I233" s="902">
        <f>Financeiros!I66</f>
        <v>2</v>
      </c>
      <c r="J233" s="902">
        <f>Financeiros!J66</f>
        <v>9</v>
      </c>
      <c r="K233" s="902">
        <f>Financeiros!K66</f>
        <v>9</v>
      </c>
      <c r="L233" s="902">
        <v>99</v>
      </c>
      <c r="M233" s="902">
        <v>9</v>
      </c>
      <c r="N233" s="902">
        <v>3</v>
      </c>
      <c r="O233" s="902">
        <v>99999</v>
      </c>
      <c r="P233" s="977">
        <f t="shared" ca="1" si="14"/>
        <v>0</v>
      </c>
      <c r="Q233" s="234">
        <f ca="1">Financeiros!D66</f>
        <v>0</v>
      </c>
    </row>
    <row r="234" spans="1:17" ht="15.75">
      <c r="A234" s="902" t="s">
        <v>772</v>
      </c>
      <c r="B234" s="902" t="s">
        <v>1375</v>
      </c>
      <c r="C234" s="902" t="str">
        <f>Financeiros!C67</f>
        <v>Conta Escassez H. - Importação julho- agosto/2021 - RTA 2022 - Perda Técnica</v>
      </c>
      <c r="D234" s="902">
        <v>2</v>
      </c>
      <c r="E234" s="902">
        <v>2</v>
      </c>
      <c r="F234" s="902">
        <f>Financeiros!F67</f>
        <v>22</v>
      </c>
      <c r="G234" s="902">
        <f>Financeiros!G67</f>
        <v>60</v>
      </c>
      <c r="H234" s="902">
        <f>Financeiros!H67</f>
        <v>240</v>
      </c>
      <c r="I234" s="902">
        <f>Financeiros!I67</f>
        <v>2</v>
      </c>
      <c r="J234" s="902">
        <f>Financeiros!J67</f>
        <v>8</v>
      </c>
      <c r="K234" s="902">
        <f>Financeiros!K67</f>
        <v>9</v>
      </c>
      <c r="L234" s="902">
        <v>99</v>
      </c>
      <c r="M234" s="902">
        <v>9</v>
      </c>
      <c r="N234" s="902">
        <v>3</v>
      </c>
      <c r="O234" s="902">
        <v>99999</v>
      </c>
      <c r="P234" s="977">
        <f t="shared" ca="1" si="14"/>
        <v>-22617.231228264751</v>
      </c>
      <c r="Q234" s="234">
        <f ca="1">Financeiros!D67</f>
        <v>-22617.231228264751</v>
      </c>
    </row>
    <row r="235" spans="1:17" ht="15.75">
      <c r="A235" s="902" t="s">
        <v>772</v>
      </c>
      <c r="B235" s="902" t="s">
        <v>1375</v>
      </c>
      <c r="C235" s="902" t="str">
        <f>Financeiros!C68</f>
        <v>Conta Escassez H. - Importação julho- agosto/2021 - RTA 2022 - Perda RB Perda RB sobre Dist.</v>
      </c>
      <c r="D235" s="902">
        <v>2</v>
      </c>
      <c r="E235" s="902">
        <v>2</v>
      </c>
      <c r="F235" s="902">
        <f>Financeiros!F68</f>
        <v>22</v>
      </c>
      <c r="G235" s="902">
        <f>Financeiros!G68</f>
        <v>60</v>
      </c>
      <c r="H235" s="902">
        <f>Financeiros!H68</f>
        <v>240</v>
      </c>
      <c r="I235" s="902">
        <f>Financeiros!I68</f>
        <v>2</v>
      </c>
      <c r="J235" s="902">
        <f>Financeiros!J68</f>
        <v>10</v>
      </c>
      <c r="K235" s="902">
        <f>Financeiros!K68</f>
        <v>9</v>
      </c>
      <c r="L235" s="902">
        <v>99</v>
      </c>
      <c r="M235" s="902">
        <v>9</v>
      </c>
      <c r="N235" s="902">
        <v>3</v>
      </c>
      <c r="O235" s="902">
        <v>99999</v>
      </c>
      <c r="P235" s="977">
        <f t="shared" ca="1" si="14"/>
        <v>-686.71401088258006</v>
      </c>
      <c r="Q235" s="234">
        <f ca="1">Financeiros!D68</f>
        <v>-686.71401088258006</v>
      </c>
    </row>
    <row r="236" spans="1:17" ht="15.75">
      <c r="A236" s="902" t="s">
        <v>772</v>
      </c>
      <c r="B236" s="902" t="s">
        <v>1375</v>
      </c>
      <c r="C236" s="902" t="str">
        <f>Financeiros!C69</f>
        <v>Conta Escassez H. - Importação julho- agosto/2021 - RTA 2022 - Perda RB sobre Merc. Cat.</v>
      </c>
      <c r="D236" s="902">
        <v>2</v>
      </c>
      <c r="E236" s="902">
        <v>2</v>
      </c>
      <c r="F236" s="902">
        <f>Financeiros!F69</f>
        <v>22</v>
      </c>
      <c r="G236" s="902">
        <f>Financeiros!G69</f>
        <v>60</v>
      </c>
      <c r="H236" s="902">
        <f>Financeiros!H69</f>
        <v>240</v>
      </c>
      <c r="I236" s="902">
        <f>Financeiros!I69</f>
        <v>2</v>
      </c>
      <c r="J236" s="902">
        <f>Financeiros!J69</f>
        <v>24</v>
      </c>
      <c r="K236" s="902">
        <f>Financeiros!K69</f>
        <v>9</v>
      </c>
      <c r="L236" s="902">
        <v>99</v>
      </c>
      <c r="M236" s="902">
        <v>9</v>
      </c>
      <c r="N236" s="902">
        <v>3</v>
      </c>
      <c r="O236" s="902">
        <v>99999</v>
      </c>
      <c r="P236" s="977">
        <f t="shared" ca="1" si="14"/>
        <v>-6419.204458624069</v>
      </c>
      <c r="Q236" s="234">
        <f ca="1">Financeiros!D69</f>
        <v>-6419.204458624069</v>
      </c>
    </row>
    <row r="237" spans="1:17" ht="15.75">
      <c r="A237" s="902" t="s">
        <v>772</v>
      </c>
      <c r="B237" s="902" t="s">
        <v>1375</v>
      </c>
      <c r="C237" s="902" t="str">
        <f>Financeiros!C70</f>
        <v>Conta Escassez H. - Bônus Redução Voluntária</v>
      </c>
      <c r="D237" s="902">
        <v>2</v>
      </c>
      <c r="E237" s="902">
        <v>2</v>
      </c>
      <c r="F237" s="902">
        <f>Financeiros!F70</f>
        <v>22</v>
      </c>
      <c r="G237" s="902">
        <f>Financeiros!G70</f>
        <v>60</v>
      </c>
      <c r="H237" s="902">
        <f>Financeiros!H70</f>
        <v>240</v>
      </c>
      <c r="I237" s="902">
        <f>Financeiros!I70</f>
        <v>3</v>
      </c>
      <c r="J237" s="902">
        <f>Financeiros!J70</f>
        <v>17</v>
      </c>
      <c r="K237" s="902">
        <f>Financeiros!K70</f>
        <v>9</v>
      </c>
      <c r="L237" s="902">
        <v>99</v>
      </c>
      <c r="M237" s="902">
        <v>9</v>
      </c>
      <c r="N237" s="902">
        <v>3</v>
      </c>
      <c r="O237" s="902">
        <v>99999</v>
      </c>
      <c r="P237" s="977">
        <f t="shared" si="14"/>
        <v>-699865.67102402018</v>
      </c>
      <c r="Q237" s="234">
        <f>Financeiros!D70</f>
        <v>-699865.67102402018</v>
      </c>
    </row>
    <row r="238" spans="1:17" ht="15.75">
      <c r="A238" s="902" t="s">
        <v>772</v>
      </c>
      <c r="B238" s="902" t="s">
        <v>1375</v>
      </c>
      <c r="C238" s="902" t="str">
        <f>Financeiros!C71</f>
        <v>Conta Escassez H. - Diferimento de energia - RTA 2022 - Energia de Revenda</v>
      </c>
      <c r="D238" s="902">
        <v>2</v>
      </c>
      <c r="E238" s="902">
        <v>2</v>
      </c>
      <c r="F238" s="902">
        <f>Financeiros!F71</f>
        <v>22</v>
      </c>
      <c r="G238" s="902">
        <f>Financeiros!G71</f>
        <v>60</v>
      </c>
      <c r="H238" s="902">
        <f>Financeiros!H71</f>
        <v>240</v>
      </c>
      <c r="I238" s="902">
        <f>Financeiros!I71</f>
        <v>2</v>
      </c>
      <c r="J238" s="902">
        <f>Financeiros!J71</f>
        <v>11</v>
      </c>
      <c r="K238" s="902">
        <f>Financeiros!K71</f>
        <v>9</v>
      </c>
      <c r="L238" s="902">
        <v>99</v>
      </c>
      <c r="M238" s="902">
        <v>9</v>
      </c>
      <c r="N238" s="902">
        <v>3</v>
      </c>
      <c r="O238" s="902">
        <v>99999</v>
      </c>
      <c r="P238" s="977">
        <f t="shared" ca="1" si="14"/>
        <v>0</v>
      </c>
      <c r="Q238" s="234">
        <f ca="1">Financeiros!D71</f>
        <v>0</v>
      </c>
    </row>
    <row r="239" spans="1:17" ht="15.75">
      <c r="A239" s="902" t="s">
        <v>772</v>
      </c>
      <c r="B239" s="902" t="s">
        <v>1375</v>
      </c>
      <c r="C239" s="902" t="str">
        <f>Financeiros!C72</f>
        <v>Conta Escassez H. - Diferimento de energia - RTA 2022 - Perda Não Técnica</v>
      </c>
      <c r="D239" s="902">
        <v>2</v>
      </c>
      <c r="E239" s="902">
        <v>2</v>
      </c>
      <c r="F239" s="902">
        <f>Financeiros!F72</f>
        <v>22</v>
      </c>
      <c r="G239" s="902">
        <f>Financeiros!G72</f>
        <v>60</v>
      </c>
      <c r="H239" s="902">
        <f>Financeiros!H72</f>
        <v>240</v>
      </c>
      <c r="I239" s="902">
        <f>Financeiros!I72</f>
        <v>2</v>
      </c>
      <c r="J239" s="902">
        <f>Financeiros!J72</f>
        <v>9</v>
      </c>
      <c r="K239" s="902">
        <f>Financeiros!K72</f>
        <v>9</v>
      </c>
      <c r="L239" s="902">
        <v>99</v>
      </c>
      <c r="M239" s="902">
        <v>9</v>
      </c>
      <c r="N239" s="902">
        <v>3</v>
      </c>
      <c r="O239" s="902">
        <v>99999</v>
      </c>
      <c r="P239" s="977">
        <f t="shared" ca="1" si="14"/>
        <v>0</v>
      </c>
      <c r="Q239" s="234">
        <f ca="1">Financeiros!D72</f>
        <v>0</v>
      </c>
    </row>
    <row r="240" spans="1:17" ht="15.75">
      <c r="A240" s="902" t="s">
        <v>772</v>
      </c>
      <c r="B240" s="902" t="s">
        <v>1375</v>
      </c>
      <c r="C240" s="902" t="str">
        <f>Financeiros!C73</f>
        <v>Conta Escassez H. - Diferimento de energia - RTA 2022 - Perda Técnica</v>
      </c>
      <c r="D240" s="902">
        <v>2</v>
      </c>
      <c r="E240" s="902">
        <v>2</v>
      </c>
      <c r="F240" s="902">
        <f>Financeiros!F73</f>
        <v>22</v>
      </c>
      <c r="G240" s="902">
        <f>Financeiros!G73</f>
        <v>60</v>
      </c>
      <c r="H240" s="902">
        <f>Financeiros!H73</f>
        <v>240</v>
      </c>
      <c r="I240" s="902">
        <f>Financeiros!I73</f>
        <v>2</v>
      </c>
      <c r="J240" s="902">
        <f>Financeiros!J73</f>
        <v>8</v>
      </c>
      <c r="K240" s="902">
        <f>Financeiros!K73</f>
        <v>9</v>
      </c>
      <c r="L240" s="902">
        <v>99</v>
      </c>
      <c r="M240" s="902">
        <v>9</v>
      </c>
      <c r="N240" s="902">
        <v>3</v>
      </c>
      <c r="O240" s="902">
        <v>99999</v>
      </c>
      <c r="P240" s="977">
        <f t="shared" ca="1" si="14"/>
        <v>0</v>
      </c>
      <c r="Q240" s="234">
        <f ca="1">Financeiros!D73</f>
        <v>0</v>
      </c>
    </row>
    <row r="241" spans="1:17" ht="15.75">
      <c r="A241" s="902" t="s">
        <v>772</v>
      </c>
      <c r="B241" s="902" t="s">
        <v>1375</v>
      </c>
      <c r="C241" s="902" t="str">
        <f>Financeiros!C74</f>
        <v>Conta Escassez H. - Diferimento de energia - RTA 2022 - Perda RB Perda RB sobre Dist.</v>
      </c>
      <c r="D241" s="902">
        <v>2</v>
      </c>
      <c r="E241" s="902">
        <v>2</v>
      </c>
      <c r="F241" s="902">
        <f>Financeiros!F74</f>
        <v>22</v>
      </c>
      <c r="G241" s="902">
        <f>Financeiros!G74</f>
        <v>60</v>
      </c>
      <c r="H241" s="902">
        <f>Financeiros!H74</f>
        <v>240</v>
      </c>
      <c r="I241" s="902">
        <f>Financeiros!I74</f>
        <v>2</v>
      </c>
      <c r="J241" s="902">
        <f>Financeiros!J74</f>
        <v>10</v>
      </c>
      <c r="K241" s="902">
        <f>Financeiros!K74</f>
        <v>9</v>
      </c>
      <c r="L241" s="902">
        <v>99</v>
      </c>
      <c r="M241" s="902">
        <v>9</v>
      </c>
      <c r="N241" s="902">
        <v>3</v>
      </c>
      <c r="O241" s="902">
        <v>99999</v>
      </c>
      <c r="P241" s="977">
        <f t="shared" ca="1" si="14"/>
        <v>0</v>
      </c>
      <c r="Q241" s="234">
        <f ca="1">Financeiros!D74</f>
        <v>0</v>
      </c>
    </row>
    <row r="242" spans="1:17" ht="15.75">
      <c r="A242" s="902" t="s">
        <v>772</v>
      </c>
      <c r="B242" s="902" t="s">
        <v>1375</v>
      </c>
      <c r="C242" s="902" t="str">
        <f>Financeiros!C75</f>
        <v>Conta Escassez H. - Diferimento de energia - RTA 2022 - Perda RB sobre Merc. Cat.</v>
      </c>
      <c r="D242" s="902">
        <v>2</v>
      </c>
      <c r="E242" s="902">
        <v>2</v>
      </c>
      <c r="F242" s="902">
        <f>Financeiros!F75</f>
        <v>22</v>
      </c>
      <c r="G242" s="902">
        <f>Financeiros!G75</f>
        <v>60</v>
      </c>
      <c r="H242" s="902">
        <f>Financeiros!H75</f>
        <v>240</v>
      </c>
      <c r="I242" s="902">
        <f>Financeiros!I75</f>
        <v>2</v>
      </c>
      <c r="J242" s="902">
        <f>Financeiros!J75</f>
        <v>24</v>
      </c>
      <c r="K242" s="902">
        <f>Financeiros!K75</f>
        <v>9</v>
      </c>
      <c r="L242" s="902">
        <v>99</v>
      </c>
      <c r="M242" s="902">
        <v>9</v>
      </c>
      <c r="N242" s="902">
        <v>3</v>
      </c>
      <c r="O242" s="902">
        <v>99999</v>
      </c>
      <c r="P242" s="977">
        <f t="shared" ca="1" si="14"/>
        <v>0</v>
      </c>
      <c r="Q242" s="234">
        <f ca="1">Financeiros!D75</f>
        <v>0</v>
      </c>
    </row>
    <row r="243" spans="1:17" ht="15.75">
      <c r="A243" s="902" t="s">
        <v>772</v>
      </c>
      <c r="B243" s="902" t="s">
        <v>1375</v>
      </c>
      <c r="C243" s="902" t="str">
        <f>Financeiros!C76</f>
        <v>Sobrecontratação/Reversão de Energia - Energia de Revenda</v>
      </c>
      <c r="D243" s="902">
        <v>2</v>
      </c>
      <c r="E243" s="902">
        <v>2</v>
      </c>
      <c r="F243" s="902">
        <f>Financeiros!F76</f>
        <v>22</v>
      </c>
      <c r="G243" s="902">
        <f>Financeiros!G76</f>
        <v>60</v>
      </c>
      <c r="H243" s="902">
        <f>Financeiros!H76</f>
        <v>106</v>
      </c>
      <c r="I243" s="902">
        <f>Financeiros!I76</f>
        <v>2</v>
      </c>
      <c r="J243" s="902">
        <f>Financeiros!J76</f>
        <v>11</v>
      </c>
      <c r="K243" s="902">
        <f>Financeiros!K76</f>
        <v>9</v>
      </c>
      <c r="L243" s="902">
        <v>99</v>
      </c>
      <c r="M243" s="902">
        <v>9</v>
      </c>
      <c r="N243" s="902">
        <v>3</v>
      </c>
      <c r="O243" s="902">
        <v>99999</v>
      </c>
      <c r="P243" s="977">
        <f t="shared" ca="1" si="14"/>
        <v>-158272.05261579252</v>
      </c>
      <c r="Q243" s="234">
        <f ca="1">Financeiros!D76</f>
        <v>-158272.05261579252</v>
      </c>
    </row>
    <row r="244" spans="1:17" ht="15.75">
      <c r="A244" s="902" t="s">
        <v>772</v>
      </c>
      <c r="B244" s="902" t="s">
        <v>1375</v>
      </c>
      <c r="C244" s="902" t="str">
        <f>Financeiros!C77</f>
        <v>Sobrecontratação/Reversão de Energia - Perda Não Técnica</v>
      </c>
      <c r="D244" s="902">
        <v>2</v>
      </c>
      <c r="E244" s="902">
        <v>2</v>
      </c>
      <c r="F244" s="902">
        <f>Financeiros!F77</f>
        <v>22</v>
      </c>
      <c r="G244" s="902">
        <f>Financeiros!G77</f>
        <v>60</v>
      </c>
      <c r="H244" s="902">
        <f>Financeiros!H77</f>
        <v>106</v>
      </c>
      <c r="I244" s="902">
        <f>Financeiros!I77</f>
        <v>2</v>
      </c>
      <c r="J244" s="902">
        <f>Financeiros!J77</f>
        <v>9</v>
      </c>
      <c r="K244" s="902">
        <f>Financeiros!K77</f>
        <v>9</v>
      </c>
      <c r="L244" s="902">
        <v>99</v>
      </c>
      <c r="M244" s="902">
        <v>9</v>
      </c>
      <c r="N244" s="902">
        <v>3</v>
      </c>
      <c r="O244" s="902">
        <v>99999</v>
      </c>
      <c r="P244" s="977">
        <f t="shared" ca="1" si="14"/>
        <v>0</v>
      </c>
      <c r="Q244" s="234">
        <f ca="1">Financeiros!D77</f>
        <v>0</v>
      </c>
    </row>
    <row r="245" spans="1:17" ht="15.75">
      <c r="A245" s="902" t="s">
        <v>772</v>
      </c>
      <c r="B245" s="902" t="s">
        <v>1375</v>
      </c>
      <c r="C245" s="902" t="str">
        <f>Financeiros!C78</f>
        <v>Sobrecontratação/Reversão de Energia - Perda Técnica</v>
      </c>
      <c r="D245" s="902">
        <v>2</v>
      </c>
      <c r="E245" s="902">
        <v>2</v>
      </c>
      <c r="F245" s="902">
        <f>Financeiros!F78</f>
        <v>22</v>
      </c>
      <c r="G245" s="902">
        <f>Financeiros!G78</f>
        <v>60</v>
      </c>
      <c r="H245" s="902">
        <f>Financeiros!H78</f>
        <v>106</v>
      </c>
      <c r="I245" s="902">
        <f>Financeiros!I78</f>
        <v>2</v>
      </c>
      <c r="J245" s="902">
        <f>Financeiros!J78</f>
        <v>8</v>
      </c>
      <c r="K245" s="902">
        <f>Financeiros!K78</f>
        <v>9</v>
      </c>
      <c r="L245" s="902">
        <v>99</v>
      </c>
      <c r="M245" s="902">
        <v>9</v>
      </c>
      <c r="N245" s="902">
        <v>3</v>
      </c>
      <c r="O245" s="902">
        <v>99999</v>
      </c>
      <c r="P245" s="977">
        <f t="shared" ca="1" si="14"/>
        <v>-16931.636429867885</v>
      </c>
      <c r="Q245" s="234">
        <f ca="1">Financeiros!D78</f>
        <v>-16931.636429867885</v>
      </c>
    </row>
    <row r="246" spans="1:17" ht="15.75">
      <c r="A246" s="902" t="s">
        <v>772</v>
      </c>
      <c r="B246" s="902" t="s">
        <v>1375</v>
      </c>
      <c r="C246" s="902" t="str">
        <f>Financeiros!C79</f>
        <v>Sobrecontratação/Reversão de Energia - Perda Rede Básica sobre Dist.</v>
      </c>
      <c r="D246" s="902">
        <v>2</v>
      </c>
      <c r="E246" s="902">
        <v>2</v>
      </c>
      <c r="F246" s="902">
        <f>Financeiros!F79</f>
        <v>22</v>
      </c>
      <c r="G246" s="902">
        <f>Financeiros!G79</f>
        <v>60</v>
      </c>
      <c r="H246" s="902">
        <f>Financeiros!H79</f>
        <v>106</v>
      </c>
      <c r="I246" s="902">
        <f>Financeiros!I79</f>
        <v>2</v>
      </c>
      <c r="J246" s="902">
        <f>Financeiros!J79</f>
        <v>10</v>
      </c>
      <c r="K246" s="902">
        <f>Financeiros!K79</f>
        <v>9</v>
      </c>
      <c r="L246" s="902">
        <v>99</v>
      </c>
      <c r="M246" s="902">
        <v>9</v>
      </c>
      <c r="N246" s="902">
        <v>3</v>
      </c>
      <c r="O246" s="902">
        <v>99999</v>
      </c>
      <c r="P246" s="977">
        <f t="shared" ca="1" si="14"/>
        <v>-514.08555920097263</v>
      </c>
      <c r="Q246" s="234">
        <f ca="1">Financeiros!D79</f>
        <v>-514.08555920097263</v>
      </c>
    </row>
    <row r="247" spans="1:17" ht="15.75">
      <c r="A247" s="902" t="s">
        <v>772</v>
      </c>
      <c r="B247" s="902" t="s">
        <v>1375</v>
      </c>
      <c r="C247" s="902" t="str">
        <f>Financeiros!C80</f>
        <v>Sobrecontratação/Reversão de Energia - Perda Rede Básica sobre mercado Cat.</v>
      </c>
      <c r="D247" s="902">
        <v>2</v>
      </c>
      <c r="E247" s="902">
        <v>2</v>
      </c>
      <c r="F247" s="902">
        <f>Financeiros!F80</f>
        <v>22</v>
      </c>
      <c r="G247" s="902">
        <f>Financeiros!G80</f>
        <v>60</v>
      </c>
      <c r="H247" s="902">
        <f>Financeiros!H80</f>
        <v>106</v>
      </c>
      <c r="I247" s="902">
        <f>Financeiros!I80</f>
        <v>2</v>
      </c>
      <c r="J247" s="902">
        <f>Financeiros!J80</f>
        <v>24</v>
      </c>
      <c r="K247" s="902">
        <f>Financeiros!K80</f>
        <v>9</v>
      </c>
      <c r="L247" s="902">
        <v>99</v>
      </c>
      <c r="M247" s="902">
        <v>9</v>
      </c>
      <c r="N247" s="902">
        <v>3</v>
      </c>
      <c r="O247" s="902">
        <v>99999</v>
      </c>
      <c r="P247" s="977">
        <f t="shared" ca="1" si="14"/>
        <v>-4805.523495138641</v>
      </c>
      <c r="Q247" s="234">
        <f ca="1">Financeiros!D80</f>
        <v>-4805.523495138641</v>
      </c>
    </row>
    <row r="248" spans="1:17" ht="15.75">
      <c r="A248" s="902" t="s">
        <v>772</v>
      </c>
      <c r="B248" s="902" t="s">
        <v>1375</v>
      </c>
      <c r="C248" s="902">
        <f>Financeiros!C81</f>
        <v>0</v>
      </c>
      <c r="D248" s="902">
        <v>2</v>
      </c>
      <c r="E248" s="902">
        <v>2</v>
      </c>
      <c r="F248" s="902">
        <v>999</v>
      </c>
      <c r="G248" s="902">
        <v>999999</v>
      </c>
      <c r="H248" s="902">
        <v>999</v>
      </c>
      <c r="I248" s="902">
        <v>99</v>
      </c>
      <c r="J248" s="902">
        <v>999</v>
      </c>
      <c r="K248" s="902">
        <v>9</v>
      </c>
      <c r="L248" s="902">
        <v>99</v>
      </c>
      <c r="M248" s="902">
        <v>9</v>
      </c>
      <c r="N248" s="902">
        <v>3</v>
      </c>
      <c r="O248" s="902">
        <v>99999</v>
      </c>
      <c r="P248" s="977">
        <f t="shared" si="14"/>
        <v>0</v>
      </c>
      <c r="Q248" s="234">
        <f>Financeiros!D81</f>
        <v>0</v>
      </c>
    </row>
    <row r="249" spans="1:17" ht="15.75">
      <c r="A249" s="902" t="s">
        <v>772</v>
      </c>
      <c r="B249" s="902" t="s">
        <v>1375</v>
      </c>
      <c r="C249" s="902" t="str">
        <f>Financeiros!C82</f>
        <v>Reversão de Risco Hidrológico</v>
      </c>
      <c r="D249" s="902">
        <v>2</v>
      </c>
      <c r="E249" s="902">
        <v>2</v>
      </c>
      <c r="F249" s="902">
        <f>Financeiros!F82</f>
        <v>22</v>
      </c>
      <c r="G249" s="902">
        <f>Financeiros!G82</f>
        <v>62</v>
      </c>
      <c r="H249" s="902">
        <f>Financeiros!H82</f>
        <v>220</v>
      </c>
      <c r="I249" s="902">
        <f>Financeiros!I82</f>
        <v>2</v>
      </c>
      <c r="J249" s="902">
        <f>Financeiros!J82</f>
        <v>30</v>
      </c>
      <c r="K249" s="902">
        <v>9</v>
      </c>
      <c r="L249" s="902">
        <v>99</v>
      </c>
      <c r="M249" s="902">
        <v>9</v>
      </c>
      <c r="N249" s="902">
        <v>3</v>
      </c>
      <c r="O249" s="902">
        <v>99999</v>
      </c>
      <c r="P249" s="977">
        <f t="shared" ref="P249" si="15">IF(ISNUMBER(Q249),Q249,0)</f>
        <v>-2585622.9629355916</v>
      </c>
      <c r="Q249" s="234">
        <f>Financeiros!D82</f>
        <v>-2585622.9629355916</v>
      </c>
    </row>
    <row r="250" spans="1:17" ht="15.75">
      <c r="A250" s="902" t="s">
        <v>772</v>
      </c>
      <c r="B250" s="902" t="s">
        <v>1375</v>
      </c>
      <c r="C250" s="902" t="s">
        <v>1621</v>
      </c>
      <c r="D250" s="902">
        <v>5</v>
      </c>
      <c r="E250" s="902">
        <v>2</v>
      </c>
      <c r="F250" s="902">
        <v>19</v>
      </c>
      <c r="G250" s="902">
        <v>65</v>
      </c>
      <c r="H250" s="902">
        <v>172</v>
      </c>
      <c r="I250" s="902">
        <v>1</v>
      </c>
      <c r="J250" s="902">
        <v>1</v>
      </c>
      <c r="K250" s="902">
        <v>9</v>
      </c>
      <c r="L250" s="902">
        <v>99</v>
      </c>
      <c r="M250" s="902">
        <v>9</v>
      </c>
      <c r="N250" s="902">
        <v>3</v>
      </c>
      <c r="O250" s="902">
        <v>99999</v>
      </c>
      <c r="P250" s="977">
        <f t="shared" si="14"/>
        <v>0</v>
      </c>
      <c r="Q250" s="234">
        <f>CVE!$D$12</f>
        <v>0</v>
      </c>
    </row>
    <row r="251" spans="1:17" ht="15.75">
      <c r="A251" s="902" t="s">
        <v>772</v>
      </c>
      <c r="B251" s="902" t="s">
        <v>1375</v>
      </c>
      <c r="C251" s="902" t="s">
        <v>1622</v>
      </c>
      <c r="D251" s="902">
        <v>5</v>
      </c>
      <c r="E251" s="902">
        <v>2</v>
      </c>
      <c r="F251" s="902">
        <v>19</v>
      </c>
      <c r="G251" s="902">
        <v>65</v>
      </c>
      <c r="H251" s="902">
        <v>172</v>
      </c>
      <c r="I251" s="902">
        <v>1</v>
      </c>
      <c r="J251" s="902">
        <v>21</v>
      </c>
      <c r="K251" s="902">
        <v>9</v>
      </c>
      <c r="L251" s="902">
        <v>99</v>
      </c>
      <c r="M251" s="902">
        <v>9</v>
      </c>
      <c r="N251" s="902">
        <v>3</v>
      </c>
      <c r="O251" s="902">
        <v>99999</v>
      </c>
      <c r="P251" s="977">
        <f t="shared" si="14"/>
        <v>0</v>
      </c>
      <c r="Q251" s="234">
        <f>CVE!$D$15</f>
        <v>0</v>
      </c>
    </row>
    <row r="252" spans="1:17" ht="15.75">
      <c r="A252" s="902" t="s">
        <v>772</v>
      </c>
      <c r="B252" s="902" t="s">
        <v>1375</v>
      </c>
      <c r="C252" s="902" t="s">
        <v>1623</v>
      </c>
      <c r="D252" s="902">
        <v>5</v>
      </c>
      <c r="E252" s="902">
        <v>2</v>
      </c>
      <c r="F252" s="902">
        <v>19</v>
      </c>
      <c r="G252" s="902">
        <v>65</v>
      </c>
      <c r="H252" s="902">
        <v>172</v>
      </c>
      <c r="I252" s="902">
        <v>2</v>
      </c>
      <c r="J252" s="902">
        <v>999</v>
      </c>
      <c r="K252" s="902">
        <v>9</v>
      </c>
      <c r="L252" s="902">
        <v>99</v>
      </c>
      <c r="M252" s="902">
        <v>9</v>
      </c>
      <c r="N252" s="902">
        <v>3</v>
      </c>
      <c r="O252" s="902">
        <v>99999</v>
      </c>
      <c r="P252" s="977">
        <f t="shared" si="14"/>
        <v>1488222.1680999999</v>
      </c>
      <c r="Q252" s="234">
        <f>CVE!$D$13</f>
        <v>1488222.1680999999</v>
      </c>
    </row>
    <row r="253" spans="1:17" ht="15.75">
      <c r="A253" s="902" t="s">
        <v>772</v>
      </c>
      <c r="B253" s="902" t="s">
        <v>1375</v>
      </c>
      <c r="C253" s="902" t="s">
        <v>1624</v>
      </c>
      <c r="D253" s="902">
        <v>5</v>
      </c>
      <c r="E253" s="902">
        <v>2</v>
      </c>
      <c r="F253" s="902">
        <v>19</v>
      </c>
      <c r="G253" s="902">
        <v>65</v>
      </c>
      <c r="H253" s="902">
        <v>172</v>
      </c>
      <c r="I253" s="902">
        <v>3</v>
      </c>
      <c r="J253" s="902">
        <v>13</v>
      </c>
      <c r="K253" s="902">
        <v>9</v>
      </c>
      <c r="L253" s="902">
        <v>99</v>
      </c>
      <c r="M253" s="902">
        <v>9</v>
      </c>
      <c r="N253" s="902">
        <v>3</v>
      </c>
      <c r="O253" s="902">
        <v>99999</v>
      </c>
      <c r="P253" s="977">
        <f t="shared" si="14"/>
        <v>0</v>
      </c>
      <c r="Q253" s="234">
        <f>CVE!$D$9</f>
        <v>0</v>
      </c>
    </row>
    <row r="254" spans="1:17" ht="15.75">
      <c r="A254" s="902" t="s">
        <v>772</v>
      </c>
      <c r="B254" s="902" t="s">
        <v>1375</v>
      </c>
      <c r="C254" s="902" t="s">
        <v>1625</v>
      </c>
      <c r="D254" s="902">
        <v>5</v>
      </c>
      <c r="E254" s="902">
        <v>2</v>
      </c>
      <c r="F254" s="902">
        <v>19</v>
      </c>
      <c r="G254" s="902">
        <v>65</v>
      </c>
      <c r="H254" s="902">
        <v>172</v>
      </c>
      <c r="I254" s="902">
        <v>3</v>
      </c>
      <c r="J254" s="902">
        <v>15</v>
      </c>
      <c r="K254" s="902">
        <v>9</v>
      </c>
      <c r="L254" s="902">
        <v>99</v>
      </c>
      <c r="M254" s="902">
        <v>9</v>
      </c>
      <c r="N254" s="902">
        <v>3</v>
      </c>
      <c r="O254" s="902">
        <v>99999</v>
      </c>
      <c r="P254" s="977">
        <f t="shared" si="14"/>
        <v>0</v>
      </c>
      <c r="Q254" s="234">
        <f>CVE!$D$10</f>
        <v>0</v>
      </c>
    </row>
    <row r="255" spans="1:17" ht="15.75">
      <c r="A255" s="902" t="s">
        <v>772</v>
      </c>
      <c r="B255" s="902" t="s">
        <v>1375</v>
      </c>
      <c r="C255" s="902" t="s">
        <v>1626</v>
      </c>
      <c r="D255" s="902">
        <v>5</v>
      </c>
      <c r="E255" s="902">
        <v>2</v>
      </c>
      <c r="F255" s="902">
        <v>19</v>
      </c>
      <c r="G255" s="902">
        <v>65</v>
      </c>
      <c r="H255" s="902">
        <v>172</v>
      </c>
      <c r="I255" s="902">
        <v>3</v>
      </c>
      <c r="J255" s="902">
        <v>16</v>
      </c>
      <c r="K255" s="902">
        <v>9</v>
      </c>
      <c r="L255" s="902">
        <v>99</v>
      </c>
      <c r="M255" s="902">
        <v>9</v>
      </c>
      <c r="N255" s="902">
        <v>3</v>
      </c>
      <c r="O255" s="902">
        <v>99999</v>
      </c>
      <c r="P255" s="977">
        <f t="shared" si="14"/>
        <v>0</v>
      </c>
      <c r="Q255" s="234">
        <f>CVE!$D$14</f>
        <v>0</v>
      </c>
    </row>
    <row r="256" spans="1:17" ht="15.75">
      <c r="A256" s="902" t="s">
        <v>772</v>
      </c>
      <c r="B256" s="902" t="s">
        <v>1375</v>
      </c>
      <c r="C256" s="902" t="s">
        <v>1627</v>
      </c>
      <c r="D256" s="902">
        <v>5</v>
      </c>
      <c r="E256" s="902">
        <v>2</v>
      </c>
      <c r="F256" s="902">
        <v>19</v>
      </c>
      <c r="G256" s="902">
        <v>65</v>
      </c>
      <c r="H256" s="902">
        <v>172</v>
      </c>
      <c r="I256" s="902">
        <v>3</v>
      </c>
      <c r="J256" s="902">
        <v>17</v>
      </c>
      <c r="K256" s="902">
        <v>9</v>
      </c>
      <c r="L256" s="902">
        <v>99</v>
      </c>
      <c r="M256" s="902">
        <v>9</v>
      </c>
      <c r="N256" s="902">
        <v>3</v>
      </c>
      <c r="O256" s="902">
        <v>99999</v>
      </c>
      <c r="P256" s="977">
        <f t="shared" si="14"/>
        <v>2452923.1017</v>
      </c>
      <c r="Q256" s="234">
        <f>CVE!$D$17</f>
        <v>2452923.1017</v>
      </c>
    </row>
    <row r="257" spans="1:17" ht="15.75">
      <c r="A257" s="902" t="s">
        <v>772</v>
      </c>
      <c r="B257" s="902" t="s">
        <v>1375</v>
      </c>
      <c r="C257" s="902" t="s">
        <v>1628</v>
      </c>
      <c r="D257" s="902">
        <v>5</v>
      </c>
      <c r="E257" s="902">
        <v>2</v>
      </c>
      <c r="F257" s="902">
        <v>19</v>
      </c>
      <c r="G257" s="902">
        <v>65</v>
      </c>
      <c r="H257" s="902">
        <v>172</v>
      </c>
      <c r="I257" s="902">
        <v>3</v>
      </c>
      <c r="J257" s="902">
        <v>18</v>
      </c>
      <c r="K257" s="902">
        <v>9</v>
      </c>
      <c r="L257" s="902">
        <v>99</v>
      </c>
      <c r="M257" s="902">
        <v>9</v>
      </c>
      <c r="N257" s="902">
        <v>3</v>
      </c>
      <c r="O257" s="902">
        <v>99999</v>
      </c>
      <c r="P257" s="977">
        <f t="shared" si="14"/>
        <v>0</v>
      </c>
      <c r="Q257" s="234">
        <f>CVE!$D$16</f>
        <v>0</v>
      </c>
    </row>
    <row r="258" spans="1:17" ht="15.75">
      <c r="A258" s="902" t="s">
        <v>772</v>
      </c>
      <c r="B258" s="902" t="s">
        <v>1375</v>
      </c>
      <c r="C258" s="902" t="s">
        <v>1395</v>
      </c>
      <c r="D258" s="902">
        <v>5</v>
      </c>
      <c r="E258" s="902">
        <v>2</v>
      </c>
      <c r="F258" s="902">
        <v>19</v>
      </c>
      <c r="G258" s="902">
        <v>65</v>
      </c>
      <c r="H258" s="902">
        <v>172</v>
      </c>
      <c r="I258" s="902">
        <v>2</v>
      </c>
      <c r="J258" s="902">
        <v>25</v>
      </c>
      <c r="K258" s="902">
        <v>9</v>
      </c>
      <c r="L258" s="902">
        <v>99</v>
      </c>
      <c r="M258" s="902">
        <v>9</v>
      </c>
      <c r="N258" s="902">
        <v>3</v>
      </c>
      <c r="O258" s="902">
        <v>99999</v>
      </c>
      <c r="P258" s="977">
        <f t="shared" si="14"/>
        <v>0</v>
      </c>
      <c r="Q258" s="234">
        <f>CVE!$D$11</f>
        <v>0</v>
      </c>
    </row>
    <row r="259" spans="1:17" ht="15.75">
      <c r="A259" s="902" t="s">
        <v>1629</v>
      </c>
      <c r="B259" s="902" t="s">
        <v>36</v>
      </c>
      <c r="C259" s="902" t="s">
        <v>1630</v>
      </c>
      <c r="D259" s="902">
        <v>4</v>
      </c>
      <c r="E259" s="902">
        <v>2</v>
      </c>
      <c r="F259" s="902">
        <v>19</v>
      </c>
      <c r="G259" s="902">
        <v>64</v>
      </c>
      <c r="H259" s="902">
        <v>95</v>
      </c>
      <c r="I259" s="902">
        <v>3</v>
      </c>
      <c r="J259" s="902">
        <v>13</v>
      </c>
      <c r="K259" s="902">
        <v>9</v>
      </c>
      <c r="L259" s="902">
        <v>99</v>
      </c>
      <c r="M259" s="902">
        <v>9</v>
      </c>
      <c r="N259" s="902">
        <v>3</v>
      </c>
      <c r="O259" s="902">
        <v>99999</v>
      </c>
      <c r="P259" s="977">
        <f t="shared" si="14"/>
        <v>0</v>
      </c>
      <c r="Q259" s="234">
        <f>CVE!$D$24</f>
        <v>0</v>
      </c>
    </row>
    <row r="260" spans="1:17" ht="15.75">
      <c r="A260" s="902" t="s">
        <v>1629</v>
      </c>
      <c r="B260" s="902" t="s">
        <v>36</v>
      </c>
      <c r="C260" s="902" t="s">
        <v>1631</v>
      </c>
      <c r="D260" s="902">
        <v>4</v>
      </c>
      <c r="E260" s="902">
        <v>2</v>
      </c>
      <c r="F260" s="902">
        <v>19</v>
      </c>
      <c r="G260" s="902">
        <v>64</v>
      </c>
      <c r="H260" s="902">
        <v>95</v>
      </c>
      <c r="I260" s="902">
        <v>3</v>
      </c>
      <c r="J260" s="902">
        <v>15</v>
      </c>
      <c r="K260" s="902">
        <v>9</v>
      </c>
      <c r="L260" s="902">
        <v>99</v>
      </c>
      <c r="M260" s="902">
        <v>9</v>
      </c>
      <c r="N260" s="902">
        <v>3</v>
      </c>
      <c r="O260" s="902">
        <v>99999</v>
      </c>
      <c r="P260" s="977">
        <f t="shared" si="14"/>
        <v>0</v>
      </c>
      <c r="Q260" s="234">
        <f>CVE!$D$25</f>
        <v>0</v>
      </c>
    </row>
    <row r="261" spans="1:17" ht="15.75">
      <c r="A261" s="902" t="s">
        <v>1629</v>
      </c>
      <c r="B261" s="902" t="s">
        <v>36</v>
      </c>
      <c r="C261" s="902" t="s">
        <v>1632</v>
      </c>
      <c r="D261" s="902">
        <v>4</v>
      </c>
      <c r="E261" s="902">
        <v>2</v>
      </c>
      <c r="F261" s="902">
        <v>19</v>
      </c>
      <c r="G261" s="902">
        <v>64</v>
      </c>
      <c r="H261" s="902">
        <v>95</v>
      </c>
      <c r="I261" s="902">
        <v>2</v>
      </c>
      <c r="J261" s="902">
        <v>25</v>
      </c>
      <c r="K261" s="902">
        <v>9</v>
      </c>
      <c r="L261" s="902">
        <v>99</v>
      </c>
      <c r="M261" s="902">
        <v>9</v>
      </c>
      <c r="N261" s="902">
        <v>3</v>
      </c>
      <c r="O261" s="902">
        <v>99999</v>
      </c>
      <c r="P261" s="977">
        <f t="shared" si="14"/>
        <v>0</v>
      </c>
      <c r="Q261" s="234">
        <f>CVE!$D$26</f>
        <v>0</v>
      </c>
    </row>
    <row r="262" spans="1:17" ht="15.75">
      <c r="A262" s="902" t="s">
        <v>1629</v>
      </c>
      <c r="B262" s="902" t="s">
        <v>36</v>
      </c>
      <c r="C262" s="902" t="s">
        <v>1633</v>
      </c>
      <c r="D262" s="902">
        <v>4</v>
      </c>
      <c r="E262" s="902">
        <v>2</v>
      </c>
      <c r="F262" s="902">
        <v>19</v>
      </c>
      <c r="G262" s="902">
        <v>64</v>
      </c>
      <c r="H262" s="902">
        <v>95</v>
      </c>
      <c r="I262" s="902">
        <v>1</v>
      </c>
      <c r="J262" s="902">
        <v>1</v>
      </c>
      <c r="K262" s="902">
        <v>9</v>
      </c>
      <c r="L262" s="902">
        <v>99</v>
      </c>
      <c r="M262" s="902">
        <v>9</v>
      </c>
      <c r="N262" s="902">
        <v>3</v>
      </c>
      <c r="O262" s="902">
        <v>99999</v>
      </c>
      <c r="P262" s="977">
        <f t="shared" si="14"/>
        <v>0</v>
      </c>
      <c r="Q262" s="234">
        <f>CVE!$D$27</f>
        <v>0</v>
      </c>
    </row>
    <row r="263" spans="1:17" ht="15.75">
      <c r="A263" s="902" t="s">
        <v>1629</v>
      </c>
      <c r="B263" s="902" t="s">
        <v>36</v>
      </c>
      <c r="C263" s="902" t="s">
        <v>1634</v>
      </c>
      <c r="D263" s="902">
        <v>4</v>
      </c>
      <c r="E263" s="902">
        <v>2</v>
      </c>
      <c r="F263" s="902">
        <v>19</v>
      </c>
      <c r="G263" s="902">
        <v>64</v>
      </c>
      <c r="H263" s="902">
        <v>95</v>
      </c>
      <c r="I263" s="902">
        <v>2</v>
      </c>
      <c r="J263" s="902">
        <v>999</v>
      </c>
      <c r="K263" s="902">
        <v>9</v>
      </c>
      <c r="L263" s="902">
        <v>99</v>
      </c>
      <c r="M263" s="902">
        <v>9</v>
      </c>
      <c r="N263" s="902">
        <v>3</v>
      </c>
      <c r="O263" s="902">
        <v>99999</v>
      </c>
      <c r="P263" s="977">
        <f t="shared" si="14"/>
        <v>0</v>
      </c>
      <c r="Q263" s="234">
        <f>CVE!$D$28</f>
        <v>0</v>
      </c>
    </row>
    <row r="264" spans="1:17" ht="15.75">
      <c r="A264" s="902" t="s">
        <v>1629</v>
      </c>
      <c r="B264" s="902" t="s">
        <v>36</v>
      </c>
      <c r="C264" s="902" t="s">
        <v>1635</v>
      </c>
      <c r="D264" s="902">
        <v>4</v>
      </c>
      <c r="E264" s="902">
        <v>2</v>
      </c>
      <c r="F264" s="902">
        <v>19</v>
      </c>
      <c r="G264" s="902">
        <v>64</v>
      </c>
      <c r="H264" s="902">
        <v>95</v>
      </c>
      <c r="I264" s="902">
        <v>3</v>
      </c>
      <c r="J264" s="902">
        <v>16</v>
      </c>
      <c r="K264" s="902">
        <v>9</v>
      </c>
      <c r="L264" s="902">
        <v>99</v>
      </c>
      <c r="M264" s="902">
        <v>9</v>
      </c>
      <c r="N264" s="902">
        <v>3</v>
      </c>
      <c r="O264" s="902">
        <v>99999</v>
      </c>
      <c r="P264" s="977">
        <f t="shared" si="14"/>
        <v>0</v>
      </c>
      <c r="Q264" s="234">
        <f>CVE!$D$29</f>
        <v>0</v>
      </c>
    </row>
    <row r="265" spans="1:17" ht="15.75">
      <c r="A265" s="902" t="s">
        <v>1629</v>
      </c>
      <c r="B265" s="902" t="s">
        <v>36</v>
      </c>
      <c r="C265" s="902" t="s">
        <v>1636</v>
      </c>
      <c r="D265" s="902">
        <v>4</v>
      </c>
      <c r="E265" s="902">
        <v>2</v>
      </c>
      <c r="F265" s="902">
        <v>19</v>
      </c>
      <c r="G265" s="902">
        <v>64</v>
      </c>
      <c r="H265" s="902">
        <v>95</v>
      </c>
      <c r="I265" s="902">
        <v>1</v>
      </c>
      <c r="J265" s="902">
        <v>21</v>
      </c>
      <c r="K265" s="902">
        <v>9</v>
      </c>
      <c r="L265" s="902">
        <v>99</v>
      </c>
      <c r="M265" s="902">
        <v>9</v>
      </c>
      <c r="N265" s="902">
        <v>3</v>
      </c>
      <c r="O265" s="902">
        <v>99999</v>
      </c>
      <c r="P265" s="977">
        <f t="shared" si="14"/>
        <v>0</v>
      </c>
      <c r="Q265" s="234">
        <f>CVE!$D$30</f>
        <v>0</v>
      </c>
    </row>
    <row r="266" spans="1:17" ht="15.75">
      <c r="A266" s="902" t="s">
        <v>1629</v>
      </c>
      <c r="B266" s="902" t="s">
        <v>36</v>
      </c>
      <c r="C266" s="902" t="s">
        <v>1637</v>
      </c>
      <c r="D266" s="902">
        <v>4</v>
      </c>
      <c r="E266" s="902">
        <v>2</v>
      </c>
      <c r="F266" s="902">
        <v>19</v>
      </c>
      <c r="G266" s="902">
        <v>64</v>
      </c>
      <c r="H266" s="902">
        <v>95</v>
      </c>
      <c r="I266" s="902">
        <v>3</v>
      </c>
      <c r="J266" s="902">
        <v>18</v>
      </c>
      <c r="K266" s="902">
        <v>9</v>
      </c>
      <c r="L266" s="902">
        <v>99</v>
      </c>
      <c r="M266" s="902">
        <v>9</v>
      </c>
      <c r="N266" s="902">
        <v>3</v>
      </c>
      <c r="O266" s="902">
        <v>99999</v>
      </c>
      <c r="P266" s="977">
        <f t="shared" si="14"/>
        <v>0</v>
      </c>
      <c r="Q266" s="234">
        <f>CVE!$D$31</f>
        <v>0</v>
      </c>
    </row>
    <row r="267" spans="1:17" ht="15.75">
      <c r="A267" s="902" t="s">
        <v>1629</v>
      </c>
      <c r="B267" s="902" t="s">
        <v>36</v>
      </c>
      <c r="C267" s="902" t="s">
        <v>1638</v>
      </c>
      <c r="D267" s="902">
        <v>4</v>
      </c>
      <c r="E267" s="902">
        <v>2</v>
      </c>
      <c r="F267" s="902">
        <v>19</v>
      </c>
      <c r="G267" s="902">
        <v>64</v>
      </c>
      <c r="H267" s="902">
        <v>95</v>
      </c>
      <c r="I267" s="902">
        <v>3</v>
      </c>
      <c r="J267" s="902">
        <v>17</v>
      </c>
      <c r="K267" s="902">
        <v>9</v>
      </c>
      <c r="L267" s="902">
        <v>99</v>
      </c>
      <c r="M267" s="902">
        <v>9</v>
      </c>
      <c r="N267" s="902">
        <v>3</v>
      </c>
      <c r="O267" s="902">
        <v>99999</v>
      </c>
      <c r="P267" s="977">
        <f t="shared" si="14"/>
        <v>0</v>
      </c>
      <c r="Q267" s="234">
        <f>CVE!$D$32</f>
        <v>0</v>
      </c>
    </row>
    <row r="268" spans="1:17" ht="15.75">
      <c r="A268" s="902" t="s">
        <v>772</v>
      </c>
      <c r="B268" s="902" t="s">
        <v>120</v>
      </c>
      <c r="C268" s="902" t="str">
        <f>Energia!$B$20</f>
        <v>Angra</v>
      </c>
      <c r="D268" s="902">
        <v>1</v>
      </c>
      <c r="E268" s="902">
        <v>1</v>
      </c>
      <c r="F268" s="902">
        <v>8</v>
      </c>
      <c r="G268" s="902">
        <v>999999</v>
      </c>
      <c r="H268" s="902">
        <v>999</v>
      </c>
      <c r="I268" s="902">
        <v>2</v>
      </c>
      <c r="J268" s="902">
        <v>999</v>
      </c>
      <c r="K268" s="902">
        <v>9</v>
      </c>
      <c r="L268" s="902">
        <v>99</v>
      </c>
      <c r="M268" s="902">
        <v>9</v>
      </c>
      <c r="N268" s="902">
        <v>2</v>
      </c>
      <c r="O268" s="902">
        <v>99999</v>
      </c>
      <c r="P268" s="977">
        <f t="shared" ca="1" si="14"/>
        <v>4381.9798071596342</v>
      </c>
      <c r="Q268" s="234">
        <f ca="1">Energia!$C$20</f>
        <v>4381.9798071596342</v>
      </c>
    </row>
    <row r="269" spans="1:17" ht="15.75">
      <c r="A269" s="902" t="s">
        <v>772</v>
      </c>
      <c r="B269" s="902" t="s">
        <v>120</v>
      </c>
      <c r="C269" s="902" t="str">
        <f>Energia!B20</f>
        <v>Angra</v>
      </c>
      <c r="D269" s="902">
        <v>1</v>
      </c>
      <c r="E269" s="902">
        <v>1</v>
      </c>
      <c r="F269" s="902">
        <v>8</v>
      </c>
      <c r="G269" s="902">
        <v>999999</v>
      </c>
      <c r="H269" s="902">
        <v>999</v>
      </c>
      <c r="I269" s="902">
        <v>2</v>
      </c>
      <c r="J269" s="902">
        <v>999</v>
      </c>
      <c r="K269" s="902">
        <v>9</v>
      </c>
      <c r="L269" s="902">
        <v>99</v>
      </c>
      <c r="M269" s="902">
        <v>9</v>
      </c>
      <c r="N269" s="902">
        <v>3</v>
      </c>
      <c r="O269" s="902">
        <v>99999</v>
      </c>
      <c r="P269" s="977">
        <f t="shared" ca="1" si="14"/>
        <v>1529968.2496697861</v>
      </c>
      <c r="Q269" s="234">
        <f ca="1">Energia!$F$20</f>
        <v>1529968.2496697861</v>
      </c>
    </row>
    <row r="270" spans="1:17" ht="15.75">
      <c r="A270" s="902" t="s">
        <v>772</v>
      </c>
      <c r="B270" s="902" t="s">
        <v>120</v>
      </c>
      <c r="C270" s="902" t="str">
        <f>Energia!$B$21</f>
        <v>CCGF</v>
      </c>
      <c r="D270" s="902">
        <v>1</v>
      </c>
      <c r="E270" s="902">
        <v>1</v>
      </c>
      <c r="F270" s="902">
        <v>17</v>
      </c>
      <c r="G270" s="902">
        <v>999999</v>
      </c>
      <c r="H270" s="902">
        <v>999</v>
      </c>
      <c r="I270" s="902">
        <v>2</v>
      </c>
      <c r="J270" s="902">
        <v>999</v>
      </c>
      <c r="K270" s="902">
        <v>9</v>
      </c>
      <c r="L270" s="902">
        <v>99</v>
      </c>
      <c r="M270" s="902">
        <v>9</v>
      </c>
      <c r="N270" s="902">
        <v>2</v>
      </c>
      <c r="O270" s="902">
        <v>0</v>
      </c>
      <c r="P270" s="977">
        <f t="shared" ca="1" si="14"/>
        <v>29227.95051678142</v>
      </c>
      <c r="Q270" s="234">
        <f ca="1">Energia!$C$21</f>
        <v>29227.95051678142</v>
      </c>
    </row>
    <row r="271" spans="1:17" ht="15.75">
      <c r="A271" s="902" t="s">
        <v>772</v>
      </c>
      <c r="B271" s="902" t="s">
        <v>120</v>
      </c>
      <c r="C271" s="902" t="str">
        <f>Energia!$B$21</f>
        <v>CCGF</v>
      </c>
      <c r="D271" s="902">
        <v>1</v>
      </c>
      <c r="E271" s="902">
        <v>1</v>
      </c>
      <c r="F271" s="902">
        <v>17</v>
      </c>
      <c r="G271" s="902">
        <v>999999</v>
      </c>
      <c r="H271" s="902">
        <v>999</v>
      </c>
      <c r="I271" s="902">
        <v>2</v>
      </c>
      <c r="J271" s="902">
        <v>999</v>
      </c>
      <c r="K271" s="902">
        <v>9</v>
      </c>
      <c r="L271" s="902">
        <v>99</v>
      </c>
      <c r="M271" s="902">
        <v>9</v>
      </c>
      <c r="N271" s="902">
        <v>3</v>
      </c>
      <c r="O271" s="902">
        <v>0</v>
      </c>
      <c r="P271" s="977">
        <f t="shared" ca="1" si="14"/>
        <v>4249643.3632288743</v>
      </c>
      <c r="Q271" s="234">
        <f ca="1">Energia!$F$21</f>
        <v>4249643.3632288743</v>
      </c>
    </row>
    <row r="272" spans="1:17" ht="15.75">
      <c r="A272" s="1605" t="s">
        <v>772</v>
      </c>
      <c r="B272" s="1606" t="s">
        <v>72</v>
      </c>
      <c r="C272" s="1606" t="s">
        <v>2197</v>
      </c>
      <c r="D272" s="1606">
        <v>1</v>
      </c>
      <c r="E272" s="1606">
        <v>1</v>
      </c>
      <c r="F272" s="1606">
        <v>999</v>
      </c>
      <c r="G272" s="1606">
        <v>999999</v>
      </c>
      <c r="H272" s="1606">
        <v>999</v>
      </c>
      <c r="I272" s="1606">
        <v>3</v>
      </c>
      <c r="J272" s="1606">
        <v>35</v>
      </c>
      <c r="K272" s="1606">
        <v>9</v>
      </c>
      <c r="L272" s="1606">
        <v>99</v>
      </c>
      <c r="M272" s="1606">
        <v>9</v>
      </c>
      <c r="N272" s="1606">
        <v>3</v>
      </c>
      <c r="O272" s="1606">
        <v>99999</v>
      </c>
      <c r="P272" s="977">
        <f>IF(ISNUMBER(Q272),Q272,0)</f>
        <v>2520100.6629324439</v>
      </c>
      <c r="Q272" s="964">
        <f>Encargos!L17</f>
        <v>2520100.6629324439</v>
      </c>
    </row>
    <row r="273" spans="1:17" ht="15.75">
      <c r="A273" s="1607" t="s">
        <v>772</v>
      </c>
      <c r="B273" s="1607" t="s">
        <v>72</v>
      </c>
      <c r="C273" s="1607" t="s">
        <v>2200</v>
      </c>
      <c r="D273" s="1607">
        <v>2</v>
      </c>
      <c r="E273" s="1607">
        <v>1</v>
      </c>
      <c r="F273" s="1607">
        <v>51</v>
      </c>
      <c r="G273" s="1607">
        <v>999999</v>
      </c>
      <c r="H273" s="1607">
        <v>999</v>
      </c>
      <c r="I273" s="1607">
        <v>3</v>
      </c>
      <c r="J273" s="1607">
        <v>28</v>
      </c>
      <c r="K273" s="1607">
        <v>2</v>
      </c>
      <c r="L273" s="1607">
        <v>99</v>
      </c>
      <c r="M273" s="1607">
        <v>9</v>
      </c>
      <c r="N273" s="1607">
        <v>3</v>
      </c>
      <c r="O273" s="1607">
        <v>99999</v>
      </c>
      <c r="P273" s="977">
        <f>IF(ISNUMBER(Q273),Q273,0)</f>
        <v>-1730000</v>
      </c>
      <c r="Q273" s="964">
        <f>Encargos!I21</f>
        <v>-1730000</v>
      </c>
    </row>
    <row r="274" spans="1:17" ht="15.75">
      <c r="A274" s="902" t="s">
        <v>1573</v>
      </c>
      <c r="B274" s="902" t="s">
        <v>120</v>
      </c>
      <c r="C274" s="902" t="s">
        <v>2364</v>
      </c>
      <c r="D274" s="902">
        <v>3</v>
      </c>
      <c r="E274" s="902">
        <v>1</v>
      </c>
      <c r="F274" s="902">
        <v>37</v>
      </c>
      <c r="G274" s="902">
        <v>999999</v>
      </c>
      <c r="H274" s="902">
        <v>999</v>
      </c>
      <c r="I274" s="902">
        <v>99</v>
      </c>
      <c r="J274" s="902">
        <v>999</v>
      </c>
      <c r="K274" s="902">
        <v>9</v>
      </c>
      <c r="L274" s="902">
        <v>99</v>
      </c>
      <c r="M274" s="902">
        <v>9</v>
      </c>
      <c r="N274" s="902">
        <v>8</v>
      </c>
      <c r="O274" s="902">
        <v>99999</v>
      </c>
      <c r="P274" s="977">
        <f ca="1">IF(ISNUMBER(Q274),Q274,0)</f>
        <v>0.12688740162344811</v>
      </c>
      <c r="Q274" s="249">
        <f ca="1">Energia!L35</f>
        <v>0.12688740162344811</v>
      </c>
    </row>
    <row r="275" spans="1:17" s="903" customFormat="1" ht="14.1" customHeight="1">
      <c r="A275" s="902" t="s">
        <v>1587</v>
      </c>
      <c r="B275" s="902" t="s">
        <v>1587</v>
      </c>
      <c r="C275" s="902" t="s">
        <v>1587</v>
      </c>
      <c r="D275" s="902">
        <v>99</v>
      </c>
      <c r="E275" s="902">
        <v>99</v>
      </c>
      <c r="F275" s="902">
        <v>999</v>
      </c>
      <c r="G275" s="902">
        <v>999999</v>
      </c>
      <c r="H275" s="902">
        <v>999</v>
      </c>
      <c r="I275" s="902">
        <v>99</v>
      </c>
      <c r="J275" s="902">
        <v>999</v>
      </c>
      <c r="K275" s="902">
        <v>9</v>
      </c>
      <c r="L275" s="902">
        <v>99</v>
      </c>
      <c r="M275" s="902">
        <v>9</v>
      </c>
      <c r="N275" s="902">
        <v>99</v>
      </c>
      <c r="O275">
        <v>99999</v>
      </c>
      <c r="P275" s="964">
        <f t="shared" si="14"/>
        <v>0</v>
      </c>
      <c r="Q275" s="964"/>
    </row>
    <row r="276" spans="1:17" s="903" customFormat="1" ht="14.1" customHeight="1">
      <c r="A276" s="902" t="s">
        <v>1587</v>
      </c>
      <c r="B276" s="902" t="s">
        <v>1587</v>
      </c>
      <c r="C276" s="902" t="s">
        <v>1587</v>
      </c>
      <c r="D276" s="902">
        <v>99</v>
      </c>
      <c r="E276" s="902">
        <v>99</v>
      </c>
      <c r="F276" s="902">
        <v>999</v>
      </c>
      <c r="G276" s="902">
        <v>999999</v>
      </c>
      <c r="H276" s="902">
        <v>999</v>
      </c>
      <c r="I276" s="902">
        <v>99</v>
      </c>
      <c r="J276" s="902">
        <v>999</v>
      </c>
      <c r="K276" s="902">
        <v>9</v>
      </c>
      <c r="L276" s="902">
        <v>99</v>
      </c>
      <c r="M276" s="902">
        <v>9</v>
      </c>
      <c r="N276" s="902">
        <v>99</v>
      </c>
      <c r="O276">
        <v>99999</v>
      </c>
      <c r="P276" s="964">
        <f t="shared" si="14"/>
        <v>0</v>
      </c>
      <c r="Q276" s="964"/>
    </row>
    <row r="277" spans="1:17" ht="15.75">
      <c r="A277" s="902"/>
      <c r="B277" s="902"/>
      <c r="C277" s="902"/>
      <c r="D277" s="902"/>
      <c r="E277" s="902"/>
      <c r="F277" s="902"/>
      <c r="G277" s="902"/>
      <c r="H277" s="902"/>
      <c r="I277" s="902"/>
      <c r="J277" s="902"/>
      <c r="K277" s="902"/>
      <c r="L277" s="902"/>
      <c r="M277" s="902"/>
      <c r="N277" s="902"/>
      <c r="O277"/>
      <c r="P277" s="964"/>
      <c r="Q277" s="964"/>
    </row>
    <row r="278" spans="1:17" ht="15.75">
      <c r="A278" s="902"/>
      <c r="B278" s="902"/>
      <c r="C278" s="902"/>
      <c r="D278" s="902"/>
      <c r="E278" s="902"/>
      <c r="F278" s="902"/>
      <c r="G278" s="902"/>
      <c r="H278" s="902"/>
      <c r="I278" s="902"/>
      <c r="J278" s="902"/>
      <c r="K278" s="902"/>
      <c r="L278" s="902"/>
      <c r="M278" s="902"/>
      <c r="N278" s="902"/>
      <c r="O278"/>
      <c r="P278" s="964"/>
      <c r="Q278" s="964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ref="P279:P334" si="16">IF(ISNUMBER(Q279),Q279,0)</f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6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ref="P335:P398" si="17">IF(ISNUMBER(Q335),Q335,0)</f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7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ref="P399:P462" si="18">IF(ISNUMBER(Q399),Q399,0)</f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8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ref="P463:P526" si="19">IF(ISNUMBER(Q463),Q463,0)</f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9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ref="P527:P590" si="20">IF(ISNUMBER(Q527),Q527,0)</f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0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ref="P591:P654" si="21">IF(ISNUMBER(Q591),Q591,0)</f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1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ref="P655:P718" si="22">IF(ISNUMBER(Q655),Q655,0)</f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2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ref="P719:P782" si="23">IF(ISNUMBER(Q719),Q719,0)</f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3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ref="P783:P846" si="24">IF(ISNUMBER(Q783),Q783,0)</f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4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ref="P847:P910" si="25">IF(ISNUMBER(Q847),Q847,0)</f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5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ref="P911:P974" si="26">IF(ISNUMBER(Q911),Q911,0)</f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6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ref="P975:P1038" si="27">IF(ISNUMBER(Q975),Q975,0)</f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7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ref="P1039:P1102" si="28">IF(ISNUMBER(Q1039),Q1039,0)</f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8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ref="P1103:P1166" si="29">IF(ISNUMBER(Q1103),Q1103,0)</f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9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ref="P1167:P1230" si="30">IF(ISNUMBER(Q1167),Q1167,0)</f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0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ref="P1231:P1294" si="31">IF(ISNUMBER(Q1231),Q1231,0)</f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1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ref="P1295:P1358" si="32">IF(ISNUMBER(Q1295),Q1295,0)</f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2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ref="P1359:P1422" si="33">IF(ISNUMBER(Q1359),Q1359,0)</f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3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ref="P1423:P1486" si="34">IF(ISNUMBER(Q1423),Q1423,0)</f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4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ref="P1487:P1550" si="35">IF(ISNUMBER(Q1487),Q1487,0)</f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5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ref="P1551:P1614" si="36">IF(ISNUMBER(Q1551),Q1551,0)</f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6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ref="P1615:P1678" si="37">IF(ISNUMBER(Q1615),Q1615,0)</f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7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ref="P1679:P1733" si="38">IF(ISNUMBER(Q1679),Q1679,0)</f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34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8"/>
        <v>0</v>
      </c>
      <c r="Q1727" s="248"/>
    </row>
    <row r="1728" spans="1:17">
      <c r="A1728" s="9" t="s">
        <v>772</v>
      </c>
      <c r="B1728" t="s">
        <v>793</v>
      </c>
      <c r="C1728" s="9" t="s">
        <v>1639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1</v>
      </c>
      <c r="N1728">
        <v>3</v>
      </c>
      <c r="O1728" s="14">
        <v>99999</v>
      </c>
      <c r="P1728" s="234">
        <f t="shared" si="38"/>
        <v>1690741.8</v>
      </c>
      <c r="Q1728" s="234">
        <f>'Rede Básica + Ajuste'!D9</f>
        <v>1690741.8</v>
      </c>
    </row>
    <row r="1729" spans="1:17">
      <c r="A1729" s="9" t="s">
        <v>772</v>
      </c>
      <c r="B1729" t="s">
        <v>793</v>
      </c>
      <c r="C1729" s="9" t="s">
        <v>1640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1</v>
      </c>
      <c r="K1729">
        <v>9</v>
      </c>
      <c r="L1729">
        <v>99</v>
      </c>
      <c r="M1729">
        <v>3</v>
      </c>
      <c r="N1729">
        <v>3</v>
      </c>
      <c r="O1729" s="14">
        <v>99999</v>
      </c>
      <c r="P1729" s="234">
        <f t="shared" si="38"/>
        <v>2046233.2</v>
      </c>
      <c r="Q1729" s="234">
        <f>'Rede Básica + Ajuste'!D10</f>
        <v>2046233.2</v>
      </c>
    </row>
    <row r="1730" spans="1:17">
      <c r="A1730" s="9" t="s">
        <v>772</v>
      </c>
      <c r="B1730" t="s">
        <v>793</v>
      </c>
      <c r="C1730" s="9" t="s">
        <v>1641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1</v>
      </c>
      <c r="N1730">
        <v>3</v>
      </c>
      <c r="O1730" s="14">
        <v>99999</v>
      </c>
      <c r="P1730" s="234">
        <f t="shared" si="38"/>
        <v>331293.59999999998</v>
      </c>
      <c r="Q1730" s="234">
        <f>'Rede Básica + Ajuste'!E9</f>
        <v>331293.59999999998</v>
      </c>
    </row>
    <row r="1731" spans="1:17">
      <c r="A1731" s="9" t="s">
        <v>772</v>
      </c>
      <c r="B1731" t="s">
        <v>793</v>
      </c>
      <c r="C1731" s="9" t="s">
        <v>1642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2</v>
      </c>
      <c r="K1731">
        <v>9</v>
      </c>
      <c r="L1731">
        <v>99</v>
      </c>
      <c r="M1731">
        <v>3</v>
      </c>
      <c r="N1731">
        <v>3</v>
      </c>
      <c r="O1731" s="14">
        <v>99999</v>
      </c>
      <c r="P1731" s="234">
        <f t="shared" si="38"/>
        <v>383253.2</v>
      </c>
      <c r="Q1731" s="234">
        <f>'Rede Básica + Ajuste'!E10</f>
        <v>383253.2</v>
      </c>
    </row>
    <row r="1732" spans="1:17">
      <c r="A1732" s="9" t="s">
        <v>772</v>
      </c>
      <c r="B1732" t="s">
        <v>793</v>
      </c>
      <c r="C1732" s="9" t="s">
        <v>1643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1</v>
      </c>
      <c r="N1732">
        <v>1</v>
      </c>
      <c r="O1732" s="14">
        <v>99999</v>
      </c>
      <c r="P1732" s="234">
        <f t="shared" si="38"/>
        <v>246.6</v>
      </c>
      <c r="Q1732" s="234">
        <f>'Rede Básica + Ajuste'!C9</f>
        <v>246.6</v>
      </c>
    </row>
    <row r="1733" spans="1:17">
      <c r="A1733" s="9" t="s">
        <v>772</v>
      </c>
      <c r="B1733" t="s">
        <v>793</v>
      </c>
      <c r="C1733" s="9" t="s">
        <v>1644</v>
      </c>
      <c r="D1733">
        <v>1</v>
      </c>
      <c r="E1733">
        <v>1</v>
      </c>
      <c r="F1733">
        <v>35</v>
      </c>
      <c r="G1733">
        <v>999</v>
      </c>
      <c r="H1733">
        <v>999</v>
      </c>
      <c r="I1733">
        <v>1</v>
      </c>
      <c r="J1733">
        <v>1</v>
      </c>
      <c r="K1733">
        <v>9</v>
      </c>
      <c r="L1733">
        <v>99</v>
      </c>
      <c r="M1733">
        <v>3</v>
      </c>
      <c r="N1733">
        <v>1</v>
      </c>
      <c r="O1733" s="14">
        <v>99999</v>
      </c>
      <c r="P1733" s="234">
        <f t="shared" si="38"/>
        <v>281.2</v>
      </c>
      <c r="Q1733" s="234">
        <f>'Rede Básica + Ajuste'!C10</f>
        <v>281.2</v>
      </c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5" bestFit="1" customWidth="1"/>
    <col min="2" max="2" width="12.5703125" style="505" bestFit="1" customWidth="1"/>
    <col min="3" max="3" width="10.140625" style="505" customWidth="1"/>
    <col min="4" max="4" width="50.42578125" style="505" bestFit="1" customWidth="1"/>
    <col min="5" max="5" width="41.140625" style="505" bestFit="1" customWidth="1"/>
    <col min="6" max="6" width="43.28515625" style="505" bestFit="1" customWidth="1"/>
    <col min="7" max="7" width="34.7109375" style="505" bestFit="1" customWidth="1"/>
    <col min="8" max="8" width="42.7109375" style="505" bestFit="1" customWidth="1"/>
    <col min="9" max="9" width="33.42578125" style="505" bestFit="1" customWidth="1"/>
    <col min="10" max="10" width="25.42578125" style="505" bestFit="1" customWidth="1"/>
    <col min="11" max="11" width="30.85546875" style="505" bestFit="1" customWidth="1"/>
    <col min="12" max="14" width="13" style="505" customWidth="1"/>
    <col min="15" max="15" width="12.5703125" style="505" bestFit="1" customWidth="1"/>
    <col min="16" max="16" width="12.5703125" style="505" customWidth="1"/>
    <col min="17" max="19" width="13" style="505" customWidth="1"/>
    <col min="20" max="20" width="41.140625" style="505" customWidth="1"/>
    <col min="21" max="22" width="13" style="505" customWidth="1"/>
    <col min="23" max="33" width="13" style="505" bestFit="1" customWidth="1"/>
    <col min="34" max="36" width="12.5703125" style="505" bestFit="1" customWidth="1"/>
    <col min="37" max="37" width="49.42578125" style="505" bestFit="1" customWidth="1"/>
    <col min="38" max="38" width="17.5703125" style="505" bestFit="1" customWidth="1"/>
    <col min="39" max="39" width="18" style="505" bestFit="1" customWidth="1"/>
    <col min="40" max="40" width="17.5703125" style="505" bestFit="1" customWidth="1"/>
    <col min="41" max="41" width="18" style="505" bestFit="1" customWidth="1"/>
    <col min="42" max="42" width="17" style="505" bestFit="1" customWidth="1"/>
    <col min="43" max="43" width="17.5703125" style="505" bestFit="1" customWidth="1"/>
    <col min="44" max="44" width="18" style="505" bestFit="1" customWidth="1"/>
    <col min="45" max="47" width="17.5703125" style="505" bestFit="1" customWidth="1"/>
    <col min="48" max="48" width="17" style="505" bestFit="1" customWidth="1"/>
    <col min="49" max="51" width="17.5703125" style="505" bestFit="1" customWidth="1"/>
    <col min="52" max="52" width="17" style="505" bestFit="1" customWidth="1"/>
    <col min="53" max="53" width="17.5703125" style="505" bestFit="1" customWidth="1"/>
    <col min="54" max="54" width="40.85546875" style="505" bestFit="1" customWidth="1"/>
    <col min="55" max="70" width="10.140625" style="505" bestFit="1" customWidth="1"/>
    <col min="71" max="71" width="42.7109375" style="505" bestFit="1" customWidth="1"/>
    <col min="72" max="72" width="16.5703125" style="505" bestFit="1" customWidth="1"/>
    <col min="73" max="75" width="17.5703125" style="505" bestFit="1" customWidth="1"/>
    <col min="76" max="76" width="17" style="505" bestFit="1" customWidth="1"/>
    <col min="77" max="77" width="17.5703125" style="505" bestFit="1" customWidth="1"/>
    <col min="78" max="79" width="17" style="505" bestFit="1" customWidth="1"/>
    <col min="80" max="80" width="17.5703125" style="505" bestFit="1" customWidth="1"/>
    <col min="81" max="82" width="17" style="505" bestFit="1" customWidth="1"/>
    <col min="83" max="84" width="17.5703125" style="505" bestFit="1" customWidth="1"/>
    <col min="85" max="86" width="18" style="505" bestFit="1" customWidth="1"/>
    <col min="87" max="87" width="17" style="505" bestFit="1" customWidth="1"/>
    <col min="88" max="88" width="33.42578125" style="505" bestFit="1" customWidth="1"/>
    <col min="89" max="104" width="10.140625" style="505" bestFit="1" customWidth="1"/>
    <col min="105" max="105" width="25.42578125" style="505" bestFit="1" customWidth="1"/>
    <col min="106" max="119" width="10.140625" style="505" bestFit="1" customWidth="1"/>
    <col min="120" max="120" width="11.140625" style="505" bestFit="1" customWidth="1"/>
    <col min="121" max="121" width="10.140625" style="505" bestFit="1" customWidth="1"/>
    <col min="122" max="122" width="30.85546875" style="505" bestFit="1" customWidth="1"/>
    <col min="123" max="123" width="13.42578125" style="505" bestFit="1" customWidth="1"/>
    <col min="124" max="125" width="14" style="505" bestFit="1" customWidth="1"/>
    <col min="126" max="126" width="13.42578125" style="505" bestFit="1" customWidth="1"/>
    <col min="127" max="127" width="14.42578125" style="505" bestFit="1" customWidth="1"/>
    <col min="128" max="130" width="14" style="505" bestFit="1" customWidth="1"/>
    <col min="131" max="131" width="14.42578125" style="505" bestFit="1" customWidth="1"/>
    <col min="132" max="132" width="14" style="505" bestFit="1" customWidth="1"/>
    <col min="133" max="133" width="14.42578125" style="505" bestFit="1" customWidth="1"/>
    <col min="134" max="134" width="14" style="505" bestFit="1" customWidth="1"/>
    <col min="135" max="135" width="13.42578125" style="505" bestFit="1" customWidth="1"/>
    <col min="136" max="138" width="14.42578125" style="505" bestFit="1" customWidth="1"/>
    <col min="139" max="16384" width="9.140625" style="505"/>
  </cols>
  <sheetData>
    <row r="1" spans="1:138">
      <c r="A1" s="1509" t="s">
        <v>1645</v>
      </c>
      <c r="B1" s="505">
        <f>YEAR(SAS_RA0_DataInicio)*100+MONTH(SAS_RA0_DataInicio)</f>
        <v>202107</v>
      </c>
      <c r="D1" s="1509" t="s">
        <v>1646</v>
      </c>
      <c r="E1" s="1509" t="s">
        <v>1647</v>
      </c>
      <c r="F1" s="1509" t="s">
        <v>1648</v>
      </c>
    </row>
    <row r="2" spans="1:138" ht="15.75">
      <c r="A2" s="1509" t="s">
        <v>1649</v>
      </c>
      <c r="B2" s="505">
        <f>YEAR(SAS_RA0_DataFim)*100+MONTH(SAS_RA0_DataFim)</f>
        <v>202206</v>
      </c>
      <c r="D2" s="1510" t="str">
        <f>UPPER(VLOOKUP(LnkTXTSigla,Informacoes[],9,FALSE))</f>
        <v>RGE</v>
      </c>
      <c r="E2" s="505">
        <f>IF(_xlfn.MAXIFS(C:C,A:A,D2)&gt;B2,B2,_xlfn.MAXIFS(C:C,A:A,D2))</f>
        <v>0</v>
      </c>
      <c r="F2" s="507">
        <f>YEAR(SAS_RA0_DataFim)*100+MONTH(SAS_RA0_DataFim)-E2+1</f>
        <v>202207</v>
      </c>
    </row>
    <row r="3" spans="1:138" ht="15.75">
      <c r="A3" s="1511" t="s">
        <v>229</v>
      </c>
      <c r="B3" s="507">
        <f>YEAR(SAS_RA0_DataFim)*100+MONTH(SAS_RA0_DataFim)-MAX(C:C)+1</f>
        <v>202207</v>
      </c>
      <c r="D3" s="1510" t="str">
        <f>UPPER(VLOOKUP(LnkTXTSigla,Informacoes[],11,FALSE))</f>
        <v>CEEE</v>
      </c>
      <c r="E3" s="505">
        <f>IF(_xlfn.MAXIFS(C:C,A:A,D3)&gt;B2,B2,_xlfn.MAXIFS(C:C,A:A,D3))</f>
        <v>0</v>
      </c>
      <c r="F3" s="507">
        <f>YEAR(SAS_RA0_DataFim)*100+MONTH(SAS_RA0_DataFim)-E3+1</f>
        <v>202207</v>
      </c>
    </row>
    <row r="4" spans="1:138" ht="15.75">
      <c r="A4" s="521" t="s">
        <v>1650</v>
      </c>
      <c r="B4" s="522" t="s">
        <v>1651</v>
      </c>
    </row>
    <row r="6" spans="1:138" ht="15.75">
      <c r="A6" s="801"/>
      <c r="B6" s="802"/>
      <c r="C6" s="802"/>
      <c r="D6" s="52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6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6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512" t="s">
        <v>1652</v>
      </c>
      <c r="B1" s="1513">
        <v>0</v>
      </c>
    </row>
    <row r="2" spans="1:2">
      <c r="A2" s="1512" t="s">
        <v>1653</v>
      </c>
      <c r="B2" s="1513">
        <v>0</v>
      </c>
    </row>
    <row r="3" spans="1:2">
      <c r="A3" s="1512" t="s">
        <v>1654</v>
      </c>
      <c r="B3" s="1513">
        <v>0</v>
      </c>
    </row>
    <row r="4" spans="1:2">
      <c r="A4" s="1512" t="s">
        <v>1655</v>
      </c>
      <c r="B4" s="1513">
        <v>0</v>
      </c>
    </row>
    <row r="5" spans="1:2">
      <c r="A5" s="1512" t="s">
        <v>1656</v>
      </c>
      <c r="B5" s="1513">
        <v>0</v>
      </c>
    </row>
    <row r="6" spans="1:2">
      <c r="A6" s="1512" t="s">
        <v>1657</v>
      </c>
      <c r="B6" s="1513">
        <v>0</v>
      </c>
    </row>
    <row r="7" spans="1:2">
      <c r="A7" s="1512" t="s">
        <v>1658</v>
      </c>
      <c r="B7" s="1513">
        <v>0</v>
      </c>
    </row>
    <row r="8" spans="1:2">
      <c r="A8" s="1512" t="s">
        <v>1659</v>
      </c>
      <c r="B8" s="1513">
        <v>0</v>
      </c>
    </row>
    <row r="9" spans="1:2">
      <c r="A9" s="1512" t="s">
        <v>1660</v>
      </c>
      <c r="B9" s="1513">
        <v>0.45</v>
      </c>
    </row>
    <row r="10" spans="1:2">
      <c r="A10" s="1512" t="s">
        <v>1661</v>
      </c>
      <c r="B10" s="1513">
        <v>0.4</v>
      </c>
    </row>
    <row r="11" spans="1:2">
      <c r="A11" s="1512" t="s">
        <v>1662</v>
      </c>
      <c r="B11" s="1512">
        <v>0.65</v>
      </c>
    </row>
    <row r="12" spans="1:2">
      <c r="A12" s="1512" t="s">
        <v>1663</v>
      </c>
      <c r="B12" s="1512">
        <v>0.4</v>
      </c>
    </row>
    <row r="13" spans="1:2">
      <c r="A13" s="1512" t="s">
        <v>1664</v>
      </c>
      <c r="B13" s="1512">
        <v>0.1</v>
      </c>
    </row>
    <row r="14" spans="1:2">
      <c r="A14" s="1512" t="s">
        <v>1665</v>
      </c>
      <c r="B14" s="1512">
        <v>0</v>
      </c>
    </row>
    <row r="15" spans="1:2">
      <c r="A15" s="1512" t="s">
        <v>1666</v>
      </c>
      <c r="B15" s="1512">
        <v>0.3</v>
      </c>
    </row>
    <row r="16" spans="1:2">
      <c r="A16" s="1512" t="s">
        <v>1667</v>
      </c>
      <c r="B16" s="1512">
        <v>0.3</v>
      </c>
    </row>
    <row r="17" spans="1:13">
      <c r="A17" s="1512" t="s">
        <v>1668</v>
      </c>
      <c r="B17" s="1512">
        <v>0.4</v>
      </c>
    </row>
    <row r="20" spans="1:13" ht="15">
      <c r="D20" s="1514" t="s">
        <v>1489</v>
      </c>
      <c r="E20" s="1514" t="s">
        <v>1038</v>
      </c>
      <c r="F20" s="1514" t="s">
        <v>1669</v>
      </c>
      <c r="G20" s="1514" t="s">
        <v>1670</v>
      </c>
      <c r="H20" s="1514" t="s">
        <v>1671</v>
      </c>
      <c r="I20" s="1514" t="s">
        <v>1672</v>
      </c>
      <c r="J20" s="1514" t="s">
        <v>1673</v>
      </c>
      <c r="K20" s="1514" t="s">
        <v>1674</v>
      </c>
      <c r="L20" s="1514" t="s">
        <v>1675</v>
      </c>
      <c r="M20" s="1514" t="s">
        <v>1122</v>
      </c>
    </row>
    <row r="21" spans="1:13" ht="30" hidden="1">
      <c r="D21" s="1515">
        <v>26</v>
      </c>
      <c r="E21" s="1516" t="s">
        <v>1676</v>
      </c>
      <c r="F21" s="1516" t="s">
        <v>137</v>
      </c>
      <c r="G21" s="1517">
        <v>41243</v>
      </c>
      <c r="H21" s="1518">
        <v>41243</v>
      </c>
      <c r="I21" s="1516" t="s">
        <v>1041</v>
      </c>
      <c r="J21" s="1516" t="s">
        <v>138</v>
      </c>
      <c r="K21" s="1515">
        <v>1663</v>
      </c>
      <c r="L21" s="1516" t="s">
        <v>1677</v>
      </c>
      <c r="M21" s="1516" t="s">
        <v>1678</v>
      </c>
    </row>
    <row r="22" spans="1:13" ht="30" hidden="1">
      <c r="D22" s="1515">
        <v>28</v>
      </c>
      <c r="E22" s="1516" t="s">
        <v>1679</v>
      </c>
      <c r="F22" s="1516" t="s">
        <v>1680</v>
      </c>
      <c r="G22" s="1517">
        <v>41214</v>
      </c>
      <c r="H22" s="482"/>
      <c r="I22" s="1516" t="s">
        <v>1041</v>
      </c>
      <c r="J22" s="1516" t="s">
        <v>138</v>
      </c>
      <c r="K22" s="1515">
        <v>1665</v>
      </c>
      <c r="L22" s="1516" t="s">
        <v>138</v>
      </c>
      <c r="M22" s="1516" t="s">
        <v>1678</v>
      </c>
    </row>
    <row r="23" spans="1:13" ht="30" hidden="1">
      <c r="D23" s="1515">
        <v>31</v>
      </c>
      <c r="E23" s="1516" t="s">
        <v>1681</v>
      </c>
      <c r="F23" s="1516" t="s">
        <v>139</v>
      </c>
      <c r="G23" s="1517">
        <v>41243</v>
      </c>
      <c r="H23" s="482"/>
      <c r="I23" s="1516" t="s">
        <v>1041</v>
      </c>
      <c r="J23" s="1516" t="s">
        <v>138</v>
      </c>
      <c r="K23" s="1515">
        <v>1666</v>
      </c>
      <c r="L23" s="1516" t="s">
        <v>138</v>
      </c>
      <c r="M23" s="1516" t="s">
        <v>1678</v>
      </c>
    </row>
    <row r="24" spans="1:13" ht="30" hidden="1">
      <c r="D24" s="1515">
        <v>32</v>
      </c>
      <c r="E24" s="1516" t="s">
        <v>1682</v>
      </c>
      <c r="F24" s="1516" t="s">
        <v>140</v>
      </c>
      <c r="G24" s="1517">
        <v>41094</v>
      </c>
      <c r="H24" s="482"/>
      <c r="I24" s="1516" t="s">
        <v>1041</v>
      </c>
      <c r="J24" s="1516" t="s">
        <v>138</v>
      </c>
      <c r="K24" s="1515">
        <v>1668</v>
      </c>
      <c r="L24" s="1516" t="s">
        <v>1683</v>
      </c>
      <c r="M24" s="1516" t="s">
        <v>1678</v>
      </c>
    </row>
    <row r="25" spans="1:13" ht="30" hidden="1">
      <c r="D25" s="1515">
        <v>37</v>
      </c>
      <c r="E25" s="1516" t="s">
        <v>1684</v>
      </c>
      <c r="F25" s="1516" t="s">
        <v>141</v>
      </c>
      <c r="G25" s="1517">
        <v>41149</v>
      </c>
      <c r="H25" s="482"/>
      <c r="I25" s="1516" t="s">
        <v>1041</v>
      </c>
      <c r="J25" s="1516" t="s">
        <v>138</v>
      </c>
      <c r="K25" s="1515">
        <v>1669</v>
      </c>
      <c r="L25" s="1516" t="s">
        <v>1685</v>
      </c>
      <c r="M25" s="1516" t="s">
        <v>1678</v>
      </c>
    </row>
    <row r="26" spans="1:13" ht="30" hidden="1">
      <c r="D26" s="1515">
        <v>38</v>
      </c>
      <c r="E26" s="1516" t="s">
        <v>1686</v>
      </c>
      <c r="F26" s="1516" t="s">
        <v>142</v>
      </c>
      <c r="G26" s="1517">
        <v>41180</v>
      </c>
      <c r="H26" s="1518">
        <v>41149</v>
      </c>
      <c r="I26" s="1516" t="s">
        <v>1041</v>
      </c>
      <c r="J26" s="1516" t="s">
        <v>138</v>
      </c>
      <c r="K26" s="1515">
        <v>1670</v>
      </c>
      <c r="L26" s="1516" t="s">
        <v>1687</v>
      </c>
      <c r="M26" s="1516" t="s">
        <v>1678</v>
      </c>
    </row>
    <row r="27" spans="1:13" ht="30" hidden="1">
      <c r="D27" s="1515">
        <v>39</v>
      </c>
      <c r="E27" s="1516" t="s">
        <v>1688</v>
      </c>
      <c r="F27" s="1516" t="s">
        <v>1689</v>
      </c>
      <c r="G27" s="1517">
        <v>41021</v>
      </c>
      <c r="H27" s="482"/>
      <c r="I27" s="1516" t="s">
        <v>1041</v>
      </c>
      <c r="J27" s="1516" t="s">
        <v>138</v>
      </c>
      <c r="K27" s="1515">
        <v>1671</v>
      </c>
      <c r="L27" s="1516" t="s">
        <v>1690</v>
      </c>
      <c r="M27" s="1516" t="s">
        <v>1678</v>
      </c>
    </row>
    <row r="28" spans="1:13" ht="30" hidden="1">
      <c r="D28" s="1515">
        <v>40</v>
      </c>
      <c r="E28" s="1516" t="s">
        <v>1691</v>
      </c>
      <c r="F28" s="1516" t="s">
        <v>144</v>
      </c>
      <c r="G28" s="1517">
        <v>41021</v>
      </c>
      <c r="H28" s="482"/>
      <c r="I28" s="1516" t="s">
        <v>1041</v>
      </c>
      <c r="J28" s="1516" t="s">
        <v>138</v>
      </c>
      <c r="K28" s="1515">
        <v>1672</v>
      </c>
      <c r="L28" s="1516" t="s">
        <v>1692</v>
      </c>
      <c r="M28" s="1516" t="s">
        <v>1678</v>
      </c>
    </row>
    <row r="29" spans="1:13" ht="30" hidden="1">
      <c r="D29" s="1515">
        <v>43</v>
      </c>
      <c r="E29" s="1516" t="s">
        <v>1693</v>
      </c>
      <c r="F29" s="1516" t="s">
        <v>145</v>
      </c>
      <c r="G29" s="1517">
        <v>41028</v>
      </c>
      <c r="H29" s="482"/>
      <c r="I29" s="1516" t="s">
        <v>1041</v>
      </c>
      <c r="J29" s="1516" t="s">
        <v>138</v>
      </c>
      <c r="K29" s="1515">
        <v>1674</v>
      </c>
      <c r="L29" s="1516" t="s">
        <v>1694</v>
      </c>
      <c r="M29" s="1516" t="s">
        <v>1678</v>
      </c>
    </row>
    <row r="30" spans="1:13" ht="30" hidden="1">
      <c r="D30" s="1515">
        <v>44</v>
      </c>
      <c r="E30" s="1516" t="s">
        <v>1695</v>
      </c>
      <c r="F30" s="1516" t="s">
        <v>146</v>
      </c>
      <c r="G30" s="1517">
        <v>41180</v>
      </c>
      <c r="H30" s="482"/>
      <c r="I30" s="1516" t="s">
        <v>1041</v>
      </c>
      <c r="J30" s="1516" t="s">
        <v>138</v>
      </c>
      <c r="K30" s="1515">
        <v>1675</v>
      </c>
      <c r="L30" s="1516" t="s">
        <v>1696</v>
      </c>
      <c r="M30" s="1516" t="s">
        <v>1678</v>
      </c>
    </row>
    <row r="31" spans="1:13" ht="30" hidden="1">
      <c r="D31" s="1515">
        <v>46</v>
      </c>
      <c r="E31" s="1516" t="s">
        <v>1697</v>
      </c>
      <c r="F31" s="1516" t="s">
        <v>147</v>
      </c>
      <c r="G31" s="1517">
        <v>41051</v>
      </c>
      <c r="H31" s="1518">
        <v>41257</v>
      </c>
      <c r="I31" s="1516" t="s">
        <v>1041</v>
      </c>
      <c r="J31" s="1516" t="s">
        <v>1698</v>
      </c>
      <c r="K31" s="1515">
        <v>1676</v>
      </c>
      <c r="L31" s="1516" t="s">
        <v>1699</v>
      </c>
      <c r="M31" s="1516" t="s">
        <v>1678</v>
      </c>
    </row>
    <row r="32" spans="1:13" ht="30" hidden="1">
      <c r="D32" s="1515">
        <v>47</v>
      </c>
      <c r="E32" s="1516" t="s">
        <v>1700</v>
      </c>
      <c r="F32" s="1516" t="s">
        <v>148</v>
      </c>
      <c r="G32" s="1517">
        <v>41021</v>
      </c>
      <c r="H32" s="482"/>
      <c r="I32" s="1516" t="s">
        <v>1041</v>
      </c>
      <c r="J32" s="1516" t="s">
        <v>138</v>
      </c>
      <c r="K32" s="1515">
        <v>1677</v>
      </c>
      <c r="L32" s="1516" t="s">
        <v>1701</v>
      </c>
      <c r="M32" s="1516" t="s">
        <v>1678</v>
      </c>
    </row>
    <row r="33" spans="4:13" ht="15" hidden="1">
      <c r="D33" s="1515">
        <v>51</v>
      </c>
      <c r="E33" s="1516" t="s">
        <v>1702</v>
      </c>
      <c r="F33" s="1516" t="s">
        <v>149</v>
      </c>
      <c r="G33" s="1517">
        <v>41235</v>
      </c>
      <c r="H33" s="1518">
        <v>41210</v>
      </c>
      <c r="I33" s="1516" t="s">
        <v>1041</v>
      </c>
      <c r="J33" s="1516" t="s">
        <v>1698</v>
      </c>
      <c r="K33" s="1515">
        <v>1682</v>
      </c>
      <c r="L33" s="1516" t="s">
        <v>1703</v>
      </c>
      <c r="M33" s="1516" t="s">
        <v>1678</v>
      </c>
    </row>
    <row r="34" spans="4:13" ht="15" hidden="1">
      <c r="D34" s="1515">
        <v>56</v>
      </c>
      <c r="E34" s="1516" t="s">
        <v>1704</v>
      </c>
      <c r="F34" s="1516" t="s">
        <v>1705</v>
      </c>
      <c r="G34" s="482"/>
      <c r="H34" s="482"/>
      <c r="I34" s="1516" t="s">
        <v>1041</v>
      </c>
      <c r="J34" s="1516" t="s">
        <v>138</v>
      </c>
      <c r="K34" s="1515">
        <v>1683</v>
      </c>
      <c r="L34" s="1516" t="s">
        <v>138</v>
      </c>
      <c r="M34" s="1516" t="s">
        <v>1678</v>
      </c>
    </row>
    <row r="35" spans="4:13" ht="30" hidden="1">
      <c r="D35" s="1515">
        <v>63</v>
      </c>
      <c r="E35" s="1516" t="s">
        <v>1706</v>
      </c>
      <c r="F35" s="1516" t="s">
        <v>150</v>
      </c>
      <c r="G35" s="1517">
        <v>41007</v>
      </c>
      <c r="H35" s="482"/>
      <c r="I35" s="1516" t="s">
        <v>1041</v>
      </c>
      <c r="J35" s="1516" t="s">
        <v>138</v>
      </c>
      <c r="K35" s="1515">
        <v>1688</v>
      </c>
      <c r="L35" s="1516" t="s">
        <v>1707</v>
      </c>
      <c r="M35" s="1516" t="s">
        <v>1678</v>
      </c>
    </row>
    <row r="36" spans="4:13" ht="30" hidden="1">
      <c r="D36" s="1515">
        <v>69</v>
      </c>
      <c r="E36" s="1516" t="s">
        <v>1708</v>
      </c>
      <c r="F36" s="1516" t="s">
        <v>1709</v>
      </c>
      <c r="G36" s="1517">
        <v>40990</v>
      </c>
      <c r="H36" s="1518">
        <v>42038</v>
      </c>
      <c r="I36" s="1516" t="s">
        <v>1041</v>
      </c>
      <c r="J36" s="1516" t="s">
        <v>138</v>
      </c>
      <c r="K36" s="1515">
        <v>1692</v>
      </c>
      <c r="L36" s="1516" t="s">
        <v>1710</v>
      </c>
      <c r="M36" s="1516" t="s">
        <v>1678</v>
      </c>
    </row>
    <row r="37" spans="4:13" ht="30" hidden="1">
      <c r="D37" s="1515">
        <v>70</v>
      </c>
      <c r="E37" s="1516" t="s">
        <v>1711</v>
      </c>
      <c r="F37" s="1516" t="s">
        <v>1712</v>
      </c>
      <c r="G37" s="1517">
        <v>40990</v>
      </c>
      <c r="H37" s="1518">
        <v>42038</v>
      </c>
      <c r="I37" s="1516" t="s">
        <v>1041</v>
      </c>
      <c r="J37" s="1516" t="s">
        <v>138</v>
      </c>
      <c r="K37" s="1515">
        <v>1693</v>
      </c>
      <c r="L37" s="1516" t="s">
        <v>1713</v>
      </c>
      <c r="M37" s="1516" t="s">
        <v>1678</v>
      </c>
    </row>
    <row r="38" spans="4:13" ht="30" hidden="1">
      <c r="D38" s="1515">
        <v>71</v>
      </c>
      <c r="E38" s="1516" t="s">
        <v>1714</v>
      </c>
      <c r="F38" s="1516" t="s">
        <v>1715</v>
      </c>
      <c r="G38" s="1517">
        <v>40990</v>
      </c>
      <c r="H38" s="1518">
        <v>42038</v>
      </c>
      <c r="I38" s="1516" t="s">
        <v>1041</v>
      </c>
      <c r="J38" s="1516" t="s">
        <v>138</v>
      </c>
      <c r="K38" s="1515">
        <v>1694</v>
      </c>
      <c r="L38" s="1516" t="s">
        <v>1716</v>
      </c>
      <c r="M38" s="1516" t="s">
        <v>1678</v>
      </c>
    </row>
    <row r="39" spans="4:13" ht="30" hidden="1">
      <c r="D39" s="1515">
        <v>72</v>
      </c>
      <c r="E39" s="1516" t="s">
        <v>1717</v>
      </c>
      <c r="F39" s="1516" t="s">
        <v>204</v>
      </c>
      <c r="G39" s="1517">
        <v>40990</v>
      </c>
      <c r="H39" s="1518">
        <v>42038</v>
      </c>
      <c r="I39" s="1516" t="s">
        <v>1041</v>
      </c>
      <c r="J39" s="1516" t="s">
        <v>138</v>
      </c>
      <c r="K39" s="1515">
        <v>1695</v>
      </c>
      <c r="L39" s="1516" t="s">
        <v>1718</v>
      </c>
      <c r="M39" s="1516" t="s">
        <v>1678</v>
      </c>
    </row>
    <row r="40" spans="4:13" ht="30" hidden="1">
      <c r="D40" s="1515">
        <v>73</v>
      </c>
      <c r="E40" s="1516" t="s">
        <v>1719</v>
      </c>
      <c r="F40" s="1516" t="s">
        <v>1720</v>
      </c>
      <c r="G40" s="1517">
        <v>40990</v>
      </c>
      <c r="H40" s="1518">
        <v>42038</v>
      </c>
      <c r="I40" s="1516" t="s">
        <v>1041</v>
      </c>
      <c r="J40" s="1516" t="s">
        <v>1698</v>
      </c>
      <c r="K40" s="1515">
        <v>1696</v>
      </c>
      <c r="L40" s="1516" t="s">
        <v>1721</v>
      </c>
      <c r="M40" s="1516" t="s">
        <v>1678</v>
      </c>
    </row>
    <row r="41" spans="4:13" ht="30" hidden="1">
      <c r="D41" s="1515">
        <v>75</v>
      </c>
      <c r="E41" s="1516" t="s">
        <v>1722</v>
      </c>
      <c r="F41" s="1516" t="s">
        <v>1723</v>
      </c>
      <c r="G41" s="1517">
        <v>41039</v>
      </c>
      <c r="H41" s="482"/>
      <c r="I41" s="1516" t="s">
        <v>1041</v>
      </c>
      <c r="J41" s="1516" t="s">
        <v>138</v>
      </c>
      <c r="K41" s="1515">
        <v>1697</v>
      </c>
      <c r="L41" s="1516" t="s">
        <v>1724</v>
      </c>
      <c r="M41" s="1516" t="s">
        <v>1678</v>
      </c>
    </row>
    <row r="42" spans="4:13" ht="30" hidden="1">
      <c r="D42" s="1515">
        <v>82</v>
      </c>
      <c r="E42" s="1516" t="s">
        <v>1725</v>
      </c>
      <c r="F42" s="1516" t="s">
        <v>151</v>
      </c>
      <c r="G42" s="1517">
        <v>41089</v>
      </c>
      <c r="H42" s="1518">
        <v>41084</v>
      </c>
      <c r="I42" s="1516" t="s">
        <v>1041</v>
      </c>
      <c r="J42" s="1516" t="s">
        <v>1698</v>
      </c>
      <c r="K42" s="1515">
        <v>1701</v>
      </c>
      <c r="L42" s="1516" t="s">
        <v>1726</v>
      </c>
      <c r="M42" s="1516" t="s">
        <v>1678</v>
      </c>
    </row>
    <row r="43" spans="4:13" ht="30" hidden="1">
      <c r="D43" s="1515">
        <v>83</v>
      </c>
      <c r="E43" s="1516" t="s">
        <v>1727</v>
      </c>
      <c r="F43" s="1516" t="s">
        <v>207</v>
      </c>
      <c r="G43" s="1517">
        <v>41147</v>
      </c>
      <c r="H43" s="482"/>
      <c r="I43" s="1516" t="s">
        <v>1041</v>
      </c>
      <c r="J43" s="1516" t="s">
        <v>1698</v>
      </c>
      <c r="K43" s="1515">
        <v>1702</v>
      </c>
      <c r="L43" s="1516" t="s">
        <v>1728</v>
      </c>
      <c r="M43" s="1516" t="s">
        <v>1678</v>
      </c>
    </row>
    <row r="44" spans="4:13" ht="30" hidden="1">
      <c r="D44" s="1515">
        <v>84</v>
      </c>
      <c r="E44" s="1516" t="s">
        <v>1729</v>
      </c>
      <c r="F44" s="1516" t="s">
        <v>1730</v>
      </c>
      <c r="G44" s="1517">
        <v>41089</v>
      </c>
      <c r="H44" s="482"/>
      <c r="I44" s="1516" t="s">
        <v>1041</v>
      </c>
      <c r="J44" s="1516" t="s">
        <v>1698</v>
      </c>
      <c r="K44" s="1515">
        <v>1703</v>
      </c>
      <c r="L44" s="1516" t="s">
        <v>1731</v>
      </c>
      <c r="M44" s="1516" t="s">
        <v>1678</v>
      </c>
    </row>
    <row r="45" spans="4:13" ht="30" hidden="1">
      <c r="D45" s="1515">
        <v>86</v>
      </c>
      <c r="E45" s="1516" t="s">
        <v>1732</v>
      </c>
      <c r="F45" s="1516" t="s">
        <v>152</v>
      </c>
      <c r="G45" s="1517">
        <v>41150</v>
      </c>
      <c r="H45" s="1518">
        <v>41865</v>
      </c>
      <c r="I45" s="1516" t="s">
        <v>1041</v>
      </c>
      <c r="J45" s="1516" t="s">
        <v>1698</v>
      </c>
      <c r="K45" s="1515">
        <v>1704</v>
      </c>
      <c r="L45" s="1516" t="s">
        <v>1733</v>
      </c>
      <c r="M45" s="1516" t="s">
        <v>1678</v>
      </c>
    </row>
    <row r="46" spans="4:13" ht="30" hidden="1">
      <c r="D46" s="1515">
        <v>87</v>
      </c>
      <c r="E46" s="1516" t="s">
        <v>1734</v>
      </c>
      <c r="F46" s="1516" t="s">
        <v>153</v>
      </c>
      <c r="G46" s="1517">
        <v>41150</v>
      </c>
      <c r="H46" s="1518">
        <v>41128</v>
      </c>
      <c r="I46" s="1516" t="s">
        <v>1041</v>
      </c>
      <c r="J46" s="1516" t="s">
        <v>1698</v>
      </c>
      <c r="K46" s="1515">
        <v>1705</v>
      </c>
      <c r="L46" s="1516" t="s">
        <v>1735</v>
      </c>
      <c r="M46" s="1516" t="s">
        <v>1678</v>
      </c>
    </row>
    <row r="47" spans="4:13" ht="30" hidden="1">
      <c r="D47" s="1515">
        <v>88</v>
      </c>
      <c r="E47" s="1516" t="s">
        <v>1736</v>
      </c>
      <c r="F47" s="1516" t="s">
        <v>1737</v>
      </c>
      <c r="G47" s="1517">
        <v>41150</v>
      </c>
      <c r="H47" s="1518">
        <v>41865</v>
      </c>
      <c r="I47" s="1516" t="s">
        <v>1041</v>
      </c>
      <c r="J47" s="1516" t="s">
        <v>1698</v>
      </c>
      <c r="K47" s="1515">
        <v>1706</v>
      </c>
      <c r="L47" s="1516" t="s">
        <v>1738</v>
      </c>
      <c r="M47" s="1516" t="s">
        <v>1678</v>
      </c>
    </row>
    <row r="48" spans="4:13" ht="15" hidden="1">
      <c r="D48" s="1515">
        <v>95</v>
      </c>
      <c r="E48" s="1516" t="s">
        <v>1739</v>
      </c>
      <c r="F48" s="1516" t="s">
        <v>154</v>
      </c>
      <c r="G48" s="1517">
        <v>41112</v>
      </c>
      <c r="H48" s="1518">
        <v>41089</v>
      </c>
      <c r="I48" s="1516" t="s">
        <v>1041</v>
      </c>
      <c r="J48" s="1516" t="s">
        <v>1698</v>
      </c>
      <c r="K48" s="1515">
        <v>1708</v>
      </c>
      <c r="L48" s="1516" t="s">
        <v>1740</v>
      </c>
      <c r="M48" s="1516" t="s">
        <v>1678</v>
      </c>
    </row>
    <row r="49" spans="4:13" ht="30" hidden="1">
      <c r="D49" s="1515">
        <v>103</v>
      </c>
      <c r="E49" s="1516" t="s">
        <v>1741</v>
      </c>
      <c r="F49" s="1516" t="s">
        <v>155</v>
      </c>
      <c r="G49" s="1517">
        <v>41235</v>
      </c>
      <c r="H49" s="1518">
        <v>41164</v>
      </c>
      <c r="I49" s="1516" t="s">
        <v>1041</v>
      </c>
      <c r="J49" s="1516" t="s">
        <v>1698</v>
      </c>
      <c r="K49" s="1515">
        <v>1710</v>
      </c>
      <c r="L49" s="1516" t="s">
        <v>1742</v>
      </c>
      <c r="M49" s="1516" t="s">
        <v>1678</v>
      </c>
    </row>
    <row r="50" spans="4:13" ht="30">
      <c r="D50" s="1515">
        <v>213</v>
      </c>
      <c r="E50" s="1516" t="s">
        <v>1743</v>
      </c>
      <c r="F50" s="1516" t="s">
        <v>1744</v>
      </c>
      <c r="G50" s="482"/>
      <c r="H50" s="482"/>
      <c r="I50" s="1516" t="s">
        <v>1041</v>
      </c>
      <c r="J50" s="1516" t="s">
        <v>138</v>
      </c>
      <c r="K50" s="1515">
        <v>1757</v>
      </c>
      <c r="L50" s="1516" t="s">
        <v>138</v>
      </c>
      <c r="M50" s="1516" t="s">
        <v>1255</v>
      </c>
    </row>
    <row r="51" spans="4:13" ht="30" hidden="1">
      <c r="D51" s="1515">
        <v>369</v>
      </c>
      <c r="E51" s="1516" t="s">
        <v>1745</v>
      </c>
      <c r="F51" s="1516" t="s">
        <v>156</v>
      </c>
      <c r="G51" s="1517">
        <v>41243</v>
      </c>
      <c r="H51" s="1518">
        <v>41243</v>
      </c>
      <c r="I51" s="1516" t="s">
        <v>1041</v>
      </c>
      <c r="J51" s="1516" t="s">
        <v>138</v>
      </c>
      <c r="K51" s="1515">
        <v>1770</v>
      </c>
      <c r="L51" s="1516" t="s">
        <v>1746</v>
      </c>
      <c r="M51" s="1516" t="s">
        <v>1678</v>
      </c>
    </row>
    <row r="52" spans="4:13" ht="15" hidden="1">
      <c r="D52" s="1515">
        <v>370</v>
      </c>
      <c r="E52" s="1516" t="s">
        <v>1747</v>
      </c>
      <c r="F52" s="1516" t="s">
        <v>1748</v>
      </c>
      <c r="G52" s="1517">
        <v>41214</v>
      </c>
      <c r="H52" s="1518">
        <v>41214</v>
      </c>
      <c r="I52" s="1516" t="s">
        <v>1041</v>
      </c>
      <c r="J52" s="1516" t="s">
        <v>138</v>
      </c>
      <c r="K52" s="1515">
        <v>1771</v>
      </c>
      <c r="L52" s="1516" t="s">
        <v>1749</v>
      </c>
      <c r="M52" s="1516" t="s">
        <v>1678</v>
      </c>
    </row>
    <row r="53" spans="4:13" ht="30" hidden="1">
      <c r="D53" s="1515">
        <v>371</v>
      </c>
      <c r="E53" s="1516" t="s">
        <v>1750</v>
      </c>
      <c r="F53" s="1516" t="s">
        <v>159</v>
      </c>
      <c r="G53" s="1517">
        <v>40762</v>
      </c>
      <c r="H53" s="482"/>
      <c r="I53" s="1516" t="s">
        <v>1041</v>
      </c>
      <c r="J53" s="1516" t="s">
        <v>138</v>
      </c>
      <c r="K53" s="1515">
        <v>1772</v>
      </c>
      <c r="L53" s="1516" t="s">
        <v>1751</v>
      </c>
      <c r="M53" s="1516" t="s">
        <v>1678</v>
      </c>
    </row>
    <row r="54" spans="4:13" ht="30" hidden="1">
      <c r="D54" s="1515">
        <v>380</v>
      </c>
      <c r="E54" s="1516" t="s">
        <v>1752</v>
      </c>
      <c r="F54" s="1516" t="s">
        <v>1753</v>
      </c>
      <c r="G54" s="1517">
        <v>41128</v>
      </c>
      <c r="H54" s="482"/>
      <c r="I54" s="1516" t="s">
        <v>1041</v>
      </c>
      <c r="J54" s="1516" t="s">
        <v>138</v>
      </c>
      <c r="K54" s="1515">
        <v>1777</v>
      </c>
      <c r="L54" s="1516" t="s">
        <v>1754</v>
      </c>
      <c r="M54" s="1516" t="s">
        <v>1678</v>
      </c>
    </row>
    <row r="55" spans="4:13" ht="30" hidden="1">
      <c r="D55" s="1515">
        <v>381</v>
      </c>
      <c r="E55" s="1516" t="s">
        <v>1755</v>
      </c>
      <c r="F55" s="1516" t="s">
        <v>161</v>
      </c>
      <c r="G55" s="1517">
        <v>41143</v>
      </c>
      <c r="H55" s="1518">
        <v>41136</v>
      </c>
      <c r="I55" s="1516" t="s">
        <v>1041</v>
      </c>
      <c r="J55" s="1516" t="s">
        <v>138</v>
      </c>
      <c r="K55" s="1515">
        <v>1778</v>
      </c>
      <c r="L55" s="1516" t="s">
        <v>1756</v>
      </c>
      <c r="M55" s="1516" t="s">
        <v>1678</v>
      </c>
    </row>
    <row r="56" spans="4:13" ht="30" hidden="1">
      <c r="D56" s="1515">
        <v>382</v>
      </c>
      <c r="E56" s="1516" t="s">
        <v>1757</v>
      </c>
      <c r="F56" s="1516" t="s">
        <v>162</v>
      </c>
      <c r="G56" s="1517">
        <v>40983</v>
      </c>
      <c r="H56" s="1518">
        <v>41220</v>
      </c>
      <c r="I56" s="1516" t="s">
        <v>1041</v>
      </c>
      <c r="J56" s="1516" t="s">
        <v>138</v>
      </c>
      <c r="K56" s="1515">
        <v>1779</v>
      </c>
      <c r="L56" s="1516" t="s">
        <v>1758</v>
      </c>
      <c r="M56" s="1516" t="s">
        <v>1678</v>
      </c>
    </row>
    <row r="57" spans="4:13" ht="30" hidden="1">
      <c r="D57" s="1515">
        <v>383</v>
      </c>
      <c r="E57" s="1516" t="s">
        <v>1759</v>
      </c>
      <c r="F57" s="1516" t="s">
        <v>491</v>
      </c>
      <c r="G57" s="1517">
        <v>40983</v>
      </c>
      <c r="H57" s="482"/>
      <c r="I57" s="1516" t="s">
        <v>1041</v>
      </c>
      <c r="J57" s="1516" t="s">
        <v>138</v>
      </c>
      <c r="K57" s="1515">
        <v>1780</v>
      </c>
      <c r="L57" s="1516" t="s">
        <v>1760</v>
      </c>
      <c r="M57" s="1516" t="s">
        <v>1678</v>
      </c>
    </row>
    <row r="58" spans="4:13" ht="30" hidden="1">
      <c r="D58" s="1515">
        <v>385</v>
      </c>
      <c r="E58" s="1516" t="s">
        <v>1761</v>
      </c>
      <c r="F58" s="1516" t="s">
        <v>164</v>
      </c>
      <c r="G58" s="1517">
        <v>41148</v>
      </c>
      <c r="H58" s="482"/>
      <c r="I58" s="1516" t="s">
        <v>1041</v>
      </c>
      <c r="J58" s="1516" t="s">
        <v>138</v>
      </c>
      <c r="K58" s="1515">
        <v>1782</v>
      </c>
      <c r="L58" s="1516" t="s">
        <v>1762</v>
      </c>
      <c r="M58" s="1516" t="s">
        <v>1678</v>
      </c>
    </row>
    <row r="59" spans="4:13" ht="30" hidden="1">
      <c r="D59" s="1515">
        <v>386</v>
      </c>
      <c r="E59" s="1516" t="s">
        <v>1763</v>
      </c>
      <c r="F59" s="1516" t="s">
        <v>1764</v>
      </c>
      <c r="G59" s="1517">
        <v>41039</v>
      </c>
      <c r="H59" s="482"/>
      <c r="I59" s="1516" t="s">
        <v>1041</v>
      </c>
      <c r="J59" s="1516" t="s">
        <v>138</v>
      </c>
      <c r="K59" s="1515">
        <v>1783</v>
      </c>
      <c r="L59" s="1516" t="s">
        <v>1765</v>
      </c>
      <c r="M59" s="1516" t="s">
        <v>1678</v>
      </c>
    </row>
    <row r="60" spans="4:13" ht="45" hidden="1">
      <c r="D60" s="1515">
        <v>390</v>
      </c>
      <c r="E60" s="1516" t="s">
        <v>1766</v>
      </c>
      <c r="F60" s="1516" t="s">
        <v>312</v>
      </c>
      <c r="G60" s="1517">
        <v>41094</v>
      </c>
      <c r="H60" s="482"/>
      <c r="I60" s="1516" t="s">
        <v>1041</v>
      </c>
      <c r="J60" s="1516" t="s">
        <v>138</v>
      </c>
      <c r="K60" s="1515">
        <v>1787</v>
      </c>
      <c r="L60" s="1516" t="s">
        <v>1767</v>
      </c>
      <c r="M60" s="1516" t="s">
        <v>1678</v>
      </c>
    </row>
    <row r="61" spans="4:13" ht="30" hidden="1">
      <c r="D61" s="1515">
        <v>391</v>
      </c>
      <c r="E61" s="1516" t="s">
        <v>1768</v>
      </c>
      <c r="F61" s="1516" t="s">
        <v>288</v>
      </c>
      <c r="G61" s="1517">
        <v>41205</v>
      </c>
      <c r="H61" s="482"/>
      <c r="I61" s="1516" t="s">
        <v>1041</v>
      </c>
      <c r="J61" s="1516" t="s">
        <v>138</v>
      </c>
      <c r="K61" s="1515">
        <v>1788</v>
      </c>
      <c r="L61" s="1516" t="s">
        <v>1769</v>
      </c>
      <c r="M61" s="1516" t="s">
        <v>1678</v>
      </c>
    </row>
    <row r="62" spans="4:13" ht="30" hidden="1">
      <c r="D62" s="1515">
        <v>396</v>
      </c>
      <c r="E62" s="1516" t="s">
        <v>1770</v>
      </c>
      <c r="F62" s="1516" t="s">
        <v>1771</v>
      </c>
      <c r="G62" s="1517">
        <v>41018</v>
      </c>
      <c r="H62" s="482"/>
      <c r="I62" s="1516" t="s">
        <v>1041</v>
      </c>
      <c r="J62" s="1516" t="s">
        <v>138</v>
      </c>
      <c r="K62" s="1515">
        <v>1792</v>
      </c>
      <c r="L62" s="1516" t="s">
        <v>1772</v>
      </c>
      <c r="M62" s="1516" t="s">
        <v>1678</v>
      </c>
    </row>
    <row r="63" spans="4:13" ht="15" hidden="1">
      <c r="D63" s="1515">
        <v>397</v>
      </c>
      <c r="E63" s="1516" t="s">
        <v>1773</v>
      </c>
      <c r="F63" s="1516" t="s">
        <v>206</v>
      </c>
      <c r="G63" s="1517">
        <v>41079</v>
      </c>
      <c r="H63" s="1518">
        <v>39922</v>
      </c>
      <c r="I63" s="1516" t="s">
        <v>1041</v>
      </c>
      <c r="J63" s="1516" t="s">
        <v>138</v>
      </c>
      <c r="K63" s="1515">
        <v>1793</v>
      </c>
      <c r="L63" s="1516" t="s">
        <v>1774</v>
      </c>
      <c r="M63" s="1516" t="s">
        <v>1678</v>
      </c>
    </row>
    <row r="64" spans="4:13" ht="30" hidden="1">
      <c r="D64" s="1515">
        <v>398</v>
      </c>
      <c r="E64" s="1516" t="s">
        <v>1775</v>
      </c>
      <c r="F64" s="1516" t="s">
        <v>167</v>
      </c>
      <c r="G64" s="1517">
        <v>41112</v>
      </c>
      <c r="H64" s="1518">
        <v>41089</v>
      </c>
      <c r="I64" s="1516" t="s">
        <v>1041</v>
      </c>
      <c r="J64" s="1516" t="s">
        <v>1698</v>
      </c>
      <c r="K64" s="1515">
        <v>1794</v>
      </c>
      <c r="L64" s="1516" t="s">
        <v>1776</v>
      </c>
      <c r="M64" s="1516" t="s">
        <v>1678</v>
      </c>
    </row>
    <row r="65" spans="4:13" ht="30" hidden="1">
      <c r="D65" s="1515">
        <v>399</v>
      </c>
      <c r="E65" s="1516" t="s">
        <v>1777</v>
      </c>
      <c r="F65" s="1516" t="s">
        <v>168</v>
      </c>
      <c r="G65" s="1517">
        <v>41112</v>
      </c>
      <c r="H65" s="1518">
        <v>41089</v>
      </c>
      <c r="I65" s="1516" t="s">
        <v>1041</v>
      </c>
      <c r="J65" s="1516" t="s">
        <v>1698</v>
      </c>
      <c r="K65" s="1515">
        <v>1795</v>
      </c>
      <c r="L65" s="1516" t="s">
        <v>1778</v>
      </c>
      <c r="M65" s="1516" t="s">
        <v>1678</v>
      </c>
    </row>
    <row r="66" spans="4:13" ht="30" hidden="1">
      <c r="D66" s="1515">
        <v>400</v>
      </c>
      <c r="E66" s="1516" t="s">
        <v>1779</v>
      </c>
      <c r="F66" s="1516" t="s">
        <v>169</v>
      </c>
      <c r="G66" s="1517">
        <v>41051</v>
      </c>
      <c r="H66" s="1518">
        <v>41018</v>
      </c>
      <c r="I66" s="1516" t="s">
        <v>1041</v>
      </c>
      <c r="J66" s="1516" t="s">
        <v>1698</v>
      </c>
      <c r="K66" s="1515">
        <v>1796</v>
      </c>
      <c r="L66" s="1516" t="s">
        <v>1780</v>
      </c>
      <c r="M66" s="1516" t="s">
        <v>1678</v>
      </c>
    </row>
    <row r="67" spans="4:13" ht="30" hidden="1">
      <c r="D67" s="1515">
        <v>401</v>
      </c>
      <c r="E67" s="1516" t="s">
        <v>1781</v>
      </c>
      <c r="F67" s="1516" t="s">
        <v>170</v>
      </c>
      <c r="G67" s="1517">
        <v>41112</v>
      </c>
      <c r="H67" s="1518">
        <v>41089</v>
      </c>
      <c r="I67" s="1516" t="s">
        <v>1041</v>
      </c>
      <c r="J67" s="1516" t="s">
        <v>1698</v>
      </c>
      <c r="K67" s="1515">
        <v>1797</v>
      </c>
      <c r="L67" s="1516" t="s">
        <v>1782</v>
      </c>
      <c r="M67" s="1516" t="s">
        <v>1678</v>
      </c>
    </row>
    <row r="68" spans="4:13" ht="30" hidden="1">
      <c r="D68" s="1515">
        <v>404</v>
      </c>
      <c r="E68" s="1516" t="s">
        <v>1783</v>
      </c>
      <c r="F68" s="1516" t="s">
        <v>171</v>
      </c>
      <c r="G68" s="1517">
        <v>41007</v>
      </c>
      <c r="H68" s="482"/>
      <c r="I68" s="1516" t="s">
        <v>1041</v>
      </c>
      <c r="J68" s="1516" t="s">
        <v>138</v>
      </c>
      <c r="K68" s="1515">
        <v>1800</v>
      </c>
      <c r="L68" s="1516" t="s">
        <v>1784</v>
      </c>
      <c r="M68" s="1516" t="s">
        <v>1678</v>
      </c>
    </row>
    <row r="69" spans="4:13" ht="30" hidden="1">
      <c r="D69" s="1515">
        <v>405</v>
      </c>
      <c r="E69" s="1516" t="s">
        <v>1785</v>
      </c>
      <c r="F69" s="1516" t="s">
        <v>173</v>
      </c>
      <c r="G69" s="1517">
        <v>41007</v>
      </c>
      <c r="H69" s="482"/>
      <c r="I69" s="1516" t="s">
        <v>1041</v>
      </c>
      <c r="J69" s="1516" t="s">
        <v>138</v>
      </c>
      <c r="K69" s="1515">
        <v>1802</v>
      </c>
      <c r="L69" s="1516" t="s">
        <v>1786</v>
      </c>
      <c r="M69" s="1516" t="s">
        <v>1678</v>
      </c>
    </row>
    <row r="70" spans="4:13" ht="30">
      <c r="D70" s="1515">
        <v>598</v>
      </c>
      <c r="E70" s="1516" t="s">
        <v>1787</v>
      </c>
      <c r="F70" s="1516" t="s">
        <v>1788</v>
      </c>
      <c r="G70" s="1517">
        <v>41485</v>
      </c>
      <c r="H70" s="482"/>
      <c r="I70" s="1516" t="s">
        <v>1041</v>
      </c>
      <c r="J70" s="1516" t="s">
        <v>1698</v>
      </c>
      <c r="K70" s="1515">
        <v>1855</v>
      </c>
      <c r="L70" s="1516" t="s">
        <v>1789</v>
      </c>
      <c r="M70" s="1516" t="s">
        <v>1255</v>
      </c>
    </row>
    <row r="71" spans="4:13" ht="30">
      <c r="D71" s="1515">
        <v>2351</v>
      </c>
      <c r="E71" s="1516" t="s">
        <v>1790</v>
      </c>
      <c r="F71" s="1516" t="s">
        <v>465</v>
      </c>
      <c r="G71" s="1517">
        <v>41485</v>
      </c>
      <c r="H71" s="482"/>
      <c r="I71" s="1516" t="s">
        <v>1041</v>
      </c>
      <c r="J71" s="1516" t="s">
        <v>1698</v>
      </c>
      <c r="K71" s="1515">
        <v>2062</v>
      </c>
      <c r="L71" s="1516" t="s">
        <v>1791</v>
      </c>
      <c r="M71" s="1516" t="s">
        <v>1255</v>
      </c>
    </row>
    <row r="72" spans="4:13" ht="45">
      <c r="D72" s="1515">
        <v>2381</v>
      </c>
      <c r="E72" s="1516" t="s">
        <v>1792</v>
      </c>
      <c r="F72" s="1516" t="s">
        <v>437</v>
      </c>
      <c r="G72" s="1517">
        <v>41485</v>
      </c>
      <c r="H72" s="482"/>
      <c r="I72" s="1516" t="s">
        <v>1041</v>
      </c>
      <c r="J72" s="1516" t="s">
        <v>1698</v>
      </c>
      <c r="K72" s="1515">
        <v>2066</v>
      </c>
      <c r="L72" s="1516" t="s">
        <v>1793</v>
      </c>
      <c r="M72" s="1516" t="s">
        <v>1255</v>
      </c>
    </row>
    <row r="73" spans="4:13" ht="30" hidden="1">
      <c r="D73" s="1515">
        <v>2513</v>
      </c>
      <c r="E73" s="1516" t="s">
        <v>1794</v>
      </c>
      <c r="F73" s="1516" t="s">
        <v>1795</v>
      </c>
      <c r="G73" s="1517">
        <v>40909</v>
      </c>
      <c r="H73" s="482"/>
      <c r="I73" s="1516" t="s">
        <v>1041</v>
      </c>
      <c r="J73" s="1516" t="s">
        <v>138</v>
      </c>
      <c r="K73" s="1515">
        <v>2076</v>
      </c>
      <c r="L73" s="1516" t="s">
        <v>138</v>
      </c>
      <c r="M73" s="1516" t="s">
        <v>138</v>
      </c>
    </row>
    <row r="74" spans="4:13" ht="45">
      <c r="D74" s="1515">
        <v>2763</v>
      </c>
      <c r="E74" s="1516" t="s">
        <v>1796</v>
      </c>
      <c r="F74" s="1516" t="s">
        <v>175</v>
      </c>
      <c r="G74" s="1517">
        <v>41485</v>
      </c>
      <c r="H74" s="482"/>
      <c r="I74" s="1516" t="s">
        <v>1041</v>
      </c>
      <c r="J74" s="1516" t="s">
        <v>1698</v>
      </c>
      <c r="K74" s="1515">
        <v>2111</v>
      </c>
      <c r="L74" s="1516" t="s">
        <v>1797</v>
      </c>
      <c r="M74" s="1516" t="s">
        <v>1255</v>
      </c>
    </row>
    <row r="75" spans="4:13" ht="45">
      <c r="D75" s="1515">
        <v>2783</v>
      </c>
      <c r="E75" s="1516" t="s">
        <v>1798</v>
      </c>
      <c r="F75" s="1516" t="s">
        <v>476</v>
      </c>
      <c r="G75" s="1517">
        <v>41485</v>
      </c>
      <c r="H75" s="482"/>
      <c r="I75" s="1516" t="s">
        <v>1041</v>
      </c>
      <c r="J75" s="1516" t="s">
        <v>1698</v>
      </c>
      <c r="K75" s="1515">
        <v>2114</v>
      </c>
      <c r="L75" s="1516" t="s">
        <v>1799</v>
      </c>
      <c r="M75" s="1516" t="s">
        <v>1255</v>
      </c>
    </row>
    <row r="76" spans="4:13" ht="15" hidden="1">
      <c r="D76" s="1515">
        <v>2866</v>
      </c>
      <c r="E76" s="1516" t="s">
        <v>1800</v>
      </c>
      <c r="F76" s="1516" t="s">
        <v>177</v>
      </c>
      <c r="G76" s="1517">
        <v>41084</v>
      </c>
      <c r="H76" s="482"/>
      <c r="I76" s="1516" t="s">
        <v>1041</v>
      </c>
      <c r="J76" s="1516" t="s">
        <v>138</v>
      </c>
      <c r="K76" s="1515">
        <v>2126</v>
      </c>
      <c r="L76" s="1516" t="s">
        <v>1801</v>
      </c>
      <c r="M76" s="1516" t="s">
        <v>1678</v>
      </c>
    </row>
    <row r="77" spans="4:13" ht="30" hidden="1">
      <c r="D77" s="1515">
        <v>2904</v>
      </c>
      <c r="E77" s="1516" t="s">
        <v>1802</v>
      </c>
      <c r="F77" s="1516" t="s">
        <v>1803</v>
      </c>
      <c r="G77" s="1517">
        <v>41150</v>
      </c>
      <c r="H77" s="1518">
        <v>41135</v>
      </c>
      <c r="I77" s="1516" t="s">
        <v>1041</v>
      </c>
      <c r="J77" s="1516" t="s">
        <v>1698</v>
      </c>
      <c r="K77" s="1515">
        <v>2134</v>
      </c>
      <c r="L77" s="1516" t="s">
        <v>1804</v>
      </c>
      <c r="M77" s="1516" t="s">
        <v>1678</v>
      </c>
    </row>
    <row r="78" spans="4:13" ht="30" hidden="1">
      <c r="D78" s="1515">
        <v>2937</v>
      </c>
      <c r="E78" s="1516" t="s">
        <v>1805</v>
      </c>
      <c r="F78" s="1516" t="s">
        <v>178</v>
      </c>
      <c r="G78" s="1517">
        <v>41205</v>
      </c>
      <c r="H78" s="482"/>
      <c r="I78" s="1516" t="s">
        <v>1041</v>
      </c>
      <c r="J78" s="1516" t="s">
        <v>138</v>
      </c>
      <c r="K78" s="1515">
        <v>2141</v>
      </c>
      <c r="L78" s="1516" t="s">
        <v>1806</v>
      </c>
      <c r="M78" s="1516" t="s">
        <v>1678</v>
      </c>
    </row>
    <row r="79" spans="4:13" ht="30">
      <c r="D79" s="1515">
        <v>3223</v>
      </c>
      <c r="E79" s="1516" t="s">
        <v>1807</v>
      </c>
      <c r="F79" s="1516" t="s">
        <v>449</v>
      </c>
      <c r="G79" s="1517">
        <v>41423</v>
      </c>
      <c r="H79" s="482"/>
      <c r="I79" s="1516" t="s">
        <v>1041</v>
      </c>
      <c r="J79" s="1516" t="s">
        <v>1698</v>
      </c>
      <c r="K79" s="1515">
        <v>2193</v>
      </c>
      <c r="L79" s="1516" t="s">
        <v>1808</v>
      </c>
      <c r="M79" s="1516" t="s">
        <v>1255</v>
      </c>
    </row>
    <row r="80" spans="4:13" ht="45">
      <c r="D80" s="1515">
        <v>3627</v>
      </c>
      <c r="E80" s="1516" t="s">
        <v>1809</v>
      </c>
      <c r="F80" s="1516" t="s">
        <v>460</v>
      </c>
      <c r="G80" s="1517">
        <v>41485</v>
      </c>
      <c r="H80" s="482"/>
      <c r="I80" s="1516" t="s">
        <v>1041</v>
      </c>
      <c r="J80" s="1516" t="s">
        <v>1698</v>
      </c>
      <c r="K80" s="1515">
        <v>2215</v>
      </c>
      <c r="L80" s="1516" t="s">
        <v>1810</v>
      </c>
      <c r="M80" s="1516" t="s">
        <v>1255</v>
      </c>
    </row>
    <row r="81" spans="4:13" ht="45">
      <c r="D81" s="1515">
        <v>4248</v>
      </c>
      <c r="E81" s="1516" t="s">
        <v>1811</v>
      </c>
      <c r="F81" s="1516" t="s">
        <v>1812</v>
      </c>
      <c r="G81" s="1517">
        <v>41485</v>
      </c>
      <c r="H81" s="482"/>
      <c r="I81" s="1516" t="s">
        <v>1041</v>
      </c>
      <c r="J81" s="1516" t="s">
        <v>1698</v>
      </c>
      <c r="K81" s="1515">
        <v>2245</v>
      </c>
      <c r="L81" s="1516" t="s">
        <v>1813</v>
      </c>
      <c r="M81" s="1516" t="s">
        <v>1255</v>
      </c>
    </row>
    <row r="82" spans="4:13" ht="105" hidden="1">
      <c r="D82" s="1515">
        <v>4950</v>
      </c>
      <c r="E82" s="1516" t="s">
        <v>1814</v>
      </c>
      <c r="F82" s="1516" t="s">
        <v>179</v>
      </c>
      <c r="G82" s="1517">
        <v>41057</v>
      </c>
      <c r="H82" s="1518">
        <v>41007</v>
      </c>
      <c r="I82" s="1516" t="s">
        <v>1041</v>
      </c>
      <c r="J82" s="1516" t="s">
        <v>138</v>
      </c>
      <c r="K82" s="1515">
        <v>2285</v>
      </c>
      <c r="L82" s="1516" t="s">
        <v>1815</v>
      </c>
      <c r="M82" s="1516" t="s">
        <v>1678</v>
      </c>
    </row>
    <row r="83" spans="4:13" ht="15" hidden="1">
      <c r="D83" s="1515">
        <v>5160</v>
      </c>
      <c r="E83" s="1516" t="s">
        <v>1816</v>
      </c>
      <c r="F83" s="1516" t="s">
        <v>181</v>
      </c>
      <c r="G83" s="1517">
        <v>41204</v>
      </c>
      <c r="H83" s="1518">
        <v>41147</v>
      </c>
      <c r="I83" s="1516" t="s">
        <v>1041</v>
      </c>
      <c r="J83" s="1516" t="s">
        <v>138</v>
      </c>
      <c r="K83" s="1515">
        <v>2313</v>
      </c>
      <c r="L83" s="1516" t="s">
        <v>1817</v>
      </c>
      <c r="M83" s="1516" t="s">
        <v>1678</v>
      </c>
    </row>
    <row r="84" spans="4:13" ht="30" hidden="1">
      <c r="D84" s="1515">
        <v>5216</v>
      </c>
      <c r="E84" s="1516" t="s">
        <v>1818</v>
      </c>
      <c r="F84" s="1516" t="s">
        <v>1819</v>
      </c>
      <c r="G84" s="1517">
        <v>41039</v>
      </c>
      <c r="H84" s="482"/>
      <c r="I84" s="1516" t="s">
        <v>1041</v>
      </c>
      <c r="J84" s="1516" t="s">
        <v>138</v>
      </c>
      <c r="K84" s="1515">
        <v>2330</v>
      </c>
      <c r="L84" s="1516" t="s">
        <v>1820</v>
      </c>
      <c r="M84" s="1516" t="s">
        <v>1678</v>
      </c>
    </row>
    <row r="85" spans="4:13" ht="30" hidden="1">
      <c r="D85" s="1515">
        <v>5217</v>
      </c>
      <c r="E85" s="1516" t="s">
        <v>1821</v>
      </c>
      <c r="F85" s="1516" t="s">
        <v>1822</v>
      </c>
      <c r="G85" s="1517">
        <v>41039</v>
      </c>
      <c r="H85" s="482"/>
      <c r="I85" s="1516" t="s">
        <v>1041</v>
      </c>
      <c r="J85" s="1516" t="s">
        <v>138</v>
      </c>
      <c r="K85" s="1515">
        <v>2331</v>
      </c>
      <c r="L85" s="1516" t="s">
        <v>1823</v>
      </c>
      <c r="M85" s="1516" t="s">
        <v>1678</v>
      </c>
    </row>
    <row r="86" spans="4:13" ht="45">
      <c r="D86" s="1515">
        <v>5274</v>
      </c>
      <c r="E86" s="1516" t="s">
        <v>1824</v>
      </c>
      <c r="F86" s="1516" t="s">
        <v>182</v>
      </c>
      <c r="G86" s="1517">
        <v>41393</v>
      </c>
      <c r="H86" s="482"/>
      <c r="I86" s="1516" t="s">
        <v>1041</v>
      </c>
      <c r="J86" s="1516" t="s">
        <v>1698</v>
      </c>
      <c r="K86" s="1515">
        <v>2339</v>
      </c>
      <c r="L86" s="1516" t="s">
        <v>1825</v>
      </c>
      <c r="M86" s="1516" t="s">
        <v>1255</v>
      </c>
    </row>
    <row r="87" spans="4:13" ht="45">
      <c r="D87" s="1515">
        <v>5351</v>
      </c>
      <c r="E87" s="1516" t="s">
        <v>1826</v>
      </c>
      <c r="F87" s="1516" t="s">
        <v>184</v>
      </c>
      <c r="G87" s="1517">
        <v>41212</v>
      </c>
      <c r="H87" s="482"/>
      <c r="I87" s="1516" t="s">
        <v>1041</v>
      </c>
      <c r="J87" s="1516" t="s">
        <v>1698</v>
      </c>
      <c r="K87" s="1515">
        <v>2340</v>
      </c>
      <c r="L87" s="1516" t="s">
        <v>1827</v>
      </c>
      <c r="M87" s="1516" t="s">
        <v>1255</v>
      </c>
    </row>
    <row r="88" spans="4:13" ht="60">
      <c r="D88" s="1515">
        <v>5352</v>
      </c>
      <c r="E88" s="1516" t="s">
        <v>1828</v>
      </c>
      <c r="F88" s="1516" t="s">
        <v>372</v>
      </c>
      <c r="G88" s="1517">
        <v>41182</v>
      </c>
      <c r="H88" s="482"/>
      <c r="I88" s="1516" t="s">
        <v>1041</v>
      </c>
      <c r="J88" s="1516" t="s">
        <v>1698</v>
      </c>
      <c r="K88" s="1515">
        <v>2341</v>
      </c>
      <c r="L88" s="1516" t="s">
        <v>1829</v>
      </c>
      <c r="M88" s="1516" t="s">
        <v>1255</v>
      </c>
    </row>
    <row r="89" spans="4:13" ht="45">
      <c r="D89" s="1515">
        <v>5353</v>
      </c>
      <c r="E89" s="1516" t="s">
        <v>1830</v>
      </c>
      <c r="F89" s="1516" t="s">
        <v>185</v>
      </c>
      <c r="G89" s="1517">
        <v>41182</v>
      </c>
      <c r="H89" s="482"/>
      <c r="I89" s="1516" t="s">
        <v>1041</v>
      </c>
      <c r="J89" s="1516" t="s">
        <v>1698</v>
      </c>
      <c r="K89" s="1515">
        <v>2342</v>
      </c>
      <c r="L89" s="1516" t="s">
        <v>1831</v>
      </c>
      <c r="M89" s="1516" t="s">
        <v>1255</v>
      </c>
    </row>
    <row r="90" spans="4:13" ht="30">
      <c r="D90" s="1515">
        <v>5355</v>
      </c>
      <c r="E90" s="1516" t="s">
        <v>1832</v>
      </c>
      <c r="F90" s="1516" t="s">
        <v>383</v>
      </c>
      <c r="G90" s="1517">
        <v>41182</v>
      </c>
      <c r="H90" s="482"/>
      <c r="I90" s="1516" t="s">
        <v>1041</v>
      </c>
      <c r="J90" s="1516" t="s">
        <v>1698</v>
      </c>
      <c r="K90" s="1515">
        <v>2343</v>
      </c>
      <c r="L90" s="1516" t="s">
        <v>1833</v>
      </c>
      <c r="M90" s="1516" t="s">
        <v>1255</v>
      </c>
    </row>
    <row r="91" spans="4:13" ht="30">
      <c r="D91" s="1515">
        <v>5363</v>
      </c>
      <c r="E91" s="1516" t="s">
        <v>1834</v>
      </c>
      <c r="F91" s="1516" t="s">
        <v>390</v>
      </c>
      <c r="G91" s="1517">
        <v>41182</v>
      </c>
      <c r="H91" s="482"/>
      <c r="I91" s="1516" t="s">
        <v>1041</v>
      </c>
      <c r="J91" s="1516" t="s">
        <v>1698</v>
      </c>
      <c r="K91" s="1515">
        <v>2344</v>
      </c>
      <c r="L91" s="1516" t="s">
        <v>1835</v>
      </c>
      <c r="M91" s="1516" t="s">
        <v>1255</v>
      </c>
    </row>
    <row r="92" spans="4:13" ht="30">
      <c r="D92" s="1515">
        <v>5364</v>
      </c>
      <c r="E92" s="1516" t="s">
        <v>1836</v>
      </c>
      <c r="F92" s="1516" t="s">
        <v>395</v>
      </c>
      <c r="G92" s="1517">
        <v>41182</v>
      </c>
      <c r="H92" s="482"/>
      <c r="I92" s="1516" t="s">
        <v>1041</v>
      </c>
      <c r="J92" s="1516" t="s">
        <v>1698</v>
      </c>
      <c r="K92" s="1515">
        <v>2345</v>
      </c>
      <c r="L92" s="1516" t="s">
        <v>1837</v>
      </c>
      <c r="M92" s="1516" t="s">
        <v>1255</v>
      </c>
    </row>
    <row r="93" spans="4:13" ht="30">
      <c r="D93" s="1515">
        <v>5365</v>
      </c>
      <c r="E93" s="1516" t="s">
        <v>1838</v>
      </c>
      <c r="F93" s="1516" t="s">
        <v>401</v>
      </c>
      <c r="G93" s="1517">
        <v>41182</v>
      </c>
      <c r="H93" s="482"/>
      <c r="I93" s="1516" t="s">
        <v>1041</v>
      </c>
      <c r="J93" s="1516" t="s">
        <v>1698</v>
      </c>
      <c r="K93" s="1515">
        <v>2346</v>
      </c>
      <c r="L93" s="1516" t="s">
        <v>1839</v>
      </c>
      <c r="M93" s="1516" t="s">
        <v>1255</v>
      </c>
    </row>
    <row r="94" spans="4:13" ht="45">
      <c r="D94" s="1515">
        <v>5366</v>
      </c>
      <c r="E94" s="1516" t="s">
        <v>1840</v>
      </c>
      <c r="F94" s="1516" t="s">
        <v>187</v>
      </c>
      <c r="G94" s="1517">
        <v>41182</v>
      </c>
      <c r="H94" s="482"/>
      <c r="I94" s="1516" t="s">
        <v>1041</v>
      </c>
      <c r="J94" s="1516" t="s">
        <v>1698</v>
      </c>
      <c r="K94" s="1515">
        <v>2347</v>
      </c>
      <c r="L94" s="1516" t="s">
        <v>1841</v>
      </c>
      <c r="M94" s="1516" t="s">
        <v>1255</v>
      </c>
    </row>
    <row r="95" spans="4:13" ht="30">
      <c r="D95" s="1515">
        <v>5367</v>
      </c>
      <c r="E95" s="1516" t="s">
        <v>1842</v>
      </c>
      <c r="F95" s="1516" t="s">
        <v>9</v>
      </c>
      <c r="G95" s="1517">
        <v>40899</v>
      </c>
      <c r="H95" s="482"/>
      <c r="I95" s="1516" t="s">
        <v>1041</v>
      </c>
      <c r="J95" s="1516" t="s">
        <v>1698</v>
      </c>
      <c r="K95" s="1515">
        <v>2348</v>
      </c>
      <c r="L95" s="1516" t="s">
        <v>1843</v>
      </c>
      <c r="M95" s="1516" t="s">
        <v>1255</v>
      </c>
    </row>
    <row r="96" spans="4:13" ht="30">
      <c r="D96" s="1515">
        <v>5368</v>
      </c>
      <c r="E96" s="1516" t="s">
        <v>1844</v>
      </c>
      <c r="F96" s="1516" t="s">
        <v>406</v>
      </c>
      <c r="G96" s="1517">
        <v>41182</v>
      </c>
      <c r="H96" s="482"/>
      <c r="I96" s="1516" t="s">
        <v>1041</v>
      </c>
      <c r="J96" s="1516" t="s">
        <v>1698</v>
      </c>
      <c r="K96" s="1515">
        <v>2349</v>
      </c>
      <c r="L96" s="1516" t="s">
        <v>1845</v>
      </c>
      <c r="M96" s="1516" t="s">
        <v>1255</v>
      </c>
    </row>
    <row r="97" spans="4:13" ht="30">
      <c r="D97" s="1515">
        <v>5369</v>
      </c>
      <c r="E97" s="1516" t="s">
        <v>1846</v>
      </c>
      <c r="F97" s="1516" t="s">
        <v>411</v>
      </c>
      <c r="G97" s="1517">
        <v>41182</v>
      </c>
      <c r="H97" s="482"/>
      <c r="I97" s="1516" t="s">
        <v>1041</v>
      </c>
      <c r="J97" s="1516" t="s">
        <v>1698</v>
      </c>
      <c r="K97" s="1515">
        <v>2350</v>
      </c>
      <c r="L97" s="1516" t="s">
        <v>1847</v>
      </c>
      <c r="M97" s="1516" t="s">
        <v>1255</v>
      </c>
    </row>
    <row r="98" spans="4:13" ht="30">
      <c r="D98" s="1515">
        <v>5370</v>
      </c>
      <c r="E98" s="1516" t="s">
        <v>1848</v>
      </c>
      <c r="F98" s="1516" t="s">
        <v>188</v>
      </c>
      <c r="G98" s="1517">
        <v>41182</v>
      </c>
      <c r="H98" s="482"/>
      <c r="I98" s="1516" t="s">
        <v>1041</v>
      </c>
      <c r="J98" s="1516" t="s">
        <v>1698</v>
      </c>
      <c r="K98" s="1515">
        <v>2351</v>
      </c>
      <c r="L98" s="1516" t="s">
        <v>1849</v>
      </c>
      <c r="M98" s="1516" t="s">
        <v>1255</v>
      </c>
    </row>
    <row r="99" spans="4:13" ht="30">
      <c r="D99" s="1515">
        <v>5371</v>
      </c>
      <c r="E99" s="1516" t="s">
        <v>1850</v>
      </c>
      <c r="F99" s="1516" t="s">
        <v>420</v>
      </c>
      <c r="G99" s="1517">
        <v>41182</v>
      </c>
      <c r="H99" s="482"/>
      <c r="I99" s="1516" t="s">
        <v>1041</v>
      </c>
      <c r="J99" s="1516" t="s">
        <v>1698</v>
      </c>
      <c r="K99" s="1515">
        <v>2352</v>
      </c>
      <c r="L99" s="1516" t="s">
        <v>1851</v>
      </c>
      <c r="M99" s="1516" t="s">
        <v>1255</v>
      </c>
    </row>
    <row r="100" spans="4:13" ht="30">
      <c r="D100" s="1515">
        <v>5373</v>
      </c>
      <c r="E100" s="1516" t="s">
        <v>1852</v>
      </c>
      <c r="F100" s="1516" t="s">
        <v>427</v>
      </c>
      <c r="G100" s="1517">
        <v>41182</v>
      </c>
      <c r="H100" s="482"/>
      <c r="I100" s="1516" t="s">
        <v>1041</v>
      </c>
      <c r="J100" s="1516" t="s">
        <v>1698</v>
      </c>
      <c r="K100" s="1515">
        <v>2353</v>
      </c>
      <c r="L100" s="1516" t="s">
        <v>1853</v>
      </c>
      <c r="M100" s="1516" t="s">
        <v>1255</v>
      </c>
    </row>
    <row r="101" spans="4:13" ht="45">
      <c r="D101" s="1515">
        <v>5377</v>
      </c>
      <c r="E101" s="1516" t="s">
        <v>1854</v>
      </c>
      <c r="F101" s="1516" t="s">
        <v>371</v>
      </c>
      <c r="G101" s="1517">
        <v>41393</v>
      </c>
      <c r="H101" s="482"/>
      <c r="I101" s="1516" t="s">
        <v>1041</v>
      </c>
      <c r="J101" s="1516" t="s">
        <v>1698</v>
      </c>
      <c r="K101" s="1515">
        <v>2355</v>
      </c>
      <c r="L101" s="1516" t="s">
        <v>1855</v>
      </c>
      <c r="M101" s="1516" t="s">
        <v>1255</v>
      </c>
    </row>
    <row r="102" spans="4:13" ht="45">
      <c r="D102" s="1515">
        <v>5378</v>
      </c>
      <c r="E102" s="1516" t="s">
        <v>1856</v>
      </c>
      <c r="F102" s="1516" t="s">
        <v>302</v>
      </c>
      <c r="G102" s="1517">
        <v>41393</v>
      </c>
      <c r="H102" s="482"/>
      <c r="I102" s="1516" t="s">
        <v>1041</v>
      </c>
      <c r="J102" s="1516" t="s">
        <v>1698</v>
      </c>
      <c r="K102" s="1515">
        <v>2356</v>
      </c>
      <c r="L102" s="1516" t="s">
        <v>1857</v>
      </c>
      <c r="M102" s="1516" t="s">
        <v>1255</v>
      </c>
    </row>
    <row r="103" spans="4:13" ht="45">
      <c r="D103" s="1515">
        <v>5379</v>
      </c>
      <c r="E103" s="1516" t="s">
        <v>1858</v>
      </c>
      <c r="F103" s="1516" t="s">
        <v>339</v>
      </c>
      <c r="G103" s="1517">
        <v>41212</v>
      </c>
      <c r="H103" s="482"/>
      <c r="I103" s="1516" t="s">
        <v>1041</v>
      </c>
      <c r="J103" s="1516" t="s">
        <v>1698</v>
      </c>
      <c r="K103" s="1515">
        <v>2357</v>
      </c>
      <c r="L103" s="1516" t="s">
        <v>1859</v>
      </c>
      <c r="M103" s="1516" t="s">
        <v>1255</v>
      </c>
    </row>
    <row r="104" spans="4:13" ht="45">
      <c r="D104" s="1515">
        <v>5381</v>
      </c>
      <c r="E104" s="1516" t="s">
        <v>1860</v>
      </c>
      <c r="F104" s="1516" t="s">
        <v>279</v>
      </c>
      <c r="G104" s="1517">
        <v>41152</v>
      </c>
      <c r="H104" s="482"/>
      <c r="I104" s="1516" t="s">
        <v>1041</v>
      </c>
      <c r="J104" s="1516" t="s">
        <v>1698</v>
      </c>
      <c r="K104" s="1515">
        <v>2358</v>
      </c>
      <c r="L104" s="1516" t="s">
        <v>1861</v>
      </c>
      <c r="M104" s="1516" t="s">
        <v>1255</v>
      </c>
    </row>
    <row r="105" spans="4:13" ht="45">
      <c r="D105" s="1515">
        <v>5382</v>
      </c>
      <c r="E105" s="1516" t="s">
        <v>1862</v>
      </c>
      <c r="F105" s="1516" t="s">
        <v>308</v>
      </c>
      <c r="G105" s="1517">
        <v>41101</v>
      </c>
      <c r="H105" s="482"/>
      <c r="I105" s="1516" t="s">
        <v>1041</v>
      </c>
      <c r="J105" s="1516" t="s">
        <v>1698</v>
      </c>
      <c r="K105" s="1515">
        <v>2359</v>
      </c>
      <c r="L105" s="1516" t="s">
        <v>1863</v>
      </c>
      <c r="M105" s="1516" t="s">
        <v>1255</v>
      </c>
    </row>
    <row r="106" spans="4:13" ht="45">
      <c r="D106" s="1515">
        <v>5384</v>
      </c>
      <c r="E106" s="1516" t="s">
        <v>1864</v>
      </c>
      <c r="F106" s="1516" t="s">
        <v>328</v>
      </c>
      <c r="G106" s="1517">
        <v>41423</v>
      </c>
      <c r="H106" s="482"/>
      <c r="I106" s="1516" t="s">
        <v>1041</v>
      </c>
      <c r="J106" s="1516" t="s">
        <v>1698</v>
      </c>
      <c r="K106" s="1515">
        <v>2360</v>
      </c>
      <c r="L106" s="1516" t="s">
        <v>1865</v>
      </c>
      <c r="M106" s="1516" t="s">
        <v>1255</v>
      </c>
    </row>
    <row r="107" spans="4:13" ht="45">
      <c r="D107" s="1515">
        <v>5385</v>
      </c>
      <c r="E107" s="1516" t="s">
        <v>1866</v>
      </c>
      <c r="F107" s="1516" t="s">
        <v>333</v>
      </c>
      <c r="G107" s="1517">
        <v>41379</v>
      </c>
      <c r="H107" s="482"/>
      <c r="I107" s="1516" t="s">
        <v>1041</v>
      </c>
      <c r="J107" s="1516" t="s">
        <v>1698</v>
      </c>
      <c r="K107" s="1515">
        <v>2361</v>
      </c>
      <c r="L107" s="1516" t="s">
        <v>1867</v>
      </c>
      <c r="M107" s="1516" t="s">
        <v>1255</v>
      </c>
    </row>
    <row r="108" spans="4:13" ht="45">
      <c r="D108" s="1515">
        <v>5386</v>
      </c>
      <c r="E108" s="1516" t="s">
        <v>1868</v>
      </c>
      <c r="F108" s="1516" t="s">
        <v>296</v>
      </c>
      <c r="G108" s="1517">
        <v>41212</v>
      </c>
      <c r="H108" s="482"/>
      <c r="I108" s="1516" t="s">
        <v>1041</v>
      </c>
      <c r="J108" s="1516" t="s">
        <v>1698</v>
      </c>
      <c r="K108" s="1515">
        <v>2362</v>
      </c>
      <c r="L108" s="1516" t="s">
        <v>1869</v>
      </c>
      <c r="M108" s="1516" t="s">
        <v>1255</v>
      </c>
    </row>
    <row r="109" spans="4:13" ht="15" hidden="1">
      <c r="D109" s="1515">
        <v>5697</v>
      </c>
      <c r="E109" s="1516" t="s">
        <v>1870</v>
      </c>
      <c r="F109" s="1516" t="s">
        <v>190</v>
      </c>
      <c r="G109" s="1517">
        <v>41143</v>
      </c>
      <c r="H109" s="1518">
        <v>41128</v>
      </c>
      <c r="I109" s="1516" t="s">
        <v>1041</v>
      </c>
      <c r="J109" s="1516" t="s">
        <v>138</v>
      </c>
      <c r="K109" s="1515">
        <v>2382</v>
      </c>
      <c r="L109" s="1516" t="s">
        <v>1871</v>
      </c>
      <c r="M109" s="1516" t="s">
        <v>1678</v>
      </c>
    </row>
    <row r="110" spans="4:13" ht="30" hidden="1">
      <c r="D110" s="1515">
        <v>5707</v>
      </c>
      <c r="E110" s="1516" t="s">
        <v>1872</v>
      </c>
      <c r="F110" s="1516" t="s">
        <v>191</v>
      </c>
      <c r="G110" s="1517">
        <v>41235</v>
      </c>
      <c r="H110" s="1518">
        <v>41207</v>
      </c>
      <c r="I110" s="1516" t="s">
        <v>1041</v>
      </c>
      <c r="J110" s="1516" t="s">
        <v>138</v>
      </c>
      <c r="K110" s="1515">
        <v>2386</v>
      </c>
      <c r="L110" s="1516" t="s">
        <v>1873</v>
      </c>
      <c r="M110" s="1516" t="s">
        <v>1678</v>
      </c>
    </row>
    <row r="111" spans="4:13" ht="15" hidden="1">
      <c r="D111" s="1515">
        <v>6072</v>
      </c>
      <c r="E111" s="1516" t="s">
        <v>1874</v>
      </c>
      <c r="F111" s="1516" t="s">
        <v>1875</v>
      </c>
      <c r="G111" s="1517">
        <v>41204</v>
      </c>
      <c r="H111" s="1518">
        <v>41164</v>
      </c>
      <c r="I111" s="1516" t="s">
        <v>1041</v>
      </c>
      <c r="J111" s="1516" t="s">
        <v>138</v>
      </c>
      <c r="K111" s="1515">
        <v>2407</v>
      </c>
      <c r="L111" s="1516" t="s">
        <v>1876</v>
      </c>
      <c r="M111" s="1516" t="s">
        <v>1678</v>
      </c>
    </row>
    <row r="112" spans="4:13" ht="30" hidden="1">
      <c r="D112" s="1515">
        <v>6585</v>
      </c>
      <c r="E112" s="1516" t="s">
        <v>1877</v>
      </c>
      <c r="F112" s="1516" t="s">
        <v>193</v>
      </c>
      <c r="G112" s="1517">
        <v>41082</v>
      </c>
      <c r="H112" s="1518">
        <v>41078</v>
      </c>
      <c r="I112" s="1516" t="s">
        <v>1041</v>
      </c>
      <c r="J112" s="1516" t="s">
        <v>138</v>
      </c>
      <c r="K112" s="1515">
        <v>2444</v>
      </c>
      <c r="L112" s="1516" t="s">
        <v>1878</v>
      </c>
      <c r="M112" s="1516" t="s">
        <v>1678</v>
      </c>
    </row>
    <row r="113" spans="4:13" ht="30" hidden="1">
      <c r="D113" s="1515">
        <v>6587</v>
      </c>
      <c r="E113" s="1516" t="s">
        <v>1879</v>
      </c>
      <c r="F113" s="1516" t="s">
        <v>194</v>
      </c>
      <c r="G113" s="1517">
        <v>41021</v>
      </c>
      <c r="H113" s="482"/>
      <c r="I113" s="1516" t="s">
        <v>1041</v>
      </c>
      <c r="J113" s="1516" t="s">
        <v>138</v>
      </c>
      <c r="K113" s="1515">
        <v>2445</v>
      </c>
      <c r="L113" s="1516" t="s">
        <v>1880</v>
      </c>
      <c r="M113" s="1516" t="s">
        <v>1678</v>
      </c>
    </row>
    <row r="114" spans="4:13" ht="30" hidden="1">
      <c r="D114" s="1515">
        <v>6600</v>
      </c>
      <c r="E114" s="1516" t="s">
        <v>1881</v>
      </c>
      <c r="F114" s="1516" t="s">
        <v>195</v>
      </c>
      <c r="G114" s="1517">
        <v>41149</v>
      </c>
      <c r="H114" s="482"/>
      <c r="I114" s="1516" t="s">
        <v>1041</v>
      </c>
      <c r="J114" s="1516" t="s">
        <v>138</v>
      </c>
      <c r="K114" s="1515">
        <v>2452</v>
      </c>
      <c r="L114" s="1516" t="s">
        <v>1882</v>
      </c>
      <c r="M114" s="1516" t="s">
        <v>1678</v>
      </c>
    </row>
    <row r="115" spans="4:13" ht="60">
      <c r="D115" s="1515">
        <v>6609</v>
      </c>
      <c r="E115" s="1516" t="s">
        <v>1883</v>
      </c>
      <c r="F115" s="1516" t="s">
        <v>321</v>
      </c>
      <c r="G115" s="1517">
        <v>41411</v>
      </c>
      <c r="H115" s="482"/>
      <c r="I115" s="1516" t="s">
        <v>1041</v>
      </c>
      <c r="J115" s="1516" t="s">
        <v>1698</v>
      </c>
      <c r="K115" s="1515">
        <v>2455</v>
      </c>
      <c r="L115" s="1516" t="s">
        <v>1884</v>
      </c>
      <c r="M115" s="1516" t="s">
        <v>1255</v>
      </c>
    </row>
    <row r="116" spans="4:13" ht="45">
      <c r="D116" s="1515">
        <v>6610</v>
      </c>
      <c r="E116" s="1516" t="s">
        <v>1885</v>
      </c>
      <c r="F116" s="1516" t="s">
        <v>315</v>
      </c>
      <c r="G116" s="1517">
        <v>41243</v>
      </c>
      <c r="H116" s="482"/>
      <c r="I116" s="1516" t="s">
        <v>1041</v>
      </c>
      <c r="J116" s="1516" t="s">
        <v>1698</v>
      </c>
      <c r="K116" s="1515">
        <v>2456</v>
      </c>
      <c r="L116" s="1516" t="s">
        <v>1886</v>
      </c>
      <c r="M116" s="1516" t="s">
        <v>1255</v>
      </c>
    </row>
    <row r="117" spans="4:13" ht="30" hidden="1">
      <c r="D117" s="1515">
        <v>6611</v>
      </c>
      <c r="E117" s="1516" t="s">
        <v>1887</v>
      </c>
      <c r="F117" s="1516" t="s">
        <v>197</v>
      </c>
      <c r="G117" s="1517">
        <v>40943</v>
      </c>
      <c r="H117" s="482"/>
      <c r="I117" s="1516" t="s">
        <v>1041</v>
      </c>
      <c r="J117" s="1516" t="s">
        <v>138</v>
      </c>
      <c r="K117" s="1515">
        <v>2457</v>
      </c>
      <c r="L117" s="1516" t="s">
        <v>1888</v>
      </c>
      <c r="M117" s="1516" t="s">
        <v>1678</v>
      </c>
    </row>
    <row r="118" spans="4:13" ht="30" hidden="1">
      <c r="D118" s="1515">
        <v>6612</v>
      </c>
      <c r="E118" s="1516" t="s">
        <v>1889</v>
      </c>
      <c r="F118" s="1516" t="s">
        <v>198</v>
      </c>
      <c r="G118" s="1517">
        <v>41082</v>
      </c>
      <c r="H118" s="1518">
        <v>41078</v>
      </c>
      <c r="I118" s="1516" t="s">
        <v>1041</v>
      </c>
      <c r="J118" s="1516" t="s">
        <v>1698</v>
      </c>
      <c r="K118" s="1515">
        <v>2458</v>
      </c>
      <c r="L118" s="1516" t="s">
        <v>1890</v>
      </c>
      <c r="M118" s="1516" t="s">
        <v>1678</v>
      </c>
    </row>
    <row r="119" spans="4:13" ht="30">
      <c r="D119" s="1515">
        <v>6896</v>
      </c>
      <c r="E119" s="1516" t="s">
        <v>1891</v>
      </c>
      <c r="F119" s="1516" t="s">
        <v>314</v>
      </c>
      <c r="G119" s="1517">
        <v>41182</v>
      </c>
      <c r="H119" s="482"/>
      <c r="I119" s="1516" t="s">
        <v>1041</v>
      </c>
      <c r="J119" s="1516" t="s">
        <v>1698</v>
      </c>
      <c r="K119" s="1515">
        <v>2479</v>
      </c>
      <c r="L119" s="1516" t="s">
        <v>1892</v>
      </c>
      <c r="M119" s="1516" t="s">
        <v>1255</v>
      </c>
    </row>
    <row r="120" spans="4:13" ht="45">
      <c r="D120" s="1515">
        <v>6897</v>
      </c>
      <c r="E120" s="1516" t="s">
        <v>1893</v>
      </c>
      <c r="F120" s="1516" t="s">
        <v>1894</v>
      </c>
      <c r="G120" s="1517">
        <v>41182</v>
      </c>
      <c r="H120" s="482"/>
      <c r="I120" s="1516" t="s">
        <v>1041</v>
      </c>
      <c r="J120" s="1516" t="s">
        <v>1698</v>
      </c>
      <c r="K120" s="1515">
        <v>2480</v>
      </c>
      <c r="L120" s="1516" t="s">
        <v>1895</v>
      </c>
      <c r="M120" s="1516" t="s">
        <v>1255</v>
      </c>
    </row>
    <row r="121" spans="4:13" ht="30">
      <c r="D121" s="1515">
        <v>6898</v>
      </c>
      <c r="E121" s="1516" t="s">
        <v>1896</v>
      </c>
      <c r="F121" s="1516" t="s">
        <v>361</v>
      </c>
      <c r="G121" s="1517">
        <v>41182</v>
      </c>
      <c r="H121" s="482"/>
      <c r="I121" s="1516" t="s">
        <v>1041</v>
      </c>
      <c r="J121" s="1516" t="s">
        <v>1698</v>
      </c>
      <c r="K121" s="1515">
        <v>2481</v>
      </c>
      <c r="L121" s="1516" t="s">
        <v>1897</v>
      </c>
      <c r="M121" s="1516" t="s">
        <v>1255</v>
      </c>
    </row>
    <row r="122" spans="4:13" ht="30">
      <c r="D122" s="1515">
        <v>7016</v>
      </c>
      <c r="E122" s="1516" t="s">
        <v>1898</v>
      </c>
      <c r="F122" s="1516" t="s">
        <v>432</v>
      </c>
      <c r="G122" s="1517">
        <v>41182</v>
      </c>
      <c r="H122" s="482"/>
      <c r="I122" s="1516" t="s">
        <v>1041</v>
      </c>
      <c r="J122" s="1516" t="s">
        <v>1698</v>
      </c>
      <c r="K122" s="1515">
        <v>2496</v>
      </c>
      <c r="L122" s="1516" t="s">
        <v>1899</v>
      </c>
      <c r="M122" s="1516" t="s">
        <v>1255</v>
      </c>
    </row>
    <row r="123" spans="4:13" ht="30" hidden="1">
      <c r="D123" s="1515">
        <v>7019</v>
      </c>
      <c r="E123" s="1516" t="s">
        <v>1900</v>
      </c>
      <c r="F123" s="1516" t="s">
        <v>200</v>
      </c>
      <c r="G123" s="1517">
        <v>41214</v>
      </c>
      <c r="H123" s="1518">
        <v>41214</v>
      </c>
      <c r="I123" s="1516" t="s">
        <v>1041</v>
      </c>
      <c r="J123" s="1516" t="s">
        <v>138</v>
      </c>
      <c r="K123" s="1515">
        <v>2497</v>
      </c>
      <c r="L123" s="1516" t="s">
        <v>1901</v>
      </c>
      <c r="M123" s="1516" t="s">
        <v>1678</v>
      </c>
    </row>
    <row r="124" spans="4:13" ht="30">
      <c r="D124" s="1515">
        <v>7371</v>
      </c>
      <c r="E124" s="1516" t="s">
        <v>1902</v>
      </c>
      <c r="F124" s="1516" t="s">
        <v>201</v>
      </c>
      <c r="G124" s="1517">
        <v>41485</v>
      </c>
      <c r="H124" s="482"/>
      <c r="I124" s="1516" t="s">
        <v>1041</v>
      </c>
      <c r="J124" s="1516" t="s">
        <v>1698</v>
      </c>
      <c r="K124" s="1515">
        <v>2527</v>
      </c>
      <c r="L124" s="1516" t="s">
        <v>1903</v>
      </c>
      <c r="M124" s="1516" t="s">
        <v>1255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1904</v>
      </c>
      <c r="G3" s="436" t="s">
        <v>1905</v>
      </c>
    </row>
    <row r="4" spans="2:7">
      <c r="B4" s="447" t="s">
        <v>1906</v>
      </c>
      <c r="C4" s="447" t="s">
        <v>1907</v>
      </c>
      <c r="D4" s="447" t="s">
        <v>934</v>
      </c>
      <c r="E4" s="436"/>
      <c r="F4" s="1519" t="s">
        <v>1908</v>
      </c>
      <c r="G4" s="1520" t="e">
        <f>(C10*G7)/G5</f>
        <v>#REF!</v>
      </c>
    </row>
    <row r="5" spans="2:7">
      <c r="B5" s="1521" t="s">
        <v>1909</v>
      </c>
      <c r="C5" s="1522"/>
      <c r="D5" s="1523"/>
      <c r="F5" s="1519" t="s">
        <v>1910</v>
      </c>
      <c r="G5" s="1524" t="e">
        <f>(((1+C7)^G6)*C7)/(((1+C7)^G6)-1)</f>
        <v>#REF!</v>
      </c>
    </row>
    <row r="6" spans="2:7">
      <c r="B6" s="1521" t="s">
        <v>1911</v>
      </c>
      <c r="C6" s="1522"/>
      <c r="D6" s="1523"/>
      <c r="F6" s="1519" t="s">
        <v>1912</v>
      </c>
      <c r="G6" s="1525" t="e">
        <f>G7/(C8*C9)</f>
        <v>#REF!</v>
      </c>
    </row>
    <row r="7" spans="2:7">
      <c r="B7" s="1521" t="s">
        <v>1913</v>
      </c>
      <c r="C7" s="1526">
        <f>'BD-NET'!Q189</f>
        <v>9.9699999999999997E-2</v>
      </c>
      <c r="D7" s="1523"/>
      <c r="F7" s="1519" t="s">
        <v>1914</v>
      </c>
      <c r="G7" s="1527">
        <f>12*(20000*C6+10000*C5)</f>
        <v>0</v>
      </c>
    </row>
    <row r="8" spans="2:7">
      <c r="B8" s="1521" t="s">
        <v>1915</v>
      </c>
      <c r="C8" s="1528" t="e">
        <f>C24</f>
        <v>#REF!</v>
      </c>
      <c r="D8" s="1529" t="s">
        <v>1916</v>
      </c>
    </row>
    <row r="9" spans="2:7">
      <c r="B9" s="1521" t="s">
        <v>1917</v>
      </c>
      <c r="C9" s="1530"/>
      <c r="D9" s="1523"/>
    </row>
    <row r="10" spans="2:7">
      <c r="B10" s="1521" t="s">
        <v>1918</v>
      </c>
      <c r="C10" s="1531" t="e">
        <f>F14</f>
        <v>#REF!</v>
      </c>
      <c r="D10" s="1523"/>
    </row>
    <row r="12" spans="2:7">
      <c r="B12" s="447" t="s">
        <v>1919</v>
      </c>
      <c r="C12" s="447" t="s">
        <v>801</v>
      </c>
      <c r="D12" s="447" t="s">
        <v>1920</v>
      </c>
      <c r="E12" s="447" t="s">
        <v>1921</v>
      </c>
      <c r="F12" s="447" t="s">
        <v>1922</v>
      </c>
    </row>
    <row r="13" spans="2:7" ht="13.5" thickBot="1">
      <c r="B13" s="1521" t="s">
        <v>1923</v>
      </c>
      <c r="C13" s="1532" t="e">
        <f>C38</f>
        <v>#REF!</v>
      </c>
      <c r="D13" s="1521"/>
      <c r="E13" s="1521"/>
      <c r="F13" s="1533"/>
    </row>
    <row r="14" spans="2:7" ht="13.5" thickBot="1">
      <c r="B14" s="1521" t="s">
        <v>1924</v>
      </c>
      <c r="C14" s="1532" t="e">
        <f>(C32+E55)*($C$38/$C$35)</f>
        <v>#REF!</v>
      </c>
      <c r="D14" s="1534" t="e">
        <f>$C$17*(C14/($C$14+$C$15+$C$16))</f>
        <v>#REF!</v>
      </c>
      <c r="E14" s="1535" t="e">
        <f>C14-D14</f>
        <v>#REF!</v>
      </c>
      <c r="F14" s="469" t="e">
        <f>E14/$C$13</f>
        <v>#REF!</v>
      </c>
      <c r="G14" s="470" t="s">
        <v>1925</v>
      </c>
    </row>
    <row r="15" spans="2:7">
      <c r="B15" s="1521" t="s">
        <v>1926</v>
      </c>
      <c r="C15" s="1532" t="e">
        <f>C27*($C$38/$C$35)</f>
        <v>#REF!</v>
      </c>
      <c r="D15" s="1534" t="e">
        <f>$C$17*(C15/($C$14+$C$15+$C$16))</f>
        <v>#REF!</v>
      </c>
      <c r="E15" s="1534" t="e">
        <f>C15-D15</f>
        <v>#REF!</v>
      </c>
      <c r="F15" s="1536" t="e">
        <f>E15/$C$13</f>
        <v>#REF!</v>
      </c>
    </row>
    <row r="16" spans="2:7">
      <c r="B16" s="1521" t="s">
        <v>1927</v>
      </c>
      <c r="C16" s="1532" t="e">
        <f>(C33+D54)*($C$38/$C$35)</f>
        <v>#REF!</v>
      </c>
      <c r="D16" s="1534" t="e">
        <f>$C$17*(C16/($C$14+$C$15+$C$16))</f>
        <v>#REF!</v>
      </c>
      <c r="E16" s="1534" t="e">
        <f>C16-D16</f>
        <v>#REF!</v>
      </c>
      <c r="F16" s="1537" t="e">
        <f>E16/$C$13</f>
        <v>#REF!</v>
      </c>
    </row>
    <row r="17" spans="2:6">
      <c r="B17" s="1521" t="s">
        <v>1928</v>
      </c>
      <c r="C17" s="1532" t="e">
        <f>C39</f>
        <v>#REF!</v>
      </c>
      <c r="D17" s="1521"/>
      <c r="E17" s="1521"/>
      <c r="F17" s="1538" t="e">
        <f>C17/C13</f>
        <v>#REF!</v>
      </c>
    </row>
    <row r="18" spans="2:6">
      <c r="D18" s="452" t="e">
        <f>SUM(D14:D17)</f>
        <v>#REF!</v>
      </c>
      <c r="F18" s="1539" t="e">
        <f>SUM(F14:F17)</f>
        <v>#REF!</v>
      </c>
    </row>
    <row r="19" spans="2:6">
      <c r="B19" s="443" t="s">
        <v>1929</v>
      </c>
    </row>
    <row r="20" spans="2:6">
      <c r="B20" s="443"/>
    </row>
    <row r="21" spans="2:6">
      <c r="B21" s="1540" t="s">
        <v>1930</v>
      </c>
      <c r="C21" s="1541" t="e">
        <f>LnkTxtPBCAOMCAA</f>
        <v>#NAME?</v>
      </c>
    </row>
    <row r="22" spans="2:6">
      <c r="B22" s="444" t="s">
        <v>1931</v>
      </c>
      <c r="C22" s="445">
        <v>1.15E-2</v>
      </c>
    </row>
    <row r="23" spans="2:6">
      <c r="B23" s="444" t="s">
        <v>1932</v>
      </c>
      <c r="C23" s="445">
        <v>0</v>
      </c>
    </row>
    <row r="24" spans="2:6">
      <c r="B24" s="1540" t="s">
        <v>1933</v>
      </c>
      <c r="C24" s="1541" t="e">
        <f>#REF!+#REF!</f>
        <v>#REF!</v>
      </c>
    </row>
    <row r="27" spans="2:6">
      <c r="B27" s="1540" t="s">
        <v>1934</v>
      </c>
      <c r="C27" s="1541" t="e">
        <f>#REF!</f>
        <v>#REF!</v>
      </c>
    </row>
    <row r="28" spans="2:6">
      <c r="B28" s="444" t="s">
        <v>1935</v>
      </c>
      <c r="C28" s="450" t="e">
        <f>#REF!</f>
        <v>#REF!</v>
      </c>
    </row>
    <row r="29" spans="2:6">
      <c r="B29" s="444" t="s">
        <v>1936</v>
      </c>
      <c r="C29" s="450"/>
    </row>
    <row r="30" spans="2:6">
      <c r="B30" s="444" t="s">
        <v>1937</v>
      </c>
      <c r="C30" s="450" t="e">
        <f>#REF!</f>
        <v>#REF!</v>
      </c>
    </row>
    <row r="31" spans="2:6">
      <c r="B31" s="1540" t="s">
        <v>1938</v>
      </c>
      <c r="C31" s="1541" t="e">
        <f>#REF!</f>
        <v>#REF!</v>
      </c>
    </row>
    <row r="32" spans="2:6">
      <c r="B32" s="444" t="s">
        <v>1939</v>
      </c>
      <c r="C32" s="450" t="e">
        <f>#REF!</f>
        <v>#REF!</v>
      </c>
    </row>
    <row r="33" spans="2:4">
      <c r="B33" s="444" t="s">
        <v>1940</v>
      </c>
      <c r="C33" s="450" t="e">
        <f>#REF!</f>
        <v>#REF!</v>
      </c>
    </row>
    <row r="34" spans="2:4">
      <c r="B34" s="444" t="s">
        <v>1941</v>
      </c>
      <c r="C34" s="450" t="e">
        <f>#REF!</f>
        <v>#REF!</v>
      </c>
    </row>
    <row r="35" spans="2:4">
      <c r="B35" s="1540" t="s">
        <v>1930</v>
      </c>
      <c r="C35" s="1541" t="e">
        <f>C21</f>
        <v>#NAME?</v>
      </c>
    </row>
    <row r="36" spans="2:4">
      <c r="B36" s="444" t="s">
        <v>1931</v>
      </c>
      <c r="C36" s="445">
        <f>C22</f>
        <v>1.15E-2</v>
      </c>
    </row>
    <row r="37" spans="2:4">
      <c r="B37" s="444" t="s">
        <v>1932</v>
      </c>
      <c r="C37" s="445">
        <f>C23</f>
        <v>0</v>
      </c>
    </row>
    <row r="38" spans="2:4">
      <c r="B38" s="1540" t="s">
        <v>1933</v>
      </c>
      <c r="C38" s="1541" t="e">
        <f>C24</f>
        <v>#REF!</v>
      </c>
    </row>
    <row r="39" spans="2:4">
      <c r="B39" s="444" t="s">
        <v>1942</v>
      </c>
      <c r="C39" s="450" t="e">
        <f>#REF!</f>
        <v>#REF!</v>
      </c>
    </row>
    <row r="40" spans="2:4">
      <c r="B40" s="1542" t="s">
        <v>1943</v>
      </c>
      <c r="C40" s="1543" t="e">
        <f>#REF!</f>
        <v>#REF!</v>
      </c>
    </row>
    <row r="42" spans="2:4" ht="15" customHeight="1"/>
    <row r="43" spans="2:4">
      <c r="B43" s="443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4"/>
    </row>
    <row r="51" spans="2:6">
      <c r="B51" s="65"/>
      <c r="C51" s="462"/>
      <c r="D51" s="465"/>
      <c r="E51" s="454"/>
    </row>
    <row r="52" spans="2:6">
      <c r="B52" s="65"/>
      <c r="C52" s="462"/>
      <c r="D52" s="465"/>
      <c r="E52" s="455"/>
      <c r="F52" s="456"/>
    </row>
    <row r="53" spans="2:6">
      <c r="B53" s="65"/>
      <c r="C53" s="462"/>
      <c r="D53" s="465"/>
      <c r="E53" s="455"/>
      <c r="F53" s="453"/>
    </row>
    <row r="54" spans="2:6">
      <c r="B54" s="466"/>
      <c r="C54" s="467"/>
      <c r="D54" s="468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1944</v>
      </c>
      <c r="C2" s="439"/>
      <c r="H2" s="440" t="s">
        <v>1945</v>
      </c>
    </row>
    <row r="3" spans="2:17">
      <c r="B3" s="1544" t="s">
        <v>1906</v>
      </c>
      <c r="C3" s="1544" t="s">
        <v>1907</v>
      </c>
      <c r="D3" s="1545" t="s">
        <v>934</v>
      </c>
      <c r="E3" s="1545" t="s">
        <v>1946</v>
      </c>
      <c r="F3" s="1545" t="s">
        <v>1947</v>
      </c>
      <c r="H3" s="440" t="s">
        <v>1948</v>
      </c>
      <c r="M3" s="435" t="s">
        <v>1949</v>
      </c>
      <c r="O3" s="435" t="s">
        <v>1949</v>
      </c>
      <c r="P3" s="435" t="s">
        <v>1949</v>
      </c>
    </row>
    <row r="4" spans="2:17">
      <c r="B4" s="1546" t="s">
        <v>1950</v>
      </c>
      <c r="C4" s="1547" t="e">
        <f>12*C5*(1-$E$13)*1/$E$16</f>
        <v>#DIV/0!</v>
      </c>
      <c r="D4" s="1523" t="s">
        <v>1951</v>
      </c>
      <c r="E4" s="1523"/>
      <c r="F4" s="1523"/>
      <c r="H4" s="1544" t="s">
        <v>1952</v>
      </c>
      <c r="I4" s="1544" t="s">
        <v>1953</v>
      </c>
      <c r="J4" s="1544" t="s">
        <v>1954</v>
      </c>
      <c r="K4" s="1544" t="s">
        <v>1955</v>
      </c>
      <c r="L4" s="1544" t="s">
        <v>1956</v>
      </c>
      <c r="M4" s="1544" t="s">
        <v>975</v>
      </c>
      <c r="N4" s="1544" t="s">
        <v>596</v>
      </c>
      <c r="O4" s="1544" t="s">
        <v>600</v>
      </c>
      <c r="P4" s="1544" t="s">
        <v>598</v>
      </c>
      <c r="Q4" s="1544" t="s">
        <v>601</v>
      </c>
    </row>
    <row r="5" spans="2:17">
      <c r="B5" s="1546" t="s">
        <v>1911</v>
      </c>
      <c r="C5" s="1548"/>
      <c r="D5" s="1523"/>
      <c r="E5" s="1523"/>
      <c r="F5" s="1523" t="s">
        <v>1957</v>
      </c>
      <c r="H5" s="1546" t="s">
        <v>1950</v>
      </c>
      <c r="I5" s="1547" t="e">
        <f t="shared" ref="I5:Q5" si="0">12*I6*(1-$E$13)*1/$E$16</f>
        <v>#DIV/0!</v>
      </c>
      <c r="J5" s="1547" t="e">
        <f t="shared" si="0"/>
        <v>#DIV/0!</v>
      </c>
      <c r="K5" s="1547" t="e">
        <f t="shared" si="0"/>
        <v>#DIV/0!</v>
      </c>
      <c r="L5" s="1547" t="e">
        <f t="shared" si="0"/>
        <v>#DIV/0!</v>
      </c>
      <c r="M5" s="1547" t="e">
        <f t="shared" si="0"/>
        <v>#DIV/0!</v>
      </c>
      <c r="N5" s="1547" t="e">
        <f t="shared" si="0"/>
        <v>#DIV/0!</v>
      </c>
      <c r="O5" s="1547" t="e">
        <f t="shared" si="0"/>
        <v>#DIV/0!</v>
      </c>
      <c r="P5" s="1547" t="e">
        <f t="shared" si="0"/>
        <v>#DIV/0!</v>
      </c>
      <c r="Q5" s="1547" t="e">
        <f t="shared" si="0"/>
        <v>#DIV/0!</v>
      </c>
    </row>
    <row r="6" spans="2:17">
      <c r="B6" s="1546" t="s">
        <v>1958</v>
      </c>
      <c r="C6" s="1549"/>
      <c r="D6" s="1523" t="s">
        <v>1959</v>
      </c>
      <c r="E6" s="1523"/>
      <c r="F6" s="1550"/>
      <c r="H6" s="1546" t="s">
        <v>1911</v>
      </c>
      <c r="I6" s="1551"/>
      <c r="J6" s="1551"/>
      <c r="K6" s="1551"/>
      <c r="L6" s="1551"/>
      <c r="M6" s="1522"/>
      <c r="N6" s="1552"/>
      <c r="O6" s="1522"/>
      <c r="P6" s="1522"/>
      <c r="Q6" s="1522"/>
    </row>
    <row r="7" spans="2:17">
      <c r="B7" s="1546" t="s">
        <v>1960</v>
      </c>
      <c r="C7" s="1549"/>
      <c r="D7" s="1523" t="s">
        <v>1961</v>
      </c>
      <c r="E7" s="1523"/>
      <c r="F7" s="1550"/>
      <c r="H7" s="1546" t="s">
        <v>1958</v>
      </c>
      <c r="I7" s="1858">
        <f>C6</f>
        <v>0</v>
      </c>
      <c r="J7" s="1859"/>
      <c r="K7" s="1859"/>
      <c r="L7" s="1859"/>
      <c r="M7" s="1859"/>
      <c r="N7" s="1859"/>
      <c r="O7" s="1859"/>
      <c r="P7" s="1859"/>
      <c r="Q7" s="1860"/>
    </row>
    <row r="8" spans="2:17">
      <c r="B8" s="1546" t="s">
        <v>1962</v>
      </c>
      <c r="C8" s="1553"/>
      <c r="D8" s="1523" t="s">
        <v>1963</v>
      </c>
      <c r="E8" s="1523" t="s">
        <v>1964</v>
      </c>
      <c r="F8" s="1554"/>
      <c r="G8" s="441"/>
      <c r="H8" s="1546" t="s">
        <v>1962</v>
      </c>
      <c r="I8" s="1861">
        <f>C8</f>
        <v>0</v>
      </c>
      <c r="J8" s="1862"/>
      <c r="K8" s="1862"/>
      <c r="L8" s="1862"/>
      <c r="M8" s="1862"/>
      <c r="N8" s="1862"/>
      <c r="O8" s="1862"/>
      <c r="P8" s="1862"/>
      <c r="Q8" s="1863"/>
    </row>
    <row r="9" spans="2:17">
      <c r="B9" s="1546" t="s">
        <v>1965</v>
      </c>
      <c r="C9" s="1549"/>
      <c r="D9" s="1523" t="s">
        <v>1966</v>
      </c>
      <c r="E9" s="1523"/>
      <c r="F9" s="1554"/>
      <c r="H9" s="1546" t="s">
        <v>1965</v>
      </c>
      <c r="I9" s="1858">
        <f>C9</f>
        <v>0</v>
      </c>
      <c r="J9" s="1859"/>
      <c r="K9" s="1859"/>
      <c r="L9" s="1859"/>
      <c r="M9" s="1859"/>
      <c r="N9" s="1859"/>
      <c r="O9" s="1859"/>
      <c r="P9" s="1859"/>
      <c r="Q9" s="1860"/>
    </row>
    <row r="10" spans="2:17">
      <c r="B10" s="1546" t="s">
        <v>1967</v>
      </c>
      <c r="C10" s="1553"/>
      <c r="D10" s="1523" t="s">
        <v>1968</v>
      </c>
      <c r="E10" s="1523" t="s">
        <v>1969</v>
      </c>
      <c r="F10" s="1554"/>
      <c r="G10" s="441"/>
      <c r="H10" s="1546" t="s">
        <v>1967</v>
      </c>
      <c r="I10" s="1864">
        <f>C10</f>
        <v>0</v>
      </c>
      <c r="J10" s="1865"/>
      <c r="K10" s="1865"/>
      <c r="L10" s="1865"/>
      <c r="M10" s="1865"/>
      <c r="N10" s="1865"/>
      <c r="O10" s="1865"/>
      <c r="P10" s="1865"/>
      <c r="Q10" s="1866"/>
    </row>
    <row r="12" spans="2:17">
      <c r="D12" s="438" t="s">
        <v>1970</v>
      </c>
    </row>
    <row r="13" spans="2:17">
      <c r="D13" s="1519" t="s">
        <v>1971</v>
      </c>
      <c r="E13" s="1555" t="e">
        <f>C10/C8</f>
        <v>#DIV/0!</v>
      </c>
      <c r="H13" s="440" t="s">
        <v>1972</v>
      </c>
      <c r="M13" s="442">
        <v>4.2321999999999997</v>
      </c>
    </row>
    <row r="14" spans="2:17">
      <c r="D14" s="1519" t="s">
        <v>1973</v>
      </c>
      <c r="E14" s="1556" t="e">
        <f>1/C9</f>
        <v>#DIV/0!</v>
      </c>
      <c r="H14" s="440" t="s">
        <v>1974</v>
      </c>
      <c r="M14" s="435">
        <v>1.01916916988504</v>
      </c>
    </row>
    <row r="15" spans="2:17">
      <c r="D15" s="1519" t="s">
        <v>1975</v>
      </c>
      <c r="E15" s="1557">
        <f>ROUND(C6/(1-C7),4)</f>
        <v>0</v>
      </c>
      <c r="H15" s="440" t="s">
        <v>1976</v>
      </c>
      <c r="M15" s="435">
        <f>M13*M14</f>
        <v>4.313327760787466</v>
      </c>
    </row>
    <row r="16" spans="2:17">
      <c r="D16" s="1519" t="s">
        <v>1910</v>
      </c>
      <c r="E16" s="1558" t="e">
        <f>(((1+E15)^E14)*E15)/((1+E15)^E14-1)</f>
        <v>#DIV/0!</v>
      </c>
      <c r="H16" s="440" t="s">
        <v>1977</v>
      </c>
      <c r="M16" s="435">
        <v>0.3</v>
      </c>
    </row>
    <row r="17" spans="2:13">
      <c r="H17" s="440" t="s">
        <v>1978</v>
      </c>
      <c r="M17" s="435">
        <v>0.4</v>
      </c>
    </row>
    <row r="18" spans="2:13">
      <c r="H18" s="440" t="s">
        <v>1979</v>
      </c>
      <c r="M18" s="435">
        <v>0</v>
      </c>
    </row>
    <row r="20" spans="2:13">
      <c r="B20" s="1540" t="s">
        <v>1930</v>
      </c>
      <c r="C20" s="1541" t="e">
        <f>'REN 473'!C21</f>
        <v>#NAME?</v>
      </c>
      <c r="E20" s="443" t="s">
        <v>1980</v>
      </c>
      <c r="F20" s="443"/>
    </row>
    <row r="21" spans="2:13">
      <c r="B21" s="444" t="s">
        <v>1931</v>
      </c>
      <c r="C21" s="445">
        <f>'REN 473'!C22</f>
        <v>1.15E-2</v>
      </c>
      <c r="E21" s="446" t="s">
        <v>854</v>
      </c>
      <c r="F21" s="447" t="s">
        <v>37</v>
      </c>
    </row>
    <row r="22" spans="2:13">
      <c r="B22" s="444" t="s">
        <v>1932</v>
      </c>
      <c r="C22" s="445">
        <f>'REN 473'!C23</f>
        <v>0</v>
      </c>
      <c r="E22" s="448" t="s">
        <v>1981</v>
      </c>
      <c r="F22" s="449"/>
    </row>
    <row r="23" spans="2:13">
      <c r="B23" s="1540" t="s">
        <v>1933</v>
      </c>
      <c r="C23" s="1541" t="e">
        <f>'REN 473'!C24</f>
        <v>#REF!</v>
      </c>
      <c r="E23" s="448" t="s">
        <v>1982</v>
      </c>
      <c r="F23" s="449"/>
    </row>
    <row r="24" spans="2:13">
      <c r="E24" s="448" t="s">
        <v>1983</v>
      </c>
      <c r="F24" s="449"/>
    </row>
    <row r="25" spans="2:13">
      <c r="B25" s="1540" t="s">
        <v>1934</v>
      </c>
      <c r="C25" s="1559"/>
      <c r="E25" s="448" t="s">
        <v>1984</v>
      </c>
      <c r="F25" s="449"/>
    </row>
    <row r="26" spans="2:13">
      <c r="B26" s="444" t="s">
        <v>1935</v>
      </c>
      <c r="C26" s="471"/>
      <c r="E26" s="1560" t="s">
        <v>1985</v>
      </c>
      <c r="F26" s="1561"/>
    </row>
    <row r="27" spans="2:13">
      <c r="B27" s="444" t="s">
        <v>1936</v>
      </c>
      <c r="C27" s="471"/>
      <c r="E27" s="448" t="s">
        <v>1986</v>
      </c>
      <c r="F27" s="451"/>
    </row>
    <row r="28" spans="2:13">
      <c r="B28" s="1542" t="s">
        <v>1937</v>
      </c>
      <c r="C28" s="1562"/>
      <c r="E28" s="1560" t="s">
        <v>1987</v>
      </c>
      <c r="F28" s="1561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1988</v>
      </c>
      <c r="C2" s="9" t="s">
        <v>37</v>
      </c>
    </row>
    <row r="3" spans="2:3">
      <c r="B3" s="64" t="s">
        <v>1989</v>
      </c>
      <c r="C3" t="e">
        <f t="shared" ref="C3:C66" ca="1" si="0">INDIRECT(B3)</f>
        <v>#REF!</v>
      </c>
    </row>
    <row r="4" spans="2:3">
      <c r="B4" s="64" t="s">
        <v>1990</v>
      </c>
      <c r="C4" t="e">
        <f t="shared" ca="1" si="0"/>
        <v>#REF!</v>
      </c>
    </row>
    <row r="5" spans="2:3">
      <c r="B5" s="64" t="s">
        <v>1991</v>
      </c>
      <c r="C5" t="e">
        <f t="shared" ca="1" si="0"/>
        <v>#REF!</v>
      </c>
    </row>
    <row r="6" spans="2:3">
      <c r="B6" s="64" t="s">
        <v>1992</v>
      </c>
      <c r="C6" t="e">
        <f t="shared" ca="1" si="0"/>
        <v>#REF!</v>
      </c>
    </row>
    <row r="7" spans="2:3">
      <c r="B7" s="64" t="s">
        <v>1993</v>
      </c>
      <c r="C7" t="e">
        <f t="shared" ca="1" si="0"/>
        <v>#REF!</v>
      </c>
    </row>
    <row r="8" spans="2:3">
      <c r="B8" s="64" t="s">
        <v>1994</v>
      </c>
      <c r="C8" t="e">
        <f t="shared" ca="1" si="0"/>
        <v>#REF!</v>
      </c>
    </row>
    <row r="9" spans="2:3">
      <c r="B9" s="64" t="s">
        <v>1995</v>
      </c>
      <c r="C9" t="e">
        <f t="shared" ca="1" si="0"/>
        <v>#REF!</v>
      </c>
    </row>
    <row r="10" spans="2:3">
      <c r="B10" s="64" t="s">
        <v>1996</v>
      </c>
      <c r="C10" t="e">
        <f t="shared" ca="1" si="0"/>
        <v>#REF!</v>
      </c>
    </row>
    <row r="11" spans="2:3">
      <c r="B11" s="64" t="s">
        <v>1997</v>
      </c>
      <c r="C11" t="e">
        <f t="shared" ca="1" si="0"/>
        <v>#REF!</v>
      </c>
    </row>
    <row r="12" spans="2:3">
      <c r="B12" s="63" t="s">
        <v>1998</v>
      </c>
      <c r="C12" t="e">
        <f t="shared" ca="1" si="0"/>
        <v>#REF!</v>
      </c>
    </row>
    <row r="13" spans="2:3">
      <c r="B13" s="63" t="s">
        <v>1999</v>
      </c>
      <c r="C13" t="e">
        <f t="shared" ca="1" si="0"/>
        <v>#REF!</v>
      </c>
    </row>
    <row r="14" spans="2:3">
      <c r="B14" s="63" t="s">
        <v>2000</v>
      </c>
      <c r="C14">
        <f t="shared" ca="1" si="0"/>
        <v>2022</v>
      </c>
    </row>
    <row r="15" spans="2:3">
      <c r="B15" s="63" t="s">
        <v>2001</v>
      </c>
      <c r="C15">
        <f t="shared" ca="1" si="0"/>
        <v>2022</v>
      </c>
    </row>
    <row r="16" spans="2:3">
      <c r="B16" s="63" t="s">
        <v>2002</v>
      </c>
      <c r="C16">
        <f t="shared" ca="1" si="0"/>
        <v>44772</v>
      </c>
    </row>
    <row r="17" spans="2:3">
      <c r="B17" s="63" t="s">
        <v>2003</v>
      </c>
      <c r="C17">
        <f t="shared" ca="1" si="0"/>
        <v>107828.46300000002</v>
      </c>
    </row>
    <row r="18" spans="2:3">
      <c r="B18" s="63" t="s">
        <v>2004</v>
      </c>
      <c r="C18">
        <f t="shared" ca="1" si="0"/>
        <v>0</v>
      </c>
    </row>
    <row r="19" spans="2:3">
      <c r="B19" s="63" t="s">
        <v>2005</v>
      </c>
      <c r="C19">
        <f t="shared" ca="1" si="0"/>
        <v>75160.651000000042</v>
      </c>
    </row>
    <row r="20" spans="2:3">
      <c r="B20" s="63" t="s">
        <v>2006</v>
      </c>
      <c r="C20" t="e">
        <f t="shared" ca="1" si="0"/>
        <v>#VALUE!</v>
      </c>
    </row>
    <row r="21" spans="2:3">
      <c r="B21" s="63" t="s">
        <v>2007</v>
      </c>
      <c r="C21">
        <f t="shared" ca="1" si="0"/>
        <v>3223</v>
      </c>
    </row>
    <row r="22" spans="2:3">
      <c r="B22" s="63" t="s">
        <v>1144</v>
      </c>
      <c r="C22">
        <f t="shared" ca="1" si="0"/>
        <v>239</v>
      </c>
    </row>
    <row r="23" spans="2:3">
      <c r="B23" s="63" t="s">
        <v>2008</v>
      </c>
      <c r="C23">
        <f t="shared" ca="1" si="0"/>
        <v>8.6099074972921394E-2</v>
      </c>
    </row>
    <row r="24" spans="2:3">
      <c r="B24" s="63" t="s">
        <v>2009</v>
      </c>
      <c r="C24" t="e">
        <f t="shared" ca="1" si="0"/>
        <v>#REF!</v>
      </c>
    </row>
    <row r="25" spans="2:3">
      <c r="B25" s="63" t="s">
        <v>2010</v>
      </c>
      <c r="C25">
        <f t="shared" ca="1" si="0"/>
        <v>8298.1389999999992</v>
      </c>
    </row>
    <row r="26" spans="2:3">
      <c r="B26" s="63" t="s">
        <v>2011</v>
      </c>
      <c r="C26">
        <f t="shared" ca="1" si="0"/>
        <v>0</v>
      </c>
    </row>
    <row r="27" spans="2:3">
      <c r="B27" s="63" t="s">
        <v>2012</v>
      </c>
      <c r="C27" t="e">
        <f t="shared" ca="1" si="0"/>
        <v>#REF!</v>
      </c>
    </row>
    <row r="28" spans="2:3">
      <c r="B28" s="63" t="s">
        <v>2013</v>
      </c>
      <c r="C28" t="e">
        <f t="shared" ca="1" si="0"/>
        <v>#REF!</v>
      </c>
    </row>
    <row r="29" spans="2:3">
      <c r="B29" s="63" t="s">
        <v>2014</v>
      </c>
      <c r="C29">
        <f t="shared" ca="1" si="0"/>
        <v>118926.88481049077</v>
      </c>
    </row>
    <row r="30" spans="2:3">
      <c r="B30" s="63" t="s">
        <v>2015</v>
      </c>
      <c r="C30">
        <f t="shared" ca="1" si="0"/>
        <v>14824</v>
      </c>
    </row>
    <row r="31" spans="2:3">
      <c r="B31" s="63" t="s">
        <v>2016</v>
      </c>
      <c r="C31">
        <f t="shared" ca="1" si="0"/>
        <v>44772</v>
      </c>
    </row>
    <row r="32" spans="2:3">
      <c r="B32" s="63" t="s">
        <v>2017</v>
      </c>
      <c r="C32" t="e">
        <f t="shared" ca="1" si="0"/>
        <v>#REF!</v>
      </c>
    </row>
    <row r="33" spans="2:3">
      <c r="B33" s="63" t="s">
        <v>2018</v>
      </c>
      <c r="C33">
        <f t="shared" ca="1" si="0"/>
        <v>0.22088781406817626</v>
      </c>
    </row>
    <row r="34" spans="2:3">
      <c r="B34" s="63" t="s">
        <v>2019</v>
      </c>
      <c r="C34" t="e">
        <f t="shared" ca="1" si="0"/>
        <v>#REF!</v>
      </c>
    </row>
    <row r="35" spans="2:3">
      <c r="B35" s="63" t="s">
        <v>2020</v>
      </c>
      <c r="C35">
        <f t="shared" ca="1" si="0"/>
        <v>-232206.45884047006</v>
      </c>
    </row>
    <row r="36" spans="2:3">
      <c r="B36" s="63" t="s">
        <v>2021</v>
      </c>
      <c r="C36" t="e">
        <f t="shared" ca="1" si="0"/>
        <v>#REF!</v>
      </c>
    </row>
    <row r="37" spans="2:3">
      <c r="B37" s="63" t="s">
        <v>2022</v>
      </c>
      <c r="C37" t="e">
        <f t="shared" ca="1" si="0"/>
        <v>#REF!</v>
      </c>
    </row>
    <row r="38" spans="2:3">
      <c r="B38" s="64" t="s">
        <v>2023</v>
      </c>
      <c r="C38" t="e">
        <f t="shared" ca="1" si="0"/>
        <v>#REF!</v>
      </c>
    </row>
    <row r="39" spans="2:3">
      <c r="B39" s="63" t="s">
        <v>2024</v>
      </c>
      <c r="C39" t="e">
        <f t="shared" ca="1" si="0"/>
        <v>#REF!</v>
      </c>
    </row>
    <row r="40" spans="2:3">
      <c r="B40" s="63" t="s">
        <v>2025</v>
      </c>
      <c r="C40" t="e">
        <f t="shared" ca="1" si="0"/>
        <v>#REF!</v>
      </c>
    </row>
    <row r="41" spans="2:3">
      <c r="B41" s="63" t="s">
        <v>2026</v>
      </c>
      <c r="C41">
        <f t="shared" ca="1" si="0"/>
        <v>8.0954741647398798E-2</v>
      </c>
    </row>
    <row r="42" spans="2:3">
      <c r="B42" s="63" t="s">
        <v>2027</v>
      </c>
      <c r="C42">
        <f t="shared" ca="1" si="0"/>
        <v>6.6423391837483026E-2</v>
      </c>
    </row>
    <row r="43" spans="2:3">
      <c r="B43" s="63" t="s">
        <v>2028</v>
      </c>
      <c r="C43">
        <f t="shared" ca="1" si="0"/>
        <v>8.8045675767323361E-2</v>
      </c>
    </row>
    <row r="44" spans="2:3">
      <c r="B44" s="63" t="s">
        <v>2029</v>
      </c>
      <c r="C44" t="e">
        <f t="shared" ca="1" si="0"/>
        <v>#REF!</v>
      </c>
    </row>
    <row r="45" spans="2:3">
      <c r="B45" s="63" t="s">
        <v>2030</v>
      </c>
      <c r="C45" t="e">
        <f t="shared" ca="1" si="0"/>
        <v>#REF!</v>
      </c>
    </row>
    <row r="46" spans="2:3">
      <c r="B46" s="63" t="s">
        <v>2031</v>
      </c>
      <c r="C46" t="e">
        <f t="shared" ca="1" si="0"/>
        <v>#REF!</v>
      </c>
    </row>
    <row r="47" spans="2:3">
      <c r="B47" s="63" t="s">
        <v>2032</v>
      </c>
      <c r="C47">
        <f t="shared" ca="1" si="0"/>
        <v>8.0954741647398798E-2</v>
      </c>
    </row>
    <row r="48" spans="2:3">
      <c r="B48" s="63" t="s">
        <v>2033</v>
      </c>
      <c r="C48">
        <f t="shared" ca="1" si="0"/>
        <v>21175365.944756776</v>
      </c>
    </row>
    <row r="49" spans="2:3">
      <c r="B49" s="63" t="s">
        <v>2034</v>
      </c>
      <c r="C49">
        <f t="shared" ca="1" si="0"/>
        <v>122987.91510000001</v>
      </c>
    </row>
    <row r="50" spans="2:3">
      <c r="B50" s="63" t="s">
        <v>2035</v>
      </c>
      <c r="C50">
        <f t="shared" ca="1" si="0"/>
        <v>0.28539999999999999</v>
      </c>
    </row>
    <row r="51" spans="2:3">
      <c r="B51" s="63" t="s">
        <v>2036</v>
      </c>
      <c r="C51">
        <f t="shared" ca="1" si="0"/>
        <v>107828.46300000002</v>
      </c>
    </row>
    <row r="52" spans="2:3">
      <c r="B52" s="63" t="s">
        <v>2037</v>
      </c>
      <c r="C52">
        <f t="shared" ca="1" si="0"/>
        <v>107828.46300000002</v>
      </c>
    </row>
    <row r="53" spans="2:3">
      <c r="B53" s="63" t="s">
        <v>2038</v>
      </c>
      <c r="C53">
        <f t="shared" ca="1" si="0"/>
        <v>0</v>
      </c>
    </row>
    <row r="54" spans="2:3">
      <c r="B54" s="63" t="s">
        <v>2039</v>
      </c>
      <c r="C54">
        <f t="shared" ca="1" si="0"/>
        <v>0.28351220537513844</v>
      </c>
    </row>
    <row r="55" spans="2:3">
      <c r="B55" s="63" t="s">
        <v>2040</v>
      </c>
      <c r="C55">
        <f t="shared" ca="1" si="0"/>
        <v>0</v>
      </c>
    </row>
    <row r="56" spans="2:3">
      <c r="B56" s="63" t="s">
        <v>2041</v>
      </c>
      <c r="C56">
        <f t="shared" ca="1" si="0"/>
        <v>0</v>
      </c>
    </row>
    <row r="57" spans="2:3">
      <c r="B57" s="63" t="s">
        <v>2042</v>
      </c>
      <c r="C57">
        <f t="shared" ca="1" si="0"/>
        <v>0.20341415939009497</v>
      </c>
    </row>
    <row r="58" spans="2:3">
      <c r="B58" s="63" t="s">
        <v>2043</v>
      </c>
      <c r="C58">
        <f t="shared" ca="1" si="0"/>
        <v>0.11886869625198027</v>
      </c>
    </row>
    <row r="59" spans="2:3">
      <c r="B59" s="63" t="s">
        <v>2044</v>
      </c>
      <c r="C59">
        <f t="shared" ca="1" si="0"/>
        <v>0.11886869625198027</v>
      </c>
    </row>
    <row r="60" spans="2:3">
      <c r="B60" s="63" t="s">
        <v>2045</v>
      </c>
      <c r="C60" t="e">
        <f t="shared" ca="1" si="0"/>
        <v>#REF!</v>
      </c>
    </row>
    <row r="61" spans="2:3">
      <c r="B61" s="63" t="s">
        <v>2046</v>
      </c>
      <c r="C61">
        <f t="shared" ca="1" si="0"/>
        <v>2.4562368136289068E-2</v>
      </c>
    </row>
    <row r="62" spans="2:3">
      <c r="B62" s="63" t="s">
        <v>2047</v>
      </c>
      <c r="C62">
        <f t="shared" ca="1" si="0"/>
        <v>0.1182</v>
      </c>
    </row>
    <row r="63" spans="2:3">
      <c r="B63" s="63" t="s">
        <v>2048</v>
      </c>
      <c r="C63">
        <f t="shared" ca="1" si="0"/>
        <v>4.7795586271048011E-2</v>
      </c>
    </row>
    <row r="64" spans="2:3">
      <c r="B64" s="63" t="s">
        <v>2049</v>
      </c>
      <c r="C64" t="e">
        <f t="shared" ca="1" si="0"/>
        <v>#REF!</v>
      </c>
    </row>
    <row r="65" spans="2:3">
      <c r="B65" s="63" t="s">
        <v>2050</v>
      </c>
      <c r="C65">
        <f t="shared" ca="1" si="0"/>
        <v>8.8383428615678217E-2</v>
      </c>
    </row>
    <row r="66" spans="2:3">
      <c r="B66" s="63" t="s">
        <v>2051</v>
      </c>
      <c r="C66">
        <f t="shared" ca="1" si="0"/>
        <v>2.9833576395362625E-2</v>
      </c>
    </row>
    <row r="67" spans="2:3">
      <c r="B67" s="63" t="s">
        <v>2052</v>
      </c>
      <c r="C67">
        <f t="shared" ref="C67:C130" ca="1" si="1">INDIRECT(B67)</f>
        <v>1.6025474208341141E-2</v>
      </c>
    </row>
    <row r="68" spans="2:3">
      <c r="B68" s="63" t="s">
        <v>2053</v>
      </c>
      <c r="C68">
        <f t="shared" ca="1" si="1"/>
        <v>-0.2044</v>
      </c>
    </row>
    <row r="69" spans="2:3">
      <c r="B69" s="63" t="s">
        <v>2054</v>
      </c>
      <c r="C69">
        <f t="shared" ca="1" si="1"/>
        <v>-144067.65904237804</v>
      </c>
    </row>
    <row r="70" spans="2:3">
      <c r="B70" s="63" t="s">
        <v>2055</v>
      </c>
      <c r="C70" t="str">
        <f t="shared" ca="1" si="1"/>
        <v>Cooperativa Regional de Energia Taquari Jacui</v>
      </c>
    </row>
    <row r="71" spans="2:3">
      <c r="B71" s="63" t="s">
        <v>2056</v>
      </c>
      <c r="C71" t="e">
        <f t="shared" ca="1" si="1"/>
        <v>#REF!</v>
      </c>
    </row>
    <row r="72" spans="2:3">
      <c r="B72" s="63" t="s">
        <v>2057</v>
      </c>
      <c r="C72" t="str">
        <f t="shared" ca="1" si="1"/>
        <v>15/2008</v>
      </c>
    </row>
    <row r="73" spans="2:3">
      <c r="B73" s="63" t="s">
        <v>2058</v>
      </c>
      <c r="C73" t="str">
        <f t="shared" ca="1" si="1"/>
        <v xml:space="preserve"> 48500.004968/2021-33</v>
      </c>
    </row>
    <row r="74" spans="2:3">
      <c r="B74" s="63" t="s">
        <v>2059</v>
      </c>
      <c r="C74">
        <f t="shared" ca="1" si="1"/>
        <v>0.50293914764592174</v>
      </c>
    </row>
    <row r="75" spans="2:3">
      <c r="B75" s="63" t="s">
        <v>2060</v>
      </c>
      <c r="C75">
        <f t="shared" ca="1" si="1"/>
        <v>0.49706085235407832</v>
      </c>
    </row>
    <row r="76" spans="2:3">
      <c r="B76" s="63" t="s">
        <v>2061</v>
      </c>
      <c r="C76">
        <f t="shared" ca="1" si="1"/>
        <v>0.12700215164081693</v>
      </c>
    </row>
    <row r="77" spans="2:3">
      <c r="B77" s="63" t="s">
        <v>2062</v>
      </c>
      <c r="C77">
        <f t="shared" ca="1" si="1"/>
        <v>1.7473654678081277E-2</v>
      </c>
    </row>
    <row r="78" spans="2:3">
      <c r="B78" s="63" t="s">
        <v>2063</v>
      </c>
      <c r="C78">
        <f t="shared" ca="1" si="1"/>
        <v>15159.452099999997</v>
      </c>
    </row>
    <row r="79" spans="2:3">
      <c r="B79" s="63" t="s">
        <v>2064</v>
      </c>
      <c r="C79">
        <f t="shared" ca="1" si="1"/>
        <v>9.6639725579381358E-2</v>
      </c>
    </row>
    <row r="80" spans="2:3">
      <c r="B80" s="63" t="s">
        <v>2065</v>
      </c>
      <c r="C80">
        <f t="shared" ca="1" si="1"/>
        <v>280743.18576086761</v>
      </c>
    </row>
    <row r="81" spans="2:3">
      <c r="B81" s="63" t="s">
        <v>2066</v>
      </c>
      <c r="C81">
        <f t="shared" ca="1" si="1"/>
        <v>280743.18576086761</v>
      </c>
    </row>
    <row r="82" spans="2:3">
      <c r="B82" s="64" t="s">
        <v>2067</v>
      </c>
      <c r="C82">
        <f t="shared" ca="1" si="1"/>
        <v>1894.971763920269</v>
      </c>
    </row>
    <row r="83" spans="2:3">
      <c r="B83" s="63" t="s">
        <v>2068</v>
      </c>
      <c r="C83">
        <f t="shared" ca="1" si="1"/>
        <v>75563773.538370013</v>
      </c>
    </row>
    <row r="84" spans="2:3">
      <c r="B84" s="63" t="s">
        <v>2069</v>
      </c>
      <c r="C84">
        <f t="shared" ca="1" si="1"/>
        <v>0</v>
      </c>
    </row>
    <row r="85" spans="2:3">
      <c r="B85" s="63" t="s">
        <v>2070</v>
      </c>
      <c r="C85">
        <f t="shared" ca="1" si="1"/>
        <v>4451521.8</v>
      </c>
    </row>
    <row r="86" spans="2:3">
      <c r="B86" s="63" t="s">
        <v>2071</v>
      </c>
      <c r="C86" t="str">
        <f t="shared" ca="1" si="1"/>
        <v>julho de 2021 a junho de 2022</v>
      </c>
    </row>
    <row r="87" spans="2:3">
      <c r="B87" s="63" t="s">
        <v>2072</v>
      </c>
      <c r="C87">
        <f t="shared" ca="1" si="1"/>
        <v>0</v>
      </c>
    </row>
    <row r="88" spans="2:3">
      <c r="B88" s="63" t="s">
        <v>2073</v>
      </c>
      <c r="C88" t="str">
        <f t="shared" ca="1" si="1"/>
        <v>Certaja</v>
      </c>
    </row>
    <row r="89" spans="2:3">
      <c r="B89" s="63" t="s">
        <v>2074</v>
      </c>
      <c r="C89">
        <f t="shared" ca="1" si="1"/>
        <v>-22774965.18163811</v>
      </c>
    </row>
    <row r="90" spans="2:3">
      <c r="B90" s="63" t="s">
        <v>2075</v>
      </c>
      <c r="C90" t="e">
        <f t="shared" ca="1" si="1"/>
        <v>#REF!</v>
      </c>
    </row>
    <row r="91" spans="2:3">
      <c r="B91" s="64" t="s">
        <v>2076</v>
      </c>
      <c r="C91">
        <f t="shared" ca="1" si="1"/>
        <v>4495042.4685952002</v>
      </c>
    </row>
    <row r="92" spans="2:3">
      <c r="B92" s="64" t="s">
        <v>2077</v>
      </c>
      <c r="C92">
        <f t="shared" ca="1" si="1"/>
        <v>9.6100000000000005E-2</v>
      </c>
    </row>
    <row r="93" spans="2:3">
      <c r="B93" s="64" t="s">
        <v>2078</v>
      </c>
      <c r="C93">
        <f t="shared" ca="1" si="1"/>
        <v>0.4178</v>
      </c>
    </row>
    <row r="94" spans="2:3">
      <c r="B94" s="64" t="s">
        <v>2079</v>
      </c>
      <c r="C94">
        <f t="shared" ca="1" si="1"/>
        <v>0.1542</v>
      </c>
    </row>
    <row r="95" spans="2:3">
      <c r="B95" s="64" t="s">
        <v>2080</v>
      </c>
      <c r="C95" t="e">
        <f t="shared" ca="1" si="1"/>
        <v>#VALUE!</v>
      </c>
    </row>
    <row r="96" spans="2:3">
      <c r="B96" s="64" t="s">
        <v>2081</v>
      </c>
      <c r="C96" t="e">
        <f t="shared" ca="1" si="1"/>
        <v>#VALUE!</v>
      </c>
    </row>
    <row r="97" spans="2:3">
      <c r="B97" s="64" t="s">
        <v>2082</v>
      </c>
      <c r="C97" t="e">
        <f t="shared" ca="1" si="1"/>
        <v>#VALUE!</v>
      </c>
    </row>
    <row r="98" spans="2:3">
      <c r="B98" s="64" t="s">
        <v>2083</v>
      </c>
      <c r="C98" t="e">
        <f t="shared" ca="1" si="1"/>
        <v>#VALUE!</v>
      </c>
    </row>
    <row r="99" spans="2:3">
      <c r="B99" s="63" t="s">
        <v>2084</v>
      </c>
      <c r="C99" t="e">
        <f t="shared" ca="1" si="1"/>
        <v>#VALUE!</v>
      </c>
    </row>
    <row r="100" spans="2:3">
      <c r="B100" s="64" t="s">
        <v>2085</v>
      </c>
      <c r="C100" t="e">
        <f t="shared" ca="1" si="1"/>
        <v>#VALUE!</v>
      </c>
    </row>
    <row r="101" spans="2:3">
      <c r="B101" s="63" t="s">
        <v>2086</v>
      </c>
      <c r="C101" t="e">
        <f t="shared" ca="1" si="1"/>
        <v>#VALUE!</v>
      </c>
    </row>
    <row r="102" spans="2:3">
      <c r="B102" s="63" t="s">
        <v>2087</v>
      </c>
      <c r="C102" t="e">
        <f t="shared" ca="1" si="1"/>
        <v>#VALUE!</v>
      </c>
    </row>
    <row r="103" spans="2:3">
      <c r="B103" s="63" t="s">
        <v>2088</v>
      </c>
      <c r="C103" t="e">
        <f t="shared" ca="1" si="1"/>
        <v>#VALUE!</v>
      </c>
    </row>
    <row r="104" spans="2:3">
      <c r="B104" s="63" t="s">
        <v>2089</v>
      </c>
      <c r="C104" t="e">
        <f t="shared" ca="1" si="1"/>
        <v>#VALUE!</v>
      </c>
    </row>
    <row r="105" spans="2:3">
      <c r="B105" s="63" t="s">
        <v>2090</v>
      </c>
      <c r="C105" t="e">
        <f t="shared" ca="1" si="1"/>
        <v>#VALUE!</v>
      </c>
    </row>
    <row r="106" spans="2:3">
      <c r="B106" s="63" t="s">
        <v>2091</v>
      </c>
      <c r="C106" t="e">
        <f t="shared" ca="1" si="1"/>
        <v>#VALUE!</v>
      </c>
    </row>
    <row r="107" spans="2:3">
      <c r="B107" s="63" t="s">
        <v>2092</v>
      </c>
      <c r="C107" t="e">
        <f t="shared" ca="1" si="1"/>
        <v>#VALUE!</v>
      </c>
    </row>
    <row r="108" spans="2:3">
      <c r="B108" s="63" t="s">
        <v>2093</v>
      </c>
      <c r="C108" t="e">
        <f t="shared" ca="1" si="1"/>
        <v>#REF!</v>
      </c>
    </row>
    <row r="109" spans="2:3">
      <c r="B109" s="63" t="s">
        <v>2094</v>
      </c>
      <c r="C109" t="e">
        <f t="shared" ca="1" si="1"/>
        <v>#REF!</v>
      </c>
    </row>
    <row r="110" spans="2:3">
      <c r="B110" s="63" t="s">
        <v>2095</v>
      </c>
      <c r="C110" t="e">
        <f t="shared" ca="1" si="1"/>
        <v>#REF!</v>
      </c>
    </row>
    <row r="111" spans="2:3">
      <c r="B111" s="63" t="s">
        <v>2096</v>
      </c>
      <c r="C111" t="e">
        <f t="shared" ca="1" si="1"/>
        <v>#REF!</v>
      </c>
    </row>
    <row r="112" spans="2:3">
      <c r="B112" s="63" t="s">
        <v>2097</v>
      </c>
      <c r="C112" t="e">
        <f t="shared" ca="1" si="1"/>
        <v>#REF!</v>
      </c>
    </row>
    <row r="113" spans="2:3">
      <c r="B113" s="63" t="s">
        <v>2098</v>
      </c>
      <c r="C113" t="e">
        <f t="shared" ca="1" si="1"/>
        <v>#REF!</v>
      </c>
    </row>
    <row r="114" spans="2:3">
      <c r="B114" s="63" t="s">
        <v>2099</v>
      </c>
      <c r="C114" t="e">
        <f t="shared" ca="1" si="1"/>
        <v>#REF!</v>
      </c>
    </row>
    <row r="115" spans="2:3">
      <c r="B115" s="63" t="s">
        <v>2100</v>
      </c>
      <c r="C115">
        <f t="shared" ca="1" si="1"/>
        <v>0</v>
      </c>
    </row>
    <row r="116" spans="2:3">
      <c r="B116" s="64" t="s">
        <v>2101</v>
      </c>
      <c r="C116">
        <f t="shared" ca="1" si="1"/>
        <v>6551838.6932571782</v>
      </c>
    </row>
    <row r="117" spans="2:3">
      <c r="B117" s="63" t="s">
        <v>2102</v>
      </c>
      <c r="C117">
        <f t="shared" ca="1" si="1"/>
        <v>0</v>
      </c>
    </row>
    <row r="118" spans="2:3">
      <c r="B118" s="63" t="s">
        <v>2103</v>
      </c>
      <c r="C118">
        <f t="shared" ca="1" si="1"/>
        <v>0</v>
      </c>
    </row>
    <row r="119" spans="2:3">
      <c r="B119" s="64" t="s">
        <v>2104</v>
      </c>
      <c r="C119">
        <f t="shared" ca="1" si="1"/>
        <v>0</v>
      </c>
    </row>
    <row r="120" spans="2:3">
      <c r="B120" s="63" t="s">
        <v>2105</v>
      </c>
      <c r="C120">
        <f t="shared" ca="1" si="1"/>
        <v>859785.06388833188</v>
      </c>
    </row>
    <row r="121" spans="2:3">
      <c r="B121" s="63" t="s">
        <v>2106</v>
      </c>
      <c r="C121">
        <f t="shared" ca="1" si="1"/>
        <v>0</v>
      </c>
    </row>
    <row r="122" spans="2:3">
      <c r="B122" s="64" t="s">
        <v>2107</v>
      </c>
      <c r="C122">
        <f t="shared" ca="1" si="1"/>
        <v>0</v>
      </c>
    </row>
    <row r="123" spans="2:3">
      <c r="B123" s="63" t="s">
        <v>2108</v>
      </c>
      <c r="C123">
        <f t="shared" ca="1" si="1"/>
        <v>0</v>
      </c>
    </row>
    <row r="124" spans="2:3">
      <c r="B124" s="63" t="s">
        <v>2109</v>
      </c>
      <c r="C124">
        <f t="shared" ca="1" si="1"/>
        <v>0</v>
      </c>
    </row>
    <row r="125" spans="2:3">
      <c r="B125" s="64" t="s">
        <v>2110</v>
      </c>
      <c r="C125">
        <f t="shared" ca="1" si="1"/>
        <v>0</v>
      </c>
    </row>
    <row r="126" spans="2:3">
      <c r="B126" s="63" t="s">
        <v>2111</v>
      </c>
      <c r="C126">
        <f t="shared" ca="1" si="1"/>
        <v>1063012.1990452227</v>
      </c>
    </row>
    <row r="127" spans="2:3">
      <c r="B127" s="63" t="s">
        <v>2112</v>
      </c>
      <c r="C127">
        <f t="shared" ca="1" si="1"/>
        <v>0</v>
      </c>
    </row>
    <row r="128" spans="2:3">
      <c r="B128" s="64" t="s">
        <v>2113</v>
      </c>
      <c r="C128">
        <f t="shared" ca="1" si="1"/>
        <v>169588.62193635927</v>
      </c>
    </row>
    <row r="129" spans="2:3">
      <c r="B129" s="63" t="s">
        <v>2114</v>
      </c>
      <c r="C129">
        <f t="shared" ca="1" si="1"/>
        <v>116126.60200000001</v>
      </c>
    </row>
    <row r="130" spans="2:3">
      <c r="B130" s="63" t="s">
        <v>2115</v>
      </c>
      <c r="C130">
        <f t="shared" ca="1" si="1"/>
        <v>75563773.538370013</v>
      </c>
    </row>
    <row r="131" spans="2:3">
      <c r="B131" s="64" t="s">
        <v>2116</v>
      </c>
      <c r="C131" t="str">
        <f t="shared" ref="C131:C194" ca="1" si="2">INDIRECT(B131)</f>
        <v>Verde</v>
      </c>
    </row>
    <row r="132" spans="2:3">
      <c r="B132" s="63" t="s">
        <v>2117</v>
      </c>
      <c r="C132" t="e">
        <f t="shared" ca="1" si="2"/>
        <v>#VALUE!</v>
      </c>
    </row>
    <row r="133" spans="2:3">
      <c r="B133" s="64" t="s">
        <v>2118</v>
      </c>
      <c r="C133" t="e">
        <f t="shared" ca="1" si="2"/>
        <v>#REF!</v>
      </c>
    </row>
    <row r="134" spans="2:3">
      <c r="B134" s="63" t="s">
        <v>2119</v>
      </c>
      <c r="C134" t="e">
        <f t="shared" ca="1" si="2"/>
        <v>#REF!</v>
      </c>
    </row>
    <row r="135" spans="2:3">
      <c r="B135" s="63" t="s">
        <v>2120</v>
      </c>
      <c r="C135">
        <f t="shared" ca="1" si="2"/>
        <v>44713</v>
      </c>
    </row>
    <row r="136" spans="2:3">
      <c r="B136" s="63" t="s">
        <v>2121</v>
      </c>
      <c r="C136">
        <f t="shared" ca="1" si="2"/>
        <v>44378</v>
      </c>
    </row>
    <row r="137" spans="2:3">
      <c r="B137" s="63" t="s">
        <v>2122</v>
      </c>
      <c r="C137" t="e">
        <f t="shared" ca="1" si="2"/>
        <v>#REF!</v>
      </c>
    </row>
    <row r="138" spans="2:3">
      <c r="B138" s="63" t="s">
        <v>2123</v>
      </c>
      <c r="C138" t="e">
        <f t="shared" ca="1" si="2"/>
        <v>#REF!</v>
      </c>
    </row>
    <row r="139" spans="2:3">
      <c r="B139" s="63" t="s">
        <v>2124</v>
      </c>
      <c r="C139" t="e">
        <f t="shared" ca="1" si="2"/>
        <v>#REF!</v>
      </c>
    </row>
    <row r="140" spans="2:3">
      <c r="B140" s="63" t="s">
        <v>2125</v>
      </c>
      <c r="C140">
        <f t="shared" ca="1" si="2"/>
        <v>0</v>
      </c>
    </row>
    <row r="141" spans="2:3">
      <c r="B141" s="63" t="s">
        <v>2126</v>
      </c>
      <c r="C141" t="e">
        <f t="shared" ca="1" si="2"/>
        <v>#VALUE!</v>
      </c>
    </row>
    <row r="142" spans="2:3">
      <c r="B142" s="63" t="s">
        <v>2127</v>
      </c>
      <c r="C142" t="e">
        <f t="shared" ca="1" si="2"/>
        <v>#VALUE!</v>
      </c>
    </row>
    <row r="143" spans="2:3">
      <c r="B143" s="63" t="s">
        <v>2128</v>
      </c>
      <c r="C143" t="e">
        <f t="shared" ca="1" si="2"/>
        <v>#VALUE!</v>
      </c>
    </row>
    <row r="144" spans="2:3">
      <c r="B144" s="63" t="s">
        <v>2129</v>
      </c>
      <c r="C144" t="e">
        <f t="shared" ca="1" si="2"/>
        <v>#VALUE!</v>
      </c>
    </row>
    <row r="145" spans="2:3">
      <c r="B145" s="63" t="s">
        <v>2130</v>
      </c>
      <c r="C145" t="e">
        <f t="shared" ca="1" si="2"/>
        <v>#VALUE!</v>
      </c>
    </row>
    <row r="146" spans="2:3">
      <c r="B146" s="64" t="s">
        <v>2131</v>
      </c>
      <c r="C146" t="e">
        <f t="shared" ca="1" si="2"/>
        <v>#REF!</v>
      </c>
    </row>
    <row r="147" spans="2:3">
      <c r="B147" s="64" t="s">
        <v>2132</v>
      </c>
      <c r="C147" t="e">
        <f t="shared" ca="1" si="2"/>
        <v>#REF!</v>
      </c>
    </row>
    <row r="148" spans="2:3">
      <c r="B148" s="64" t="s">
        <v>2133</v>
      </c>
      <c r="C148" t="e">
        <f t="shared" ca="1" si="2"/>
        <v>#REF!</v>
      </c>
    </row>
    <row r="149" spans="2:3">
      <c r="B149" s="64" t="s">
        <v>2134</v>
      </c>
      <c r="C149" t="e">
        <f t="shared" ca="1" si="2"/>
        <v>#REF!</v>
      </c>
    </row>
    <row r="150" spans="2:3">
      <c r="B150" s="64" t="s">
        <v>2135</v>
      </c>
      <c r="C150" t="e">
        <f t="shared" ca="1" si="2"/>
        <v>#REF!</v>
      </c>
    </row>
    <row r="151" spans="2:3">
      <c r="B151" s="64" t="s">
        <v>2136</v>
      </c>
      <c r="C151" t="e">
        <f t="shared" ca="1" si="2"/>
        <v>#REF!</v>
      </c>
    </row>
    <row r="152" spans="2:3">
      <c r="B152" s="64" t="s">
        <v>2137</v>
      </c>
      <c r="C152" t="e">
        <f t="shared" ca="1" si="2"/>
        <v>#REF!</v>
      </c>
    </row>
    <row r="153" spans="2:3">
      <c r="B153" s="64" t="s">
        <v>2138</v>
      </c>
      <c r="C153" t="e">
        <f t="shared" ca="1" si="2"/>
        <v>#REF!</v>
      </c>
    </row>
    <row r="154" spans="2:3">
      <c r="B154" s="63" t="s">
        <v>2139</v>
      </c>
      <c r="C154" t="e">
        <f t="shared" ca="1" si="2"/>
        <v>#VALUE!</v>
      </c>
    </row>
    <row r="155" spans="2:3">
      <c r="B155" s="63" t="s">
        <v>2140</v>
      </c>
      <c r="C155" t="e">
        <f t="shared" ca="1" si="2"/>
        <v>#VALUE!</v>
      </c>
    </row>
    <row r="156" spans="2:3">
      <c r="B156" s="63" t="s">
        <v>2141</v>
      </c>
      <c r="C156" t="e">
        <f t="shared" ca="1" si="2"/>
        <v>#VALUE!</v>
      </c>
    </row>
    <row r="157" spans="2:3">
      <c r="B157" s="63" t="s">
        <v>2142</v>
      </c>
      <c r="C157" t="e">
        <f t="shared" ca="1" si="2"/>
        <v>#VALUE!</v>
      </c>
    </row>
    <row r="158" spans="2:3">
      <c r="B158" s="63" t="s">
        <v>2143</v>
      </c>
      <c r="C158" t="e">
        <f t="shared" ca="1" si="2"/>
        <v>#REF!</v>
      </c>
    </row>
    <row r="159" spans="2:3">
      <c r="B159" s="63" t="s">
        <v>2144</v>
      </c>
      <c r="C159" t="e">
        <f t="shared" ca="1" si="2"/>
        <v>#VALUE!</v>
      </c>
    </row>
    <row r="160" spans="2:3">
      <c r="B160" s="63" t="s">
        <v>2145</v>
      </c>
      <c r="C160" t="e">
        <f t="shared" ca="1" si="2"/>
        <v>#VALUE!</v>
      </c>
    </row>
    <row r="161" spans="2:3">
      <c r="B161" s="63" t="s">
        <v>2146</v>
      </c>
      <c r="C161" t="e">
        <f t="shared" ca="1" si="2"/>
        <v>#VALUE!</v>
      </c>
    </row>
    <row r="162" spans="2:3">
      <c r="B162" s="63" t="s">
        <v>2147</v>
      </c>
      <c r="C162" t="e">
        <f t="shared" ca="1" si="2"/>
        <v>#VALUE!</v>
      </c>
    </row>
    <row r="163" spans="2:3">
      <c r="B163" s="63" t="s">
        <v>2148</v>
      </c>
      <c r="C163" t="e">
        <f t="shared" ca="1" si="2"/>
        <v>#VALUE!</v>
      </c>
    </row>
    <row r="164" spans="2:3">
      <c r="B164" s="63" t="s">
        <v>2149</v>
      </c>
      <c r="C164" t="e">
        <f t="shared" ca="1" si="2"/>
        <v>#VALUE!</v>
      </c>
    </row>
    <row r="165" spans="2:3">
      <c r="B165" s="63" t="s">
        <v>2150</v>
      </c>
      <c r="C165" t="e">
        <f t="shared" ca="1" si="2"/>
        <v>#VALUE!</v>
      </c>
    </row>
    <row r="166" spans="2:3">
      <c r="B166" s="63" t="s">
        <v>2151</v>
      </c>
      <c r="C166" t="e">
        <f t="shared" ca="1" si="2"/>
        <v>#VALUE!</v>
      </c>
    </row>
    <row r="167" spans="2:3">
      <c r="B167" s="63" t="s">
        <v>2152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227</vt:i4>
      </vt:variant>
    </vt:vector>
  </HeadingPairs>
  <TitlesOfParts>
    <vt:vector size="261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PIS_COFINS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2022-07-28T18:51:18Z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